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Ontario temoa/Spreadsheets/"/>
    </mc:Choice>
  </mc:AlternateContent>
  <xr:revisionPtr revIDLastSave="9734" documentId="8_{EBD2ED42-650E-44BD-94B6-A30C53DDF22C}" xr6:coauthVersionLast="47" xr6:coauthVersionMax="47" xr10:uidLastSave="{1685C158-AC13-4F3E-89BC-BEB726ACD174}"/>
  <bookViews>
    <workbookView xWindow="-110" yWindow="-110" windowWidth="25820" windowHeight="15500" xr2:uid="{25A0CFBD-70DE-496B-9C0B-013F6FB595D4}"/>
  </bookViews>
  <sheets>
    <sheet name="Techs" sheetId="1" r:id="rId1"/>
    <sheet name="Comms" sheetId="33" r:id="rId2"/>
    <sheet name="Demand Calcs" sheetId="30" r:id="rId3"/>
    <sheet name="Lifetime" sheetId="7" r:id="rId4"/>
    <sheet name="ExCap Calcs" sheetId="24" r:id="rId5"/>
    <sheet name="CapToActivity" sheetId="27" r:id="rId6"/>
    <sheet name="CapFactor" sheetId="26" r:id="rId7"/>
    <sheet name="Eff Calcs" sheetId="16" r:id="rId8"/>
    <sheet name="InvestCosts Calcs" sheetId="20" r:id="rId9"/>
    <sheet name="VarCosts Calcs" sheetId="21" r:id="rId10"/>
    <sheet name="FixedCosts Calcs" sheetId="31" r:id="rId11"/>
    <sheet name="TechInput Split" sheetId="32" r:id="rId12"/>
    <sheet name="Background Data" sheetId="3" r:id="rId13"/>
    <sheet name="EVProfiles Data" sheetId="29" r:id="rId14"/>
    <sheet name="NRCan Fuel Guide" sheetId="18" r:id="rId15"/>
    <sheet name="ANL-DOE-LDV Data" sheetId="19" r:id="rId16"/>
    <sheet name="ANL-DOE-MHDV Data" sheetId="23" r:id="rId17"/>
    <sheet name="GREET-AFLEET Summary" sheetId="13" r:id="rId18"/>
    <sheet name="LENZ-TO Data" sheetId="28" r:id="rId19"/>
    <sheet name="OEO &amp; EPAUS9rT-HDV Data" sheetId="25" r:id="rId20"/>
    <sheet name="AEO-LDV Data" sheetId="15" r:id="rId21"/>
    <sheet name="Conversion Factors" sheetId="12" r:id="rId22"/>
    <sheet name="References" sheetId="2" r:id="rId23"/>
  </sheets>
  <definedNames>
    <definedName name="_xlnm._FilterDatabase" localSheetId="15" hidden="1">'ANL-DOE-LDV Data'!$A$2:$AQ$302</definedName>
    <definedName name="_xlnm._FilterDatabase" localSheetId="16" hidden="1">'ANL-DOE-MHDV Data'!$A$2:$AQ$692</definedName>
    <definedName name="CNG_DGE">'Conversion Factors'!$D$28</definedName>
    <definedName name="DGE_GGE">'Conversion Factors'!$C$19</definedName>
    <definedName name="DSL_PJ_ML">'Conversion Factors'!$G$13</definedName>
    <definedName name="E85_PJ_ML">'Conversion Factors'!$G$14</definedName>
    <definedName name="ELC_PJ_MkWh">'Conversion Factors'!$G$15</definedName>
    <definedName name="GGE_DGE">'Conversion Factors'!$D$18</definedName>
    <definedName name="GSL_PJ_ML">'Conversion Factors'!$G$12</definedName>
    <definedName name="HFO_MDO">'Conversion Factors'!$G$19</definedName>
    <definedName name="HFO_MJ_L">'Conversion Factors'!$G$17</definedName>
    <definedName name="km_mile">'Conversion Factors'!$G$3</definedName>
    <definedName name="kWh_GGE">'Conversion Factors'!$C$20</definedName>
    <definedName name="L_100km_to_mpg">'Conversion Factors'!$G$10</definedName>
    <definedName name="L_gal">'Conversion Factors'!$G$4</definedName>
    <definedName name="LHV_to_HHV_Diesel">'Conversion Factors'!$G$16</definedName>
    <definedName name="MDO_MJ_L">'Conversion Factors'!$G$18</definedName>
    <definedName name="MGO_MDO">'Conversion Factors'!$G$20</definedName>
    <definedName name="MJ_Btu">'Conversion Factors'!$G$50</definedName>
    <definedName name="PJ_MBtu">'Conversion Factors'!$G$2</definedName>
    <definedName name="ton_tonne">'Conversion Factors'!$D$38</definedName>
    <definedName name="tonne_ton">'Conversion Factors'!$F$36</definedName>
    <definedName name="USD_CAD_2020">'Conversion Factors'!$J$2</definedName>
    <definedName name="USD2005_to_CAD2020">'Conversion Factors'!$J$6</definedName>
    <definedName name="USD2018_to_CAD2020">'Conversion Factors'!$J$5</definedName>
    <definedName name="USD2019_to_CAD2020">'Conversion Factors'!$J$4</definedName>
    <definedName name="USD2021_to_CAD2020">'Conversion Factors'!$J$3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105" i="16" l="1"/>
  <c r="AH105" i="16"/>
  <c r="AG105" i="16"/>
  <c r="AF105" i="16"/>
  <c r="AE105" i="16"/>
  <c r="AD105" i="16"/>
  <c r="AC105" i="16"/>
  <c r="E101" i="27" l="1"/>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M29" i="26" s="1"/>
  <c r="E28" i="27"/>
  <c r="N28" i="26" s="1"/>
  <c r="E27" i="27"/>
  <c r="N27" i="26" s="1"/>
  <c r="E26" i="27"/>
  <c r="N26" i="26" s="1"/>
  <c r="E25" i="27"/>
  <c r="N25" i="26" s="1"/>
  <c r="E24" i="27"/>
  <c r="N24" i="26" s="1"/>
  <c r="E23" i="27"/>
  <c r="N23" i="26" s="1"/>
  <c r="E22" i="27"/>
  <c r="N22" i="26" s="1"/>
  <c r="E21" i="27"/>
  <c r="E20" i="27"/>
  <c r="E19" i="27"/>
  <c r="E18" i="27"/>
  <c r="E17" i="27"/>
  <c r="E16" i="27"/>
  <c r="E15" i="27"/>
  <c r="E14" i="27"/>
  <c r="E13" i="27"/>
  <c r="E12" i="27"/>
  <c r="E11" i="27"/>
  <c r="E10" i="27"/>
  <c r="E9" i="27"/>
  <c r="E8" i="27"/>
  <c r="E7" i="27"/>
  <c r="E6" i="27"/>
  <c r="E5" i="27"/>
  <c r="E4" i="27"/>
  <c r="E3" i="27"/>
  <c r="N29" i="26"/>
  <c r="N21" i="26"/>
  <c r="M21" i="26"/>
  <c r="L27" i="26"/>
  <c r="O26" i="26"/>
  <c r="O23" i="26"/>
  <c r="F33" i="24"/>
  <c r="Y33" i="24"/>
  <c r="X33" i="24"/>
  <c r="W33" i="24"/>
  <c r="V33" i="24"/>
  <c r="U33" i="24"/>
  <c r="T33" i="24"/>
  <c r="S33" i="24"/>
  <c r="R33" i="24"/>
  <c r="Q33" i="24"/>
  <c r="P33" i="24"/>
  <c r="O33" i="24"/>
  <c r="N33" i="24"/>
  <c r="M33" i="24"/>
  <c r="L33" i="24"/>
  <c r="K33" i="24"/>
  <c r="J33" i="24"/>
  <c r="I33" i="24"/>
  <c r="H33" i="24"/>
  <c r="G33" i="24"/>
  <c r="Y32" i="24"/>
  <c r="X32" i="24"/>
  <c r="W32" i="24"/>
  <c r="V32" i="24"/>
  <c r="U32" i="24"/>
  <c r="T32" i="24"/>
  <c r="S32" i="24"/>
  <c r="R32" i="24"/>
  <c r="Q32" i="24"/>
  <c r="P32" i="24"/>
  <c r="O32" i="24"/>
  <c r="N32" i="24"/>
  <c r="M32" i="24"/>
  <c r="L32" i="24"/>
  <c r="K32" i="24"/>
  <c r="J32" i="24"/>
  <c r="I32" i="24"/>
  <c r="H32" i="24"/>
  <c r="G32" i="24"/>
  <c r="P31" i="24"/>
  <c r="O31" i="24"/>
  <c r="N31" i="24"/>
  <c r="M31" i="24"/>
  <c r="L31" i="24"/>
  <c r="K31" i="24"/>
  <c r="J31" i="24"/>
  <c r="I31" i="24"/>
  <c r="H31" i="24"/>
  <c r="G31" i="24"/>
  <c r="F31" i="24"/>
  <c r="Q31" i="24"/>
  <c r="Z31" i="24"/>
  <c r="Y31" i="24"/>
  <c r="X31" i="24"/>
  <c r="W31" i="24"/>
  <c r="V31" i="24"/>
  <c r="U31" i="24"/>
  <c r="T31" i="24"/>
  <c r="S31" i="24"/>
  <c r="R31" i="24"/>
  <c r="Q30" i="24"/>
  <c r="P30" i="24"/>
  <c r="O30" i="24"/>
  <c r="N30" i="24"/>
  <c r="M30" i="24"/>
  <c r="L30" i="24"/>
  <c r="K30" i="24"/>
  <c r="J30" i="24"/>
  <c r="I30" i="24"/>
  <c r="H30" i="24"/>
  <c r="G30" i="24"/>
  <c r="F30" i="24" s="1"/>
  <c r="Z30" i="24"/>
  <c r="Y30" i="24"/>
  <c r="X30" i="24"/>
  <c r="W30" i="24"/>
  <c r="V30" i="24"/>
  <c r="U30" i="24"/>
  <c r="T30" i="24"/>
  <c r="S30" i="24"/>
  <c r="R30" i="24"/>
  <c r="V29" i="24"/>
  <c r="U29" i="24"/>
  <c r="T29" i="24"/>
  <c r="S29" i="24"/>
  <c r="R29" i="24"/>
  <c r="Q29" i="24"/>
  <c r="P29" i="24"/>
  <c r="O29" i="24"/>
  <c r="N29" i="24"/>
  <c r="V28" i="24"/>
  <c r="U28" i="24"/>
  <c r="T28" i="24"/>
  <c r="S28" i="24"/>
  <c r="R28" i="24"/>
  <c r="Q28" i="24"/>
  <c r="P28" i="24"/>
  <c r="O28" i="24"/>
  <c r="N28" i="24"/>
  <c r="M29" i="24"/>
  <c r="M28" i="24"/>
  <c r="R27" i="24"/>
  <c r="Q27" i="24"/>
  <c r="P27" i="24"/>
  <c r="O27" i="24"/>
  <c r="N27" i="24"/>
  <c r="R26" i="24"/>
  <c r="Q26" i="24"/>
  <c r="P26" i="24"/>
  <c r="O26" i="24"/>
  <c r="N26" i="24"/>
  <c r="R25" i="24"/>
  <c r="Q25" i="24"/>
  <c r="P25" i="24"/>
  <c r="O25" i="24"/>
  <c r="N25" i="24"/>
  <c r="R24" i="24"/>
  <c r="Q24" i="24"/>
  <c r="P24" i="24"/>
  <c r="O24" i="24"/>
  <c r="N24" i="24"/>
  <c r="L27" i="24"/>
  <c r="M27" i="24"/>
  <c r="M26" i="24"/>
  <c r="M25" i="24"/>
  <c r="M24" i="24"/>
  <c r="S24" i="24"/>
  <c r="S25" i="24"/>
  <c r="S26" i="24"/>
  <c r="S27" i="24"/>
  <c r="X29" i="24"/>
  <c r="X28" i="24"/>
  <c r="Y27" i="24"/>
  <c r="X27" i="24"/>
  <c r="W27" i="24"/>
  <c r="U27" i="24"/>
  <c r="T27" i="24"/>
  <c r="Y26" i="24"/>
  <c r="X26" i="24"/>
  <c r="W26" i="24"/>
  <c r="U26" i="24"/>
  <c r="T26" i="24"/>
  <c r="Y25" i="24"/>
  <c r="X25" i="24"/>
  <c r="W25" i="24"/>
  <c r="U25" i="24"/>
  <c r="T25" i="24"/>
  <c r="Y24" i="24"/>
  <c r="X24" i="24"/>
  <c r="W24" i="24"/>
  <c r="U24" i="24"/>
  <c r="T24" i="24"/>
  <c r="Y23" i="24"/>
  <c r="X23" i="24"/>
  <c r="W23" i="24"/>
  <c r="V23" i="24"/>
  <c r="U23" i="24"/>
  <c r="T23" i="24"/>
  <c r="S23" i="24"/>
  <c r="R23" i="24"/>
  <c r="Q23" i="24"/>
  <c r="P23" i="24"/>
  <c r="O23" i="24"/>
  <c r="N23" i="24"/>
  <c r="M23" i="24"/>
  <c r="Y22" i="24"/>
  <c r="X22" i="24"/>
  <c r="W22" i="24"/>
  <c r="V22" i="24"/>
  <c r="U22" i="24"/>
  <c r="T22" i="24"/>
  <c r="S22" i="24"/>
  <c r="R22" i="24"/>
  <c r="Q22" i="24"/>
  <c r="P22" i="24"/>
  <c r="O22" i="24"/>
  <c r="N22" i="24"/>
  <c r="M22" i="24"/>
  <c r="Y21" i="24"/>
  <c r="X21" i="24"/>
  <c r="W21" i="24"/>
  <c r="V21" i="24"/>
  <c r="U21" i="24"/>
  <c r="T21" i="24"/>
  <c r="S21" i="24"/>
  <c r="R21" i="24"/>
  <c r="Q21" i="24"/>
  <c r="P21" i="24"/>
  <c r="O21" i="24"/>
  <c r="N21" i="24"/>
  <c r="M21" i="24"/>
  <c r="N27" i="16"/>
  <c r="P29" i="16"/>
  <c r="O29" i="16"/>
  <c r="P28" i="16"/>
  <c r="O28" i="16"/>
  <c r="P27" i="16"/>
  <c r="O27" i="16"/>
  <c r="P26" i="16"/>
  <c r="O26" i="16"/>
  <c r="P25" i="16"/>
  <c r="O25" i="16"/>
  <c r="P24" i="16"/>
  <c r="O24" i="16"/>
  <c r="P23" i="16"/>
  <c r="O23" i="16"/>
  <c r="P22" i="16"/>
  <c r="O22" i="16"/>
  <c r="P21" i="16"/>
  <c r="O21" i="16"/>
  <c r="Q26" i="16"/>
  <c r="Q23" i="16"/>
  <c r="AI104" i="16"/>
  <c r="AH104" i="16"/>
  <c r="AG104" i="16"/>
  <c r="AF104" i="16"/>
  <c r="AE104" i="16"/>
  <c r="AD104" i="16"/>
  <c r="DE74" i="16"/>
  <c r="DD74" i="16"/>
  <c r="DC74" i="16"/>
  <c r="DB74" i="16"/>
  <c r="DA74" i="16"/>
  <c r="CZ74" i="16"/>
  <c r="CY74" i="16"/>
  <c r="CU66" i="16" a="1"/>
  <c r="CU66" i="16" s="1"/>
  <c r="CR66" i="16" a="1"/>
  <c r="CR66" i="16" s="1"/>
  <c r="CQ66" i="16" a="1"/>
  <c r="CQ66" i="16" s="1"/>
  <c r="CP66" i="16" a="1"/>
  <c r="CP66" i="16" s="1"/>
  <c r="CO66" i="16" a="1"/>
  <c r="CO66" i="16" s="1"/>
  <c r="CU65" i="16" a="1"/>
  <c r="CU65" i="16" s="1"/>
  <c r="CR65" i="16" a="1"/>
  <c r="CR65" i="16" s="1"/>
  <c r="CQ65" i="16" a="1"/>
  <c r="CQ65" i="16" s="1"/>
  <c r="CP65" i="16" a="1"/>
  <c r="CP65" i="16" s="1"/>
  <c r="CO65" i="16" a="1"/>
  <c r="CO65" i="16" s="1"/>
  <c r="CY73" i="16"/>
  <c r="CZ73" i="16"/>
  <c r="DA73" i="16"/>
  <c r="BJ16" i="24"/>
  <c r="BI16" i="24"/>
  <c r="BI17" i="24" s="1"/>
  <c r="BJ12" i="24"/>
  <c r="BI12" i="24"/>
  <c r="BI13" i="24" s="1"/>
  <c r="BJ8" i="24"/>
  <c r="BI8" i="24"/>
  <c r="BI9" i="24" s="1"/>
  <c r="T20" i="24"/>
  <c r="S20" i="24"/>
  <c r="R20" i="24"/>
  <c r="Q20" i="24"/>
  <c r="P20" i="24"/>
  <c r="O20" i="24"/>
  <c r="N20" i="24"/>
  <c r="M20" i="24"/>
  <c r="L20" i="24"/>
  <c r="K20" i="24"/>
  <c r="U20" i="24"/>
  <c r="P19" i="24"/>
  <c r="O19" i="24"/>
  <c r="N19" i="24"/>
  <c r="M19" i="24"/>
  <c r="L19" i="24"/>
  <c r="K19" i="24"/>
  <c r="J19" i="24"/>
  <c r="I19" i="24"/>
  <c r="T19" i="24"/>
  <c r="S19" i="24"/>
  <c r="R19" i="24"/>
  <c r="Q19" i="24"/>
  <c r="T18" i="24"/>
  <c r="S18" i="24"/>
  <c r="R18" i="24"/>
  <c r="Q18" i="24"/>
  <c r="P18" i="24"/>
  <c r="O18" i="24"/>
  <c r="N18" i="24"/>
  <c r="M18" i="24"/>
  <c r="T17" i="24"/>
  <c r="S17" i="24"/>
  <c r="R17" i="24"/>
  <c r="Q17" i="24"/>
  <c r="P17" i="24"/>
  <c r="O17" i="24"/>
  <c r="N17" i="24"/>
  <c r="M17" i="24"/>
  <c r="L18" i="24"/>
  <c r="L17" i="24"/>
  <c r="U17" i="24"/>
  <c r="U18" i="24"/>
  <c r="Z18" i="24"/>
  <c r="Y18" i="24"/>
  <c r="X18" i="24"/>
  <c r="W18" i="24"/>
  <c r="V18" i="24"/>
  <c r="Z17" i="24"/>
  <c r="Y17" i="24"/>
  <c r="X17" i="24"/>
  <c r="W17" i="24"/>
  <c r="V17" i="24"/>
  <c r="Z16" i="24"/>
  <c r="Y16" i="24"/>
  <c r="X16" i="24"/>
  <c r="W16" i="24"/>
  <c r="V16" i="24"/>
  <c r="U16" i="24"/>
  <c r="T16" i="24"/>
  <c r="S16" i="24"/>
  <c r="R16" i="24"/>
  <c r="Z15" i="24"/>
  <c r="Y15" i="24"/>
  <c r="X15" i="24"/>
  <c r="W15" i="24"/>
  <c r="V15" i="24"/>
  <c r="U15" i="24"/>
  <c r="T15" i="24"/>
  <c r="S15" i="24"/>
  <c r="R15" i="24"/>
  <c r="Z14" i="24"/>
  <c r="Y14" i="24"/>
  <c r="X14" i="24"/>
  <c r="W14" i="24"/>
  <c r="V14" i="24"/>
  <c r="U14" i="24"/>
  <c r="T14" i="24"/>
  <c r="S14" i="24"/>
  <c r="R14" i="24"/>
  <c r="Z13" i="24"/>
  <c r="Y13" i="24"/>
  <c r="X13" i="24"/>
  <c r="W13" i="24"/>
  <c r="V13" i="24"/>
  <c r="U13" i="24"/>
  <c r="T13" i="24"/>
  <c r="S13" i="24"/>
  <c r="R13" i="24"/>
  <c r="Q16" i="24"/>
  <c r="Q15" i="24"/>
  <c r="Q14" i="24"/>
  <c r="Q13" i="24"/>
  <c r="P14" i="24"/>
  <c r="O14" i="24"/>
  <c r="N14" i="24"/>
  <c r="M14" i="24"/>
  <c r="P13" i="24"/>
  <c r="O13" i="24"/>
  <c r="N13" i="24"/>
  <c r="M13" i="24"/>
  <c r="L14" i="24"/>
  <c r="L13" i="24"/>
  <c r="P9" i="24"/>
  <c r="O9" i="24"/>
  <c r="N9" i="24"/>
  <c r="M9" i="24"/>
  <c r="P8" i="24"/>
  <c r="O8" i="24"/>
  <c r="N8" i="24"/>
  <c r="M8" i="24"/>
  <c r="L9" i="24"/>
  <c r="L8" i="24"/>
  <c r="Z12" i="24"/>
  <c r="Y12" i="24"/>
  <c r="X12" i="24"/>
  <c r="W12" i="24"/>
  <c r="V12" i="24"/>
  <c r="U12" i="24"/>
  <c r="T12" i="24"/>
  <c r="S12" i="24"/>
  <c r="R12" i="24"/>
  <c r="Q12" i="24"/>
  <c r="P12" i="24"/>
  <c r="O12" i="24"/>
  <c r="N12" i="24"/>
  <c r="M12" i="24"/>
  <c r="Z11" i="24"/>
  <c r="Y11" i="24"/>
  <c r="X11" i="24"/>
  <c r="W11" i="24"/>
  <c r="V11" i="24"/>
  <c r="U11" i="24"/>
  <c r="T11" i="24"/>
  <c r="S11" i="24"/>
  <c r="R11" i="24"/>
  <c r="Q11" i="24"/>
  <c r="P11" i="24"/>
  <c r="O11" i="24"/>
  <c r="N11" i="24"/>
  <c r="M11" i="24"/>
  <c r="Z10" i="24"/>
  <c r="Y10" i="24"/>
  <c r="X10" i="24"/>
  <c r="W10" i="24"/>
  <c r="V10" i="24"/>
  <c r="U10" i="24"/>
  <c r="T10" i="24"/>
  <c r="S10" i="24"/>
  <c r="R10" i="24"/>
  <c r="Q10" i="24"/>
  <c r="P10" i="24"/>
  <c r="O10" i="24"/>
  <c r="N10" i="24"/>
  <c r="M10" i="24"/>
  <c r="Z9" i="24"/>
  <c r="Y9" i="24"/>
  <c r="X9" i="24"/>
  <c r="W9" i="24"/>
  <c r="V9" i="24"/>
  <c r="U9" i="24"/>
  <c r="T9" i="24"/>
  <c r="S9" i="24"/>
  <c r="R9" i="24"/>
  <c r="Q9" i="24"/>
  <c r="Z8" i="24"/>
  <c r="Y8" i="24"/>
  <c r="X8" i="24"/>
  <c r="W8" i="24"/>
  <c r="V8" i="24"/>
  <c r="U8" i="24"/>
  <c r="T8" i="24"/>
  <c r="S8" i="24"/>
  <c r="R8" i="24"/>
  <c r="Q8" i="24"/>
  <c r="L12" i="24"/>
  <c r="L11" i="24"/>
  <c r="L10" i="24"/>
  <c r="Z7" i="24"/>
  <c r="Y7" i="24"/>
  <c r="X7" i="24"/>
  <c r="W7" i="24"/>
  <c r="V7" i="24"/>
  <c r="U7" i="24"/>
  <c r="T7" i="24"/>
  <c r="S7" i="24"/>
  <c r="R7" i="24"/>
  <c r="Q7" i="24"/>
  <c r="P7" i="24"/>
  <c r="O7" i="24"/>
  <c r="Z6" i="24"/>
  <c r="Y6" i="24"/>
  <c r="X6" i="24"/>
  <c r="W6" i="24"/>
  <c r="V6" i="24"/>
  <c r="U6" i="24"/>
  <c r="T6" i="24"/>
  <c r="S6" i="24"/>
  <c r="R6" i="24"/>
  <c r="Q6" i="24"/>
  <c r="P6" i="24"/>
  <c r="O6" i="24"/>
  <c r="Z5" i="24"/>
  <c r="Y5" i="24"/>
  <c r="X5" i="24"/>
  <c r="W5" i="24"/>
  <c r="V5" i="24"/>
  <c r="U5" i="24"/>
  <c r="T5" i="24"/>
  <c r="S5" i="24"/>
  <c r="R5" i="24"/>
  <c r="Q5" i="24"/>
  <c r="P5" i="24"/>
  <c r="O5" i="24"/>
  <c r="Z4" i="24"/>
  <c r="Y4" i="24"/>
  <c r="X4" i="24"/>
  <c r="W4" i="24"/>
  <c r="V4" i="24"/>
  <c r="U4" i="24"/>
  <c r="T4" i="24"/>
  <c r="S4" i="24"/>
  <c r="R4" i="24"/>
  <c r="Q4" i="24"/>
  <c r="P4" i="24"/>
  <c r="O4" i="24"/>
  <c r="Z3" i="24"/>
  <c r="Y3" i="24"/>
  <c r="X3" i="24"/>
  <c r="W3" i="24"/>
  <c r="V3" i="24"/>
  <c r="U3" i="24"/>
  <c r="T3" i="24"/>
  <c r="S3" i="24"/>
  <c r="R3" i="24"/>
  <c r="Q3" i="24"/>
  <c r="P3" i="24"/>
  <c r="O3" i="24"/>
  <c r="N7" i="24"/>
  <c r="N6" i="24"/>
  <c r="N5" i="24"/>
  <c r="N4" i="24"/>
  <c r="N3" i="24"/>
  <c r="M12" i="32"/>
  <c r="L12" i="32"/>
  <c r="K12" i="32"/>
  <c r="J12" i="32"/>
  <c r="I12" i="32"/>
  <c r="H12" i="32"/>
  <c r="G12" i="32"/>
  <c r="M10" i="32"/>
  <c r="L10" i="32"/>
  <c r="K10" i="32"/>
  <c r="J10" i="32"/>
  <c r="I10" i="32"/>
  <c r="H10" i="32"/>
  <c r="G10" i="32"/>
  <c r="AK70" i="3"/>
  <c r="AJ70" i="3"/>
  <c r="AI70" i="3"/>
  <c r="AH70" i="3"/>
  <c r="AG70" i="3"/>
  <c r="AF70" i="3"/>
  <c r="AE70" i="3"/>
  <c r="AD70" i="3"/>
  <c r="AC70" i="3"/>
  <c r="AB70" i="3"/>
  <c r="AA70" i="3"/>
  <c r="AK63" i="3"/>
  <c r="AJ63" i="3"/>
  <c r="AI63" i="3"/>
  <c r="AH63" i="3"/>
  <c r="AG63" i="3"/>
  <c r="AF63" i="3"/>
  <c r="AE63" i="3"/>
  <c r="AD63" i="3"/>
  <c r="AC63" i="3"/>
  <c r="AB63" i="3"/>
  <c r="AA63" i="3"/>
  <c r="AK56" i="3"/>
  <c r="AJ56" i="3"/>
  <c r="AI56" i="3"/>
  <c r="AH56" i="3"/>
  <c r="AG56" i="3"/>
  <c r="AF56" i="3"/>
  <c r="AE56" i="3"/>
  <c r="AD56" i="3"/>
  <c r="AC56" i="3"/>
  <c r="AB56" i="3"/>
  <c r="AA56" i="3"/>
  <c r="AK49" i="3"/>
  <c r="AJ49" i="3"/>
  <c r="AI49" i="3"/>
  <c r="AH49" i="3"/>
  <c r="AG49" i="3"/>
  <c r="AF49" i="3"/>
  <c r="AE49" i="3"/>
  <c r="AD49" i="3"/>
  <c r="AC49" i="3"/>
  <c r="AB49" i="3"/>
  <c r="AA49" i="3"/>
  <c r="AK42" i="3"/>
  <c r="AJ42" i="3"/>
  <c r="AI42" i="3"/>
  <c r="AH42" i="3"/>
  <c r="AG42" i="3"/>
  <c r="AF42" i="3"/>
  <c r="AE42" i="3"/>
  <c r="AD42" i="3"/>
  <c r="AC42" i="3"/>
  <c r="AB42" i="3"/>
  <c r="AA42" i="3"/>
  <c r="AK129" i="3"/>
  <c r="AJ129" i="3"/>
  <c r="AI129" i="3"/>
  <c r="AH129" i="3"/>
  <c r="AG129" i="3"/>
  <c r="AF129" i="3"/>
  <c r="AE129" i="3"/>
  <c r="AD129" i="3"/>
  <c r="AC129" i="3"/>
  <c r="AB129" i="3"/>
  <c r="AA129" i="3"/>
  <c r="M22" i="26" l="1"/>
  <c r="M23" i="26"/>
  <c r="M24" i="26"/>
  <c r="M25" i="26"/>
  <c r="M26" i="26"/>
  <c r="M27" i="26"/>
  <c r="M28" i="26"/>
  <c r="CV66" i="16"/>
  <c r="CS66" i="16"/>
  <c r="CT66" i="16" s="1"/>
  <c r="CV65" i="16"/>
  <c r="CS65" i="16"/>
  <c r="CT65" i="16" s="1"/>
  <c r="BJ9" i="24"/>
  <c r="BK10" i="24" s="1"/>
  <c r="BJ10" i="24"/>
  <c r="BJ13" i="24"/>
  <c r="BK14" i="24" s="1"/>
  <c r="BJ14" i="24"/>
  <c r="BJ17" i="24"/>
  <c r="BK18" i="24" s="1"/>
  <c r="BJ18" i="24"/>
  <c r="AD33" i="3"/>
  <c r="AD28" i="3"/>
  <c r="AD27" i="3"/>
  <c r="AD26" i="3"/>
  <c r="AD25" i="3"/>
  <c r="F104" i="7" s="1"/>
  <c r="AD24" i="3"/>
  <c r="F98" i="7" l="1"/>
  <c r="F90" i="7"/>
  <c r="DE73" i="16" l="1"/>
  <c r="DD73" i="16"/>
  <c r="DC73" i="16"/>
  <c r="DB73" i="16"/>
  <c r="CU64" i="16" a="1"/>
  <c r="CU64" i="16" s="1"/>
  <c r="CR64" i="16" a="1"/>
  <c r="CR64" i="16" s="1"/>
  <c r="CQ64" i="16" a="1"/>
  <c r="CQ64" i="16" s="1"/>
  <c r="CP64" i="16" a="1"/>
  <c r="CP64" i="16" s="1"/>
  <c r="CO64" i="16" a="1"/>
  <c r="CO64" i="16" s="1"/>
  <c r="CU63" i="16" a="1"/>
  <c r="CU63" i="16" s="1"/>
  <c r="CR63" i="16" a="1"/>
  <c r="CR63" i="16" s="1"/>
  <c r="CQ63" i="16" a="1"/>
  <c r="CQ63" i="16" s="1"/>
  <c r="CP63" i="16" a="1"/>
  <c r="CP63" i="16" s="1"/>
  <c r="CO63" i="16" a="1"/>
  <c r="CO63" i="16" s="1"/>
  <c r="CY71" i="16" s="1"/>
  <c r="CO61" i="16" a="1"/>
  <c r="CO61" i="16" s="1"/>
  <c r="CO60" i="16" a="1"/>
  <c r="CO60" i="16" s="1"/>
  <c r="CO59" i="16" a="1"/>
  <c r="CO59" i="16" s="1"/>
  <c r="CO58" i="16" a="1"/>
  <c r="CO58" i="16" s="1"/>
  <c r="CO57" i="16" a="1"/>
  <c r="CO57" i="16" s="1"/>
  <c r="CO56" i="16" a="1"/>
  <c r="CO56" i="16" s="1"/>
  <c r="CO54" i="16" a="1"/>
  <c r="CO54" i="16" s="1"/>
  <c r="CO53" i="16" a="1"/>
  <c r="CO53" i="16" s="1"/>
  <c r="CO52" i="16" a="1"/>
  <c r="CO52" i="16" s="1"/>
  <c r="CO51" i="16" a="1"/>
  <c r="CO51" i="16" s="1"/>
  <c r="CO50" i="16" a="1"/>
  <c r="CO50" i="16" s="1"/>
  <c r="CO49" i="16" a="1"/>
  <c r="CO49" i="16" s="1"/>
  <c r="BP80" i="3"/>
  <c r="BP81" i="3"/>
  <c r="BP78" i="3"/>
  <c r="BP77" i="3"/>
  <c r="AY22" i="16" a="1"/>
  <c r="AY22" i="16" s="1"/>
  <c r="AX22" i="16" a="1"/>
  <c r="AX22" i="16" s="1"/>
  <c r="AW22" i="16" a="1"/>
  <c r="AW22" i="16" s="1"/>
  <c r="AV22" i="16" a="1"/>
  <c r="AV22" i="16" s="1"/>
  <c r="AY21" i="16" a="1"/>
  <c r="AY21" i="16" s="1"/>
  <c r="AX21" i="16" a="1"/>
  <c r="AX21" i="16" s="1"/>
  <c r="AW21" i="16" a="1"/>
  <c r="AW21" i="16" s="1"/>
  <c r="AV21" i="16" a="1"/>
  <c r="AV21" i="16" s="1"/>
  <c r="AY19" i="16" a="1"/>
  <c r="AY19" i="16" s="1"/>
  <c r="AX19" i="16" a="1"/>
  <c r="AX19" i="16" s="1"/>
  <c r="AW19" i="16" a="1"/>
  <c r="AW19" i="16" s="1"/>
  <c r="AV19" i="16" a="1"/>
  <c r="AV19" i="16" s="1"/>
  <c r="AY18" i="16" a="1"/>
  <c r="AY18" i="16" s="1"/>
  <c r="AX18" i="16" a="1"/>
  <c r="AX18" i="16" s="1"/>
  <c r="AW18" i="16" a="1"/>
  <c r="AW18" i="16" s="1"/>
  <c r="AV18" i="16" a="1"/>
  <c r="AV18" i="16" s="1"/>
  <c r="AY17" i="16" a="1"/>
  <c r="AY17" i="16" s="1"/>
  <c r="AY16" i="16" a="1"/>
  <c r="AY16" i="16" s="1"/>
  <c r="AY15" i="16" a="1"/>
  <c r="AY15" i="16" s="1"/>
  <c r="AY14" i="16" a="1"/>
  <c r="AY14" i="16" s="1"/>
  <c r="AX17" i="16" a="1"/>
  <c r="AX17" i="16" s="1"/>
  <c r="AX16" i="16" a="1"/>
  <c r="AX16" i="16" s="1"/>
  <c r="AX15" i="16" a="1"/>
  <c r="AX15" i="16" s="1"/>
  <c r="AX14" i="16" a="1"/>
  <c r="AX14" i="16" s="1"/>
  <c r="AW17" i="16" a="1"/>
  <c r="AW17" i="16" s="1"/>
  <c r="AW16" i="16" a="1"/>
  <c r="AW16" i="16" s="1"/>
  <c r="AW15" i="16" a="1"/>
  <c r="AW15" i="16" s="1"/>
  <c r="AW14" i="16" a="1"/>
  <c r="AW14" i="16" s="1"/>
  <c r="AV17" i="16" a="1"/>
  <c r="AV17" i="16" s="1"/>
  <c r="AV16" i="16" a="1"/>
  <c r="AV16" i="16" s="1"/>
  <c r="AV15" i="16" a="1"/>
  <c r="AV15" i="16" s="1"/>
  <c r="AV14" i="16" a="1"/>
  <c r="AV14" i="16" s="1"/>
  <c r="AU17" i="16" a="1"/>
  <c r="AU17" i="16" s="1"/>
  <c r="AU16" i="16" a="1"/>
  <c r="AU16" i="16" s="1"/>
  <c r="AU15" i="16" a="1"/>
  <c r="AU15" i="16" s="1"/>
  <c r="AU14" i="16" a="1"/>
  <c r="AU14" i="16" s="1"/>
  <c r="AY12" i="16" a="1"/>
  <c r="AY12" i="16" s="1"/>
  <c r="AX12" i="16" a="1"/>
  <c r="AX12" i="16" s="1"/>
  <c r="AW12" i="16" a="1"/>
  <c r="AW12" i="16" s="1"/>
  <c r="AV12" i="16" a="1"/>
  <c r="AV12" i="16" s="1"/>
  <c r="AY11" i="16" a="1"/>
  <c r="AY11" i="16" s="1"/>
  <c r="AX11" i="16" a="1"/>
  <c r="AX11" i="16" s="1"/>
  <c r="AW11" i="16" a="1"/>
  <c r="AW11" i="16" s="1"/>
  <c r="AV11" i="16" a="1"/>
  <c r="AV11" i="16" s="1"/>
  <c r="AY9" i="16" a="1"/>
  <c r="AY9" i="16" s="1"/>
  <c r="AX9" i="16" a="1"/>
  <c r="AX9" i="16" s="1"/>
  <c r="AW9" i="16" a="1"/>
  <c r="AW9" i="16" s="1"/>
  <c r="AV9" i="16" a="1"/>
  <c r="AV9" i="16" s="1"/>
  <c r="AY10" i="16" a="1"/>
  <c r="AY10" i="16" s="1"/>
  <c r="AX10" i="16" a="1"/>
  <c r="AX10" i="16" s="1"/>
  <c r="AW10" i="16" a="1"/>
  <c r="AW10" i="16" s="1"/>
  <c r="AV10" i="16" a="1"/>
  <c r="AV10" i="16" s="1"/>
  <c r="AY8" i="16" a="1"/>
  <c r="AY8" i="16" s="1"/>
  <c r="AX8" i="16" a="1"/>
  <c r="AX8" i="16" s="1"/>
  <c r="AW8" i="16" a="1"/>
  <c r="AW8" i="16" s="1"/>
  <c r="AV8" i="16" a="1"/>
  <c r="AV8" i="16" s="1"/>
  <c r="AY7" i="16" a="1"/>
  <c r="AY7" i="16" s="1"/>
  <c r="AY4" i="16" a="1"/>
  <c r="AY4" i="16" s="1"/>
  <c r="AX7" i="16" a="1"/>
  <c r="AX7" i="16" s="1"/>
  <c r="AX6" i="16" a="1"/>
  <c r="AX6" i="16" s="1"/>
  <c r="AX4" i="16" a="1"/>
  <c r="AX4" i="16" s="1"/>
  <c r="AW7" i="16" a="1"/>
  <c r="AW7" i="16" s="1"/>
  <c r="AW6" i="16" a="1"/>
  <c r="AW6" i="16" s="1"/>
  <c r="AW5" i="16" a="1"/>
  <c r="AW5" i="16" s="1"/>
  <c r="AW4" i="16" a="1"/>
  <c r="AW4" i="16" s="1"/>
  <c r="AC27" i="18"/>
  <c r="AC26" i="18"/>
  <c r="AC25" i="18"/>
  <c r="AC24" i="18"/>
  <c r="AC23" i="18"/>
  <c r="AC22" i="18"/>
  <c r="AC21" i="18"/>
  <c r="AC20" i="18"/>
  <c r="AC19" i="18"/>
  <c r="AC18" i="18"/>
  <c r="AC17" i="18"/>
  <c r="AC16" i="18"/>
  <c r="AC15" i="18"/>
  <c r="AC14" i="18"/>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I9" i="18"/>
  <c r="AI8" i="18"/>
  <c r="AI7" i="18"/>
  <c r="AI6" i="18"/>
  <c r="AI5" i="18"/>
  <c r="AI4" i="18"/>
  <c r="W31" i="18"/>
  <c r="W30" i="18"/>
  <c r="W29" i="18"/>
  <c r="W28" i="18"/>
  <c r="W27" i="18"/>
  <c r="W26" i="18"/>
  <c r="W25" i="18"/>
  <c r="W24" i="18"/>
  <c r="W23" i="18"/>
  <c r="W22" i="18"/>
  <c r="W21" i="18"/>
  <c r="W20" i="18"/>
  <c r="W19" i="18"/>
  <c r="W18" i="18"/>
  <c r="W17" i="18"/>
  <c r="W16" i="18"/>
  <c r="W15" i="18"/>
  <c r="W14" i="18"/>
  <c r="W13" i="18"/>
  <c r="W12" i="18"/>
  <c r="W11" i="18"/>
  <c r="W10" i="18"/>
  <c r="W9" i="18"/>
  <c r="W8" i="18"/>
  <c r="W7" i="18"/>
  <c r="W6" i="18"/>
  <c r="W5" i="18"/>
  <c r="W4" i="18"/>
  <c r="Q36" i="18"/>
  <c r="Q35" i="18"/>
  <c r="Q34" i="18"/>
  <c r="Q33" i="18"/>
  <c r="Q32" i="18"/>
  <c r="Q31" i="18"/>
  <c r="Q30" i="18"/>
  <c r="Q29" i="18"/>
  <c r="Q28" i="18"/>
  <c r="Q27" i="18"/>
  <c r="Q26" i="18"/>
  <c r="Q25" i="18"/>
  <c r="Q24" i="18"/>
  <c r="Q23" i="18"/>
  <c r="Q22" i="18"/>
  <c r="Q21" i="18"/>
  <c r="Q20" i="18"/>
  <c r="Q19" i="18"/>
  <c r="Q18" i="18"/>
  <c r="Q17" i="18"/>
  <c r="Q16" i="18"/>
  <c r="Q15" i="18"/>
  <c r="Q14" i="18"/>
  <c r="Q13" i="18"/>
  <c r="Q12" i="18"/>
  <c r="Q11" i="18"/>
  <c r="Q10" i="18"/>
  <c r="Q9" i="18"/>
  <c r="Q8" i="18"/>
  <c r="Q7" i="18"/>
  <c r="Q6" i="18"/>
  <c r="Q5" i="18"/>
  <c r="Q4" i="18"/>
  <c r="K41" i="18"/>
  <c r="K40" i="18"/>
  <c r="K39" i="18"/>
  <c r="K38" i="18"/>
  <c r="K37" i="18"/>
  <c r="K36" i="18"/>
  <c r="K35" i="18"/>
  <c r="K34" i="18"/>
  <c r="K33" i="18"/>
  <c r="K32" i="18"/>
  <c r="K31" i="18"/>
  <c r="K30" i="18"/>
  <c r="K29" i="18"/>
  <c r="K28" i="18"/>
  <c r="K27" i="18"/>
  <c r="K26" i="18"/>
  <c r="K25" i="18"/>
  <c r="K24" i="18"/>
  <c r="K23" i="18"/>
  <c r="K22" i="18"/>
  <c r="E33" i="18"/>
  <c r="E32" i="18"/>
  <c r="F60" i="18"/>
  <c r="E35" i="18" s="1"/>
  <c r="F59" i="18"/>
  <c r="E31" i="18" s="1"/>
  <c r="F58" i="18"/>
  <c r="E29" i="18" s="1"/>
  <c r="F57" i="18"/>
  <c r="E25" i="18" s="1"/>
  <c r="F56" i="18"/>
  <c r="E22" i="18" s="1"/>
  <c r="F46" i="18" a="1"/>
  <c r="F46" i="18" s="1"/>
  <c r="K21" i="18" s="1"/>
  <c r="AO59" i="3"/>
  <c r="AP58" i="3" s="1"/>
  <c r="AO49" i="3"/>
  <c r="AP47" i="3" s="1"/>
  <c r="BK86" i="16"/>
  <c r="BL86" i="16"/>
  <c r="BM86" i="16"/>
  <c r="BN86" i="16"/>
  <c r="BO86" i="16"/>
  <c r="BK87" i="16"/>
  <c r="BL87" i="16"/>
  <c r="BM87" i="16"/>
  <c r="BN87" i="16"/>
  <c r="BO87" i="16"/>
  <c r="BK88" i="16"/>
  <c r="BL88" i="16"/>
  <c r="BM88" i="16"/>
  <c r="BN88" i="16"/>
  <c r="BO88" i="16"/>
  <c r="CK51" i="16" a="1"/>
  <c r="CK51" i="16" s="1"/>
  <c r="CH51" i="16" a="1"/>
  <c r="CH51" i="16" s="1"/>
  <c r="CG51" i="16" a="1"/>
  <c r="CG51" i="16" s="1"/>
  <c r="CF51" i="16" a="1"/>
  <c r="CF51" i="16" s="1"/>
  <c r="CE51" i="16" a="1"/>
  <c r="CE51" i="16" s="1"/>
  <c r="CK50" i="16" a="1"/>
  <c r="CK50" i="16" s="1"/>
  <c r="CH50" i="16" a="1"/>
  <c r="CH50" i="16" s="1"/>
  <c r="CG50" i="16" a="1"/>
  <c r="CG50" i="16" s="1"/>
  <c r="CF50" i="16" a="1"/>
  <c r="CF50" i="16" s="1"/>
  <c r="CE50" i="16" a="1"/>
  <c r="CE50" i="16" s="1"/>
  <c r="CK49" i="16" a="1"/>
  <c r="CK49" i="16" s="1"/>
  <c r="CH49" i="16" a="1"/>
  <c r="CH49" i="16" s="1"/>
  <c r="CG49" i="16" a="1"/>
  <c r="CG49" i="16" s="1"/>
  <c r="CF49" i="16" a="1"/>
  <c r="CF49" i="16" s="1"/>
  <c r="CE49" i="16" a="1"/>
  <c r="CE49" i="16" s="1"/>
  <c r="CK48" i="16" a="1"/>
  <c r="CK48" i="16" s="1"/>
  <c r="CH48" i="16" a="1"/>
  <c r="CH48" i="16" s="1"/>
  <c r="CG48" i="16" a="1"/>
  <c r="CG48" i="16" s="1"/>
  <c r="CF48" i="16" a="1"/>
  <c r="CF48" i="16" s="1"/>
  <c r="CE48" i="16" a="1"/>
  <c r="CE48" i="16" s="1"/>
  <c r="CK47" i="16" a="1"/>
  <c r="CK47" i="16" s="1"/>
  <c r="CH47" i="16" a="1"/>
  <c r="CH47" i="16" s="1"/>
  <c r="CG47" i="16" a="1"/>
  <c r="CG47" i="16" s="1"/>
  <c r="CF47" i="16" a="1"/>
  <c r="CF47" i="16" s="1"/>
  <c r="CE47" i="16" a="1"/>
  <c r="CE47" i="16" s="1"/>
  <c r="CK46" i="16" a="1"/>
  <c r="CK46" i="16" s="1"/>
  <c r="CH46" i="16" a="1"/>
  <c r="CH46" i="16" s="1"/>
  <c r="CG46" i="16" a="1"/>
  <c r="CG46" i="16" s="1"/>
  <c r="CF46" i="16" a="1"/>
  <c r="CF46" i="16" s="1"/>
  <c r="CE46" i="16" a="1"/>
  <c r="CE46" i="16" s="1"/>
  <c r="CK44" i="16" a="1"/>
  <c r="CK44" i="16" s="1"/>
  <c r="CH44" i="16" a="1"/>
  <c r="CH44" i="16" s="1"/>
  <c r="CG44" i="16" a="1"/>
  <c r="CG44" i="16" s="1"/>
  <c r="CF44" i="16" a="1"/>
  <c r="CF44" i="16" s="1"/>
  <c r="CE44" i="16" a="1"/>
  <c r="CE44" i="16" s="1"/>
  <c r="CK43" i="16" a="1"/>
  <c r="CK43" i="16" s="1"/>
  <c r="CH43" i="16" a="1"/>
  <c r="CH43" i="16" s="1"/>
  <c r="CG43" i="16" a="1"/>
  <c r="CG43" i="16" s="1"/>
  <c r="CF43" i="16" a="1"/>
  <c r="CF43" i="16" s="1"/>
  <c r="CE43" i="16" a="1"/>
  <c r="CE43" i="16" s="1"/>
  <c r="CK42" i="16" a="1"/>
  <c r="CK42" i="16" s="1"/>
  <c r="CH42" i="16" a="1"/>
  <c r="CH42" i="16" s="1"/>
  <c r="CG42" i="16" a="1"/>
  <c r="CG42" i="16" s="1"/>
  <c r="CF42" i="16" a="1"/>
  <c r="CF42" i="16" s="1"/>
  <c r="CE42" i="16" a="1"/>
  <c r="CE42" i="16" s="1"/>
  <c r="CK41" i="16" a="1"/>
  <c r="CK41" i="16" s="1"/>
  <c r="CH41" i="16" a="1"/>
  <c r="CH41" i="16" s="1"/>
  <c r="CG41" i="16" a="1"/>
  <c r="CG41" i="16" s="1"/>
  <c r="CF41" i="16" a="1"/>
  <c r="CF41" i="16" s="1"/>
  <c r="CE41" i="16" a="1"/>
  <c r="CE41" i="16" s="1"/>
  <c r="CK40" i="16" a="1"/>
  <c r="CK40" i="16" s="1"/>
  <c r="CH40" i="16" a="1"/>
  <c r="CH40" i="16" s="1"/>
  <c r="CG40" i="16" a="1"/>
  <c r="CG40" i="16" s="1"/>
  <c r="CF40" i="16" a="1"/>
  <c r="CF40" i="16" s="1"/>
  <c r="CE40" i="16" a="1"/>
  <c r="CE40" i="16" s="1"/>
  <c r="CK39" i="16" a="1"/>
  <c r="CK39" i="16" s="1"/>
  <c r="CH39" i="16" a="1"/>
  <c r="CH39" i="16" s="1"/>
  <c r="CG39" i="16" a="1"/>
  <c r="CG39" i="16" s="1"/>
  <c r="CF39" i="16" a="1"/>
  <c r="CF39" i="16" s="1"/>
  <c r="CE39" i="16" a="1"/>
  <c r="CE39" i="16" s="1"/>
  <c r="CK37" i="16" a="1"/>
  <c r="CK37" i="16" s="1"/>
  <c r="CH37" i="16" a="1"/>
  <c r="CH37" i="16" s="1"/>
  <c r="CG37" i="16" a="1"/>
  <c r="CG37" i="16" s="1"/>
  <c r="CF37" i="16" a="1"/>
  <c r="CF37" i="16" s="1"/>
  <c r="CE37" i="16" a="1"/>
  <c r="CE37" i="16" s="1"/>
  <c r="CK36" i="16" a="1"/>
  <c r="CK36" i="16" s="1"/>
  <c r="CH36" i="16" a="1"/>
  <c r="CH36" i="16" s="1"/>
  <c r="CG36" i="16" a="1"/>
  <c r="CG36" i="16" s="1"/>
  <c r="CF36" i="16" a="1"/>
  <c r="CF36" i="16" s="1"/>
  <c r="CE36" i="16" a="1"/>
  <c r="CE36" i="16" s="1"/>
  <c r="CK35" i="16" a="1"/>
  <c r="CK35" i="16" s="1"/>
  <c r="CH35" i="16" a="1"/>
  <c r="CH35" i="16" s="1"/>
  <c r="CG35" i="16" a="1"/>
  <c r="CG35" i="16" s="1"/>
  <c r="CF35" i="16" a="1"/>
  <c r="CF35" i="16" s="1"/>
  <c r="CE35" i="16" a="1"/>
  <c r="CE35" i="16" s="1"/>
  <c r="CK34" i="16" a="1"/>
  <c r="CK34" i="16" s="1"/>
  <c r="CH34" i="16" a="1"/>
  <c r="CH34" i="16" s="1"/>
  <c r="CG34" i="16" a="1"/>
  <c r="CG34" i="16" s="1"/>
  <c r="CF34" i="16" a="1"/>
  <c r="CF34" i="16" s="1"/>
  <c r="CE34" i="16" a="1"/>
  <c r="CE34" i="16" s="1"/>
  <c r="CK33" i="16" a="1"/>
  <c r="CK33" i="16" s="1"/>
  <c r="CH33" i="16" a="1"/>
  <c r="CH33" i="16" s="1"/>
  <c r="CG33" i="16" a="1"/>
  <c r="CG33" i="16" s="1"/>
  <c r="CF33" i="16" a="1"/>
  <c r="CF33" i="16" s="1"/>
  <c r="CE33" i="16" a="1"/>
  <c r="CE33" i="16" s="1"/>
  <c r="CK32" i="16" a="1"/>
  <c r="CK32" i="16" s="1"/>
  <c r="CH32" i="16" a="1"/>
  <c r="CH32" i="16" s="1"/>
  <c r="CG32" i="16" a="1"/>
  <c r="CG32" i="16" s="1"/>
  <c r="CF32" i="16" a="1"/>
  <c r="CF32" i="16" s="1"/>
  <c r="CE32" i="16" a="1"/>
  <c r="CE32" i="16" s="1"/>
  <c r="CK30" i="16" a="1"/>
  <c r="CK30" i="16" s="1"/>
  <c r="CH30" i="16" a="1"/>
  <c r="CH30" i="16" s="1"/>
  <c r="CG30" i="16" a="1"/>
  <c r="CG30" i="16" s="1"/>
  <c r="CF30" i="16" a="1"/>
  <c r="CF30" i="16" s="1"/>
  <c r="CE30" i="16" a="1"/>
  <c r="CE30" i="16" s="1"/>
  <c r="CK29" i="16" a="1"/>
  <c r="CK29" i="16" s="1"/>
  <c r="CH29" i="16" a="1"/>
  <c r="CH29" i="16" s="1"/>
  <c r="CG29" i="16" a="1"/>
  <c r="CG29" i="16" s="1"/>
  <c r="CF29" i="16" a="1"/>
  <c r="CF29" i="16" s="1"/>
  <c r="CE29" i="16" a="1"/>
  <c r="CE29" i="16" s="1"/>
  <c r="CK28" i="16" a="1"/>
  <c r="CK28" i="16" s="1"/>
  <c r="CH28" i="16" a="1"/>
  <c r="CH28" i="16" s="1"/>
  <c r="CG28" i="16" a="1"/>
  <c r="CG28" i="16" s="1"/>
  <c r="CF28" i="16" a="1"/>
  <c r="CF28" i="16" s="1"/>
  <c r="CE28" i="16" a="1"/>
  <c r="CE28" i="16" s="1"/>
  <c r="CK27" i="16" a="1"/>
  <c r="CK27" i="16" s="1"/>
  <c r="CH27" i="16" a="1"/>
  <c r="CH27" i="16" s="1"/>
  <c r="CG27" i="16" a="1"/>
  <c r="CG27" i="16" s="1"/>
  <c r="CF27" i="16" a="1"/>
  <c r="CF27" i="16" s="1"/>
  <c r="CE27" i="16" a="1"/>
  <c r="CE27" i="16" s="1"/>
  <c r="CK26" i="16" a="1"/>
  <c r="CK26" i="16" s="1"/>
  <c r="CH26" i="16" a="1"/>
  <c r="CH26" i="16" s="1"/>
  <c r="CG26" i="16" a="1"/>
  <c r="CG26" i="16" s="1"/>
  <c r="CF26" i="16" a="1"/>
  <c r="CF26" i="16" s="1"/>
  <c r="CE26" i="16" a="1"/>
  <c r="CE26" i="16" s="1"/>
  <c r="CK25" i="16" a="1"/>
  <c r="CK25" i="16" s="1"/>
  <c r="CH25" i="16" a="1"/>
  <c r="CH25" i="16" s="1"/>
  <c r="CG25" i="16" a="1"/>
  <c r="CG25" i="16" s="1"/>
  <c r="CF25" i="16" a="1"/>
  <c r="CF25" i="16" s="1"/>
  <c r="CE25" i="16" a="1"/>
  <c r="CE25" i="16" s="1"/>
  <c r="CK23" i="16" a="1"/>
  <c r="CK23" i="16" s="1"/>
  <c r="CH23" i="16" a="1"/>
  <c r="CH23" i="16" s="1"/>
  <c r="CG23" i="16" a="1"/>
  <c r="CG23" i="16" s="1"/>
  <c r="CF23" i="16" a="1"/>
  <c r="CF23" i="16" s="1"/>
  <c r="CE23" i="16" a="1"/>
  <c r="CE23" i="16" s="1"/>
  <c r="CK22" i="16" a="1"/>
  <c r="CK22" i="16" s="1"/>
  <c r="CH22" i="16" a="1"/>
  <c r="CH22" i="16" s="1"/>
  <c r="CG22" i="16" a="1"/>
  <c r="CG22" i="16" s="1"/>
  <c r="CF22" i="16" a="1"/>
  <c r="CF22" i="16" s="1"/>
  <c r="CE22" i="16" a="1"/>
  <c r="CE22" i="16" s="1"/>
  <c r="CK21" i="16" a="1"/>
  <c r="CK21" i="16" s="1"/>
  <c r="CH21" i="16" a="1"/>
  <c r="CH21" i="16" s="1"/>
  <c r="CG21" i="16" a="1"/>
  <c r="CG21" i="16" s="1"/>
  <c r="CF21" i="16" a="1"/>
  <c r="CF21" i="16" s="1"/>
  <c r="CE21" i="16" a="1"/>
  <c r="CE21" i="16" s="1"/>
  <c r="CK20" i="16" a="1"/>
  <c r="CK20" i="16" s="1"/>
  <c r="CH20" i="16" a="1"/>
  <c r="CH20" i="16" s="1"/>
  <c r="CG20" i="16" a="1"/>
  <c r="CG20" i="16" s="1"/>
  <c r="CF20" i="16" a="1"/>
  <c r="CF20" i="16" s="1"/>
  <c r="CE20" i="16" a="1"/>
  <c r="CE20" i="16" s="1"/>
  <c r="CK19" i="16" a="1"/>
  <c r="CK19" i="16" s="1"/>
  <c r="CH19" i="16" a="1"/>
  <c r="CH19" i="16" s="1"/>
  <c r="CG19" i="16" a="1"/>
  <c r="CG19" i="16" s="1"/>
  <c r="CF19" i="16" a="1"/>
  <c r="CF19" i="16" s="1"/>
  <c r="CE19" i="16" a="1"/>
  <c r="CE19" i="16" s="1"/>
  <c r="CK18" i="16" a="1"/>
  <c r="CK18" i="16" s="1"/>
  <c r="CH18" i="16" a="1"/>
  <c r="CH18" i="16" s="1"/>
  <c r="CG18" i="16" a="1"/>
  <c r="CG18" i="16" s="1"/>
  <c r="CF18" i="16" a="1"/>
  <c r="CF18" i="16" s="1"/>
  <c r="CE18" i="16" a="1"/>
  <c r="CE18" i="16" s="1"/>
  <c r="CK16" i="16" a="1"/>
  <c r="CK16" i="16" s="1"/>
  <c r="CH16" i="16" a="1"/>
  <c r="CH16" i="16" s="1"/>
  <c r="CG16" i="16" a="1"/>
  <c r="CG16" i="16" s="1"/>
  <c r="CF16" i="16" a="1"/>
  <c r="CF16" i="16" s="1"/>
  <c r="CE16" i="16" a="1"/>
  <c r="CE16" i="16" s="1"/>
  <c r="CK15" i="16" a="1"/>
  <c r="CK15" i="16" s="1"/>
  <c r="CH15" i="16" a="1"/>
  <c r="CH15" i="16" s="1"/>
  <c r="CG15" i="16" a="1"/>
  <c r="CG15" i="16" s="1"/>
  <c r="CF15" i="16" a="1"/>
  <c r="CF15" i="16" s="1"/>
  <c r="CE15" i="16" a="1"/>
  <c r="CE15" i="16" s="1"/>
  <c r="CK14" i="16" a="1"/>
  <c r="CK14" i="16" s="1"/>
  <c r="CH14" i="16" a="1"/>
  <c r="CH14" i="16" s="1"/>
  <c r="CG14" i="16" a="1"/>
  <c r="CG14" i="16" s="1"/>
  <c r="CF14" i="16" a="1"/>
  <c r="CF14" i="16" s="1"/>
  <c r="CE14" i="16" a="1"/>
  <c r="CE14" i="16" s="1"/>
  <c r="CK13" i="16" a="1"/>
  <c r="CK13" i="16" s="1"/>
  <c r="CH13" i="16" a="1"/>
  <c r="CH13" i="16" s="1"/>
  <c r="CG13" i="16" a="1"/>
  <c r="CG13" i="16" s="1"/>
  <c r="CF13" i="16" a="1"/>
  <c r="CF13" i="16" s="1"/>
  <c r="CE13" i="16" a="1"/>
  <c r="CE13" i="16" s="1"/>
  <c r="CK12" i="16" a="1"/>
  <c r="CK12" i="16" s="1"/>
  <c r="CH12" i="16" a="1"/>
  <c r="CH12" i="16" s="1"/>
  <c r="CG12" i="16" a="1"/>
  <c r="CG12" i="16" s="1"/>
  <c r="CF12" i="16" a="1"/>
  <c r="CF12" i="16" s="1"/>
  <c r="CE12" i="16" a="1"/>
  <c r="CE12" i="16" s="1"/>
  <c r="CK11" i="16" a="1"/>
  <c r="CK11" i="16" s="1"/>
  <c r="CH11" i="16" a="1"/>
  <c r="CH11" i="16" s="1"/>
  <c r="CG11" i="16" a="1"/>
  <c r="CG11" i="16" s="1"/>
  <c r="CF11" i="16" a="1"/>
  <c r="CF11" i="16" s="1"/>
  <c r="CE11" i="16" a="1"/>
  <c r="CE11" i="16" s="1"/>
  <c r="CK9" i="16" a="1"/>
  <c r="CK9" i="16" s="1"/>
  <c r="CH9" i="16" a="1"/>
  <c r="CH9" i="16" s="1"/>
  <c r="CG9" i="16" a="1"/>
  <c r="CG9" i="16" s="1"/>
  <c r="CF9" i="16" a="1"/>
  <c r="CF9" i="16" s="1"/>
  <c r="CE9" i="16" a="1"/>
  <c r="CE9" i="16" s="1"/>
  <c r="CK8" i="16" a="1"/>
  <c r="CK8" i="16" s="1"/>
  <c r="CH8" i="16" a="1"/>
  <c r="CH8" i="16" s="1"/>
  <c r="CG8" i="16" a="1"/>
  <c r="CG8" i="16" s="1"/>
  <c r="CF8" i="16" a="1"/>
  <c r="CF8" i="16" s="1"/>
  <c r="CE8" i="16" a="1"/>
  <c r="CE8" i="16" s="1"/>
  <c r="CK7" i="16" a="1"/>
  <c r="CK7" i="16" s="1"/>
  <c r="CH7" i="16" a="1"/>
  <c r="CH7" i="16" s="1"/>
  <c r="CG7" i="16" a="1"/>
  <c r="CG7" i="16" s="1"/>
  <c r="CF7" i="16" a="1"/>
  <c r="CF7" i="16" s="1"/>
  <c r="CE7" i="16" a="1"/>
  <c r="CE7" i="16" s="1"/>
  <c r="CK6" i="16" a="1"/>
  <c r="CK6" i="16" s="1"/>
  <c r="CH6" i="16" a="1"/>
  <c r="CH6" i="16" s="1"/>
  <c r="CG6" i="16" a="1"/>
  <c r="CG6" i="16" s="1"/>
  <c r="CF6" i="16" a="1"/>
  <c r="CF6" i="16" s="1"/>
  <c r="CE6" i="16" a="1"/>
  <c r="CE6" i="16" s="1"/>
  <c r="CK5" i="16" a="1"/>
  <c r="CK5" i="16" s="1"/>
  <c r="CH5" i="16" a="1"/>
  <c r="CH5" i="16" s="1"/>
  <c r="CG5" i="16" a="1"/>
  <c r="CG5" i="16" s="1"/>
  <c r="CF5" i="16" a="1"/>
  <c r="CF5" i="16" s="1"/>
  <c r="CE5" i="16" a="1"/>
  <c r="CE5" i="16" s="1"/>
  <c r="CK4" i="16" a="1"/>
  <c r="CK4" i="16" s="1"/>
  <c r="CH4" i="16" a="1"/>
  <c r="CH4" i="16" s="1"/>
  <c r="CG4" i="16" a="1"/>
  <c r="CG4" i="16" s="1"/>
  <c r="CF4" i="16" a="1"/>
  <c r="CF4" i="16" s="1"/>
  <c r="CE4" i="16" a="1"/>
  <c r="CE4" i="16" s="1"/>
  <c r="BD92" i="16"/>
  <c r="BO91" i="16"/>
  <c r="AB20" i="16" s="1"/>
  <c r="BN91" i="16"/>
  <c r="AA20" i="16" s="1"/>
  <c r="BM91" i="16"/>
  <c r="Z20" i="16" s="1"/>
  <c r="BL91" i="16"/>
  <c r="Y20" i="16" s="1"/>
  <c r="BK91" i="16"/>
  <c r="X20" i="16" s="1"/>
  <c r="BJ91" i="16"/>
  <c r="W20" i="16" s="1"/>
  <c r="BI91" i="16"/>
  <c r="V20" i="16" s="1"/>
  <c r="BH91" i="16"/>
  <c r="U20" i="16" s="1"/>
  <c r="BG91" i="16"/>
  <c r="T20" i="16" s="1"/>
  <c r="BF91" i="16"/>
  <c r="S20" i="16" s="1"/>
  <c r="BE91" i="16"/>
  <c r="R20" i="16" s="1"/>
  <c r="BD91" i="16"/>
  <c r="Q20" i="16" s="1"/>
  <c r="BC91" i="16"/>
  <c r="P20" i="16" s="1"/>
  <c r="BB91" i="16"/>
  <c r="O20" i="16" s="1"/>
  <c r="BA91" i="16"/>
  <c r="N20" i="16" s="1"/>
  <c r="AZ91" i="16"/>
  <c r="M20" i="16" s="1"/>
  <c r="BO90" i="16"/>
  <c r="AB19" i="16" s="1"/>
  <c r="BN90" i="16"/>
  <c r="AA19" i="16" s="1"/>
  <c r="BM90" i="16"/>
  <c r="Z19" i="16" s="1"/>
  <c r="BL90" i="16"/>
  <c r="Y19" i="16" s="1"/>
  <c r="BK90" i="16"/>
  <c r="X19" i="16" s="1"/>
  <c r="BJ90" i="16"/>
  <c r="W19" i="16" s="1"/>
  <c r="BI90" i="16"/>
  <c r="V19" i="16" s="1"/>
  <c r="BH90" i="16"/>
  <c r="U19" i="16" s="1"/>
  <c r="BG90" i="16"/>
  <c r="T19" i="16" s="1"/>
  <c r="BF90" i="16"/>
  <c r="S19" i="16" s="1"/>
  <c r="BE90" i="16"/>
  <c r="R19" i="16" s="1"/>
  <c r="BD90" i="16"/>
  <c r="Q19" i="16" s="1"/>
  <c r="BC90" i="16"/>
  <c r="P19" i="16" s="1"/>
  <c r="BB90" i="16"/>
  <c r="O19" i="16" s="1"/>
  <c r="BA90" i="16"/>
  <c r="N19" i="16" s="1"/>
  <c r="AZ90" i="16"/>
  <c r="M19" i="16" s="1"/>
  <c r="AY90" i="16"/>
  <c r="L19" i="16" s="1"/>
  <c r="AX90" i="16"/>
  <c r="K19" i="16" s="1"/>
  <c r="BO89" i="16"/>
  <c r="BN89" i="16"/>
  <c r="BM89" i="16"/>
  <c r="BL89" i="16"/>
  <c r="BK89" i="16"/>
  <c r="BJ89" i="16"/>
  <c r="BI89" i="16"/>
  <c r="BH89" i="16"/>
  <c r="BG89" i="16"/>
  <c r="BF89" i="16"/>
  <c r="BE89" i="16"/>
  <c r="BD89" i="16"/>
  <c r="BC89" i="16"/>
  <c r="BB89" i="16"/>
  <c r="BA89" i="16"/>
  <c r="BJ88" i="16"/>
  <c r="BP88" i="16" s="1"/>
  <c r="BI88" i="16"/>
  <c r="BH88" i="16"/>
  <c r="BG88" i="16"/>
  <c r="BF88" i="16"/>
  <c r="BE88" i="16"/>
  <c r="BD88" i="16"/>
  <c r="BC88" i="16"/>
  <c r="BB88" i="16"/>
  <c r="BA88" i="16"/>
  <c r="BJ87" i="16"/>
  <c r="BI87" i="16"/>
  <c r="BH87" i="16"/>
  <c r="BG87" i="16"/>
  <c r="BF87" i="16"/>
  <c r="BE87" i="16"/>
  <c r="BD87" i="16"/>
  <c r="BC87" i="16"/>
  <c r="BB87" i="16"/>
  <c r="BA87" i="16"/>
  <c r="BJ86" i="16"/>
  <c r="BI86" i="16"/>
  <c r="BH86" i="16"/>
  <c r="BG86" i="16"/>
  <c r="BF86" i="16"/>
  <c r="BE86" i="16"/>
  <c r="BD86" i="16"/>
  <c r="BC86" i="16"/>
  <c r="BB4" i="16" a="1"/>
  <c r="BB4" i="16" s="1"/>
  <c r="CV63" i="16" l="1"/>
  <c r="CV64" i="16"/>
  <c r="CZ72" i="16"/>
  <c r="DA72" i="16"/>
  <c r="DE72" i="16"/>
  <c r="CZ71" i="16"/>
  <c r="DA71" i="16"/>
  <c r="DB71" i="16"/>
  <c r="DE71" i="16"/>
  <c r="CY72" i="16"/>
  <c r="DB72" i="16"/>
  <c r="CS63" i="16"/>
  <c r="DC71" i="16" s="1"/>
  <c r="CS64" i="16"/>
  <c r="CL41" i="16"/>
  <c r="CL51" i="16"/>
  <c r="CL11" i="16"/>
  <c r="CL15" i="16"/>
  <c r="CL20" i="16"/>
  <c r="CL7" i="16"/>
  <c r="CL13" i="16"/>
  <c r="CL18" i="16"/>
  <c r="CL22" i="16"/>
  <c r="CL30" i="16"/>
  <c r="CL50" i="16"/>
  <c r="CL47" i="16"/>
  <c r="E34" i="18"/>
  <c r="K4" i="18"/>
  <c r="K5" i="18"/>
  <c r="AV6" i="16" s="1" a="1"/>
  <c r="AV6" i="16" s="1"/>
  <c r="E14" i="18"/>
  <c r="E15" i="18"/>
  <c r="E16" i="18"/>
  <c r="E17" i="18"/>
  <c r="E18" i="18"/>
  <c r="K6" i="18"/>
  <c r="E19" i="18"/>
  <c r="K7" i="18"/>
  <c r="E20" i="18"/>
  <c r="K8" i="18"/>
  <c r="E21" i="18"/>
  <c r="K9" i="18"/>
  <c r="K10" i="18"/>
  <c r="E23" i="18"/>
  <c r="K11" i="18"/>
  <c r="E4" i="18"/>
  <c r="E24" i="18"/>
  <c r="K12" i="18"/>
  <c r="E5" i="18"/>
  <c r="K13" i="18"/>
  <c r="E6" i="18"/>
  <c r="E26" i="18"/>
  <c r="K14" i="18"/>
  <c r="E7" i="18"/>
  <c r="E27" i="18"/>
  <c r="K15" i="18"/>
  <c r="E8" i="18"/>
  <c r="E28" i="18"/>
  <c r="K16" i="18"/>
  <c r="E9" i="18"/>
  <c r="K17" i="18"/>
  <c r="E10" i="18"/>
  <c r="E30" i="18"/>
  <c r="K18" i="18"/>
  <c r="E11" i="18"/>
  <c r="K19" i="18"/>
  <c r="E12" i="18"/>
  <c r="K20" i="18"/>
  <c r="E13" i="18"/>
  <c r="CL48" i="16"/>
  <c r="BP91" i="16"/>
  <c r="CL49" i="16"/>
  <c r="CL5" i="16"/>
  <c r="CL12" i="16"/>
  <c r="CL16" i="16"/>
  <c r="CL21" i="16"/>
  <c r="CL8" i="16"/>
  <c r="CL4" i="16"/>
  <c r="CL9" i="16"/>
  <c r="CL14" i="16"/>
  <c r="CL19" i="16"/>
  <c r="CL23" i="16"/>
  <c r="BP87" i="16"/>
  <c r="BP86" i="16"/>
  <c r="AP53" i="3"/>
  <c r="AP54" i="3"/>
  <c r="AP55" i="3"/>
  <c r="AP56" i="3"/>
  <c r="AV65" i="16" s="1"/>
  <c r="AP57" i="3"/>
  <c r="AV66" i="16" s="1"/>
  <c r="AP42" i="3"/>
  <c r="AP43" i="3"/>
  <c r="AP44" i="3"/>
  <c r="AP45" i="3"/>
  <c r="AP46" i="3"/>
  <c r="AP48" i="3"/>
  <c r="CL29" i="16"/>
  <c r="CI29" i="16"/>
  <c r="CJ29" i="16" s="1"/>
  <c r="CL33" i="16"/>
  <c r="CI33" i="16"/>
  <c r="CJ33" i="16" s="1"/>
  <c r="CI37" i="16"/>
  <c r="CJ37" i="16" s="1"/>
  <c r="CL37" i="16"/>
  <c r="CL27" i="16"/>
  <c r="CI27" i="16"/>
  <c r="CJ27" i="16" s="1"/>
  <c r="CL25" i="16"/>
  <c r="CL28" i="16"/>
  <c r="CI28" i="16"/>
  <c r="CJ28" i="16" s="1"/>
  <c r="CI35" i="16"/>
  <c r="CJ35" i="16" s="1"/>
  <c r="CL35" i="16"/>
  <c r="CI34" i="16"/>
  <c r="CJ34" i="16" s="1"/>
  <c r="CL34" i="16"/>
  <c r="CL26" i="16"/>
  <c r="CI26" i="16"/>
  <c r="CJ26" i="16" s="1"/>
  <c r="CL32" i="16"/>
  <c r="CI32" i="16"/>
  <c r="CJ32" i="16" s="1"/>
  <c r="CI36" i="16"/>
  <c r="CJ36" i="16" s="1"/>
  <c r="CL36" i="16"/>
  <c r="CI30" i="16"/>
  <c r="CJ30" i="16" s="1"/>
  <c r="CL39" i="16"/>
  <c r="CL40" i="16"/>
  <c r="CL42" i="16"/>
  <c r="CI46" i="16"/>
  <c r="CJ46" i="16" s="1"/>
  <c r="CL43" i="16"/>
  <c r="CI25" i="16"/>
  <c r="CJ25" i="16" s="1"/>
  <c r="CL44" i="16"/>
  <c r="CL46" i="16"/>
  <c r="CL6" i="16"/>
  <c r="CI42" i="16"/>
  <c r="CI47" i="16"/>
  <c r="CJ47" i="16" s="1"/>
  <c r="CI51" i="16"/>
  <c r="CJ51" i="16" s="1"/>
  <c r="CI43" i="16"/>
  <c r="CI48" i="16"/>
  <c r="CJ48" i="16" s="1"/>
  <c r="CI40" i="16"/>
  <c r="CI44" i="16"/>
  <c r="CI49" i="16"/>
  <c r="CJ49" i="16" s="1"/>
  <c r="CI41" i="16"/>
  <c r="CI50" i="16"/>
  <c r="CJ50" i="16" s="1"/>
  <c r="CI39" i="16"/>
  <c r="CI20" i="16"/>
  <c r="CJ20" i="16" s="1"/>
  <c r="CI21" i="16"/>
  <c r="CJ21" i="16" s="1"/>
  <c r="CI18" i="16"/>
  <c r="CJ18" i="16" s="1"/>
  <c r="CI22" i="16"/>
  <c r="CJ22" i="16" s="1"/>
  <c r="CI19" i="16"/>
  <c r="CJ19" i="16" s="1"/>
  <c r="CI23" i="16"/>
  <c r="CJ23" i="16" s="1"/>
  <c r="CI13" i="16"/>
  <c r="CJ13" i="16" s="1"/>
  <c r="CI14" i="16"/>
  <c r="CJ14" i="16" s="1"/>
  <c r="CI11" i="16"/>
  <c r="CJ11" i="16" s="1"/>
  <c r="CI15" i="16"/>
  <c r="CJ15" i="16" s="1"/>
  <c r="CI12" i="16"/>
  <c r="CJ12" i="16" s="1"/>
  <c r="CI16" i="16"/>
  <c r="CJ16" i="16" s="1"/>
  <c r="CI6" i="16"/>
  <c r="CI7" i="16"/>
  <c r="CI8" i="16"/>
  <c r="CI4" i="16"/>
  <c r="CI5" i="16"/>
  <c r="CI9" i="16"/>
  <c r="BP89" i="16"/>
  <c r="BP90" i="16"/>
  <c r="CT63" i="16" l="1"/>
  <c r="DD71" i="16" s="1"/>
  <c r="CT64" i="16"/>
  <c r="DC72" i="16"/>
  <c r="AV62" i="16"/>
  <c r="AV63" i="16"/>
  <c r="AV67" i="16"/>
  <c r="AU5" i="16" a="1"/>
  <c r="AU5" i="16" s="1"/>
  <c r="AV4" i="16" a="1"/>
  <c r="AV4" i="16" s="1"/>
  <c r="AU4" i="16" a="1"/>
  <c r="AU4" i="16" s="1"/>
  <c r="AV7" i="16" a="1"/>
  <c r="AV7" i="16" s="1"/>
  <c r="AU7" i="16" a="1"/>
  <c r="AU7" i="16" s="1"/>
  <c r="AV5" i="16" a="1"/>
  <c r="AV5" i="16" s="1"/>
  <c r="AU6" i="16" a="1"/>
  <c r="AU6" i="16" s="1"/>
  <c r="I52" i="18"/>
  <c r="H52" i="18"/>
  <c r="AP59" i="3"/>
  <c r="AP49" i="3"/>
  <c r="CJ5" i="16"/>
  <c r="CJ41" i="16"/>
  <c r="CJ4" i="16"/>
  <c r="CJ8" i="16"/>
  <c r="CJ44" i="16"/>
  <c r="CJ7" i="16"/>
  <c r="CJ40" i="16"/>
  <c r="CJ6" i="16"/>
  <c r="CJ43" i="16"/>
  <c r="CJ42" i="16"/>
  <c r="CJ39" i="16"/>
  <c r="CJ9" i="16"/>
  <c r="DD72" i="16" l="1"/>
  <c r="BH67" i="16" a="1"/>
  <c r="BH67" i="16" s="1"/>
  <c r="BE67" i="16" a="1"/>
  <c r="BE67" i="16" s="1"/>
  <c r="BD67" i="16" a="1"/>
  <c r="BD67" i="16" s="1"/>
  <c r="BC67" i="16" a="1"/>
  <c r="BC67" i="16" s="1"/>
  <c r="BB67" i="16" a="1"/>
  <c r="BB67" i="16" s="1"/>
  <c r="BH66" i="16" a="1"/>
  <c r="BH66" i="16" s="1"/>
  <c r="BE66" i="16" a="1"/>
  <c r="BE66" i="16" s="1"/>
  <c r="BD66" i="16" a="1"/>
  <c r="BD66" i="16" s="1"/>
  <c r="BC66" i="16" a="1"/>
  <c r="BC66" i="16" s="1"/>
  <c r="BB66" i="16" a="1"/>
  <c r="BB66" i="16" s="1"/>
  <c r="BH65" i="16" a="1"/>
  <c r="BH65" i="16" s="1"/>
  <c r="BE65" i="16" a="1"/>
  <c r="BE65" i="16" s="1"/>
  <c r="BD65" i="16" a="1"/>
  <c r="BD65" i="16" s="1"/>
  <c r="BC65" i="16" a="1"/>
  <c r="BC65" i="16" s="1"/>
  <c r="BB65" i="16" a="1"/>
  <c r="BB65" i="16" s="1"/>
  <c r="BH64" i="16" a="1"/>
  <c r="BH64" i="16" s="1"/>
  <c r="BE64" i="16" a="1"/>
  <c r="BE64" i="16" s="1"/>
  <c r="BD64" i="16" a="1"/>
  <c r="BD64" i="16" s="1"/>
  <c r="BC64" i="16" a="1"/>
  <c r="BC64" i="16" s="1"/>
  <c r="BB64" i="16" a="1"/>
  <c r="BB64" i="16" s="1"/>
  <c r="BH63" i="16" a="1"/>
  <c r="BH63" i="16" s="1"/>
  <c r="BE63" i="16" a="1"/>
  <c r="BE63" i="16" s="1"/>
  <c r="BD63" i="16" a="1"/>
  <c r="BD63" i="16" s="1"/>
  <c r="BC63" i="16" a="1"/>
  <c r="BC63" i="16" s="1"/>
  <c r="BB63" i="16" a="1"/>
  <c r="BB63" i="16" s="1"/>
  <c r="BH62" i="16" a="1"/>
  <c r="BH62" i="16" s="1"/>
  <c r="BE62" i="16" a="1"/>
  <c r="BE62" i="16" s="1"/>
  <c r="BD62" i="16" a="1"/>
  <c r="BD62" i="16" s="1"/>
  <c r="BC62" i="16" a="1"/>
  <c r="BC62" i="16" s="1"/>
  <c r="BB62" i="16" a="1"/>
  <c r="BB62" i="16" s="1"/>
  <c r="BH61" i="16" a="1"/>
  <c r="BH61" i="16" s="1"/>
  <c r="BE61" i="16" a="1"/>
  <c r="BE61" i="16" s="1"/>
  <c r="BD61" i="16" a="1"/>
  <c r="BD61" i="16" s="1"/>
  <c r="BC61" i="16" a="1"/>
  <c r="BC61" i="16" s="1"/>
  <c r="BB61" i="16" a="1"/>
  <c r="BB61" i="16" s="1"/>
  <c r="BH60" i="16" a="1"/>
  <c r="BH60" i="16" s="1"/>
  <c r="BE60" i="16" a="1"/>
  <c r="BE60" i="16" s="1"/>
  <c r="BD60" i="16" a="1"/>
  <c r="BD60" i="16" s="1"/>
  <c r="BC60" i="16" a="1"/>
  <c r="BC60" i="16" s="1"/>
  <c r="BB60" i="16" a="1"/>
  <c r="BB60" i="16" s="1"/>
  <c r="BH59" i="16" a="1"/>
  <c r="BH59" i="16" s="1"/>
  <c r="BE59" i="16" a="1"/>
  <c r="BE59" i="16" s="1"/>
  <c r="BD59" i="16" a="1"/>
  <c r="BD59" i="16" s="1"/>
  <c r="BC59" i="16" a="1"/>
  <c r="BC59" i="16" s="1"/>
  <c r="BB59" i="16" a="1"/>
  <c r="BB59" i="16" s="1"/>
  <c r="BH58" i="16" a="1"/>
  <c r="BH58" i="16" s="1"/>
  <c r="BE58" i="16" a="1"/>
  <c r="BE58" i="16" s="1"/>
  <c r="BD58" i="16" a="1"/>
  <c r="BD58" i="16" s="1"/>
  <c r="BC58" i="16" a="1"/>
  <c r="BC58" i="16" s="1"/>
  <c r="BB58" i="16" a="1"/>
  <c r="BB58" i="16" s="1"/>
  <c r="BH57" i="16" a="1"/>
  <c r="BH57" i="16" s="1"/>
  <c r="BE57" i="16" a="1"/>
  <c r="BE57" i="16" s="1"/>
  <c r="BD57" i="16" a="1"/>
  <c r="BD57" i="16" s="1"/>
  <c r="BC57" i="16" a="1"/>
  <c r="BC57" i="16" s="1"/>
  <c r="BB57" i="16" a="1"/>
  <c r="BB57" i="16" s="1"/>
  <c r="BH56" i="16" a="1"/>
  <c r="BH56" i="16" s="1"/>
  <c r="BE56" i="16" a="1"/>
  <c r="BE56" i="16" s="1"/>
  <c r="BD56" i="16" a="1"/>
  <c r="BD56" i="16" s="1"/>
  <c r="BC56" i="16" a="1"/>
  <c r="BC56" i="16" s="1"/>
  <c r="BB56" i="16" a="1"/>
  <c r="BB56" i="16" s="1"/>
  <c r="BH54" i="16" a="1"/>
  <c r="BH54" i="16" s="1"/>
  <c r="BE54" i="16" a="1"/>
  <c r="BE54" i="16" s="1"/>
  <c r="BD54" i="16" a="1"/>
  <c r="BD54" i="16" s="1"/>
  <c r="BC54" i="16" a="1"/>
  <c r="BC54" i="16" s="1"/>
  <c r="BB54" i="16" a="1"/>
  <c r="BB54" i="16" s="1"/>
  <c r="BH53" i="16" a="1"/>
  <c r="BH53" i="16" s="1"/>
  <c r="BE53" i="16" a="1"/>
  <c r="BE53" i="16" s="1"/>
  <c r="BD53" i="16" a="1"/>
  <c r="BD53" i="16" s="1"/>
  <c r="BC53" i="16" a="1"/>
  <c r="BC53" i="16" s="1"/>
  <c r="BB53" i="16" a="1"/>
  <c r="BB53" i="16" s="1"/>
  <c r="BH52" i="16" a="1"/>
  <c r="BH52" i="16" s="1"/>
  <c r="BE52" i="16" a="1"/>
  <c r="BE52" i="16" s="1"/>
  <c r="BD52" i="16" a="1"/>
  <c r="BD52" i="16" s="1"/>
  <c r="BC52" i="16" a="1"/>
  <c r="BC52" i="16" s="1"/>
  <c r="BB52" i="16" a="1"/>
  <c r="BB52" i="16" s="1"/>
  <c r="BH51" i="16" a="1"/>
  <c r="BH51" i="16" s="1"/>
  <c r="BE51" i="16" a="1"/>
  <c r="BE51" i="16" s="1"/>
  <c r="BD51" i="16" a="1"/>
  <c r="BD51" i="16" s="1"/>
  <c r="BC51" i="16" a="1"/>
  <c r="BC51" i="16" s="1"/>
  <c r="BB51" i="16" a="1"/>
  <c r="BB51" i="16" s="1"/>
  <c r="BH50" i="16" a="1"/>
  <c r="BH50" i="16" s="1"/>
  <c r="BE50" i="16" a="1"/>
  <c r="BE50" i="16" s="1"/>
  <c r="BD50" i="16" a="1"/>
  <c r="BD50" i="16" s="1"/>
  <c r="BC50" i="16" a="1"/>
  <c r="BC50" i="16" s="1"/>
  <c r="BB50" i="16" a="1"/>
  <c r="BB50" i="16" s="1"/>
  <c r="BH49" i="16" a="1"/>
  <c r="BH49" i="16" s="1"/>
  <c r="BE49" i="16" a="1"/>
  <c r="BE49" i="16" s="1"/>
  <c r="BD49" i="16" a="1"/>
  <c r="BD49" i="16" s="1"/>
  <c r="BC49" i="16" a="1"/>
  <c r="BC49" i="16" s="1"/>
  <c r="BB49" i="16" a="1"/>
  <c r="BB49" i="16" s="1"/>
  <c r="BH48" i="16" a="1"/>
  <c r="BH48" i="16" s="1"/>
  <c r="BE48" i="16" a="1"/>
  <c r="BE48" i="16" s="1"/>
  <c r="BD48" i="16" a="1"/>
  <c r="BD48" i="16" s="1"/>
  <c r="BC48" i="16" a="1"/>
  <c r="BC48" i="16" s="1"/>
  <c r="BB48" i="16" a="1"/>
  <c r="BB48" i="16" s="1"/>
  <c r="BH47" i="16" a="1"/>
  <c r="BH47" i="16" s="1"/>
  <c r="BE47" i="16" a="1"/>
  <c r="BE47" i="16" s="1"/>
  <c r="BD47" i="16" a="1"/>
  <c r="BD47" i="16" s="1"/>
  <c r="BC47" i="16" a="1"/>
  <c r="BC47" i="16" s="1"/>
  <c r="BB47" i="16" a="1"/>
  <c r="BB47" i="16" s="1"/>
  <c r="BH46" i="16" a="1"/>
  <c r="BH46" i="16" s="1"/>
  <c r="BE46" i="16" a="1"/>
  <c r="BE46" i="16" s="1"/>
  <c r="BD46" i="16" a="1"/>
  <c r="BD46" i="16" s="1"/>
  <c r="BC46" i="16" a="1"/>
  <c r="BC46" i="16" s="1"/>
  <c r="BB46" i="16" a="1"/>
  <c r="BB46" i="16" s="1"/>
  <c r="BH45" i="16" a="1"/>
  <c r="BH45" i="16" s="1"/>
  <c r="BE45" i="16" a="1"/>
  <c r="BE45" i="16" s="1"/>
  <c r="BD45" i="16" a="1"/>
  <c r="BD45" i="16" s="1"/>
  <c r="BC45" i="16" a="1"/>
  <c r="BC45" i="16" s="1"/>
  <c r="BB45" i="16" a="1"/>
  <c r="BB45" i="16" s="1"/>
  <c r="BH44" i="16" a="1"/>
  <c r="BH44" i="16" s="1"/>
  <c r="BE44" i="16" a="1"/>
  <c r="BE44" i="16" s="1"/>
  <c r="BD44" i="16" a="1"/>
  <c r="BD44" i="16" s="1"/>
  <c r="BC44" i="16" a="1"/>
  <c r="BC44" i="16" s="1"/>
  <c r="BB44" i="16" a="1"/>
  <c r="BB44" i="16" s="1"/>
  <c r="BH43" i="16" a="1"/>
  <c r="BH43" i="16" s="1"/>
  <c r="BE43" i="16" a="1"/>
  <c r="BE43" i="16" s="1"/>
  <c r="BD43" i="16" a="1"/>
  <c r="BD43" i="16" s="1"/>
  <c r="BC43" i="16" a="1"/>
  <c r="BC43" i="16" s="1"/>
  <c r="BB43" i="16" a="1"/>
  <c r="BB43" i="16" s="1"/>
  <c r="BH41" i="16" a="1"/>
  <c r="BH41" i="16" s="1"/>
  <c r="BE41" i="16" a="1"/>
  <c r="BE41" i="16" s="1"/>
  <c r="BD41" i="16" a="1"/>
  <c r="BD41" i="16" s="1"/>
  <c r="BC41" i="16" a="1"/>
  <c r="BC41" i="16" s="1"/>
  <c r="BB41" i="16" a="1"/>
  <c r="BB41" i="16" s="1"/>
  <c r="BH40" i="16" a="1"/>
  <c r="BH40" i="16" s="1"/>
  <c r="BE40" i="16" a="1"/>
  <c r="BE40" i="16" s="1"/>
  <c r="BD40" i="16" a="1"/>
  <c r="BD40" i="16" s="1"/>
  <c r="BC40" i="16" a="1"/>
  <c r="BC40" i="16" s="1"/>
  <c r="BB40" i="16" a="1"/>
  <c r="BB40" i="16" s="1"/>
  <c r="BH39" i="16" a="1"/>
  <c r="BH39" i="16" s="1"/>
  <c r="BE39" i="16" a="1"/>
  <c r="BE39" i="16" s="1"/>
  <c r="BD39" i="16" a="1"/>
  <c r="BD39" i="16" s="1"/>
  <c r="BC39" i="16" a="1"/>
  <c r="BC39" i="16" s="1"/>
  <c r="BB39" i="16" a="1"/>
  <c r="BB39" i="16" s="1"/>
  <c r="BH38" i="16" a="1"/>
  <c r="BH38" i="16" s="1"/>
  <c r="BE38" i="16" a="1"/>
  <c r="BE38" i="16" s="1"/>
  <c r="BD38" i="16" a="1"/>
  <c r="BD38" i="16" s="1"/>
  <c r="BC38" i="16" a="1"/>
  <c r="BC38" i="16" s="1"/>
  <c r="BB38" i="16" a="1"/>
  <c r="BB38" i="16" s="1"/>
  <c r="BH37" i="16" a="1"/>
  <c r="BH37" i="16" s="1"/>
  <c r="BE37" i="16" a="1"/>
  <c r="BE37" i="16" s="1"/>
  <c r="BD37" i="16" a="1"/>
  <c r="BD37" i="16" s="1"/>
  <c r="BC37" i="16" a="1"/>
  <c r="BC37" i="16" s="1"/>
  <c r="BB37" i="16" a="1"/>
  <c r="BB37" i="16" s="1"/>
  <c r="BH36" i="16" a="1"/>
  <c r="BH36" i="16" s="1"/>
  <c r="BE36" i="16" a="1"/>
  <c r="BE36" i="16" s="1"/>
  <c r="BD36" i="16" a="1"/>
  <c r="BD36" i="16" s="1"/>
  <c r="BC36" i="16" a="1"/>
  <c r="BC36" i="16" s="1"/>
  <c r="BB36" i="16" a="1"/>
  <c r="BB36" i="16" s="1"/>
  <c r="BH35" i="16" a="1"/>
  <c r="BH35" i="16" s="1"/>
  <c r="BE35" i="16" a="1"/>
  <c r="BE35" i="16" s="1"/>
  <c r="BD35" i="16" a="1"/>
  <c r="BD35" i="16" s="1"/>
  <c r="BC35" i="16" a="1"/>
  <c r="BC35" i="16" s="1"/>
  <c r="BB35" i="16" a="1"/>
  <c r="BB35" i="16" s="1"/>
  <c r="BH34" i="16" a="1"/>
  <c r="BH34" i="16" s="1"/>
  <c r="BE34" i="16" a="1"/>
  <c r="BE34" i="16" s="1"/>
  <c r="BD34" i="16" a="1"/>
  <c r="BD34" i="16" s="1"/>
  <c r="BC34" i="16" a="1"/>
  <c r="BC34" i="16" s="1"/>
  <c r="BB34" i="16" a="1"/>
  <c r="BB34" i="16" s="1"/>
  <c r="BH33" i="16" a="1"/>
  <c r="BH33" i="16" s="1"/>
  <c r="BE33" i="16" a="1"/>
  <c r="BE33" i="16" s="1"/>
  <c r="BD33" i="16" a="1"/>
  <c r="BD33" i="16" s="1"/>
  <c r="BC33" i="16" a="1"/>
  <c r="BC33" i="16" s="1"/>
  <c r="BB33" i="16" a="1"/>
  <c r="BB33" i="16" s="1"/>
  <c r="BH32" i="16" a="1"/>
  <c r="BH32" i="16" s="1"/>
  <c r="BE32" i="16" a="1"/>
  <c r="BE32" i="16" s="1"/>
  <c r="BD32" i="16" a="1"/>
  <c r="BD32" i="16" s="1"/>
  <c r="BC32" i="16" a="1"/>
  <c r="BC32" i="16" s="1"/>
  <c r="BB32" i="16" a="1"/>
  <c r="BB32" i="16" s="1"/>
  <c r="BH31" i="16" a="1"/>
  <c r="BH31" i="16" s="1"/>
  <c r="BE31" i="16" a="1"/>
  <c r="BE31" i="16" s="1"/>
  <c r="BD31" i="16" a="1"/>
  <c r="BD31" i="16" s="1"/>
  <c r="BC31" i="16" a="1"/>
  <c r="BC31" i="16" s="1"/>
  <c r="BB31" i="16" a="1"/>
  <c r="BB31" i="16" s="1"/>
  <c r="BH30" i="16" a="1"/>
  <c r="BH30" i="16" s="1"/>
  <c r="BE30" i="16" a="1"/>
  <c r="BE30" i="16" s="1"/>
  <c r="BD30" i="16" a="1"/>
  <c r="BD30" i="16" s="1"/>
  <c r="BC30" i="16" a="1"/>
  <c r="BC30" i="16" s="1"/>
  <c r="BB30" i="16" a="1"/>
  <c r="BB30" i="16" s="1"/>
  <c r="BH28" i="16" a="1"/>
  <c r="BH28" i="16" s="1"/>
  <c r="BE28" i="16" a="1"/>
  <c r="BE28" i="16" s="1"/>
  <c r="BD28" i="16" a="1"/>
  <c r="BD28" i="16" s="1"/>
  <c r="BC28" i="16" a="1"/>
  <c r="BC28" i="16" s="1"/>
  <c r="BB28" i="16" a="1"/>
  <c r="BB28" i="16" s="1"/>
  <c r="BH27" i="16" a="1"/>
  <c r="BH27" i="16" s="1"/>
  <c r="BE27" i="16" a="1"/>
  <c r="BE27" i="16" s="1"/>
  <c r="BD27" i="16" a="1"/>
  <c r="BD27" i="16" s="1"/>
  <c r="BC27" i="16" a="1"/>
  <c r="BC27" i="16" s="1"/>
  <c r="BB27" i="16" a="1"/>
  <c r="BB27" i="16" s="1"/>
  <c r="BH26" i="16" a="1"/>
  <c r="BH26" i="16" s="1"/>
  <c r="BE26" i="16" a="1"/>
  <c r="BE26" i="16" s="1"/>
  <c r="BD26" i="16" a="1"/>
  <c r="BD26" i="16" s="1"/>
  <c r="BC26" i="16" a="1"/>
  <c r="BC26" i="16" s="1"/>
  <c r="BB26" i="16" a="1"/>
  <c r="BB26" i="16" s="1"/>
  <c r="BH25" i="16" a="1"/>
  <c r="BH25" i="16" s="1"/>
  <c r="BE25" i="16" a="1"/>
  <c r="BE25" i="16" s="1"/>
  <c r="BD25" i="16" a="1"/>
  <c r="BD25" i="16" s="1"/>
  <c r="BC25" i="16" a="1"/>
  <c r="BC25" i="16" s="1"/>
  <c r="BB25" i="16" a="1"/>
  <c r="BB25" i="16" s="1"/>
  <c r="BH24" i="16" a="1"/>
  <c r="BH24" i="16" s="1"/>
  <c r="BE24" i="16" a="1"/>
  <c r="BE24" i="16" s="1"/>
  <c r="BD24" i="16" a="1"/>
  <c r="BD24" i="16" s="1"/>
  <c r="BC24" i="16" a="1"/>
  <c r="BC24" i="16" s="1"/>
  <c r="BB24" i="16" a="1"/>
  <c r="BB24" i="16" s="1"/>
  <c r="BH23" i="16" a="1"/>
  <c r="BH23" i="16" s="1"/>
  <c r="BE23" i="16" a="1"/>
  <c r="BE23" i="16" s="1"/>
  <c r="BD23" i="16" a="1"/>
  <c r="BD23" i="16" s="1"/>
  <c r="BC23" i="16" a="1"/>
  <c r="BC23" i="16" s="1"/>
  <c r="BB23" i="16" a="1"/>
  <c r="BB23" i="16" s="1"/>
  <c r="BH22" i="16" a="1"/>
  <c r="BH22" i="16" s="1"/>
  <c r="BE22" i="16" a="1"/>
  <c r="BE22" i="16" s="1"/>
  <c r="BD22" i="16" a="1"/>
  <c r="BD22" i="16" s="1"/>
  <c r="BC22" i="16" a="1"/>
  <c r="BC22" i="16" s="1"/>
  <c r="BB22" i="16" a="1"/>
  <c r="BB22" i="16" s="1"/>
  <c r="BH21" i="16" a="1"/>
  <c r="BH21" i="16" s="1"/>
  <c r="BE21" i="16" a="1"/>
  <c r="BE21" i="16" s="1"/>
  <c r="BD21" i="16" a="1"/>
  <c r="BD21" i="16" s="1"/>
  <c r="BC21" i="16" a="1"/>
  <c r="BC21" i="16" s="1"/>
  <c r="BB21" i="16" a="1"/>
  <c r="BB21" i="16" s="1"/>
  <c r="BH20" i="16" a="1"/>
  <c r="BH20" i="16" s="1"/>
  <c r="BE20" i="16" a="1"/>
  <c r="BE20" i="16" s="1"/>
  <c r="BD20" i="16" a="1"/>
  <c r="BD20" i="16" s="1"/>
  <c r="BC20" i="16" a="1"/>
  <c r="BC20" i="16" s="1"/>
  <c r="BB20" i="16" a="1"/>
  <c r="BB20" i="16" s="1"/>
  <c r="BH19" i="16" a="1"/>
  <c r="BH19" i="16" s="1"/>
  <c r="BE19" i="16" a="1"/>
  <c r="BE19" i="16" s="1"/>
  <c r="BD19" i="16" a="1"/>
  <c r="BD19" i="16" s="1"/>
  <c r="BC19" i="16" a="1"/>
  <c r="BC19" i="16" s="1"/>
  <c r="BB19" i="16" a="1"/>
  <c r="BB19" i="16" s="1"/>
  <c r="BH18" i="16" a="1"/>
  <c r="BH18" i="16" s="1"/>
  <c r="BE18" i="16" a="1"/>
  <c r="BE18" i="16" s="1"/>
  <c r="BD18" i="16" a="1"/>
  <c r="BD18" i="16" s="1"/>
  <c r="BC18" i="16" a="1"/>
  <c r="BC18" i="16" s="1"/>
  <c r="BB18" i="16" a="1"/>
  <c r="BB18" i="16" s="1"/>
  <c r="BH17" i="16" a="1"/>
  <c r="BH17" i="16" s="1"/>
  <c r="BE17" i="16" a="1"/>
  <c r="BE17" i="16" s="1"/>
  <c r="BD17" i="16" a="1"/>
  <c r="BD17" i="16" s="1"/>
  <c r="BC17" i="16" a="1"/>
  <c r="BC17" i="16" s="1"/>
  <c r="BB17" i="16" a="1"/>
  <c r="BB17" i="16" s="1"/>
  <c r="BH15" i="16" a="1"/>
  <c r="BH15" i="16" s="1"/>
  <c r="BH14" i="16" a="1"/>
  <c r="BH14" i="16" s="1"/>
  <c r="BH13" i="16" a="1"/>
  <c r="BH13" i="16" s="1"/>
  <c r="BH12" i="16" a="1"/>
  <c r="BH12" i="16" s="1"/>
  <c r="BH11" i="16" a="1"/>
  <c r="BH11" i="16" s="1"/>
  <c r="BH10" i="16" a="1"/>
  <c r="BH10" i="16" s="1"/>
  <c r="BH9" i="16" a="1"/>
  <c r="BH9" i="16" s="1"/>
  <c r="BH8" i="16" a="1"/>
  <c r="BH8" i="16" s="1"/>
  <c r="BH7" i="16" a="1"/>
  <c r="BH7" i="16" s="1"/>
  <c r="BH6" i="16" a="1"/>
  <c r="BH6" i="16" s="1"/>
  <c r="BH5" i="16" a="1"/>
  <c r="BH5" i="16" s="1"/>
  <c r="BH4" i="16" a="1"/>
  <c r="BH4" i="16" s="1"/>
  <c r="BE15" i="16" a="1"/>
  <c r="BE15" i="16" s="1"/>
  <c r="BD15" i="16" a="1"/>
  <c r="BD15" i="16" s="1"/>
  <c r="BC15" i="16" a="1"/>
  <c r="BC15" i="16" s="1"/>
  <c r="BE14" i="16" a="1"/>
  <c r="BE14" i="16" s="1"/>
  <c r="BD14" i="16" a="1"/>
  <c r="BD14" i="16" s="1"/>
  <c r="BC14" i="16" a="1"/>
  <c r="BC14" i="16" s="1"/>
  <c r="BE13" i="16" a="1"/>
  <c r="BE13" i="16" s="1"/>
  <c r="BD13" i="16" a="1"/>
  <c r="BD13" i="16" s="1"/>
  <c r="BC13" i="16" a="1"/>
  <c r="BC13" i="16" s="1"/>
  <c r="BE12" i="16" a="1"/>
  <c r="BE12" i="16" s="1"/>
  <c r="BD12" i="16" a="1"/>
  <c r="BD12" i="16" s="1"/>
  <c r="BC12" i="16" a="1"/>
  <c r="BC12" i="16" s="1"/>
  <c r="BE11" i="16" a="1"/>
  <c r="BE11" i="16" s="1"/>
  <c r="BD11" i="16" a="1"/>
  <c r="BD11" i="16" s="1"/>
  <c r="BC11" i="16" a="1"/>
  <c r="BC11" i="16" s="1"/>
  <c r="BE10" i="16" a="1"/>
  <c r="BE10" i="16" s="1"/>
  <c r="BD10" i="16" a="1"/>
  <c r="BD10" i="16" s="1"/>
  <c r="BC10" i="16" a="1"/>
  <c r="BC10" i="16" s="1"/>
  <c r="BE9" i="16" a="1"/>
  <c r="BE9" i="16" s="1"/>
  <c r="BD9" i="16" a="1"/>
  <c r="BD9" i="16" s="1"/>
  <c r="BC9" i="16" a="1"/>
  <c r="BC9" i="16" s="1"/>
  <c r="BE8" i="16" a="1"/>
  <c r="BE8" i="16" s="1"/>
  <c r="BD8" i="16" a="1"/>
  <c r="BD8" i="16" s="1"/>
  <c r="BC8" i="16" a="1"/>
  <c r="BC8" i="16" s="1"/>
  <c r="BE7" i="16" a="1"/>
  <c r="BE7" i="16" s="1"/>
  <c r="BD7" i="16" a="1"/>
  <c r="BD7" i="16" s="1"/>
  <c r="BC7" i="16" a="1"/>
  <c r="BC7" i="16" s="1"/>
  <c r="BE6" i="16" a="1"/>
  <c r="BE6" i="16" s="1"/>
  <c r="BD6" i="16" a="1"/>
  <c r="BD6" i="16" s="1"/>
  <c r="BC6" i="16" a="1"/>
  <c r="BC6" i="16" s="1"/>
  <c r="BE5" i="16" a="1"/>
  <c r="BE5" i="16" s="1"/>
  <c r="BD5" i="16" a="1"/>
  <c r="BD5" i="16" s="1"/>
  <c r="BC5" i="16" a="1"/>
  <c r="BC5" i="16" s="1"/>
  <c r="BE4" i="16" a="1"/>
  <c r="BE4" i="16" s="1"/>
  <c r="BD4" i="16" a="1"/>
  <c r="BD4" i="16" s="1"/>
  <c r="BC4" i="16" a="1"/>
  <c r="BC4" i="16" s="1"/>
  <c r="BB15" i="16" a="1"/>
  <c r="BB15" i="16" s="1"/>
  <c r="BB14" i="16" a="1"/>
  <c r="BB14" i="16" s="1"/>
  <c r="BB13" i="16" a="1"/>
  <c r="BB13" i="16" s="1"/>
  <c r="BB12" i="16" a="1"/>
  <c r="BB12" i="16" s="1"/>
  <c r="BB11" i="16" a="1"/>
  <c r="BB11" i="16" s="1"/>
  <c r="BB10" i="16" a="1"/>
  <c r="BB10" i="16" s="1"/>
  <c r="BB9" i="16" a="1"/>
  <c r="BB9" i="16" s="1"/>
  <c r="BB8" i="16" a="1"/>
  <c r="BB8" i="16" s="1"/>
  <c r="BB7" i="16" a="1"/>
  <c r="BB7" i="16" s="1"/>
  <c r="BB6" i="16" a="1"/>
  <c r="BB6" i="16" s="1"/>
  <c r="BB5" i="16" a="1"/>
  <c r="BB5" i="16" s="1"/>
  <c r="AL46" i="20"/>
  <c r="AQ43" i="20"/>
  <c r="AN42" i="20"/>
  <c r="AG119" i="20" a="1"/>
  <c r="AG119" i="20" s="1"/>
  <c r="AG118" i="20" a="1"/>
  <c r="AG118" i="20" s="1"/>
  <c r="AG117" i="20" a="1"/>
  <c r="AG117" i="20" s="1"/>
  <c r="AG116" i="20" a="1"/>
  <c r="AG116" i="20" s="1"/>
  <c r="AG115" i="20" a="1"/>
  <c r="AG115" i="20" s="1"/>
  <c r="AG114" i="20" a="1"/>
  <c r="AG114" i="20" s="1"/>
  <c r="AD119" i="20" a="1"/>
  <c r="AD119" i="20" s="1"/>
  <c r="AC119" i="20" a="1"/>
  <c r="AC119" i="20" s="1"/>
  <c r="AB119" i="20" a="1"/>
  <c r="AB119" i="20" s="1"/>
  <c r="AD118" i="20" a="1"/>
  <c r="AD118" i="20" s="1"/>
  <c r="AC118" i="20" a="1"/>
  <c r="AC118" i="20" s="1"/>
  <c r="AB118" i="20" a="1"/>
  <c r="AB118" i="20" s="1"/>
  <c r="AD117" i="20" a="1"/>
  <c r="AD117" i="20" s="1"/>
  <c r="AC117" i="20" a="1"/>
  <c r="AC117" i="20" s="1"/>
  <c r="AB117" i="20" a="1"/>
  <c r="AB117" i="20" s="1"/>
  <c r="AD116" i="20" a="1"/>
  <c r="AD116" i="20" s="1"/>
  <c r="AC116" i="20" a="1"/>
  <c r="AC116" i="20" s="1"/>
  <c r="AB116" i="20" a="1"/>
  <c r="AB116" i="20" s="1"/>
  <c r="AD115" i="20" a="1"/>
  <c r="AD115" i="20" s="1"/>
  <c r="AC115" i="20" a="1"/>
  <c r="AC115" i="20" s="1"/>
  <c r="AB115" i="20" a="1"/>
  <c r="AB115" i="20" s="1"/>
  <c r="AD114" i="20" a="1"/>
  <c r="AD114" i="20" s="1"/>
  <c r="AC114" i="20" a="1"/>
  <c r="AC114" i="20" s="1"/>
  <c r="AB114" i="20" a="1"/>
  <c r="AB114" i="20" s="1"/>
  <c r="AA119" i="20" a="1"/>
  <c r="AA119" i="20" s="1"/>
  <c r="AA118" i="20" a="1"/>
  <c r="AA118" i="20" s="1"/>
  <c r="AA117" i="20" a="1"/>
  <c r="AA117" i="20" s="1"/>
  <c r="AA116" i="20" a="1"/>
  <c r="AA116" i="20" s="1"/>
  <c r="AA115" i="20" a="1"/>
  <c r="AA115" i="20" s="1"/>
  <c r="AA114" i="20" a="1"/>
  <c r="AA114" i="20" s="1"/>
  <c r="AG112" i="20" a="1"/>
  <c r="AG112" i="20" s="1"/>
  <c r="AQ46" i="20" s="1"/>
  <c r="AG111" i="20" a="1"/>
  <c r="AG111" i="20" s="1"/>
  <c r="AQ45" i="20" s="1"/>
  <c r="AG110" i="20" a="1"/>
  <c r="AG110" i="20" s="1"/>
  <c r="AQ44" i="20" s="1"/>
  <c r="AG109" i="20" a="1"/>
  <c r="AG109" i="20" s="1"/>
  <c r="AG108" i="20" a="1"/>
  <c r="AG108" i="20" s="1"/>
  <c r="AQ42" i="20" s="1"/>
  <c r="AG107" i="20" a="1"/>
  <c r="AG107" i="20" s="1"/>
  <c r="AQ41" i="20" s="1"/>
  <c r="AD112" i="20" a="1"/>
  <c r="AD112" i="20" s="1"/>
  <c r="AN46" i="20" s="1"/>
  <c r="AC112" i="20" a="1"/>
  <c r="AC112" i="20" s="1"/>
  <c r="AM46" i="20" s="1"/>
  <c r="AB112" i="20" a="1"/>
  <c r="AB112" i="20" s="1"/>
  <c r="AD111" i="20" a="1"/>
  <c r="AD111" i="20" s="1"/>
  <c r="AN45" i="20" s="1"/>
  <c r="AC111" i="20" a="1"/>
  <c r="AC111" i="20" s="1"/>
  <c r="AM45" i="20" s="1"/>
  <c r="AB111" i="20" a="1"/>
  <c r="AB111" i="20" s="1"/>
  <c r="AL45" i="20" s="1"/>
  <c r="AD110" i="20" a="1"/>
  <c r="AD110" i="20" s="1"/>
  <c r="AN44" i="20" s="1"/>
  <c r="AC110" i="20" a="1"/>
  <c r="AC110" i="20" s="1"/>
  <c r="AM44" i="20" s="1"/>
  <c r="AB110" i="20" a="1"/>
  <c r="AB110" i="20" s="1"/>
  <c r="AL44" i="20" s="1"/>
  <c r="AD109" i="20" a="1"/>
  <c r="AD109" i="20" s="1"/>
  <c r="AN43" i="20" s="1"/>
  <c r="AC109" i="20" a="1"/>
  <c r="AC109" i="20" s="1"/>
  <c r="AM43" i="20" s="1"/>
  <c r="AB109" i="20" a="1"/>
  <c r="AB109" i="20" s="1"/>
  <c r="AL43" i="20" s="1"/>
  <c r="AD108" i="20" a="1"/>
  <c r="AD108" i="20" s="1"/>
  <c r="AC108" i="20" a="1"/>
  <c r="AC108" i="20" s="1"/>
  <c r="AM42" i="20" s="1"/>
  <c r="AB108" i="20" a="1"/>
  <c r="AB108" i="20" s="1"/>
  <c r="AL42" i="20" s="1"/>
  <c r="AD107" i="20" a="1"/>
  <c r="AD107" i="20" s="1"/>
  <c r="AN41" i="20" s="1"/>
  <c r="AC107" i="20" a="1"/>
  <c r="AC107" i="20" s="1"/>
  <c r="AM41" i="20" s="1"/>
  <c r="AB107" i="20" a="1"/>
  <c r="AB107" i="20" s="1"/>
  <c r="AL41" i="20" s="1"/>
  <c r="AA112" i="20" a="1"/>
  <c r="AA112" i="20" s="1"/>
  <c r="AK46" i="20" s="1"/>
  <c r="AA111" i="20" a="1"/>
  <c r="AA111" i="20" s="1"/>
  <c r="AK45" i="20" s="1"/>
  <c r="AA110" i="20" a="1"/>
  <c r="AA110" i="20" s="1"/>
  <c r="AK44" i="20" s="1"/>
  <c r="AA109" i="20" a="1"/>
  <c r="AA109" i="20" s="1"/>
  <c r="AK43" i="20" s="1"/>
  <c r="AA108" i="20" a="1"/>
  <c r="AA108" i="20" s="1"/>
  <c r="AK42" i="20" s="1"/>
  <c r="AA107" i="20" a="1"/>
  <c r="AA107" i="20" s="1"/>
  <c r="AK41" i="20" s="1"/>
  <c r="AG105" i="20" a="1"/>
  <c r="AG105" i="20" s="1"/>
  <c r="AG104" i="20" a="1"/>
  <c r="AG104" i="20" s="1"/>
  <c r="AG103" i="20" a="1"/>
  <c r="AG103" i="20" s="1"/>
  <c r="AG102" i="20" a="1"/>
  <c r="AG102" i="20" s="1"/>
  <c r="AG101" i="20" a="1"/>
  <c r="AG101" i="20" s="1"/>
  <c r="AG100" i="20" a="1"/>
  <c r="AG100" i="20" s="1"/>
  <c r="AD105" i="20" a="1"/>
  <c r="AD105" i="20" s="1"/>
  <c r="AC105" i="20" a="1"/>
  <c r="AC105" i="20" s="1"/>
  <c r="AB105" i="20" a="1"/>
  <c r="AB105" i="20" s="1"/>
  <c r="AD104" i="20" a="1"/>
  <c r="AD104" i="20" s="1"/>
  <c r="AC104" i="20" a="1"/>
  <c r="AC104" i="20" s="1"/>
  <c r="AB104" i="20" a="1"/>
  <c r="AB104" i="20" s="1"/>
  <c r="AD103" i="20" a="1"/>
  <c r="AD103" i="20" s="1"/>
  <c r="AC103" i="20" a="1"/>
  <c r="AC103" i="20" s="1"/>
  <c r="AB103" i="20" a="1"/>
  <c r="AB103" i="20" s="1"/>
  <c r="AD102" i="20" a="1"/>
  <c r="AD102" i="20" s="1"/>
  <c r="AC102" i="20" a="1"/>
  <c r="AC102" i="20" s="1"/>
  <c r="AB102" i="20" a="1"/>
  <c r="AB102" i="20" s="1"/>
  <c r="AD101" i="20" a="1"/>
  <c r="AD101" i="20" s="1"/>
  <c r="AC101" i="20" a="1"/>
  <c r="AC101" i="20" s="1"/>
  <c r="AB101" i="20" a="1"/>
  <c r="AB101" i="20" s="1"/>
  <c r="AD100" i="20" a="1"/>
  <c r="AD100" i="20" s="1"/>
  <c r="AC100" i="20" a="1"/>
  <c r="AC100" i="20" s="1"/>
  <c r="AB100" i="20" a="1"/>
  <c r="AB100" i="20" s="1"/>
  <c r="AA105" i="20" a="1"/>
  <c r="AA105" i="20" s="1"/>
  <c r="AA104" i="20" a="1"/>
  <c r="AA104" i="20" s="1"/>
  <c r="AA103" i="20" a="1"/>
  <c r="AA103" i="20" s="1"/>
  <c r="AA102" i="20" a="1"/>
  <c r="AA102" i="20" s="1"/>
  <c r="AA101" i="20" a="1"/>
  <c r="AA101" i="20" s="1"/>
  <c r="AA100" i="20" a="1"/>
  <c r="AA100" i="20" s="1"/>
  <c r="AG77" i="20" a="1"/>
  <c r="AG77" i="20" s="1"/>
  <c r="AE77" i="20" s="1"/>
  <c r="AF77" i="20" s="1"/>
  <c r="AG76" i="20" a="1"/>
  <c r="AG76" i="20" s="1"/>
  <c r="AE76" i="20" s="1"/>
  <c r="AF76" i="20" s="1"/>
  <c r="AG75" i="20" a="1"/>
  <c r="AG75" i="20" s="1"/>
  <c r="AG74" i="20" a="1"/>
  <c r="AG74" i="20" s="1"/>
  <c r="AG73" i="20" a="1"/>
  <c r="AG73" i="20" s="1"/>
  <c r="AG72" i="20" a="1"/>
  <c r="AG72" i="20" s="1"/>
  <c r="AD77" i="20" a="1"/>
  <c r="AD77" i="20" s="1"/>
  <c r="AC77" i="20" a="1"/>
  <c r="AC77" i="20" s="1"/>
  <c r="AB77" i="20" a="1"/>
  <c r="AB77" i="20" s="1"/>
  <c r="AD76" i="20" a="1"/>
  <c r="AD76" i="20" s="1"/>
  <c r="AC76" i="20" a="1"/>
  <c r="AC76" i="20" s="1"/>
  <c r="AB76" i="20" a="1"/>
  <c r="AB76" i="20" s="1"/>
  <c r="AD75" i="20" a="1"/>
  <c r="AD75" i="20" s="1"/>
  <c r="AC75" i="20" a="1"/>
  <c r="AC75" i="20" s="1"/>
  <c r="AB75" i="20" a="1"/>
  <c r="AB75" i="20" s="1"/>
  <c r="AD74" i="20" a="1"/>
  <c r="AD74" i="20" s="1"/>
  <c r="AC74" i="20" a="1"/>
  <c r="AC74" i="20" s="1"/>
  <c r="AB74" i="20" a="1"/>
  <c r="AB74" i="20" s="1"/>
  <c r="AD73" i="20" a="1"/>
  <c r="AD73" i="20" s="1"/>
  <c r="AC73" i="20" a="1"/>
  <c r="AC73" i="20" s="1"/>
  <c r="AB73" i="20" a="1"/>
  <c r="AB73" i="20" s="1"/>
  <c r="AD72" i="20" a="1"/>
  <c r="AD72" i="20" s="1"/>
  <c r="AC72" i="20" a="1"/>
  <c r="AC72" i="20" s="1"/>
  <c r="AB72" i="20" a="1"/>
  <c r="AB72" i="20" s="1"/>
  <c r="AA77" i="20" a="1"/>
  <c r="AA77" i="20" s="1"/>
  <c r="AA76" i="20" a="1"/>
  <c r="AA76" i="20" s="1"/>
  <c r="AA75" i="20" a="1"/>
  <c r="AA75" i="20" s="1"/>
  <c r="AA74" i="20" a="1"/>
  <c r="AA74" i="20" s="1"/>
  <c r="AA73" i="20" a="1"/>
  <c r="AA73" i="20" s="1"/>
  <c r="AA72" i="20" a="1"/>
  <c r="AA72" i="20"/>
  <c r="AG98" i="20" a="1"/>
  <c r="AG98" i="20"/>
  <c r="AD98" i="20" a="1"/>
  <c r="AD98" i="20" s="1"/>
  <c r="AC98" i="20" a="1"/>
  <c r="AC98" i="20" s="1"/>
  <c r="AB98" i="20" a="1"/>
  <c r="AB98" i="20" s="1"/>
  <c r="AA98" i="20" a="1"/>
  <c r="AA98" i="20" s="1"/>
  <c r="AG97" i="20" a="1"/>
  <c r="AG97" i="20" s="1"/>
  <c r="AD97" i="20" a="1"/>
  <c r="AD97" i="20" s="1"/>
  <c r="AC97" i="20" a="1"/>
  <c r="AC97" i="20" s="1"/>
  <c r="AB97" i="20" a="1"/>
  <c r="AB97" i="20" s="1"/>
  <c r="AA97" i="20" a="1"/>
  <c r="AA97" i="20" s="1"/>
  <c r="AG96" i="20" a="1"/>
  <c r="AG96" i="20" s="1"/>
  <c r="AD96" i="20" a="1"/>
  <c r="AD96" i="20" s="1"/>
  <c r="AC96" i="20" a="1"/>
  <c r="AC96" i="20" s="1"/>
  <c r="AB96" i="20" a="1"/>
  <c r="AB96" i="20" s="1"/>
  <c r="AA96" i="20" a="1"/>
  <c r="AA96" i="20" s="1"/>
  <c r="AG95" i="20" a="1"/>
  <c r="AG95" i="20" s="1"/>
  <c r="AH95" i="20" s="1"/>
  <c r="AD95" i="20" a="1"/>
  <c r="AD95" i="20" s="1"/>
  <c r="AC95" i="20" a="1"/>
  <c r="AC95" i="20"/>
  <c r="AB95" i="20" a="1"/>
  <c r="AB95" i="20"/>
  <c r="AA95" i="20" a="1"/>
  <c r="AA95" i="20" s="1"/>
  <c r="AG94" i="20" a="1"/>
  <c r="AG94" i="20" s="1"/>
  <c r="AD94" i="20" a="1"/>
  <c r="AD94" i="20"/>
  <c r="AC94" i="20" a="1"/>
  <c r="AC94" i="20"/>
  <c r="AB94" i="20" a="1"/>
  <c r="AB94" i="20" s="1"/>
  <c r="AA94" i="20" a="1"/>
  <c r="AA94" i="20"/>
  <c r="AG93" i="20" a="1"/>
  <c r="AG93" i="20" s="1"/>
  <c r="AD93" i="20" a="1"/>
  <c r="AD93" i="20" s="1"/>
  <c r="AC93" i="20" a="1"/>
  <c r="AC93" i="20" s="1"/>
  <c r="AB93" i="20" a="1"/>
  <c r="AB93" i="20" s="1"/>
  <c r="AA93" i="20" a="1"/>
  <c r="AA93" i="20" s="1"/>
  <c r="AG91" i="20" a="1"/>
  <c r="AG91" i="20" s="1"/>
  <c r="AD91" i="20" a="1"/>
  <c r="AD91" i="20" s="1"/>
  <c r="AC91" i="20" a="1"/>
  <c r="AC91" i="20" s="1"/>
  <c r="AB91" i="20" a="1"/>
  <c r="AB91" i="20" s="1"/>
  <c r="AA91" i="20" a="1"/>
  <c r="AA91" i="20" s="1"/>
  <c r="AG90" i="20" a="1"/>
  <c r="AG90" i="20" s="1"/>
  <c r="AD90" i="20" a="1"/>
  <c r="AD90" i="20"/>
  <c r="AC90" i="20" a="1"/>
  <c r="AC90" i="20" s="1"/>
  <c r="AB90" i="20" a="1"/>
  <c r="AB90" i="20" s="1"/>
  <c r="AA90" i="20" a="1"/>
  <c r="AA90" i="20" s="1"/>
  <c r="AG89" i="20" a="1"/>
  <c r="AG89" i="20" s="1"/>
  <c r="AD89" i="20" a="1"/>
  <c r="AD89" i="20" s="1"/>
  <c r="AC89" i="20" a="1"/>
  <c r="AC89" i="20" s="1"/>
  <c r="AB89" i="20" a="1"/>
  <c r="AB89" i="20" s="1"/>
  <c r="AA89" i="20" a="1"/>
  <c r="AA89" i="20" s="1"/>
  <c r="AG88" i="20" a="1"/>
  <c r="AG88" i="20" s="1"/>
  <c r="AD88" i="20" a="1"/>
  <c r="AD88" i="20" s="1"/>
  <c r="AC88" i="20" a="1"/>
  <c r="AC88" i="20" s="1"/>
  <c r="AB88" i="20" a="1"/>
  <c r="AB88" i="20" s="1"/>
  <c r="AA88" i="20" a="1"/>
  <c r="AA88" i="20" s="1"/>
  <c r="AG87" i="20" a="1"/>
  <c r="AG87" i="20" s="1"/>
  <c r="AD87" i="20" a="1"/>
  <c r="AD87" i="20" s="1"/>
  <c r="AC87" i="20" a="1"/>
  <c r="AC87" i="20" s="1"/>
  <c r="AB87" i="20" a="1"/>
  <c r="AB87" i="20" s="1"/>
  <c r="AA87" i="20" a="1"/>
  <c r="AA87" i="20" s="1"/>
  <c r="AG86" i="20" a="1"/>
  <c r="AG86" i="20" s="1"/>
  <c r="AD86" i="20" a="1"/>
  <c r="AD86" i="20" s="1"/>
  <c r="AC86" i="20" a="1"/>
  <c r="AC86" i="20" s="1"/>
  <c r="AB86" i="20" a="1"/>
  <c r="AB86" i="20" s="1"/>
  <c r="AA86" i="20" a="1"/>
  <c r="AA86" i="20" s="1"/>
  <c r="AG84" i="20" a="1"/>
  <c r="AG84" i="20" s="1"/>
  <c r="AG83" i="20" a="1"/>
  <c r="AG83" i="20" s="1"/>
  <c r="AG82" i="20" a="1"/>
  <c r="AG82" i="20" s="1"/>
  <c r="AG81" i="20" a="1"/>
  <c r="AG81" i="20" s="1"/>
  <c r="AG80" i="20" a="1"/>
  <c r="AG80" i="20" s="1"/>
  <c r="AG79" i="20" a="1"/>
  <c r="AG79" i="20" s="1"/>
  <c r="AQ34" i="20" s="1"/>
  <c r="P40" i="20" s="1"/>
  <c r="AD84" i="20" a="1"/>
  <c r="AD84" i="20" s="1"/>
  <c r="AC84" i="20" a="1"/>
  <c r="AC84" i="20" s="1"/>
  <c r="AB84" i="20" a="1"/>
  <c r="AB84" i="20" s="1"/>
  <c r="AD83" i="20" a="1"/>
  <c r="AD83" i="20" s="1"/>
  <c r="AC83" i="20" a="1"/>
  <c r="AC83" i="20" s="1"/>
  <c r="AB83" i="20" a="1"/>
  <c r="AB83" i="20" s="1"/>
  <c r="AD82" i="20" a="1"/>
  <c r="AD82" i="20" s="1"/>
  <c r="AC82" i="20" a="1"/>
  <c r="AC82" i="20" s="1"/>
  <c r="AB82" i="20" a="1"/>
  <c r="AB82" i="20" s="1"/>
  <c r="AD81" i="20" a="1"/>
  <c r="AD81" i="20" s="1"/>
  <c r="AC81" i="20" a="1"/>
  <c r="AC81" i="20" s="1"/>
  <c r="AB81" i="20" a="1"/>
  <c r="AB81" i="20" s="1"/>
  <c r="AD80" i="20" a="1"/>
  <c r="AD80" i="20" s="1"/>
  <c r="AC80" i="20" a="1"/>
  <c r="AC80" i="20" s="1"/>
  <c r="AB80" i="20" a="1"/>
  <c r="AB80" i="20" s="1"/>
  <c r="AD79" i="20" a="1"/>
  <c r="AD79" i="20" s="1"/>
  <c r="AC79" i="20" a="1"/>
  <c r="AC79" i="20" s="1"/>
  <c r="AB79" i="20" a="1"/>
  <c r="AB79" i="20" s="1"/>
  <c r="AA84" i="20" a="1"/>
  <c r="AA84" i="20" s="1"/>
  <c r="AA83" i="20" a="1"/>
  <c r="AA83" i="20" s="1"/>
  <c r="AK38" i="20" s="1"/>
  <c r="J44" i="20" s="1"/>
  <c r="AA82" i="20" a="1"/>
  <c r="AA82" i="20" s="1"/>
  <c r="AA81" i="20" a="1"/>
  <c r="AA81" i="20" s="1"/>
  <c r="AA80" i="20" a="1"/>
  <c r="AA80" i="20" s="1"/>
  <c r="AA79" i="20" a="1"/>
  <c r="AA79" i="20" s="1"/>
  <c r="AK34" i="20" s="1"/>
  <c r="J40" i="20" s="1"/>
  <c r="AG67" i="20" a="1"/>
  <c r="AG67" i="20" s="1"/>
  <c r="AD67" i="20" a="1"/>
  <c r="AD67" i="20" s="1"/>
  <c r="AC67" i="20" a="1"/>
  <c r="AC67" i="20" s="1"/>
  <c r="AB67" i="20" a="1"/>
  <c r="AB67" i="20" s="1"/>
  <c r="AA67" i="20" a="1"/>
  <c r="AA67" i="20" s="1"/>
  <c r="AG66" i="20" a="1"/>
  <c r="AG66" i="20" s="1"/>
  <c r="AD66" i="20" a="1"/>
  <c r="AD66" i="20" s="1"/>
  <c r="AC66" i="20" a="1"/>
  <c r="AC66" i="20" s="1"/>
  <c r="AB66" i="20" a="1"/>
  <c r="AB66" i="20" s="1"/>
  <c r="AA66" i="20" a="1"/>
  <c r="AA66" i="20" s="1"/>
  <c r="AG65" i="20" a="1"/>
  <c r="AG65" i="20" s="1"/>
  <c r="AE65" i="20" s="1"/>
  <c r="AD65" i="20" a="1"/>
  <c r="AD65" i="20" s="1"/>
  <c r="AC65" i="20" a="1"/>
  <c r="AC65" i="20" s="1"/>
  <c r="AB65" i="20" a="1"/>
  <c r="AB65" i="20" s="1"/>
  <c r="AA65" i="20" a="1"/>
  <c r="AA65" i="20" s="1"/>
  <c r="AG64" i="20" a="1"/>
  <c r="AG64" i="20" s="1"/>
  <c r="AD64" i="20" a="1"/>
  <c r="AD64" i="20" s="1"/>
  <c r="AC64" i="20" a="1"/>
  <c r="AC64" i="20" s="1"/>
  <c r="AB64" i="20" a="1"/>
  <c r="AB64" i="20" s="1"/>
  <c r="AA64" i="20" a="1"/>
  <c r="AA64" i="20" s="1"/>
  <c r="AG63" i="20" a="1"/>
  <c r="AG63" i="20" s="1"/>
  <c r="AD63" i="20" a="1"/>
  <c r="AD63" i="20" s="1"/>
  <c r="AC63" i="20" a="1"/>
  <c r="AC63" i="20" s="1"/>
  <c r="AB63" i="20" a="1"/>
  <c r="AB63" i="20" s="1"/>
  <c r="AA63" i="20" a="1"/>
  <c r="AA63" i="20" s="1"/>
  <c r="AG62" i="20" a="1"/>
  <c r="AG62" i="20" s="1"/>
  <c r="AD62" i="20" a="1"/>
  <c r="AD62" i="20" s="1"/>
  <c r="AC62" i="20" a="1"/>
  <c r="AC62" i="20" s="1"/>
  <c r="AB62" i="20" a="1"/>
  <c r="AB62" i="20" s="1"/>
  <c r="AA62" i="20" a="1"/>
  <c r="AA62" i="20" s="1"/>
  <c r="AG61" i="20" a="1"/>
  <c r="AG61" i="20" s="1"/>
  <c r="AE61" i="20" s="1"/>
  <c r="AF61" i="20" s="1"/>
  <c r="AD61" i="20" a="1"/>
  <c r="AD61" i="20" s="1"/>
  <c r="AC61" i="20" a="1"/>
  <c r="AC61" i="20" s="1"/>
  <c r="AB61" i="20" a="1"/>
  <c r="AB61" i="20" s="1"/>
  <c r="AA61" i="20" a="1"/>
  <c r="AA61" i="20" s="1"/>
  <c r="AG60" i="20" a="1"/>
  <c r="AG60" i="20" s="1"/>
  <c r="AD60" i="20" a="1"/>
  <c r="AD60" i="20" s="1"/>
  <c r="AC60" i="20" a="1"/>
  <c r="AC60" i="20" s="1"/>
  <c r="AB60" i="20" a="1"/>
  <c r="AB60" i="20" s="1"/>
  <c r="AA60" i="20" a="1"/>
  <c r="AA60" i="20" s="1"/>
  <c r="AG59" i="20" a="1"/>
  <c r="AG59" i="20" s="1"/>
  <c r="AD59" i="20" a="1"/>
  <c r="AD59" i="20" s="1"/>
  <c r="AC59" i="20" a="1"/>
  <c r="AC59" i="20" s="1"/>
  <c r="AB59" i="20" a="1"/>
  <c r="AB59" i="20" s="1"/>
  <c r="AA59" i="20" a="1"/>
  <c r="AA59" i="20" s="1"/>
  <c r="AG58" i="20" a="1"/>
  <c r="AG58" i="20" s="1"/>
  <c r="AD58" i="20" a="1"/>
  <c r="AD58" i="20" s="1"/>
  <c r="AC58" i="20" a="1"/>
  <c r="AC58" i="20" s="1"/>
  <c r="AB58" i="20" a="1"/>
  <c r="AB58" i="20" s="1"/>
  <c r="AA58" i="20" a="1"/>
  <c r="AA58" i="20" s="1"/>
  <c r="AG57" i="20" a="1"/>
  <c r="AG57" i="20" s="1"/>
  <c r="AD57" i="20" a="1"/>
  <c r="AD57" i="20" s="1"/>
  <c r="AC57" i="20" a="1"/>
  <c r="AC57" i="20" s="1"/>
  <c r="AB57" i="20" a="1"/>
  <c r="AB57" i="20" s="1"/>
  <c r="AA57" i="20" a="1"/>
  <c r="AA57" i="20" s="1"/>
  <c r="AG56" i="20" a="1"/>
  <c r="AG56" i="20" s="1"/>
  <c r="AD56" i="20" a="1"/>
  <c r="AD56" i="20" s="1"/>
  <c r="AC56" i="20" a="1"/>
  <c r="AC56" i="20" s="1"/>
  <c r="AB56" i="20" a="1"/>
  <c r="AB56" i="20" s="1"/>
  <c r="AA56" i="20" a="1"/>
  <c r="AA56" i="20" s="1"/>
  <c r="AG54" i="20" a="1"/>
  <c r="AG54" i="20" s="1"/>
  <c r="AD54" i="20" a="1"/>
  <c r="AD54" i="20" s="1"/>
  <c r="AC54" i="20" a="1"/>
  <c r="AC54" i="20" s="1"/>
  <c r="AB54" i="20" a="1"/>
  <c r="AB54" i="20" s="1"/>
  <c r="AA54" i="20" a="1"/>
  <c r="AA54" i="20" s="1"/>
  <c r="AG53" i="20" a="1"/>
  <c r="AG53" i="20" s="1"/>
  <c r="AD53" i="20" a="1"/>
  <c r="AD53" i="20" s="1"/>
  <c r="AC53" i="20" a="1"/>
  <c r="AC53" i="20" s="1"/>
  <c r="AB53" i="20" a="1"/>
  <c r="AB53" i="20" s="1"/>
  <c r="AA53" i="20" a="1"/>
  <c r="AA53" i="20" s="1"/>
  <c r="AG52" i="20" a="1"/>
  <c r="AG52" i="20" s="1"/>
  <c r="AE52" i="20" s="1"/>
  <c r="AF52" i="20" s="1"/>
  <c r="AD52" i="20" a="1"/>
  <c r="AD52" i="20" s="1"/>
  <c r="AC52" i="20" a="1"/>
  <c r="AC52" i="20" s="1"/>
  <c r="AB52" i="20" a="1"/>
  <c r="AB52" i="20" s="1"/>
  <c r="AA52" i="20" a="1"/>
  <c r="AA52" i="20" s="1"/>
  <c r="AG51" i="20" a="1"/>
  <c r="AG51" i="20" s="1"/>
  <c r="AD51" i="20" a="1"/>
  <c r="AD51" i="20" s="1"/>
  <c r="AC51" i="20" a="1"/>
  <c r="AC51" i="20" s="1"/>
  <c r="AB51" i="20" a="1"/>
  <c r="AB51" i="20" s="1"/>
  <c r="AA51" i="20" a="1"/>
  <c r="AA51" i="20" s="1"/>
  <c r="AG50" i="20" a="1"/>
  <c r="AG50" i="20" s="1"/>
  <c r="AD50" i="20" a="1"/>
  <c r="AD50" i="20" s="1"/>
  <c r="AC50" i="20" a="1"/>
  <c r="AC50" i="20" s="1"/>
  <c r="AB50" i="20" a="1"/>
  <c r="AB50" i="20" s="1"/>
  <c r="AA50" i="20" a="1"/>
  <c r="AA50" i="20" s="1"/>
  <c r="AG49" i="20" a="1"/>
  <c r="AG49" i="20" s="1"/>
  <c r="AD49" i="20" a="1"/>
  <c r="AD49" i="20" s="1"/>
  <c r="AC49" i="20" a="1"/>
  <c r="AC49" i="20" s="1"/>
  <c r="AB49" i="20" a="1"/>
  <c r="AB49" i="20" s="1"/>
  <c r="AA49" i="20" a="1"/>
  <c r="AA49" i="20" s="1"/>
  <c r="AG48" i="20" a="1"/>
  <c r="AG48" i="20" s="1"/>
  <c r="AE48" i="20" s="1"/>
  <c r="AF48" i="20" s="1"/>
  <c r="AD48" i="20" a="1"/>
  <c r="AD48" i="20" s="1"/>
  <c r="AC48" i="20" a="1"/>
  <c r="AC48" i="20" s="1"/>
  <c r="AB48" i="20" a="1"/>
  <c r="AB48" i="20" s="1"/>
  <c r="AA48" i="20" a="1"/>
  <c r="AA48" i="20" s="1"/>
  <c r="AG47" i="20" a="1"/>
  <c r="AG47" i="20" s="1"/>
  <c r="AD47" i="20" a="1"/>
  <c r="AD47" i="20" s="1"/>
  <c r="AC47" i="20" a="1"/>
  <c r="AC47" i="20" s="1"/>
  <c r="AB47" i="20" a="1"/>
  <c r="AB47" i="20" s="1"/>
  <c r="AA47" i="20" a="1"/>
  <c r="AA47" i="20" s="1"/>
  <c r="AG46" i="20" a="1"/>
  <c r="AG46" i="20" s="1"/>
  <c r="AD46" i="20" a="1"/>
  <c r="AD46" i="20" s="1"/>
  <c r="AC46" i="20" a="1"/>
  <c r="AC46" i="20" s="1"/>
  <c r="AB46" i="20" a="1"/>
  <c r="AB46" i="20" s="1"/>
  <c r="AA46" i="20" a="1"/>
  <c r="AA46" i="20" s="1"/>
  <c r="AG45" i="20" a="1"/>
  <c r="AG45" i="20" s="1"/>
  <c r="AD45" i="20" a="1"/>
  <c r="AD45" i="20" s="1"/>
  <c r="AC45" i="20" a="1"/>
  <c r="AC45" i="20" s="1"/>
  <c r="AB45" i="20" a="1"/>
  <c r="AB45" i="20" s="1"/>
  <c r="AA45" i="20" a="1"/>
  <c r="AA45" i="20" s="1"/>
  <c r="AG44" i="20" a="1"/>
  <c r="AG44" i="20" s="1"/>
  <c r="AE44" i="20" s="1"/>
  <c r="AF44" i="20" s="1"/>
  <c r="AD44" i="20" a="1"/>
  <c r="AD44" i="20" s="1"/>
  <c r="AC44" i="20" a="1"/>
  <c r="AC44" i="20" s="1"/>
  <c r="AB44" i="20" a="1"/>
  <c r="AB44" i="20" s="1"/>
  <c r="AA44" i="20" a="1"/>
  <c r="AA44" i="20" s="1"/>
  <c r="AG43" i="20" a="1"/>
  <c r="AG43" i="20" s="1"/>
  <c r="AD43" i="20" a="1"/>
  <c r="AD43" i="20" s="1"/>
  <c r="AC43" i="20" a="1"/>
  <c r="AC43" i="20" s="1"/>
  <c r="AB43" i="20" a="1"/>
  <c r="AB43" i="20" s="1"/>
  <c r="AA43" i="20" a="1"/>
  <c r="AA43" i="20" s="1"/>
  <c r="AG41" i="20" a="1"/>
  <c r="AG41" i="20" s="1"/>
  <c r="AD41" i="20" a="1"/>
  <c r="AD41" i="20" s="1"/>
  <c r="AN28" i="20" s="1"/>
  <c r="AC41" i="20" a="1"/>
  <c r="AC41" i="20" s="1"/>
  <c r="AM28" i="20" s="1"/>
  <c r="AB41" i="20" a="1"/>
  <c r="AB41" i="20" s="1"/>
  <c r="AL28" i="20" s="1"/>
  <c r="AA41" i="20" a="1"/>
  <c r="AA41" i="20" s="1"/>
  <c r="AK28" i="20" s="1"/>
  <c r="AG40" i="20" a="1"/>
  <c r="AG40" i="20" s="1"/>
  <c r="AD40" i="20" a="1"/>
  <c r="AD40" i="20" s="1"/>
  <c r="AN27" i="20" s="1"/>
  <c r="AC40" i="20" a="1"/>
  <c r="AC40" i="20" s="1"/>
  <c r="AM27" i="20" s="1"/>
  <c r="AB40" i="20" a="1"/>
  <c r="AB40" i="20" s="1"/>
  <c r="AL27" i="20" s="1"/>
  <c r="AA40" i="20" a="1"/>
  <c r="AA40" i="20" s="1"/>
  <c r="AK27" i="20" s="1"/>
  <c r="AG39" i="20" a="1"/>
  <c r="AG39" i="20" s="1"/>
  <c r="AE39" i="20" s="1"/>
  <c r="AF39" i="20" s="1"/>
  <c r="AD39" i="20" a="1"/>
  <c r="AD39" i="20" s="1"/>
  <c r="AN26" i="20" s="1"/>
  <c r="AC39" i="20" a="1"/>
  <c r="AC39" i="20" s="1"/>
  <c r="AM26" i="20" s="1"/>
  <c r="AB39" i="20" a="1"/>
  <c r="AB39" i="20" s="1"/>
  <c r="AL26" i="20" s="1"/>
  <c r="AA39" i="20" a="1"/>
  <c r="AA39" i="20" s="1"/>
  <c r="AK26" i="20" s="1"/>
  <c r="AG38" i="20" a="1"/>
  <c r="AG38" i="20" s="1"/>
  <c r="AQ25" i="20" s="1"/>
  <c r="AD38" i="20" a="1"/>
  <c r="AD38" i="20" s="1"/>
  <c r="AN25" i="20" s="1"/>
  <c r="AC38" i="20" a="1"/>
  <c r="AC38" i="20" s="1"/>
  <c r="AM25" i="20" s="1"/>
  <c r="AB38" i="20" a="1"/>
  <c r="AB38" i="20" s="1"/>
  <c r="AL25" i="20" s="1"/>
  <c r="AA38" i="20" a="1"/>
  <c r="AA38" i="20" s="1"/>
  <c r="AK25" i="20" s="1"/>
  <c r="AG37" i="20" a="1"/>
  <c r="AG37" i="20" s="1"/>
  <c r="AQ24" i="20" s="1"/>
  <c r="AD37" i="20" a="1"/>
  <c r="AD37" i="20" s="1"/>
  <c r="AC37" i="20" a="1"/>
  <c r="AC37" i="20" s="1"/>
  <c r="AM24" i="20" s="1"/>
  <c r="AB37" i="20" a="1"/>
  <c r="AB37" i="20" s="1"/>
  <c r="AL24" i="20" s="1"/>
  <c r="AA37" i="20" a="1"/>
  <c r="AA37" i="20" s="1"/>
  <c r="AK24" i="20" s="1"/>
  <c r="AG36" i="20" a="1"/>
  <c r="AG36" i="20" s="1"/>
  <c r="AQ23" i="20" s="1"/>
  <c r="AD36" i="20" a="1"/>
  <c r="AD36" i="20" s="1"/>
  <c r="AN23" i="20" s="1"/>
  <c r="AC36" i="20" a="1"/>
  <c r="AC36" i="20" s="1"/>
  <c r="AM23" i="20" s="1"/>
  <c r="AB36" i="20" a="1"/>
  <c r="AB36" i="20" s="1"/>
  <c r="AL23" i="20" s="1"/>
  <c r="AA36" i="20" a="1"/>
  <c r="AA36" i="20" s="1"/>
  <c r="AK23" i="20" s="1"/>
  <c r="AG35" i="20" a="1"/>
  <c r="AG35" i="20" s="1"/>
  <c r="AQ22" i="20" s="1"/>
  <c r="AD35" i="20" a="1"/>
  <c r="AD35" i="20" s="1"/>
  <c r="AN22" i="20" s="1"/>
  <c r="AC35" i="20" a="1"/>
  <c r="AC35" i="20" s="1"/>
  <c r="AM22" i="20" s="1"/>
  <c r="AB35" i="20" a="1"/>
  <c r="AB35" i="20" s="1"/>
  <c r="AL22" i="20" s="1"/>
  <c r="AA35" i="20" a="1"/>
  <c r="AA35" i="20" s="1"/>
  <c r="AK22" i="20" s="1"/>
  <c r="AG34" i="20" a="1"/>
  <c r="AG34" i="20" s="1"/>
  <c r="AQ21" i="20" s="1"/>
  <c r="AD34" i="20" a="1"/>
  <c r="AD34" i="20" s="1"/>
  <c r="AN21" i="20" s="1"/>
  <c r="AC34" i="20" a="1"/>
  <c r="AC34" i="20" s="1"/>
  <c r="AM21" i="20" s="1"/>
  <c r="AB34" i="20" a="1"/>
  <c r="AB34" i="20" s="1"/>
  <c r="AA34" i="20" a="1"/>
  <c r="AA34" i="20" s="1"/>
  <c r="AK21" i="20" s="1"/>
  <c r="AG33" i="20" a="1"/>
  <c r="AG33" i="20" s="1"/>
  <c r="AD33" i="20" a="1"/>
  <c r="AD33" i="20" s="1"/>
  <c r="AN20" i="20" s="1"/>
  <c r="AC33" i="20" a="1"/>
  <c r="AC33" i="20" s="1"/>
  <c r="AM20" i="20" s="1"/>
  <c r="AB33" i="20" a="1"/>
  <c r="AB33" i="20" s="1"/>
  <c r="AL20" i="20" s="1"/>
  <c r="AA33" i="20" a="1"/>
  <c r="AA33" i="20" s="1"/>
  <c r="AK20" i="20" s="1"/>
  <c r="AG32" i="20" a="1"/>
  <c r="AG32" i="20" s="1"/>
  <c r="AD32" i="20" a="1"/>
  <c r="AD32" i="20" s="1"/>
  <c r="AN19" i="20" s="1"/>
  <c r="AC32" i="20" a="1"/>
  <c r="AC32" i="20" s="1"/>
  <c r="AM19" i="20" s="1"/>
  <c r="AB32" i="20" a="1"/>
  <c r="AB32" i="20" s="1"/>
  <c r="AL19" i="20" s="1"/>
  <c r="AA32" i="20" a="1"/>
  <c r="AA32" i="20" s="1"/>
  <c r="AK19" i="20" s="1"/>
  <c r="AG31" i="20" a="1"/>
  <c r="AG31" i="20" s="1"/>
  <c r="AD31" i="20" a="1"/>
  <c r="AD31" i="20" s="1"/>
  <c r="AN18" i="20" s="1"/>
  <c r="AC31" i="20" a="1"/>
  <c r="AC31" i="20" s="1"/>
  <c r="AM18" i="20" s="1"/>
  <c r="AB31" i="20" a="1"/>
  <c r="AB31" i="20" s="1"/>
  <c r="AL18" i="20" s="1"/>
  <c r="AA31" i="20" a="1"/>
  <c r="AA31" i="20" s="1"/>
  <c r="AK18" i="20" s="1"/>
  <c r="AG30" i="20" a="1"/>
  <c r="AG30" i="20" s="1"/>
  <c r="AD30" i="20" a="1"/>
  <c r="AD30" i="20" s="1"/>
  <c r="AN17" i="20" s="1"/>
  <c r="AC30" i="20" a="1"/>
  <c r="AC30" i="20" s="1"/>
  <c r="AM17" i="20" s="1"/>
  <c r="AB30" i="20" a="1"/>
  <c r="AB30" i="20" s="1"/>
  <c r="AL17" i="20" s="1"/>
  <c r="AA30" i="20" a="1"/>
  <c r="AA30" i="20" s="1"/>
  <c r="AK17" i="20" s="1"/>
  <c r="AG28" i="20" a="1"/>
  <c r="AG28" i="20" s="1"/>
  <c r="AG27" i="20" a="1"/>
  <c r="AG27" i="20" s="1"/>
  <c r="AG26" i="20" a="1"/>
  <c r="AG26" i="20" s="1"/>
  <c r="AG25" i="20" a="1"/>
  <c r="AG25" i="20" s="1"/>
  <c r="AG24" i="20" a="1"/>
  <c r="AG24" i="20" s="1"/>
  <c r="AG23" i="20" a="1"/>
  <c r="AG23" i="20" s="1"/>
  <c r="AG22" i="20" a="1"/>
  <c r="AG22" i="20" s="1"/>
  <c r="AG21" i="20" a="1"/>
  <c r="AG21" i="20" s="1"/>
  <c r="AG20" i="20" a="1"/>
  <c r="AG20" i="20" s="1"/>
  <c r="AG19" i="20" a="1"/>
  <c r="AG19" i="20" s="1"/>
  <c r="AE19" i="20" s="1"/>
  <c r="AF19" i="20" s="1"/>
  <c r="AG18" i="20" a="1"/>
  <c r="AG18" i="20" s="1"/>
  <c r="AG17" i="20" a="1"/>
  <c r="AG17" i="20" s="1"/>
  <c r="AD28" i="20" a="1"/>
  <c r="AD28" i="20" s="1"/>
  <c r="AC28" i="20" a="1"/>
  <c r="AC28" i="20" s="1"/>
  <c r="AB28" i="20" a="1"/>
  <c r="AB28" i="20" s="1"/>
  <c r="AD27" i="20" a="1"/>
  <c r="AD27" i="20" s="1"/>
  <c r="AC27" i="20" a="1"/>
  <c r="AC27" i="20" s="1"/>
  <c r="AB27" i="20" a="1"/>
  <c r="AB27" i="20" s="1"/>
  <c r="AD26" i="20" a="1"/>
  <c r="AD26" i="20" s="1"/>
  <c r="AC26" i="20" a="1"/>
  <c r="AC26" i="20" s="1"/>
  <c r="AB26" i="20" a="1"/>
  <c r="AB26" i="20" s="1"/>
  <c r="AD25" i="20" a="1"/>
  <c r="AD25" i="20" s="1"/>
  <c r="AC25" i="20" a="1"/>
  <c r="AC25" i="20" s="1"/>
  <c r="AB25" i="20" a="1"/>
  <c r="AB25" i="20" s="1"/>
  <c r="AD24" i="20" a="1"/>
  <c r="AD24" i="20" s="1"/>
  <c r="AC24" i="20" a="1"/>
  <c r="AC24" i="20" s="1"/>
  <c r="AB24" i="20" a="1"/>
  <c r="AB24" i="20" s="1"/>
  <c r="AD23" i="20" a="1"/>
  <c r="AD23" i="20" s="1"/>
  <c r="AC23" i="20" a="1"/>
  <c r="AC23" i="20" s="1"/>
  <c r="AB23" i="20" a="1"/>
  <c r="AB23" i="20" s="1"/>
  <c r="AD22" i="20" a="1"/>
  <c r="AD22" i="20" s="1"/>
  <c r="AC22" i="20" a="1"/>
  <c r="AC22" i="20" s="1"/>
  <c r="AB22" i="20" a="1"/>
  <c r="AB22" i="20" s="1"/>
  <c r="AD21" i="20" a="1"/>
  <c r="AD21" i="20" s="1"/>
  <c r="AC21" i="20" a="1"/>
  <c r="AC21" i="20" s="1"/>
  <c r="AB21" i="20" a="1"/>
  <c r="AB21" i="20" s="1"/>
  <c r="AD20" i="20" a="1"/>
  <c r="AD20" i="20" s="1"/>
  <c r="AC20" i="20" a="1"/>
  <c r="AC20" i="20" s="1"/>
  <c r="AB20" i="20" a="1"/>
  <c r="AB20" i="20" s="1"/>
  <c r="AD19" i="20" a="1"/>
  <c r="AD19" i="20" s="1"/>
  <c r="AC19" i="20" a="1"/>
  <c r="AC19" i="20" s="1"/>
  <c r="AB19" i="20" a="1"/>
  <c r="AB19" i="20" s="1"/>
  <c r="AD18" i="20" a="1"/>
  <c r="AD18" i="20" s="1"/>
  <c r="AC18" i="20" a="1"/>
  <c r="AC18" i="20" s="1"/>
  <c r="AB18" i="20" a="1"/>
  <c r="AB18" i="20" s="1"/>
  <c r="AD17" i="20" a="1"/>
  <c r="AD17" i="20" s="1"/>
  <c r="AC17" i="20" a="1"/>
  <c r="AC17" i="20" s="1"/>
  <c r="AB17" i="20" a="1"/>
  <c r="AB17" i="20" s="1"/>
  <c r="AA28" i="20" a="1"/>
  <c r="AA28" i="20" s="1"/>
  <c r="AA27" i="20" a="1"/>
  <c r="AA27" i="20" s="1"/>
  <c r="AA26" i="20" a="1"/>
  <c r="AA26" i="20" s="1"/>
  <c r="AA25" i="20" a="1"/>
  <c r="AA25" i="20" s="1"/>
  <c r="AA24" i="20" a="1"/>
  <c r="AA24" i="20" s="1"/>
  <c r="AA23" i="20" a="1"/>
  <c r="AA23" i="20" s="1"/>
  <c r="AA22" i="20" a="1"/>
  <c r="AA22" i="20" s="1"/>
  <c r="AA21" i="20" a="1"/>
  <c r="AA21" i="20" s="1"/>
  <c r="AA20" i="20" a="1"/>
  <c r="AA20" i="20" s="1"/>
  <c r="AA19" i="20" a="1"/>
  <c r="AA19" i="20" s="1"/>
  <c r="AA18" i="20" a="1"/>
  <c r="AA18" i="20" s="1"/>
  <c r="AA17" i="20" a="1"/>
  <c r="AA17" i="20"/>
  <c r="AG15" i="20" a="1"/>
  <c r="AG15" i="20" s="1"/>
  <c r="AQ15" i="20" s="1"/>
  <c r="AG14" i="20" a="1"/>
  <c r="AG14" i="20" s="1"/>
  <c r="AQ14" i="20" s="1"/>
  <c r="AG13" i="20" a="1"/>
  <c r="AG13" i="20" s="1"/>
  <c r="AG12" i="20" a="1"/>
  <c r="AG12" i="20" s="1"/>
  <c r="AG11" i="20" a="1"/>
  <c r="AG11" i="20" s="1"/>
  <c r="AG10" i="20" a="1"/>
  <c r="AG10" i="20" s="1"/>
  <c r="AG9" i="20" a="1"/>
  <c r="AG9" i="20" s="1"/>
  <c r="AG8" i="20" a="1"/>
  <c r="AG8" i="20" s="1"/>
  <c r="AG7" i="20" a="1"/>
  <c r="AG7" i="20" s="1"/>
  <c r="AG6" i="20" a="1"/>
  <c r="AG6" i="20" s="1"/>
  <c r="AG5" i="20" a="1"/>
  <c r="AG5" i="20" s="1"/>
  <c r="AG4" i="20" a="1"/>
  <c r="AG4" i="20" s="1"/>
  <c r="AD15" i="20" a="1"/>
  <c r="AD15" i="20" s="1"/>
  <c r="AC15" i="20" a="1"/>
  <c r="AC15" i="20" s="1"/>
  <c r="AM15" i="20" s="1"/>
  <c r="AB15" i="20" a="1"/>
  <c r="AB15" i="20" s="1"/>
  <c r="AL15" i="20" s="1"/>
  <c r="AD14" i="20" a="1"/>
  <c r="AD14" i="20" s="1"/>
  <c r="AC14" i="20" a="1"/>
  <c r="AC14" i="20" s="1"/>
  <c r="AB14" i="20" a="1"/>
  <c r="AB14" i="20" s="1"/>
  <c r="AL14" i="20" s="1"/>
  <c r="AD13" i="20" a="1"/>
  <c r="AD13" i="20" s="1"/>
  <c r="AC13" i="20" a="1"/>
  <c r="AC13" i="20" s="1"/>
  <c r="AM13" i="20" s="1"/>
  <c r="AB13" i="20" a="1"/>
  <c r="AB13" i="20" s="1"/>
  <c r="AL13" i="20" s="1"/>
  <c r="AD12" i="20" a="1"/>
  <c r="AD12" i="20" s="1"/>
  <c r="AN12" i="20" s="1"/>
  <c r="AC12" i="20" a="1"/>
  <c r="AC12" i="20" s="1"/>
  <c r="AB12" i="20" a="1"/>
  <c r="AB12" i="20" s="1"/>
  <c r="AL12" i="20" s="1"/>
  <c r="AD11" i="20" a="1"/>
  <c r="AD11" i="20" s="1"/>
  <c r="AC11" i="20" a="1"/>
  <c r="AC11" i="20" s="1"/>
  <c r="AM11" i="20" s="1"/>
  <c r="AB11" i="20" a="1"/>
  <c r="AB11" i="20" s="1"/>
  <c r="AL11" i="20" s="1"/>
  <c r="AD10" i="20" a="1"/>
  <c r="AD10" i="20" s="1"/>
  <c r="AN10" i="20" s="1"/>
  <c r="AC10" i="20" a="1"/>
  <c r="AC10" i="20" s="1"/>
  <c r="AB10" i="20" a="1"/>
  <c r="AB10" i="20" s="1"/>
  <c r="AD9" i="20" a="1"/>
  <c r="AD9" i="20" s="1"/>
  <c r="AC9" i="20" a="1"/>
  <c r="AC9" i="20" s="1"/>
  <c r="AB9" i="20" a="1"/>
  <c r="AB9" i="20" s="1"/>
  <c r="AD8" i="20" a="1"/>
  <c r="AD8" i="20" s="1"/>
  <c r="AN8" i="20" s="1"/>
  <c r="AC8" i="20" a="1"/>
  <c r="AC8" i="20" s="1"/>
  <c r="AM8" i="20" s="1"/>
  <c r="AB8" i="20" a="1"/>
  <c r="AB8" i="20" s="1"/>
  <c r="AD7" i="20" a="1"/>
  <c r="AD7" i="20" s="1"/>
  <c r="AC7" i="20" a="1"/>
  <c r="AC7" i="20" s="1"/>
  <c r="AM7" i="20" s="1"/>
  <c r="AB7" i="20" a="1"/>
  <c r="AB7" i="20" s="1"/>
  <c r="AD6" i="20" a="1"/>
  <c r="AD6" i="20" s="1"/>
  <c r="AN6" i="20" s="1"/>
  <c r="AC6" i="20" a="1"/>
  <c r="AC6" i="20" s="1"/>
  <c r="AM6" i="20" s="1"/>
  <c r="AB6" i="20" a="1"/>
  <c r="AB6" i="20" s="1"/>
  <c r="AL6" i="20" s="1"/>
  <c r="AD5" i="20" a="1"/>
  <c r="AD5" i="20" s="1"/>
  <c r="AC5" i="20" a="1"/>
  <c r="AC5" i="20" s="1"/>
  <c r="AM5" i="20" s="1"/>
  <c r="AB5" i="20" a="1"/>
  <c r="AB5" i="20" s="1"/>
  <c r="AD4" i="20" a="1"/>
  <c r="AD4" i="20" s="1"/>
  <c r="AN4" i="20" s="1"/>
  <c r="AC4" i="20" a="1"/>
  <c r="AC4" i="20" s="1"/>
  <c r="AM4" i="20" s="1"/>
  <c r="AB4" i="20" a="1"/>
  <c r="AB4" i="20" s="1"/>
  <c r="AL4" i="20" s="1"/>
  <c r="AA15" i="20" a="1"/>
  <c r="AA15" i="20" s="1"/>
  <c r="AK15" i="20" s="1"/>
  <c r="AA14" i="20" a="1"/>
  <c r="AA14" i="20" s="1"/>
  <c r="AK14" i="20" s="1"/>
  <c r="AA13" i="20" a="1"/>
  <c r="AA13" i="20" s="1"/>
  <c r="AA12" i="20" a="1"/>
  <c r="AA12" i="20" s="1"/>
  <c r="AA11" i="20" a="1"/>
  <c r="AA11" i="20" s="1"/>
  <c r="AA10" i="20" a="1"/>
  <c r="AA10" i="20" s="1"/>
  <c r="AK10" i="20" s="1"/>
  <c r="AA9" i="20" a="1"/>
  <c r="AA9" i="20" s="1"/>
  <c r="AK9" i="20" s="1"/>
  <c r="AA8" i="20" a="1"/>
  <c r="AA8" i="20" s="1"/>
  <c r="AA7" i="20" a="1"/>
  <c r="AA7" i="20" s="1"/>
  <c r="AK7" i="20" s="1"/>
  <c r="AA6" i="20" a="1"/>
  <c r="AA6" i="20" s="1"/>
  <c r="AK6" i="20" s="1"/>
  <c r="AA5" i="20" a="1"/>
  <c r="AA5" i="20" s="1"/>
  <c r="AA4" i="20" a="1"/>
  <c r="AA4" i="20" s="1"/>
  <c r="AK4" i="20" s="1"/>
  <c r="M18" i="32"/>
  <c r="L18" i="32"/>
  <c r="K18" i="32"/>
  <c r="J18" i="32"/>
  <c r="I18" i="32"/>
  <c r="H18" i="32"/>
  <c r="G18" i="32"/>
  <c r="V51" i="31"/>
  <c r="U51" i="31"/>
  <c r="T51" i="31"/>
  <c r="U50" i="31"/>
  <c r="T50" i="31"/>
  <c r="S50" i="31"/>
  <c r="T49" i="31"/>
  <c r="S49" i="31"/>
  <c r="R49" i="31"/>
  <c r="S48" i="31"/>
  <c r="R48" i="31"/>
  <c r="Q48" i="31"/>
  <c r="P48" i="31"/>
  <c r="R47" i="31"/>
  <c r="Q47" i="31"/>
  <c r="P47" i="31"/>
  <c r="Q46" i="31"/>
  <c r="P46" i="31"/>
  <c r="P45" i="31"/>
  <c r="V44" i="31"/>
  <c r="U44" i="31"/>
  <c r="T44" i="31"/>
  <c r="U43" i="31"/>
  <c r="T43" i="31"/>
  <c r="S43" i="31"/>
  <c r="T42" i="31"/>
  <c r="S42" i="31"/>
  <c r="R42" i="31"/>
  <c r="S41" i="31"/>
  <c r="R41" i="31"/>
  <c r="Q41" i="31"/>
  <c r="P41" i="31"/>
  <c r="R40" i="31"/>
  <c r="Q40" i="31"/>
  <c r="P40" i="31"/>
  <c r="Q39" i="31"/>
  <c r="P39" i="31"/>
  <c r="P38" i="31"/>
  <c r="V37" i="31"/>
  <c r="U37" i="31"/>
  <c r="T37" i="31"/>
  <c r="U36" i="31"/>
  <c r="T36" i="31"/>
  <c r="S36" i="31"/>
  <c r="T35" i="31"/>
  <c r="S35" i="31"/>
  <c r="R35" i="31"/>
  <c r="S34" i="31"/>
  <c r="R34" i="31"/>
  <c r="Q34" i="31"/>
  <c r="P34" i="31"/>
  <c r="R33" i="31"/>
  <c r="Q33" i="31"/>
  <c r="P33" i="31"/>
  <c r="Q32" i="31"/>
  <c r="P32" i="31"/>
  <c r="P31" i="31"/>
  <c r="P24" i="31"/>
  <c r="V30" i="31"/>
  <c r="U30" i="31"/>
  <c r="T30" i="31"/>
  <c r="U29" i="31"/>
  <c r="T29" i="31"/>
  <c r="S29" i="31"/>
  <c r="T28" i="31"/>
  <c r="S28" i="31"/>
  <c r="R28" i="31"/>
  <c r="S27" i="31"/>
  <c r="R27" i="31"/>
  <c r="Q27" i="31"/>
  <c r="P27" i="31"/>
  <c r="R26" i="31"/>
  <c r="Q26" i="31"/>
  <c r="P26" i="31"/>
  <c r="Q25" i="31"/>
  <c r="P25" i="31"/>
  <c r="P90" i="20"/>
  <c r="O90" i="20"/>
  <c r="N90" i="20"/>
  <c r="M90" i="20"/>
  <c r="L90" i="20"/>
  <c r="K90" i="20"/>
  <c r="J90" i="20"/>
  <c r="P89" i="20"/>
  <c r="O89" i="20"/>
  <c r="N89" i="20"/>
  <c r="M89" i="20"/>
  <c r="L89" i="20"/>
  <c r="K89" i="20"/>
  <c r="J89" i="20"/>
  <c r="P88" i="20"/>
  <c r="O88" i="20"/>
  <c r="N88" i="20"/>
  <c r="M88" i="20"/>
  <c r="L88" i="20"/>
  <c r="K88" i="20"/>
  <c r="J88" i="20"/>
  <c r="P87" i="20"/>
  <c r="O87" i="20"/>
  <c r="N87" i="20"/>
  <c r="M87" i="20"/>
  <c r="L87" i="20"/>
  <c r="K87" i="20"/>
  <c r="J87" i="20"/>
  <c r="AN7" i="20" l="1"/>
  <c r="AE30" i="20"/>
  <c r="AE43" i="20"/>
  <c r="AF43" i="20" s="1"/>
  <c r="AE47" i="20"/>
  <c r="AF47" i="20" s="1"/>
  <c r="AE51" i="20"/>
  <c r="AF51" i="20" s="1"/>
  <c r="AE56" i="20"/>
  <c r="AF56" i="20" s="1"/>
  <c r="AE60" i="20"/>
  <c r="AF60" i="20" s="1"/>
  <c r="AE64" i="20"/>
  <c r="AK11" i="20"/>
  <c r="AL9" i="20"/>
  <c r="AN15" i="20"/>
  <c r="AM10" i="20"/>
  <c r="AE20" i="20"/>
  <c r="AF20" i="20" s="1"/>
  <c r="AH12" i="20"/>
  <c r="AH13" i="20"/>
  <c r="AE26" i="20"/>
  <c r="AF26" i="20" s="1"/>
  <c r="AM9" i="20"/>
  <c r="AM14" i="20"/>
  <c r="AE31" i="20"/>
  <c r="AF31" i="20" s="1"/>
  <c r="AE27" i="20"/>
  <c r="AF27" i="20" s="1"/>
  <c r="AE28" i="20"/>
  <c r="AF28" i="20" s="1"/>
  <c r="AK12" i="20"/>
  <c r="AK5" i="20"/>
  <c r="AL7" i="20"/>
  <c r="AN13" i="20"/>
  <c r="AK39" i="20"/>
  <c r="J45" i="20" s="1"/>
  <c r="AQ35" i="20"/>
  <c r="P41" i="20" s="1"/>
  <c r="AL34" i="20"/>
  <c r="K40" i="20" s="1"/>
  <c r="AQ36" i="20"/>
  <c r="P42" i="20" s="1"/>
  <c r="AE4" i="20"/>
  <c r="AF4" i="20" s="1"/>
  <c r="AQ37" i="20"/>
  <c r="P43" i="20" s="1"/>
  <c r="AK13" i="20"/>
  <c r="AN9" i="20"/>
  <c r="AE5" i="20"/>
  <c r="AF5" i="20" s="1"/>
  <c r="AE17" i="20"/>
  <c r="AF17" i="20" s="1"/>
  <c r="AQ38" i="20"/>
  <c r="P44" i="20" s="1"/>
  <c r="AH96" i="20"/>
  <c r="AL10" i="20"/>
  <c r="AE6" i="20"/>
  <c r="AF6" i="20" s="1"/>
  <c r="AE18" i="20"/>
  <c r="AF18" i="20" s="1"/>
  <c r="AQ39" i="20"/>
  <c r="P45" i="20" s="1"/>
  <c r="AE75" i="20"/>
  <c r="AF75" i="20" s="1"/>
  <c r="AM35" i="20"/>
  <c r="L41" i="20" s="1"/>
  <c r="AN34" i="20"/>
  <c r="M40" i="20" s="1"/>
  <c r="AN35" i="20"/>
  <c r="M41" i="20" s="1"/>
  <c r="AL35" i="20"/>
  <c r="K41" i="20" s="1"/>
  <c r="AE21" i="20"/>
  <c r="AF21" i="20" s="1"/>
  <c r="AH10" i="20"/>
  <c r="AL36" i="20"/>
  <c r="K42" i="20" s="1"/>
  <c r="AE22" i="20"/>
  <c r="AF22" i="20" s="1"/>
  <c r="AM36" i="20"/>
  <c r="L42" i="20" s="1"/>
  <c r="AL5" i="20"/>
  <c r="AN11" i="20"/>
  <c r="AE23" i="20"/>
  <c r="AF23" i="20" s="1"/>
  <c r="AE32" i="20"/>
  <c r="AF32" i="20" s="1"/>
  <c r="AE40" i="20"/>
  <c r="AE45" i="20"/>
  <c r="AF45" i="20" s="1"/>
  <c r="AE49" i="20"/>
  <c r="AF49" i="20" s="1"/>
  <c r="AE53" i="20"/>
  <c r="AF53" i="20" s="1"/>
  <c r="AE58" i="20"/>
  <c r="AF58" i="20" s="1"/>
  <c r="AP19" i="20" s="1"/>
  <c r="AE62" i="20"/>
  <c r="AF62" i="20" s="1"/>
  <c r="AE66" i="20"/>
  <c r="AF66" i="20" s="1"/>
  <c r="AN36" i="20"/>
  <c r="M42" i="20" s="1"/>
  <c r="AE24" i="20"/>
  <c r="AF24" i="20" s="1"/>
  <c r="AN5" i="20"/>
  <c r="AM12" i="20"/>
  <c r="AE25" i="20"/>
  <c r="AF25" i="20" s="1"/>
  <c r="AE50" i="20"/>
  <c r="AF50" i="20" s="1"/>
  <c r="AE59" i="20"/>
  <c r="AF59" i="20" s="1"/>
  <c r="AN24" i="20"/>
  <c r="AE54" i="20"/>
  <c r="AE33" i="20"/>
  <c r="AE46" i="20"/>
  <c r="AF46" i="20" s="1"/>
  <c r="AE67" i="20"/>
  <c r="AF67" i="20" s="1"/>
  <c r="AL21" i="20"/>
  <c r="AL39" i="20"/>
  <c r="K45" i="20" s="1"/>
  <c r="AM39" i="20"/>
  <c r="L45" i="20" s="1"/>
  <c r="AQ28" i="20"/>
  <c r="AE63" i="20"/>
  <c r="AF63" i="20" s="1"/>
  <c r="AK35" i="20"/>
  <c r="J41" i="20" s="1"/>
  <c r="AK36" i="20"/>
  <c r="J42" i="20" s="1"/>
  <c r="AK8" i="20"/>
  <c r="AL8" i="20"/>
  <c r="AN14" i="20"/>
  <c r="AK37" i="20"/>
  <c r="J43" i="20" s="1"/>
  <c r="AN39" i="20"/>
  <c r="M45" i="20" s="1"/>
  <c r="BI14" i="16"/>
  <c r="BI15" i="16"/>
  <c r="BI4" i="16"/>
  <c r="BI13" i="16"/>
  <c r="BI6" i="16"/>
  <c r="BI7" i="16"/>
  <c r="BI8" i="16"/>
  <c r="BI5" i="16"/>
  <c r="BI9" i="16"/>
  <c r="BI10" i="16"/>
  <c r="BI11" i="16"/>
  <c r="BI12" i="16"/>
  <c r="BI25" i="16"/>
  <c r="BF25" i="16"/>
  <c r="BG25" i="16" s="1"/>
  <c r="BI38" i="16"/>
  <c r="BF38" i="16"/>
  <c r="BF56" i="16"/>
  <c r="BG56" i="16" s="1"/>
  <c r="BI56" i="16"/>
  <c r="BI17" i="16"/>
  <c r="BF17" i="16"/>
  <c r="BG17" i="16" s="1"/>
  <c r="BI21" i="16"/>
  <c r="BF21" i="16"/>
  <c r="BG21" i="16" s="1"/>
  <c r="BF34" i="16"/>
  <c r="BI34" i="16"/>
  <c r="BI43" i="16"/>
  <c r="BF43" i="16"/>
  <c r="BG43" i="16" s="1"/>
  <c r="BF51" i="16"/>
  <c r="BG51" i="16" s="1"/>
  <c r="BI51" i="16"/>
  <c r="BI60" i="16"/>
  <c r="BF60" i="16"/>
  <c r="BG60" i="16" s="1"/>
  <c r="BI18" i="16"/>
  <c r="BF18" i="16"/>
  <c r="BG18" i="16" s="1"/>
  <c r="BF31" i="16"/>
  <c r="BI31" i="16"/>
  <c r="BI39" i="16"/>
  <c r="BF39" i="16"/>
  <c r="BF52" i="16"/>
  <c r="BG52" i="16" s="1"/>
  <c r="BI52" i="16"/>
  <c r="BI61" i="16"/>
  <c r="BF61" i="16"/>
  <c r="BG61" i="16" s="1"/>
  <c r="BF27" i="16"/>
  <c r="BG27" i="16" s="1"/>
  <c r="BI27" i="16"/>
  <c r="BI36" i="16"/>
  <c r="BF36" i="16"/>
  <c r="BI45" i="16"/>
  <c r="BF45" i="16"/>
  <c r="BG45" i="16" s="1"/>
  <c r="BF53" i="16"/>
  <c r="BG53" i="16" s="1"/>
  <c r="BI53" i="16"/>
  <c r="BI62" i="16"/>
  <c r="BF62" i="16"/>
  <c r="BG62" i="16" s="1"/>
  <c r="BF30" i="16"/>
  <c r="BI30" i="16"/>
  <c r="BI47" i="16"/>
  <c r="BF47" i="16"/>
  <c r="BG47" i="16" s="1"/>
  <c r="BI64" i="16"/>
  <c r="BF64" i="16"/>
  <c r="BG64" i="16" s="1"/>
  <c r="BF26" i="16"/>
  <c r="BG26" i="16" s="1"/>
  <c r="BI26" i="16"/>
  <c r="BF35" i="16"/>
  <c r="BI35" i="16"/>
  <c r="BF48" i="16"/>
  <c r="BG48" i="16" s="1"/>
  <c r="BI48" i="16"/>
  <c r="BF57" i="16"/>
  <c r="BG57" i="16" s="1"/>
  <c r="BI57" i="16"/>
  <c r="BI19" i="16"/>
  <c r="BF19" i="16"/>
  <c r="BG19" i="16" s="1"/>
  <c r="BI58" i="16"/>
  <c r="BF58" i="16"/>
  <c r="BG58" i="16" s="1"/>
  <c r="BI22" i="16"/>
  <c r="BF22" i="16"/>
  <c r="BG22" i="16" s="1"/>
  <c r="BI44" i="16"/>
  <c r="BF44" i="16"/>
  <c r="BG44" i="16" s="1"/>
  <c r="BI65" i="16"/>
  <c r="BF65" i="16"/>
  <c r="BG65" i="16" s="1"/>
  <c r="BI23" i="16"/>
  <c r="BF23" i="16"/>
  <c r="BG23" i="16" s="1"/>
  <c r="BF32" i="16"/>
  <c r="BI32" i="16"/>
  <c r="BI40" i="16"/>
  <c r="BF40" i="16"/>
  <c r="BF49" i="16"/>
  <c r="BG49" i="16" s="1"/>
  <c r="BI49" i="16"/>
  <c r="BI66" i="16"/>
  <c r="BF66" i="16"/>
  <c r="BG66" i="16" s="1"/>
  <c r="BI20" i="16"/>
  <c r="BF20" i="16"/>
  <c r="BG20" i="16" s="1"/>
  <c r="BI24" i="16"/>
  <c r="BF24" i="16"/>
  <c r="BG24" i="16" s="1"/>
  <c r="BF28" i="16"/>
  <c r="BG28" i="16" s="1"/>
  <c r="BI28" i="16"/>
  <c r="BF33" i="16"/>
  <c r="BG33" i="16" s="1"/>
  <c r="BI33" i="16"/>
  <c r="BI37" i="16"/>
  <c r="BF37" i="16"/>
  <c r="BI41" i="16"/>
  <c r="BF41" i="16"/>
  <c r="BI46" i="16"/>
  <c r="BF46" i="16"/>
  <c r="BG46" i="16" s="1"/>
  <c r="BF50" i="16"/>
  <c r="BG50" i="16" s="1"/>
  <c r="BI50" i="16"/>
  <c r="BF54" i="16"/>
  <c r="BG54" i="16" s="1"/>
  <c r="BI54" i="16"/>
  <c r="BI59" i="16"/>
  <c r="BF59" i="16"/>
  <c r="BG59" i="16" s="1"/>
  <c r="BI63" i="16"/>
  <c r="BF63" i="16"/>
  <c r="BG63" i="16" s="1"/>
  <c r="BI67" i="16"/>
  <c r="BF67" i="16"/>
  <c r="BG67" i="16" s="1"/>
  <c r="BF4" i="16"/>
  <c r="BF5" i="16"/>
  <c r="BF6" i="16"/>
  <c r="BF7" i="16"/>
  <c r="BF8" i="16"/>
  <c r="BF9" i="16"/>
  <c r="BF10" i="16"/>
  <c r="BF11" i="16"/>
  <c r="BF12" i="16"/>
  <c r="BF13" i="16"/>
  <c r="BF14" i="16"/>
  <c r="BF15" i="16"/>
  <c r="AE97" i="20"/>
  <c r="AF97" i="20" s="1"/>
  <c r="AM37" i="20"/>
  <c r="L43" i="20" s="1"/>
  <c r="AM34" i="20"/>
  <c r="L40" i="20" s="1"/>
  <c r="AN37" i="20"/>
  <c r="M43" i="20" s="1"/>
  <c r="AO26" i="20"/>
  <c r="AL37" i="20"/>
  <c r="K43" i="20" s="1"/>
  <c r="AL38" i="20"/>
  <c r="K44" i="20" s="1"/>
  <c r="AM38" i="20"/>
  <c r="L44" i="20" s="1"/>
  <c r="AN38" i="20"/>
  <c r="M44" i="20" s="1"/>
  <c r="AH7" i="20"/>
  <c r="AE12" i="20"/>
  <c r="AF12" i="20" s="1"/>
  <c r="AF33" i="20"/>
  <c r="AP20" i="20" s="1"/>
  <c r="AH8" i="20"/>
  <c r="AQ8" i="20"/>
  <c r="AQ13" i="20"/>
  <c r="AE13" i="20"/>
  <c r="AF13" i="20" s="1"/>
  <c r="AE34" i="20"/>
  <c r="AH9" i="20"/>
  <c r="AE14" i="20"/>
  <c r="AF14" i="20" s="1"/>
  <c r="AE35" i="20"/>
  <c r="AO22" i="20" s="1"/>
  <c r="AE57" i="20"/>
  <c r="AF57" i="20" s="1"/>
  <c r="AP18" i="20" s="1"/>
  <c r="AQ26" i="20"/>
  <c r="AE15" i="20"/>
  <c r="AF15" i="20" s="1"/>
  <c r="AE36" i="20"/>
  <c r="AO23" i="20" s="1"/>
  <c r="AE95" i="20"/>
  <c r="AF95" i="20" s="1"/>
  <c r="AH11" i="20"/>
  <c r="AE37" i="20"/>
  <c r="AQ4" i="20"/>
  <c r="AQ9" i="20"/>
  <c r="AQ17" i="20"/>
  <c r="AE38" i="20"/>
  <c r="AF38" i="20" s="1"/>
  <c r="AQ27" i="20"/>
  <c r="AH94" i="20"/>
  <c r="AE41" i="20"/>
  <c r="AF41" i="20" s="1"/>
  <c r="AQ5" i="20"/>
  <c r="AQ10" i="20"/>
  <c r="AQ18" i="20"/>
  <c r="AQ6" i="20"/>
  <c r="AQ11" i="20"/>
  <c r="AQ19" i="20"/>
  <c r="AE98" i="20"/>
  <c r="AF98" i="20" s="1"/>
  <c r="AE7" i="20"/>
  <c r="AF7" i="20" s="1"/>
  <c r="AE8" i="20"/>
  <c r="AF8" i="20" s="1"/>
  <c r="AH4" i="20"/>
  <c r="AQ7" i="20"/>
  <c r="AQ12" i="20"/>
  <c r="AQ20" i="20"/>
  <c r="AE9" i="20"/>
  <c r="AF9" i="20" s="1"/>
  <c r="AE10" i="20"/>
  <c r="AF10" i="20" s="1"/>
  <c r="AH6" i="20"/>
  <c r="AE11" i="20"/>
  <c r="AF11" i="20" s="1"/>
  <c r="AH114" i="20"/>
  <c r="AE114" i="20"/>
  <c r="AF114" i="20" s="1"/>
  <c r="AH115" i="20"/>
  <c r="AE115" i="20"/>
  <c r="AF115" i="20" s="1"/>
  <c r="AE116" i="20"/>
  <c r="AF116" i="20" s="1"/>
  <c r="AH116" i="20"/>
  <c r="AH117" i="20"/>
  <c r="AE117" i="20"/>
  <c r="AF117" i="20" s="1"/>
  <c r="AH118" i="20"/>
  <c r="AE118" i="20"/>
  <c r="AF118" i="20" s="1"/>
  <c r="AH119" i="20"/>
  <c r="AE119" i="20"/>
  <c r="AF119" i="20" s="1"/>
  <c r="AH108" i="20"/>
  <c r="AH112" i="20"/>
  <c r="AH109" i="20"/>
  <c r="AE109" i="20"/>
  <c r="AH107" i="20"/>
  <c r="AE107" i="20"/>
  <c r="AH110" i="20"/>
  <c r="AE110" i="20"/>
  <c r="AO44" i="20" s="1"/>
  <c r="AE72" i="20"/>
  <c r="AH72" i="20"/>
  <c r="AE73" i="20"/>
  <c r="AE74" i="20"/>
  <c r="AH111" i="20"/>
  <c r="AE111" i="20"/>
  <c r="AE108" i="20"/>
  <c r="AE112" i="20"/>
  <c r="AH86" i="20"/>
  <c r="AE86" i="20"/>
  <c r="AF86" i="20" s="1"/>
  <c r="AH89" i="20"/>
  <c r="AE89" i="20"/>
  <c r="AF89" i="20" s="1"/>
  <c r="AE102" i="20"/>
  <c r="AF102" i="20" s="1"/>
  <c r="AH102" i="20"/>
  <c r="AE87" i="20"/>
  <c r="AF87" i="20" s="1"/>
  <c r="AH87" i="20"/>
  <c r="AH91" i="20"/>
  <c r="AE91" i="20"/>
  <c r="AF91" i="20" s="1"/>
  <c r="AH88" i="20"/>
  <c r="AE88" i="20"/>
  <c r="AF88" i="20" s="1"/>
  <c r="AE103" i="20"/>
  <c r="AF103" i="20" s="1"/>
  <c r="AH103" i="20"/>
  <c r="AE100" i="20"/>
  <c r="AF100" i="20" s="1"/>
  <c r="AH100" i="20"/>
  <c r="AE101" i="20"/>
  <c r="AF101" i="20" s="1"/>
  <c r="AH101" i="20"/>
  <c r="AH93" i="20"/>
  <c r="AH104" i="20"/>
  <c r="AE104" i="20"/>
  <c r="AF104" i="20" s="1"/>
  <c r="AH105" i="20"/>
  <c r="AE105" i="20"/>
  <c r="AF105" i="20"/>
  <c r="AH90" i="20"/>
  <c r="AH98" i="20"/>
  <c r="AE90" i="20"/>
  <c r="AF90" i="20" s="1"/>
  <c r="AH97" i="20"/>
  <c r="AE93" i="20"/>
  <c r="AF93" i="20" s="1"/>
  <c r="AE94" i="20"/>
  <c r="AF94" i="20" s="1"/>
  <c r="AE96" i="20"/>
  <c r="AF96" i="20" s="1"/>
  <c r="AH83" i="20"/>
  <c r="AE83" i="20"/>
  <c r="AH79" i="20"/>
  <c r="AE79" i="20"/>
  <c r="AF79" i="20" s="1"/>
  <c r="AH80" i="20"/>
  <c r="AE80" i="20"/>
  <c r="AF80" i="20" s="1"/>
  <c r="AH81" i="20"/>
  <c r="AE81" i="20"/>
  <c r="AF81" i="20" s="1"/>
  <c r="AH82" i="20"/>
  <c r="AE82" i="20"/>
  <c r="AF82" i="20" s="1"/>
  <c r="AH84" i="20"/>
  <c r="AE84" i="20"/>
  <c r="AF84" i="20" s="1"/>
  <c r="AF64" i="20"/>
  <c r="AF54" i="20"/>
  <c r="AF65" i="20"/>
  <c r="AP26" i="20" s="1"/>
  <c r="AF35" i="20"/>
  <c r="AP22" i="20" s="1"/>
  <c r="AF30" i="20"/>
  <c r="AP17" i="20" s="1"/>
  <c r="AF40" i="20"/>
  <c r="AP27" i="20" s="1"/>
  <c r="AH76" i="20"/>
  <c r="AH73" i="20"/>
  <c r="AH74" i="20"/>
  <c r="AH75" i="20"/>
  <c r="AH77" i="20"/>
  <c r="AH30" i="20"/>
  <c r="AH38" i="20"/>
  <c r="AH47" i="20"/>
  <c r="AH60" i="20"/>
  <c r="AH31" i="20"/>
  <c r="AH35" i="20"/>
  <c r="AH39" i="20"/>
  <c r="AH44" i="20"/>
  <c r="AH48" i="20"/>
  <c r="AH52" i="20"/>
  <c r="AH57" i="20"/>
  <c r="AH61" i="20"/>
  <c r="AH65" i="20"/>
  <c r="AH32" i="20"/>
  <c r="AH36" i="20"/>
  <c r="AH40" i="20"/>
  <c r="AH45" i="20"/>
  <c r="AH49" i="20"/>
  <c r="AH53" i="20"/>
  <c r="AH58" i="20"/>
  <c r="AH62" i="20"/>
  <c r="AH66" i="20"/>
  <c r="AH34" i="20"/>
  <c r="AH43" i="20"/>
  <c r="AH51" i="20"/>
  <c r="AH56" i="20"/>
  <c r="AH64" i="20"/>
  <c r="AH33" i="20"/>
  <c r="AH37" i="20"/>
  <c r="AH41" i="20"/>
  <c r="AH46" i="20"/>
  <c r="AH50" i="20"/>
  <c r="AH54" i="20"/>
  <c r="AH59" i="20"/>
  <c r="AH63" i="20"/>
  <c r="AH67" i="20"/>
  <c r="AH18" i="20"/>
  <c r="AH20" i="20"/>
  <c r="AH22" i="20"/>
  <c r="AH24" i="20"/>
  <c r="AH28" i="20"/>
  <c r="AH19" i="20"/>
  <c r="AH25" i="20"/>
  <c r="AH17" i="20"/>
  <c r="AH23" i="20"/>
  <c r="AH26" i="20"/>
  <c r="AH21" i="20"/>
  <c r="AH27" i="20"/>
  <c r="AH5" i="20"/>
  <c r="AH14" i="20"/>
  <c r="AH15" i="20"/>
  <c r="M14" i="32"/>
  <c r="L14" i="32"/>
  <c r="K14" i="32"/>
  <c r="J14" i="32"/>
  <c r="I14" i="32"/>
  <c r="H14" i="32"/>
  <c r="G14" i="32"/>
  <c r="S22" i="31"/>
  <c r="T21" i="31"/>
  <c r="S20" i="31"/>
  <c r="R20" i="31"/>
  <c r="Q20" i="31"/>
  <c r="R19" i="31"/>
  <c r="Q19" i="31"/>
  <c r="Q18" i="31"/>
  <c r="U16" i="31"/>
  <c r="T16" i="31"/>
  <c r="V9" i="31"/>
  <c r="U9" i="31"/>
  <c r="U8" i="31"/>
  <c r="T9" i="31"/>
  <c r="T8" i="31"/>
  <c r="T7" i="31"/>
  <c r="S8" i="31"/>
  <c r="S7" i="31"/>
  <c r="AM4" i="31"/>
  <c r="V23" i="31" s="1"/>
  <c r="AL4" i="31"/>
  <c r="U23" i="31" s="1"/>
  <c r="AK4" i="31"/>
  <c r="T23" i="31" s="1"/>
  <c r="AJ4" i="31"/>
  <c r="S15" i="31" s="1"/>
  <c r="AI4" i="31"/>
  <c r="R12" i="31" s="1"/>
  <c r="AH4" i="31"/>
  <c r="Q12" i="31" s="1"/>
  <c r="AM3" i="31"/>
  <c r="AL3" i="31"/>
  <c r="AK3" i="31"/>
  <c r="AJ3" i="31"/>
  <c r="S6" i="31" s="1"/>
  <c r="AI3" i="31"/>
  <c r="R6" i="31" s="1"/>
  <c r="AH3" i="31"/>
  <c r="Q6" i="31" s="1"/>
  <c r="AG4" i="31"/>
  <c r="P18" i="31" s="1"/>
  <c r="AG3" i="31"/>
  <c r="P6" i="31" s="1"/>
  <c r="AQ71" i="20"/>
  <c r="P85" i="20" s="1"/>
  <c r="AP71" i="20"/>
  <c r="O85" i="20" s="1"/>
  <c r="AO71" i="20"/>
  <c r="N85" i="20" s="1"/>
  <c r="AN71" i="20"/>
  <c r="M85" i="20" s="1"/>
  <c r="AM71" i="20"/>
  <c r="L85" i="20" s="1"/>
  <c r="AL71" i="20"/>
  <c r="K85" i="20" s="1"/>
  <c r="AQ70" i="20"/>
  <c r="P84" i="20" s="1"/>
  <c r="AP70" i="20"/>
  <c r="O84" i="20" s="1"/>
  <c r="AO70" i="20"/>
  <c r="N84" i="20" s="1"/>
  <c r="AN70" i="20"/>
  <c r="M84" i="20" s="1"/>
  <c r="AM70" i="20"/>
  <c r="L84" i="20" s="1"/>
  <c r="AL70" i="20"/>
  <c r="K84" i="20" s="1"/>
  <c r="AK71" i="20"/>
  <c r="J86" i="20" s="1"/>
  <c r="AK70" i="20"/>
  <c r="J84" i="20" s="1"/>
  <c r="Z58" i="29"/>
  <c r="AA58" i="29" s="1"/>
  <c r="AB58" i="29" s="1"/>
  <c r="Z57" i="29"/>
  <c r="AA57" i="29" s="1"/>
  <c r="AB57" i="29" s="1"/>
  <c r="Z56" i="29"/>
  <c r="AA56" i="29" s="1"/>
  <c r="AB56" i="29" s="1"/>
  <c r="Y58" i="29"/>
  <c r="X58" i="29"/>
  <c r="Y57" i="29"/>
  <c r="X57" i="29"/>
  <c r="Y56" i="29"/>
  <c r="X56" i="29"/>
  <c r="W57" i="29"/>
  <c r="W56" i="29"/>
  <c r="Q58" i="29"/>
  <c r="P58" i="29"/>
  <c r="O58" i="29"/>
  <c r="N58" i="29"/>
  <c r="AC48" i="29"/>
  <c r="AB48" i="29"/>
  <c r="AA48" i="29"/>
  <c r="Q57" i="29"/>
  <c r="P57" i="29"/>
  <c r="O57" i="29"/>
  <c r="N57" i="29"/>
  <c r="V57" i="29"/>
  <c r="Q61" i="29"/>
  <c r="P61" i="29"/>
  <c r="Q60" i="29"/>
  <c r="P60" i="29"/>
  <c r="Q59" i="29"/>
  <c r="P59" i="29"/>
  <c r="O61" i="29"/>
  <c r="W58" i="29" s="1"/>
  <c r="O60" i="29"/>
  <c r="O59" i="29"/>
  <c r="N59" i="29"/>
  <c r="N60" i="29"/>
  <c r="N61" i="29"/>
  <c r="V58" i="29" s="1"/>
  <c r="AR102" i="21"/>
  <c r="AT102" i="21"/>
  <c r="AU102" i="21"/>
  <c r="AV102" i="21"/>
  <c r="AW102" i="21"/>
  <c r="Y27" i="25"/>
  <c r="T27" i="25"/>
  <c r="AO19" i="20" l="1"/>
  <c r="AO28" i="20"/>
  <c r="AO18" i="20"/>
  <c r="AO17" i="20"/>
  <c r="AP39" i="20"/>
  <c r="O45" i="20" s="1"/>
  <c r="AF110" i="20"/>
  <c r="AP44" i="20" s="1"/>
  <c r="AF107" i="20"/>
  <c r="AP41" i="20" s="1"/>
  <c r="AO41" i="20"/>
  <c r="AO37" i="20"/>
  <c r="N43" i="20" s="1"/>
  <c r="AF109" i="20"/>
  <c r="AP43" i="20" s="1"/>
  <c r="AO43" i="20"/>
  <c r="AO39" i="20"/>
  <c r="N45" i="20" s="1"/>
  <c r="AO27" i="20"/>
  <c r="AF112" i="20"/>
  <c r="AP46" i="20" s="1"/>
  <c r="AO46" i="20"/>
  <c r="AF108" i="20"/>
  <c r="AP42" i="20" s="1"/>
  <c r="AO42" i="20"/>
  <c r="AO20" i="20"/>
  <c r="AF111" i="20"/>
  <c r="AP45" i="20" s="1"/>
  <c r="AO45" i="20"/>
  <c r="BG38" i="16"/>
  <c r="BG39" i="16"/>
  <c r="BG31" i="16"/>
  <c r="BG36" i="16"/>
  <c r="BG35" i="16"/>
  <c r="BG34" i="16"/>
  <c r="BG41" i="16"/>
  <c r="BG40" i="16"/>
  <c r="BG37" i="16"/>
  <c r="BG32" i="16"/>
  <c r="BG30" i="16"/>
  <c r="BG6" i="16"/>
  <c r="BG5" i="16"/>
  <c r="BG7" i="16"/>
  <c r="BG9" i="16"/>
  <c r="BG10" i="16"/>
  <c r="BG15" i="16"/>
  <c r="BG4" i="16"/>
  <c r="BG14" i="16"/>
  <c r="BG13" i="16"/>
  <c r="BG12" i="16"/>
  <c r="BG8" i="16"/>
  <c r="BG11" i="16"/>
  <c r="AF83" i="20"/>
  <c r="AP38" i="20" s="1"/>
  <c r="O44" i="20" s="1"/>
  <c r="AO38" i="20"/>
  <c r="N44" i="20" s="1"/>
  <c r="AF36" i="20"/>
  <c r="AP23" i="20" s="1"/>
  <c r="AF74" i="20"/>
  <c r="AP36" i="20" s="1"/>
  <c r="O42" i="20" s="1"/>
  <c r="AO36" i="20"/>
  <c r="N42" i="20" s="1"/>
  <c r="AF73" i="20"/>
  <c r="AP35" i="20" s="1"/>
  <c r="O41" i="20" s="1"/>
  <c r="AO35" i="20"/>
  <c r="N41" i="20" s="1"/>
  <c r="AP37" i="20"/>
  <c r="O43" i="20" s="1"/>
  <c r="AO25" i="20"/>
  <c r="AP28" i="20"/>
  <c r="AF37" i="20"/>
  <c r="AP24" i="20" s="1"/>
  <c r="AO24" i="20"/>
  <c r="AP25" i="20"/>
  <c r="AF72" i="20"/>
  <c r="AP34" i="20" s="1"/>
  <c r="O40" i="20" s="1"/>
  <c r="AO34" i="20"/>
  <c r="N40" i="20" s="1"/>
  <c r="AF34" i="20"/>
  <c r="AP21" i="20" s="1"/>
  <c r="AO21" i="20"/>
  <c r="J85" i="20"/>
  <c r="N10" i="31"/>
  <c r="O10" i="31"/>
  <c r="R21" i="31"/>
  <c r="Q11" i="31"/>
  <c r="S21" i="31"/>
  <c r="R13" i="31"/>
  <c r="S13" i="31"/>
  <c r="Q13" i="31"/>
  <c r="R14" i="31"/>
  <c r="S14" i="31"/>
  <c r="T14" i="31"/>
  <c r="P20" i="31"/>
  <c r="N3" i="31"/>
  <c r="O3" i="31"/>
  <c r="T15" i="31"/>
  <c r="N4" i="31"/>
  <c r="U15" i="31"/>
  <c r="P4" i="31"/>
  <c r="P5" i="31"/>
  <c r="P13" i="31"/>
  <c r="O19" i="31"/>
  <c r="P19" i="31"/>
  <c r="M3" i="31"/>
  <c r="O4" i="31"/>
  <c r="O5" i="31"/>
  <c r="M10" i="31"/>
  <c r="P3" i="31"/>
  <c r="N11" i="31"/>
  <c r="V16" i="31"/>
  <c r="M17" i="31"/>
  <c r="R7" i="31"/>
  <c r="O18" i="31"/>
  <c r="P10" i="31"/>
  <c r="Q4" i="31"/>
  <c r="O11" i="31"/>
  <c r="T22" i="31"/>
  <c r="Q5" i="31"/>
  <c r="P11" i="31"/>
  <c r="N17" i="31"/>
  <c r="U22" i="31"/>
  <c r="O17" i="31"/>
  <c r="R5" i="31"/>
  <c r="O12" i="31"/>
  <c r="P17" i="31"/>
  <c r="P12" i="31"/>
  <c r="N18" i="31"/>
  <c r="K86" i="20"/>
  <c r="L86" i="20"/>
  <c r="M86" i="20"/>
  <c r="N86" i="20"/>
  <c r="O86" i="20"/>
  <c r="P86" i="20"/>
  <c r="X50" i="29"/>
  <c r="V50" i="29"/>
  <c r="W50" i="29"/>
  <c r="V49" i="29"/>
  <c r="V52" i="29" s="1"/>
  <c r="W49" i="29"/>
  <c r="X49" i="29"/>
  <c r="V56" i="29"/>
  <c r="V53" i="29"/>
  <c r="W53" i="29" s="1"/>
  <c r="X53" i="29" s="1"/>
  <c r="W48" i="29"/>
  <c r="X48" i="29"/>
  <c r="W52" i="29" l="1"/>
  <c r="X52" i="29" s="1"/>
  <c r="V48" i="29"/>
  <c r="V51" i="29" l="1"/>
  <c r="W51" i="29" l="1"/>
  <c r="X51" i="29" l="1"/>
  <c r="AR97" i="21" l="1"/>
  <c r="AT97" i="21"/>
  <c r="F114" i="7"/>
  <c r="F113" i="7"/>
  <c r="F112" i="7"/>
  <c r="F111" i="7"/>
  <c r="F110" i="7"/>
  <c r="B41" i="13"/>
  <c r="F109" i="7"/>
  <c r="F108" i="7"/>
  <c r="F107" i="7"/>
  <c r="F106"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AQ140" i="21"/>
  <c r="V475" i="21" s="1"/>
  <c r="AQ139" i="21"/>
  <c r="V468" i="21" s="1"/>
  <c r="AN140" i="21"/>
  <c r="S474" i="21" s="1"/>
  <c r="AN139" i="21"/>
  <c r="S467" i="21" s="1"/>
  <c r="AK140" i="21"/>
  <c r="AL140" i="21" s="1"/>
  <c r="AK139" i="21"/>
  <c r="O69" i="21" s="1"/>
  <c r="N22" i="12"/>
  <c r="N9" i="12"/>
  <c r="N8" i="12"/>
  <c r="N7" i="12"/>
  <c r="N6" i="12"/>
  <c r="N5" i="12"/>
  <c r="N4" i="12"/>
  <c r="J6" i="12" s="1"/>
  <c r="AL139" i="21" l="1"/>
  <c r="AM139" i="21" s="1"/>
  <c r="R467" i="21" s="1"/>
  <c r="P471" i="21"/>
  <c r="P472" i="21"/>
  <c r="L66" i="21"/>
  <c r="M66" i="21"/>
  <c r="N66" i="21"/>
  <c r="O66" i="21"/>
  <c r="M67" i="21"/>
  <c r="P462" i="21"/>
  <c r="N67" i="21"/>
  <c r="P463" i="21"/>
  <c r="O67" i="21"/>
  <c r="P464" i="21"/>
  <c r="N68" i="21"/>
  <c r="P465" i="21"/>
  <c r="O68" i="21"/>
  <c r="Q463" i="21"/>
  <c r="Q464" i="21"/>
  <c r="Q465" i="21"/>
  <c r="Q466" i="21"/>
  <c r="S468" i="21"/>
  <c r="P469" i="21"/>
  <c r="P470" i="21"/>
  <c r="AM140" i="21"/>
  <c r="Q470" i="21"/>
  <c r="Q473" i="21"/>
  <c r="Q472" i="21"/>
  <c r="Q471" i="21"/>
  <c r="R466" i="21"/>
  <c r="AO139" i="21"/>
  <c r="S465" i="21"/>
  <c r="AO140" i="21"/>
  <c r="S466" i="21"/>
  <c r="S472" i="21"/>
  <c r="S475" i="21"/>
  <c r="S473" i="21"/>
  <c r="BH38" i="20"/>
  <c r="P53" i="20" s="1"/>
  <c r="BH37" i="20"/>
  <c r="P52" i="20" s="1"/>
  <c r="BE38" i="20"/>
  <c r="M53" i="20" s="1"/>
  <c r="BE37" i="20"/>
  <c r="M52" i="20" s="1"/>
  <c r="BB38" i="20"/>
  <c r="J53" i="20" s="1"/>
  <c r="BB37" i="20"/>
  <c r="J52" i="20" s="1"/>
  <c r="R464" i="21" l="1"/>
  <c r="R465" i="21"/>
  <c r="AP140" i="21"/>
  <c r="T475" i="21"/>
  <c r="T474" i="21"/>
  <c r="T473" i="21"/>
  <c r="AP139" i="21"/>
  <c r="T466" i="21"/>
  <c r="T468" i="21"/>
  <c r="T467" i="21"/>
  <c r="R474" i="21"/>
  <c r="R471" i="21"/>
  <c r="R473" i="21"/>
  <c r="R472" i="21"/>
  <c r="BF37" i="20"/>
  <c r="BC37" i="20"/>
  <c r="BF38" i="20"/>
  <c r="BC38" i="20"/>
  <c r="BD38" i="20" l="1"/>
  <c r="L53" i="20" s="1"/>
  <c r="K53" i="20"/>
  <c r="BG37" i="20"/>
  <c r="O52" i="20" s="1"/>
  <c r="N52" i="20"/>
  <c r="BG38" i="20"/>
  <c r="O53" i="20" s="1"/>
  <c r="N53" i="20"/>
  <c r="BD37" i="20"/>
  <c r="L52" i="20" s="1"/>
  <c r="K52" i="20"/>
  <c r="U468" i="21"/>
  <c r="U467" i="21"/>
  <c r="U474" i="21"/>
  <c r="U475" i="21"/>
  <c r="BF4" i="20"/>
  <c r="BG4" i="20"/>
  <c r="BG3" i="20"/>
  <c r="BF3" i="20"/>
  <c r="DI63" i="16"/>
  <c r="DN71" i="16"/>
  <c r="DO71" i="16" s="1"/>
  <c r="DN70" i="16"/>
  <c r="DO70" i="16" s="1"/>
  <c r="DN69" i="16"/>
  <c r="DO69" i="16" s="1"/>
  <c r="DJ71" i="16"/>
  <c r="DJ70" i="16"/>
  <c r="DJ69" i="16"/>
  <c r="DI72" i="16"/>
  <c r="DJ72" i="16" s="1"/>
  <c r="BH3" i="20" l="1"/>
  <c r="BO148" i="21"/>
  <c r="BM148" i="21"/>
  <c r="BJ148" i="21"/>
  <c r="BK148" i="21" s="1"/>
  <c r="BL148" i="21" s="1"/>
  <c r="AP106" i="21"/>
  <c r="AO106" i="21"/>
  <c r="AP105" i="21"/>
  <c r="AO105" i="21"/>
  <c r="BI120" i="3"/>
  <c r="BI118" i="3"/>
  <c r="BH121" i="3"/>
  <c r="BH120" i="3"/>
  <c r="BH119" i="3"/>
  <c r="BH118" i="3"/>
  <c r="BH115" i="3"/>
  <c r="BH114" i="3"/>
  <c r="BH113" i="3"/>
  <c r="BH112" i="3"/>
  <c r="BH109" i="3"/>
  <c r="BH108" i="3"/>
  <c r="BH107" i="3"/>
  <c r="BH106" i="3"/>
  <c r="BH105" i="3"/>
  <c r="BG122" i="3"/>
  <c r="BF122" i="3"/>
  <c r="BE122" i="3"/>
  <c r="BD122" i="3"/>
  <c r="BC122" i="3"/>
  <c r="BG116" i="3"/>
  <c r="BF116" i="3"/>
  <c r="BE116" i="3"/>
  <c r="BD116" i="3"/>
  <c r="BC116" i="3"/>
  <c r="BG110" i="3"/>
  <c r="BF110" i="3"/>
  <c r="BE110" i="3"/>
  <c r="BD110" i="3"/>
  <c r="BC110" i="3"/>
  <c r="BF123" i="3" l="1"/>
  <c r="BH122" i="3"/>
  <c r="BC123" i="3"/>
  <c r="BD123" i="3"/>
  <c r="BE123" i="3"/>
  <c r="BG123" i="3"/>
  <c r="BH116" i="3"/>
  <c r="BI148" i="21"/>
  <c r="BH110" i="3"/>
  <c r="BH123" i="3" s="1"/>
  <c r="AQ105" i="21"/>
  <c r="R26" i="16"/>
  <c r="R23" i="16"/>
  <c r="F95" i="7" l="1"/>
  <c r="F87" i="7"/>
  <c r="AS36" i="20"/>
  <c r="AS57" i="20"/>
  <c r="AS50" i="20"/>
  <c r="AS34" i="20"/>
  <c r="AS55" i="20" s="1"/>
  <c r="AQ65" i="20"/>
  <c r="AO65" i="20"/>
  <c r="AL65" i="20"/>
  <c r="AK65" i="20" s="1"/>
  <c r="Y64" i="25"/>
  <c r="X65" i="25" s="1"/>
  <c r="X61" i="25"/>
  <c r="W61" i="25"/>
  <c r="Y60" i="25"/>
  <c r="AC44" i="25"/>
  <c r="T50" i="25" s="1"/>
  <c r="T65" i="25" s="1"/>
  <c r="AC45" i="25"/>
  <c r="AC46" i="25"/>
  <c r="X50" i="25"/>
  <c r="W50" i="25"/>
  <c r="W65" i="25" s="1"/>
  <c r="V50" i="25"/>
  <c r="V65" i="25" s="1"/>
  <c r="U50" i="25"/>
  <c r="U65" i="25" s="1"/>
  <c r="X46" i="25"/>
  <c r="W46" i="25"/>
  <c r="V46" i="25"/>
  <c r="V61" i="25" s="1"/>
  <c r="U46" i="25"/>
  <c r="U61" i="25" s="1"/>
  <c r="T46" i="25"/>
  <c r="T61" i="25" s="1"/>
  <c r="S46" i="25"/>
  <c r="S61" i="25" s="1"/>
  <c r="AM65" i="20" l="1"/>
  <c r="AN65" i="20" s="1"/>
  <c r="AP65" i="20"/>
  <c r="AS48"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s="1"/>
  <c r="X37" i="25" s="1"/>
  <c r="T37" i="25" l="1"/>
  <c r="U27" i="25"/>
  <c r="U37" i="25" s="1"/>
  <c r="V27" i="25"/>
  <c r="V37" i="25" s="1"/>
  <c r="W27" i="25"/>
  <c r="W37" i="25" s="1"/>
  <c r="AQ49" i="3" l="1"/>
  <c r="AR42" i="3" s="1"/>
  <c r="BP129" i="21"/>
  <c r="BN148" i="21"/>
  <c r="BP148" i="21" s="1"/>
  <c r="BO147" i="21"/>
  <c r="BM147" i="21"/>
  <c r="BN147" i="21" s="1"/>
  <c r="BK147" i="21"/>
  <c r="BL147" i="21" s="1"/>
  <c r="BJ147" i="21"/>
  <c r="BI147" i="21" s="1"/>
  <c r="BP135" i="21"/>
  <c r="BP127" i="21" s="1"/>
  <c r="BP147" i="21" l="1"/>
  <c r="AR48" i="3"/>
  <c r="AR47" i="3"/>
  <c r="AR46" i="3"/>
  <c r="AR45" i="3"/>
  <c r="AR44" i="3"/>
  <c r="AR43" i="3"/>
  <c r="AR49" i="3" l="1"/>
  <c r="AI100" i="21"/>
  <c r="AI98" i="21"/>
  <c r="AV79" i="16"/>
  <c r="AV78" i="16"/>
  <c r="CO45" i="16" l="1"/>
  <c r="CP46" i="16"/>
  <c r="CQ46" i="16"/>
  <c r="CR44" i="16"/>
  <c r="CO42" i="16"/>
  <c r="CY42" i="16" s="1"/>
  <c r="CR43" i="16"/>
  <c r="CP45" i="16"/>
  <c r="CU42" i="16"/>
  <c r="CQ45" i="16"/>
  <c r="CP42" i="16"/>
  <c r="CO43" i="16"/>
  <c r="CR45" i="16"/>
  <c r="CQ42" i="16"/>
  <c r="CU43" i="16"/>
  <c r="DE43" i="16" s="1"/>
  <c r="CU47" i="16"/>
  <c r="DE47" i="16" s="1"/>
  <c r="CR42" i="16"/>
  <c r="CR46" i="16"/>
  <c r="CU46" i="16"/>
  <c r="DE46" i="16" s="1"/>
  <c r="CO44" i="16"/>
  <c r="CO47" i="16"/>
  <c r="CP44" i="16"/>
  <c r="CP47" i="16"/>
  <c r="CQ43" i="16"/>
  <c r="CU44" i="16"/>
  <c r="CQ47" i="16"/>
  <c r="CR47" i="16"/>
  <c r="CU45" i="16"/>
  <c r="CQ44" i="16"/>
  <c r="CO46" i="16"/>
  <c r="CP43" i="16"/>
  <c r="CZ43" i="16" s="1"/>
  <c r="CS45" i="16"/>
  <c r="CS42" i="16"/>
  <c r="CS43" i="16"/>
  <c r="CS47" i="16"/>
  <c r="DC47" i="16" s="1"/>
  <c r="CS44" i="16"/>
  <c r="DC44" i="16" s="1"/>
  <c r="CS46" i="16"/>
  <c r="DC46" i="16" s="1"/>
  <c r="CT42" i="16"/>
  <c r="CT45" i="16"/>
  <c r="CT46" i="16"/>
  <c r="CT44" i="16"/>
  <c r="CT43" i="16"/>
  <c r="CT47" i="16"/>
  <c r="DB46" i="16" l="1"/>
  <c r="DC43" i="16"/>
  <c r="CY47" i="16"/>
  <c r="CY44" i="16"/>
  <c r="DD42" i="16"/>
  <c r="AH77" i="16" s="1"/>
  <c r="DB42" i="16"/>
  <c r="AF77" i="16" s="1"/>
  <c r="DA42" i="16"/>
  <c r="AE77" i="16" s="1"/>
  <c r="DC42" i="16"/>
  <c r="AG77" i="16" s="1"/>
  <c r="CY43" i="16"/>
  <c r="CZ42" i="16"/>
  <c r="CY46" i="16"/>
  <c r="DE42" i="16"/>
  <c r="AI77" i="16" s="1"/>
  <c r="AI82" i="16" s="1"/>
  <c r="AI81" i="16"/>
  <c r="AF81" i="16"/>
  <c r="DD44" i="16"/>
  <c r="AH79" i="16" s="1"/>
  <c r="AI78" i="16"/>
  <c r="AG78" i="16"/>
  <c r="DA45" i="16"/>
  <c r="AE80" i="16" s="1"/>
  <c r="CZ45" i="16"/>
  <c r="DA44" i="16"/>
  <c r="CY45" i="16"/>
  <c r="DB45" i="16"/>
  <c r="DE45" i="16"/>
  <c r="DB47" i="16"/>
  <c r="DB43" i="16"/>
  <c r="DA47" i="16"/>
  <c r="DE44" i="16"/>
  <c r="DB44" i="16"/>
  <c r="AF79" i="16" s="1"/>
  <c r="DA43" i="16"/>
  <c r="AE78" i="16" s="1"/>
  <c r="CZ47" i="16"/>
  <c r="CZ46" i="16"/>
  <c r="DA46" i="16"/>
  <c r="AE81" i="16" s="1"/>
  <c r="CZ44" i="16"/>
  <c r="DD46" i="16"/>
  <c r="AH81" i="16" s="1"/>
  <c r="AG79" i="16"/>
  <c r="AG82" i="16"/>
  <c r="AG81" i="16"/>
  <c r="DC45" i="16"/>
  <c r="AG80" i="16" s="1"/>
  <c r="AC77" i="16"/>
  <c r="AD77" i="16"/>
  <c r="DD45" i="16"/>
  <c r="DD47" i="16"/>
  <c r="DD43" i="16"/>
  <c r="AH78" i="16" s="1"/>
  <c r="CA23" i="24"/>
  <c r="AC4" i="30"/>
  <c r="AB4" i="30"/>
  <c r="AA4" i="30"/>
  <c r="Z4" i="30"/>
  <c r="Y4" i="30"/>
  <c r="X4" i="30"/>
  <c r="W4" i="30"/>
  <c r="AC3" i="30"/>
  <c r="AB3" i="30"/>
  <c r="AA3" i="30"/>
  <c r="Z3" i="30"/>
  <c r="Y3" i="30"/>
  <c r="X3" i="30"/>
  <c r="W3" i="30"/>
  <c r="DM63" i="16"/>
  <c r="DN63" i="16" s="1"/>
  <c r="N10" i="29"/>
  <c r="N9" i="29"/>
  <c r="N8" i="29"/>
  <c r="R10" i="29" a="1"/>
  <c r="R10" i="29" s="1"/>
  <c r="R11" i="29" a="1"/>
  <c r="R11" i="29" s="1"/>
  <c r="S5" i="29" a="1"/>
  <c r="S5" i="29" s="1"/>
  <c r="T5" i="29" a="1"/>
  <c r="T5" i="29" s="1"/>
  <c r="U5" i="29" a="1"/>
  <c r="U5" i="29" s="1"/>
  <c r="X5" i="29" a="1"/>
  <c r="X5" i="29" s="1"/>
  <c r="R6" i="29" a="1"/>
  <c r="R6" i="29" s="1"/>
  <c r="S6" i="29" a="1"/>
  <c r="S6" i="29" s="1"/>
  <c r="T6" i="29" a="1"/>
  <c r="T6" i="29" s="1"/>
  <c r="U6" i="29" a="1"/>
  <c r="U6" i="29" s="1"/>
  <c r="X6" i="29" a="1"/>
  <c r="X6" i="29" s="1"/>
  <c r="AE79" i="16" l="1"/>
  <c r="AE82" i="16"/>
  <c r="AF78" i="16"/>
  <c r="AI80" i="16"/>
  <c r="AI79" i="16"/>
  <c r="AF82" i="16"/>
  <c r="AH82" i="16"/>
  <c r="AH80" i="16"/>
  <c r="AF80" i="16"/>
  <c r="AC80" i="16"/>
  <c r="AD78" i="16"/>
  <c r="AD80" i="16"/>
  <c r="AC78" i="16"/>
  <c r="AC81" i="16"/>
  <c r="AD79" i="16"/>
  <c r="AC79" i="16"/>
  <c r="AD81" i="16"/>
  <c r="AD82" i="16"/>
  <c r="AC82" i="16"/>
  <c r="K14" i="30"/>
  <c r="K16" i="30"/>
  <c r="L11" i="30"/>
  <c r="L16" i="30"/>
  <c r="G9" i="30"/>
  <c r="G16" i="30"/>
  <c r="I3" i="30"/>
  <c r="I16" i="30"/>
  <c r="F3" i="30"/>
  <c r="F16" i="30"/>
  <c r="H6" i="30"/>
  <c r="H16" i="30"/>
  <c r="J11" i="30"/>
  <c r="J16" i="30"/>
  <c r="G4" i="30"/>
  <c r="H9" i="30"/>
  <c r="K9" i="30"/>
  <c r="J6" i="30"/>
  <c r="K6" i="30"/>
  <c r="L6" i="30"/>
  <c r="L9" i="30"/>
  <c r="L3" i="30"/>
  <c r="J9" i="30"/>
  <c r="G15" i="30"/>
  <c r="J12" i="30"/>
  <c r="L12" i="30"/>
  <c r="H15" i="30"/>
  <c r="G12" i="30"/>
  <c r="L14" i="30"/>
  <c r="J3" i="30"/>
  <c r="J15" i="30"/>
  <c r="H12" i="30"/>
  <c r="K12" i="30"/>
  <c r="K3" i="30"/>
  <c r="K15" i="30"/>
  <c r="I7" i="30"/>
  <c r="H4" i="30"/>
  <c r="K10" i="30"/>
  <c r="F7" i="30"/>
  <c r="I15" i="30"/>
  <c r="J4" i="30"/>
  <c r="F15" i="30"/>
  <c r="G10" i="30"/>
  <c r="H13" i="30"/>
  <c r="I6" i="30"/>
  <c r="H7" i="30"/>
  <c r="L15" i="30"/>
  <c r="J10" i="30"/>
  <c r="L7" i="30"/>
  <c r="L10" i="30"/>
  <c r="I9" i="30"/>
  <c r="I12" i="30"/>
  <c r="F10" i="30"/>
  <c r="I4" i="30"/>
  <c r="F13" i="30"/>
  <c r="K4" i="30"/>
  <c r="I10" i="30"/>
  <c r="L4" i="30"/>
  <c r="F5"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V6" i="29"/>
  <c r="W6" i="29" s="1"/>
  <c r="V5" i="29"/>
  <c r="W5" i="29" s="1"/>
  <c r="X11" i="29" a="1"/>
  <c r="X11" i="29" s="1"/>
  <c r="X10" i="29" a="1"/>
  <c r="X10" i="29" s="1"/>
  <c r="X8" i="29" a="1"/>
  <c r="X8" i="29" s="1"/>
  <c r="U11" i="29" a="1"/>
  <c r="U11" i="29" s="1"/>
  <c r="T11" i="29" a="1"/>
  <c r="T11" i="29" s="1"/>
  <c r="S11" i="29" a="1"/>
  <c r="S11" i="29" s="1"/>
  <c r="U10" i="29" a="1"/>
  <c r="U10" i="29" s="1"/>
  <c r="T10" i="29" a="1"/>
  <c r="T10" i="29" s="1"/>
  <c r="S10" i="29" a="1"/>
  <c r="S10" i="29" s="1"/>
  <c r="U8" i="29" a="1"/>
  <c r="U8" i="29" s="1"/>
  <c r="U7" i="29" s="1"/>
  <c r="T8" i="29" a="1"/>
  <c r="T8" i="29" s="1"/>
  <c r="T7" i="29" s="1"/>
  <c r="S8" i="29" a="1"/>
  <c r="S8" i="29" s="1"/>
  <c r="S7" i="29" s="1"/>
  <c r="G7" i="13"/>
  <c r="R5" i="29" a="1"/>
  <c r="R5" i="29" s="1"/>
  <c r="R8" i="29" a="1"/>
  <c r="R8" i="29" s="1"/>
  <c r="R7" i="29" s="1"/>
  <c r="AQ59" i="3"/>
  <c r="AR58" i="3" s="1"/>
  <c r="AO63" i="3"/>
  <c r="AP65" i="3" s="1"/>
  <c r="AV70" i="16" s="1"/>
  <c r="AP64" i="3" l="1"/>
  <c r="AV69" i="16" s="1"/>
  <c r="AP68" i="3"/>
  <c r="AV73" i="16" s="1"/>
  <c r="V8" i="29"/>
  <c r="V7" i="29" s="1"/>
  <c r="X7" i="29"/>
  <c r="V10" i="29"/>
  <c r="V11" i="29"/>
  <c r="W11" i="29" s="1"/>
  <c r="AP67" i="3"/>
  <c r="AV72" i="16" s="1"/>
  <c r="AP66" i="3"/>
  <c r="AV71" i="16" s="1"/>
  <c r="AR53" i="3"/>
  <c r="AR54" i="3"/>
  <c r="AR55" i="3"/>
  <c r="AR56" i="3"/>
  <c r="AW65" i="16" s="1"/>
  <c r="AR57" i="3"/>
  <c r="AA33" i="29"/>
  <c r="Z33" i="29"/>
  <c r="Y33" i="29"/>
  <c r="X33" i="29"/>
  <c r="W33" i="29"/>
  <c r="V33" i="29"/>
  <c r="AA37" i="29"/>
  <c r="Z37" i="29"/>
  <c r="Y37" i="29"/>
  <c r="X37" i="29"/>
  <c r="W37" i="29"/>
  <c r="V37" i="29"/>
  <c r="S47" i="29"/>
  <c r="R47" i="29"/>
  <c r="S45" i="29"/>
  <c r="R45" i="29"/>
  <c r="S44" i="29"/>
  <c r="R44" i="29"/>
  <c r="S43" i="29"/>
  <c r="R43" i="29"/>
  <c r="S42" i="29"/>
  <c r="R42" i="29"/>
  <c r="S41" i="29"/>
  <c r="R41" i="29"/>
  <c r="S40" i="29"/>
  <c r="R40" i="29"/>
  <c r="S39" i="29"/>
  <c r="R39" i="29"/>
  <c r="S38" i="29"/>
  <c r="R38" i="29"/>
  <c r="S37" i="29"/>
  <c r="R37" i="29"/>
  <c r="S36" i="29"/>
  <c r="R36" i="29"/>
  <c r="S35" i="29"/>
  <c r="R35" i="29"/>
  <c r="S34" i="29"/>
  <c r="R34" i="29"/>
  <c r="S33" i="29"/>
  <c r="R33" i="29"/>
  <c r="S32" i="29"/>
  <c r="R32" i="29"/>
  <c r="S31" i="29"/>
  <c r="R31" i="29"/>
  <c r="S23" i="29"/>
  <c r="S22" i="29"/>
  <c r="R24" i="29"/>
  <c r="S24" i="29" s="1"/>
  <c r="O23" i="29"/>
  <c r="O22" i="29"/>
  <c r="N24" i="29"/>
  <c r="O24" i="29" s="1"/>
  <c r="O16" i="29"/>
  <c r="O15" i="29"/>
  <c r="N17" i="29"/>
  <c r="O17" i="29" s="1"/>
  <c r="CQ38" i="16" l="1"/>
  <c r="CQ39" i="16"/>
  <c r="CO36" i="16"/>
  <c r="CO40" i="16"/>
  <c r="CR37" i="16"/>
  <c r="CO37" i="16"/>
  <c r="CR38" i="16"/>
  <c r="CP37" i="16"/>
  <c r="CP38" i="16"/>
  <c r="CP36" i="16"/>
  <c r="CQ35" i="16"/>
  <c r="CU36" i="16"/>
  <c r="CP40" i="16"/>
  <c r="CR35" i="16"/>
  <c r="CR39" i="16"/>
  <c r="CU39" i="16"/>
  <c r="CQ37" i="16"/>
  <c r="CQ36" i="16"/>
  <c r="CU40" i="16"/>
  <c r="CQ40" i="16"/>
  <c r="CR36" i="16"/>
  <c r="CR40" i="16"/>
  <c r="CU37" i="16"/>
  <c r="CO35" i="16"/>
  <c r="CY35" i="16" s="1"/>
  <c r="CP35" i="16"/>
  <c r="CU35" i="16"/>
  <c r="CP39" i="16"/>
  <c r="CU38" i="16"/>
  <c r="CO38" i="16"/>
  <c r="CO39" i="16"/>
  <c r="CS39" i="16"/>
  <c r="CS37" i="16"/>
  <c r="CS36" i="16"/>
  <c r="CS38" i="16"/>
  <c r="CS40" i="16"/>
  <c r="CS35" i="16"/>
  <c r="CT37" i="16"/>
  <c r="CT35" i="16"/>
  <c r="CT39" i="16"/>
  <c r="CT38" i="16"/>
  <c r="CT40" i="16"/>
  <c r="CT36" i="16"/>
  <c r="W8" i="29"/>
  <c r="W7" i="29" s="1"/>
  <c r="AW66" i="16"/>
  <c r="AW67" i="16"/>
  <c r="Q11" i="29" s="1"/>
  <c r="W10" i="29"/>
  <c r="AW63" i="16"/>
  <c r="Q6" i="29" s="1"/>
  <c r="AW62" i="16"/>
  <c r="AR59" i="3"/>
  <c r="N11" i="29"/>
  <c r="O25" i="29"/>
  <c r="S25" i="29"/>
  <c r="DD38" i="16" l="1"/>
  <c r="DA36" i="16"/>
  <c r="DA37" i="16"/>
  <c r="CZ40" i="16"/>
  <c r="CZ38" i="16"/>
  <c r="DA40" i="16"/>
  <c r="DD39" i="16"/>
  <c r="DE40" i="16"/>
  <c r="CZ36" i="16"/>
  <c r="DE38" i="16"/>
  <c r="DE39" i="16"/>
  <c r="DB39" i="16"/>
  <c r="DE36" i="16"/>
  <c r="CY39" i="16"/>
  <c r="CY38" i="16"/>
  <c r="CZ37" i="16"/>
  <c r="CY37" i="16"/>
  <c r="CY40" i="16"/>
  <c r="CY36" i="16"/>
  <c r="DC40" i="16"/>
  <c r="DB40" i="16"/>
  <c r="DA39" i="16"/>
  <c r="DE37" i="16"/>
  <c r="DD36" i="16"/>
  <c r="DD40" i="16"/>
  <c r="DA38" i="16"/>
  <c r="DD37" i="16"/>
  <c r="DC38" i="16"/>
  <c r="DC36" i="16"/>
  <c r="DC37" i="16"/>
  <c r="DC39" i="16"/>
  <c r="DB38" i="16"/>
  <c r="CZ39" i="16"/>
  <c r="DB37" i="16"/>
  <c r="DB36" i="16"/>
  <c r="CZ35" i="16"/>
  <c r="DD35" i="16"/>
  <c r="DC35" i="16"/>
  <c r="DB35" i="16"/>
  <c r="DE35" i="16"/>
  <c r="DA35" i="16"/>
  <c r="BM53" i="16"/>
  <c r="BP49" i="16"/>
  <c r="BL54" i="16"/>
  <c r="BP46" i="16"/>
  <c r="BO51" i="16"/>
  <c r="BM57" i="16"/>
  <c r="BN48" i="16"/>
  <c r="BQ47" i="16"/>
  <c r="BL47" i="16"/>
  <c r="BL50" i="16"/>
  <c r="BM51" i="16"/>
  <c r="BQ53" i="16"/>
  <c r="BO50" i="16"/>
  <c r="BQ51" i="16"/>
  <c r="BP57" i="16"/>
  <c r="BO56" i="16"/>
  <c r="BL53" i="16"/>
  <c r="BM54" i="16"/>
  <c r="BR52" i="16"/>
  <c r="BR47" i="16"/>
  <c r="BM46" i="16"/>
  <c r="BL48" i="16"/>
  <c r="BQ52" i="16"/>
  <c r="BO48" i="16"/>
  <c r="BQ50" i="16"/>
  <c r="BR50" i="16"/>
  <c r="BN57" i="16"/>
  <c r="BN50" i="16"/>
  <c r="BP56" i="16"/>
  <c r="BN52" i="16"/>
  <c r="BO47" i="16"/>
  <c r="BL51" i="16"/>
  <c r="BO57" i="16"/>
  <c r="BN55" i="16"/>
  <c r="BM56" i="16"/>
  <c r="BL57" i="16"/>
  <c r="BM55" i="16"/>
  <c r="BR57" i="16"/>
  <c r="BO46" i="16"/>
  <c r="BQ56" i="16"/>
  <c r="BP52" i="16"/>
  <c r="BL55" i="16"/>
  <c r="BN49" i="16"/>
  <c r="BN47" i="16"/>
  <c r="BM50" i="16"/>
  <c r="BM48" i="16"/>
  <c r="BQ57" i="16"/>
  <c r="BN54" i="16"/>
  <c r="BN46" i="16"/>
  <c r="BQ49" i="16"/>
  <c r="BR49" i="16"/>
  <c r="BL56" i="16"/>
  <c r="BN53" i="16"/>
  <c r="BP48" i="16"/>
  <c r="BO55" i="16"/>
  <c r="BO53" i="16"/>
  <c r="BP54" i="16"/>
  <c r="BL49" i="16"/>
  <c r="BN56" i="16"/>
  <c r="BN51" i="16"/>
  <c r="BP50" i="16"/>
  <c r="BO52" i="16"/>
  <c r="BP51" i="16"/>
  <c r="BZ51" i="16" s="1"/>
  <c r="BP47" i="16"/>
  <c r="BR54" i="16"/>
  <c r="BO54" i="16"/>
  <c r="BY54" i="16" s="1"/>
  <c r="BR46" i="16"/>
  <c r="BR48" i="16"/>
  <c r="CB48" i="16" s="1"/>
  <c r="BM49" i="16"/>
  <c r="BP53" i="16"/>
  <c r="BR56" i="16"/>
  <c r="BQ54" i="16"/>
  <c r="BM47" i="16"/>
  <c r="BL46" i="16"/>
  <c r="BQ48" i="16"/>
  <c r="BR53" i="16"/>
  <c r="BM52" i="16"/>
  <c r="BL52" i="16"/>
  <c r="BQ55" i="16"/>
  <c r="BR55" i="16"/>
  <c r="BQ46" i="16"/>
  <c r="BP55" i="16"/>
  <c r="BR51" i="16"/>
  <c r="BO49" i="16"/>
  <c r="Q5" i="29"/>
  <c r="U4" i="29" s="1"/>
  <c r="BL33" i="16"/>
  <c r="BO34" i="16"/>
  <c r="BL37" i="16"/>
  <c r="BR35" i="16"/>
  <c r="BM41" i="16"/>
  <c r="BO38" i="16"/>
  <c r="BR40" i="16"/>
  <c r="BN41" i="16"/>
  <c r="BX41" i="16" s="1"/>
  <c r="BM37" i="16"/>
  <c r="BL44" i="16"/>
  <c r="BR41" i="16"/>
  <c r="BR39" i="16"/>
  <c r="BO42" i="16"/>
  <c r="BL43" i="16"/>
  <c r="BR42" i="16"/>
  <c r="BO43" i="16"/>
  <c r="BN39" i="16"/>
  <c r="BM35" i="16"/>
  <c r="BL38" i="16"/>
  <c r="BR36" i="16"/>
  <c r="BM34" i="16"/>
  <c r="BO36" i="16"/>
  <c r="BO41" i="16"/>
  <c r="BN37" i="16"/>
  <c r="BX37" i="16" s="1"/>
  <c r="BM33" i="16"/>
  <c r="BM44" i="16"/>
  <c r="BO39" i="16"/>
  <c r="BR43" i="16"/>
  <c r="BL39" i="16"/>
  <c r="BR37" i="16"/>
  <c r="BN35" i="16"/>
  <c r="BO37" i="16"/>
  <c r="BN33" i="16"/>
  <c r="BN40" i="16"/>
  <c r="BL36" i="16"/>
  <c r="BN43" i="16"/>
  <c r="BM42" i="16"/>
  <c r="BN44" i="16"/>
  <c r="BM40" i="16"/>
  <c r="BM36" i="16"/>
  <c r="BR33" i="16"/>
  <c r="BR34" i="16"/>
  <c r="BL35" i="16"/>
  <c r="BN34" i="16"/>
  <c r="BL40" i="16"/>
  <c r="BR38" i="16"/>
  <c r="BR44" i="16"/>
  <c r="BM38" i="16"/>
  <c r="BL42" i="16"/>
  <c r="BN38" i="16"/>
  <c r="BL41" i="16"/>
  <c r="BN36" i="16"/>
  <c r="BO40" i="16"/>
  <c r="BO35" i="16"/>
  <c r="BO44" i="16"/>
  <c r="BO33" i="16"/>
  <c r="BN42" i="16"/>
  <c r="BX42" i="16" s="1"/>
  <c r="BM43" i="16"/>
  <c r="BM39" i="16"/>
  <c r="BL34" i="16"/>
  <c r="BP40" i="16"/>
  <c r="BP39" i="16"/>
  <c r="BP35" i="16"/>
  <c r="BP37" i="16"/>
  <c r="BZ37" i="16" s="1"/>
  <c r="BP34" i="16"/>
  <c r="BP36" i="16"/>
  <c r="BZ36" i="16" s="1"/>
  <c r="BP38" i="16"/>
  <c r="BP44" i="16"/>
  <c r="BP33" i="16"/>
  <c r="BP43" i="16"/>
  <c r="BP42" i="16"/>
  <c r="BP41" i="16"/>
  <c r="BQ41" i="16"/>
  <c r="BQ40" i="16"/>
  <c r="BQ34" i="16"/>
  <c r="BQ39" i="16"/>
  <c r="BQ42" i="16"/>
  <c r="BQ33" i="16"/>
  <c r="BQ44" i="16"/>
  <c r="BQ38" i="16"/>
  <c r="BQ36" i="16"/>
  <c r="BQ35" i="16"/>
  <c r="BQ43" i="16"/>
  <c r="BQ37" i="16"/>
  <c r="CA37" i="16" s="1"/>
  <c r="Y59" i="29"/>
  <c r="X59" i="29"/>
  <c r="Q10" i="29"/>
  <c r="V59" i="29"/>
  <c r="AB59" i="29"/>
  <c r="W59" i="29"/>
  <c r="AA59" i="29"/>
  <c r="P80" i="13"/>
  <c r="P79" i="13"/>
  <c r="CB43" i="16" l="1"/>
  <c r="CB38" i="16"/>
  <c r="BY38" i="16"/>
  <c r="BW33" i="16"/>
  <c r="BV33" i="16" s="1"/>
  <c r="CB44" i="16"/>
  <c r="BX44" i="16"/>
  <c r="BX43" i="16"/>
  <c r="BW36" i="16"/>
  <c r="BV36" i="16" s="1"/>
  <c r="CB36" i="16"/>
  <c r="CB33" i="16"/>
  <c r="CB54" i="16"/>
  <c r="CB55" i="16"/>
  <c r="BZ33" i="16"/>
  <c r="BW37" i="16"/>
  <c r="BV37" i="16" s="1"/>
  <c r="BZ48" i="16"/>
  <c r="BX55" i="16"/>
  <c r="BW47" i="16"/>
  <c r="BV47" i="16" s="1"/>
  <c r="BX53" i="16"/>
  <c r="CA54" i="16"/>
  <c r="BZ38" i="16"/>
  <c r="BY47" i="16"/>
  <c r="BX50" i="16"/>
  <c r="CB50" i="16"/>
  <c r="CA38" i="16"/>
  <c r="BW50" i="16"/>
  <c r="BV50" i="16" s="1"/>
  <c r="CA50" i="16"/>
  <c r="BY51" i="16"/>
  <c r="CA44" i="16"/>
  <c r="BZ47" i="16"/>
  <c r="BX47" i="16"/>
  <c r="BX54" i="16"/>
  <c r="BZ40" i="16"/>
  <c r="CA40" i="16"/>
  <c r="BZ41" i="16"/>
  <c r="BY37" i="16"/>
  <c r="BZ42" i="16"/>
  <c r="BY53" i="16"/>
  <c r="BW38" i="16"/>
  <c r="BV38" i="16" s="1"/>
  <c r="CA47" i="16"/>
  <c r="CA33" i="16"/>
  <c r="BY44" i="16"/>
  <c r="BX51" i="16"/>
  <c r="CB47" i="16"/>
  <c r="BX40" i="16"/>
  <c r="BX36" i="16"/>
  <c r="BZ54" i="16"/>
  <c r="BZ43" i="16"/>
  <c r="BX38" i="16"/>
  <c r="CB37" i="16"/>
  <c r="CA48" i="16"/>
  <c r="BY55" i="16"/>
  <c r="BZ57" i="16"/>
  <c r="BY49" i="16"/>
  <c r="BY48" i="16"/>
  <c r="CB51" i="16"/>
  <c r="BX49" i="16"/>
  <c r="CA52" i="16"/>
  <c r="BZ50" i="16"/>
  <c r="BZ52" i="16"/>
  <c r="BY35" i="16"/>
  <c r="CB39" i="16"/>
  <c r="BW52" i="16"/>
  <c r="BV52" i="16" s="1"/>
  <c r="BX35" i="16"/>
  <c r="CB53" i="16"/>
  <c r="BY57" i="16"/>
  <c r="BY50" i="16"/>
  <c r="CB56" i="16"/>
  <c r="CA49" i="16"/>
  <c r="CB35" i="16"/>
  <c r="BW49" i="16"/>
  <c r="BV49" i="16" s="1"/>
  <c r="BZ56" i="16"/>
  <c r="BW44" i="16"/>
  <c r="BV44" i="16" s="1"/>
  <c r="BZ34" i="16"/>
  <c r="BZ35" i="16"/>
  <c r="BY41" i="16"/>
  <c r="BX34" i="16"/>
  <c r="CA35" i="16"/>
  <c r="BZ39" i="16"/>
  <c r="CB34" i="16"/>
  <c r="BY36" i="16"/>
  <c r="BY34" i="16"/>
  <c r="CB46" i="16"/>
  <c r="CA57" i="16"/>
  <c r="BX57" i="16"/>
  <c r="BX48" i="16"/>
  <c r="CA43" i="16"/>
  <c r="CA36" i="16"/>
  <c r="BW34" i="16"/>
  <c r="BV34" i="16" s="1"/>
  <c r="BW48" i="16"/>
  <c r="BV48" i="16" s="1"/>
  <c r="BW57" i="16"/>
  <c r="BV57" i="16" s="1"/>
  <c r="BZ46" i="16"/>
  <c r="BZ44" i="16"/>
  <c r="BW39" i="16"/>
  <c r="BV39" i="16" s="1"/>
  <c r="BW40" i="16"/>
  <c r="BV40" i="16" s="1"/>
  <c r="BW43" i="16"/>
  <c r="BV43" i="16" s="1"/>
  <c r="CA42" i="16"/>
  <c r="BW42" i="16"/>
  <c r="BV42" i="16" s="1"/>
  <c r="BX39" i="16"/>
  <c r="BZ55" i="16"/>
  <c r="BY52" i="16"/>
  <c r="BZ49" i="16"/>
  <c r="CA39" i="16"/>
  <c r="BY33" i="16"/>
  <c r="BY43" i="16"/>
  <c r="CA46" i="16"/>
  <c r="BW46" i="16"/>
  <c r="BV46" i="16" s="1"/>
  <c r="BW53" i="16"/>
  <c r="BV53" i="16" s="1"/>
  <c r="CA56" i="16"/>
  <c r="CA55" i="16"/>
  <c r="BX56" i="16"/>
  <c r="BY46" i="16"/>
  <c r="CB52" i="16"/>
  <c r="BW35" i="16"/>
  <c r="BV35" i="16" s="1"/>
  <c r="CA34" i="16"/>
  <c r="CB42" i="16"/>
  <c r="CA41" i="16"/>
  <c r="BY40" i="16"/>
  <c r="BX33" i="16"/>
  <c r="BY42" i="16"/>
  <c r="CB57" i="16"/>
  <c r="BW54" i="16"/>
  <c r="BV54" i="16" s="1"/>
  <c r="BW55" i="16"/>
  <c r="BV55" i="16" s="1"/>
  <c r="CB41" i="16"/>
  <c r="BY56" i="16"/>
  <c r="BW56" i="16"/>
  <c r="BV56" i="16" s="1"/>
  <c r="CA51" i="16"/>
  <c r="BY39" i="16"/>
  <c r="CB40" i="16"/>
  <c r="CA53" i="16"/>
  <c r="CB49" i="16"/>
  <c r="BW51" i="16"/>
  <c r="BV51" i="16" s="1"/>
  <c r="BW41" i="16"/>
  <c r="BV41" i="16" s="1"/>
  <c r="BZ53" i="16"/>
  <c r="BX52" i="16"/>
  <c r="BX46" i="16"/>
  <c r="R4" i="29"/>
  <c r="V4" i="29"/>
  <c r="X4" i="29"/>
  <c r="W4" i="29"/>
  <c r="S4" i="29"/>
  <c r="T4" i="29"/>
  <c r="R9" i="29"/>
  <c r="S9" i="29"/>
  <c r="T9" i="29"/>
  <c r="U9" i="29"/>
  <c r="X9" i="29"/>
  <c r="V9" i="29"/>
  <c r="W9" i="29"/>
  <c r="Z59" i="29"/>
  <c r="DH39" i="16" l="1"/>
  <c r="G18" i="12"/>
  <c r="F77" i="13" s="1"/>
  <c r="J77" i="13" s="1"/>
  <c r="G17" i="12"/>
  <c r="G20" i="12"/>
  <c r="G77" i="13" l="1"/>
  <c r="K77" i="13" s="1"/>
  <c r="G76" i="13"/>
  <c r="K76" i="13" s="1"/>
  <c r="K79" i="13" s="1"/>
  <c r="F78" i="13"/>
  <c r="L77" i="13"/>
  <c r="G19" i="12"/>
  <c r="F76" i="13"/>
  <c r="J76" i="13" s="1"/>
  <c r="L76" i="13" l="1"/>
  <c r="AG18" i="25"/>
  <c r="AF18" i="25"/>
  <c r="AE18" i="25"/>
  <c r="AD18" i="25"/>
  <c r="AC18" i="25"/>
  <c r="AB18" i="25"/>
  <c r="AG17" i="25"/>
  <c r="AF17" i="25"/>
  <c r="AE17" i="25"/>
  <c r="AD17" i="25"/>
  <c r="AC17" i="25"/>
  <c r="AB17" i="25"/>
  <c r="N21" i="12" l="1"/>
  <c r="N20" i="12"/>
  <c r="J3" i="12" s="1"/>
  <c r="N19" i="12"/>
  <c r="N18" i="12"/>
  <c r="J4" i="12" s="1"/>
  <c r="N17" i="12"/>
  <c r="J5" i="12" s="1"/>
  <c r="N16" i="12"/>
  <c r="N15" i="12"/>
  <c r="N14" i="12"/>
  <c r="N13" i="12"/>
  <c r="N12" i="12"/>
  <c r="N11" i="12"/>
  <c r="N10" i="12"/>
  <c r="BJ110" i="21" l="1"/>
  <c r="BK114" i="21"/>
  <c r="BK110" i="21"/>
  <c r="BK109" i="21"/>
  <c r="BK137" i="21" s="1"/>
  <c r="BK108" i="21"/>
  <c r="BK107" i="21"/>
  <c r="BK130" i="21"/>
  <c r="BJ124" i="21"/>
  <c r="BK125" i="21"/>
  <c r="BJ119" i="21"/>
  <c r="BK120" i="21"/>
  <c r="BK143" i="21" s="1"/>
  <c r="BJ114" i="21"/>
  <c r="BK115" i="21"/>
  <c r="BJ109" i="21"/>
  <c r="BK113" i="21"/>
  <c r="BJ130" i="21"/>
  <c r="BJ128" i="21"/>
  <c r="BJ125" i="21"/>
  <c r="BK127" i="21"/>
  <c r="BK124" i="21"/>
  <c r="BJ118" i="21"/>
  <c r="BJ115" i="21"/>
  <c r="BK117" i="21"/>
  <c r="BJ108" i="21"/>
  <c r="BK112" i="21"/>
  <c r="BJ129" i="21"/>
  <c r="BJ127" i="21"/>
  <c r="BJ123" i="21"/>
  <c r="BJ120" i="21"/>
  <c r="BK122" i="21"/>
  <c r="BK140" i="21" s="1"/>
  <c r="BK119" i="21"/>
  <c r="BK118" i="21"/>
  <c r="BJ112" i="21"/>
  <c r="BJ107" i="21"/>
  <c r="BK129" i="21"/>
  <c r="BK128" i="21"/>
  <c r="BJ122" i="21"/>
  <c r="BK123" i="21"/>
  <c r="BJ117" i="21"/>
  <c r="BJ140" i="21" s="1"/>
  <c r="BJ113" i="21"/>
  <c r="BE88" i="21"/>
  <c r="BM128" i="21"/>
  <c r="BM123" i="21"/>
  <c r="BM118" i="21"/>
  <c r="BM141" i="21" s="1"/>
  <c r="BM113" i="21"/>
  <c r="BN107" i="21"/>
  <c r="BN135" i="21" s="1"/>
  <c r="BD108" i="21"/>
  <c r="AU107" i="21"/>
  <c r="BA104" i="21"/>
  <c r="BC102" i="21"/>
  <c r="AT104" i="21"/>
  <c r="AZ98" i="21"/>
  <c r="BE96" i="21"/>
  <c r="AW94" i="21"/>
  <c r="BA92" i="21"/>
  <c r="BE89" i="21"/>
  <c r="BO127" i="21"/>
  <c r="BO122" i="21"/>
  <c r="BC106" i="21"/>
  <c r="AW98" i="21"/>
  <c r="AX92" i="21"/>
  <c r="BN112" i="21"/>
  <c r="AY102" i="21"/>
  <c r="BA96" i="21"/>
  <c r="AW92" i="21"/>
  <c r="BN110" i="21"/>
  <c r="BA106" i="21"/>
  <c r="AZ96" i="21"/>
  <c r="AZ89" i="21"/>
  <c r="BL127" i="21"/>
  <c r="BL117" i="21"/>
  <c r="BL140" i="21" s="1"/>
  <c r="AU104" i="21"/>
  <c r="BE97" i="21"/>
  <c r="AU92" i="21"/>
  <c r="BL110" i="21"/>
  <c r="AW108" i="21"/>
  <c r="AY106" i="21"/>
  <c r="BE103" i="21"/>
  <c r="BB99" i="21"/>
  <c r="BD97" i="21"/>
  <c r="AX96" i="21"/>
  <c r="BB93" i="21"/>
  <c r="AT92" i="21"/>
  <c r="AX89" i="21"/>
  <c r="BN125" i="21"/>
  <c r="BN115" i="21"/>
  <c r="BO109" i="21"/>
  <c r="AU108" i="21"/>
  <c r="BC103" i="21"/>
  <c r="AZ99" i="21"/>
  <c r="AV96" i="21"/>
  <c r="BD90" i="21"/>
  <c r="BM130" i="21"/>
  <c r="BM125" i="21"/>
  <c r="BM115" i="21"/>
  <c r="BN109" i="21"/>
  <c r="BE107" i="21"/>
  <c r="BB103" i="21"/>
  <c r="AY99" i="21"/>
  <c r="AU96" i="21"/>
  <c r="BC90" i="21"/>
  <c r="BL125" i="21"/>
  <c r="BL115" i="21"/>
  <c r="BM109" i="21"/>
  <c r="BD107" i="21"/>
  <c r="BA103" i="21"/>
  <c r="BL128" i="21"/>
  <c r="BL123" i="21"/>
  <c r="BL118" i="21"/>
  <c r="BL113" i="21"/>
  <c r="BM107" i="21"/>
  <c r="BC108" i="21"/>
  <c r="BE106" i="21"/>
  <c r="AZ104" i="21"/>
  <c r="BB102" i="21"/>
  <c r="AT103" i="21"/>
  <c r="AY98" i="21"/>
  <c r="BD96" i="21"/>
  <c r="AV94" i="21"/>
  <c r="AZ92" i="21"/>
  <c r="BD89" i="21"/>
  <c r="BO117" i="21"/>
  <c r="AX104" i="21"/>
  <c r="AT101" i="21"/>
  <c r="AT94" i="21"/>
  <c r="BN127" i="21"/>
  <c r="BN117" i="21"/>
  <c r="AZ108" i="21"/>
  <c r="AW104" i="21"/>
  <c r="AV98" i="21"/>
  <c r="BE93" i="21"/>
  <c r="BM117" i="21"/>
  <c r="AY108" i="21"/>
  <c r="AX102" i="21"/>
  <c r="AU98" i="21"/>
  <c r="AV92" i="21"/>
  <c r="BL107" i="21"/>
  <c r="BB108" i="21"/>
  <c r="BD106" i="21"/>
  <c r="AY104" i="21"/>
  <c r="BA102" i="21"/>
  <c r="AX98" i="21"/>
  <c r="BC96" i="21"/>
  <c r="AU94" i="21"/>
  <c r="AY92" i="21"/>
  <c r="BC89" i="21"/>
  <c r="BO112" i="21"/>
  <c r="BA108" i="21"/>
  <c r="AZ102" i="21"/>
  <c r="BB96" i="21"/>
  <c r="BB89" i="21"/>
  <c r="BN122" i="21"/>
  <c r="BO110" i="21"/>
  <c r="BB106" i="21"/>
  <c r="BE99" i="21"/>
  <c r="BA89" i="21"/>
  <c r="BM127" i="21"/>
  <c r="BM122" i="21"/>
  <c r="BM112" i="21"/>
  <c r="AV104" i="21"/>
  <c r="BD99" i="21"/>
  <c r="BD93" i="21"/>
  <c r="BL122" i="21"/>
  <c r="BL112" i="21"/>
  <c r="BM110" i="21"/>
  <c r="AX108" i="21"/>
  <c r="AZ106" i="21"/>
  <c r="BC99" i="21"/>
  <c r="AY96" i="21"/>
  <c r="BC93" i="21"/>
  <c r="AY89" i="21"/>
  <c r="BN130" i="21"/>
  <c r="BN120" i="21"/>
  <c r="BD109" i="21"/>
  <c r="AW106" i="21"/>
  <c r="BE101" i="21"/>
  <c r="BB97" i="21"/>
  <c r="AZ93" i="21"/>
  <c r="AV89" i="21"/>
  <c r="BM120" i="21"/>
  <c r="BC109" i="21"/>
  <c r="AV106" i="21"/>
  <c r="BD101" i="21"/>
  <c r="BA97" i="21"/>
  <c r="AY93" i="21"/>
  <c r="AU89" i="21"/>
  <c r="BL130" i="21"/>
  <c r="BL120" i="21"/>
  <c r="BB109" i="21"/>
  <c r="AU106" i="21"/>
  <c r="BC101" i="21"/>
  <c r="AZ97" i="21"/>
  <c r="AT96" i="21"/>
  <c r="AX93" i="21"/>
  <c r="BO130" i="21"/>
  <c r="BO125" i="21"/>
  <c r="BO120" i="21"/>
  <c r="BO115" i="21"/>
  <c r="BE109" i="21"/>
  <c r="AV108" i="21"/>
  <c r="AX106" i="21"/>
  <c r="BD103" i="21"/>
  <c r="BA99" i="21"/>
  <c r="BC97" i="21"/>
  <c r="AW96" i="21"/>
  <c r="BA93" i="21"/>
  <c r="BE90" i="21"/>
  <c r="AW89" i="21"/>
  <c r="BL119" i="21"/>
  <c r="BL109" i="21"/>
  <c r="AY107" i="21"/>
  <c r="BB101" i="21"/>
  <c r="AV97" i="21"/>
  <c r="BB92" i="21"/>
  <c r="AX107" i="21"/>
  <c r="BA101" i="21"/>
  <c r="AU97" i="21"/>
  <c r="BB90" i="21"/>
  <c r="BO118" i="21"/>
  <c r="BO108" i="21"/>
  <c r="AW107" i="21"/>
  <c r="AZ101" i="21"/>
  <c r="AT99" i="21"/>
  <c r="BM129" i="21"/>
  <c r="BN108" i="21"/>
  <c r="AY101" i="21"/>
  <c r="BL129" i="21"/>
  <c r="BM108" i="21"/>
  <c r="AW101" i="21"/>
  <c r="AX90" i="21"/>
  <c r="BN114" i="21"/>
  <c r="BD94" i="21"/>
  <c r="AT106" i="21"/>
  <c r="AX99" i="21"/>
  <c r="AZ109" i="21"/>
  <c r="AT90" i="21"/>
  <c r="BO113" i="21"/>
  <c r="AT89" i="21"/>
  <c r="BN113" i="21"/>
  <c r="AX109" i="21"/>
  <c r="AY94" i="21"/>
  <c r="AY103" i="21"/>
  <c r="AX103" i="21"/>
  <c r="AU93" i="21"/>
  <c r="BA98" i="21"/>
  <c r="AY97" i="21"/>
  <c r="BA107" i="21"/>
  <c r="BD92" i="21"/>
  <c r="BM119" i="21"/>
  <c r="BC92" i="21"/>
  <c r="BO129" i="21"/>
  <c r="BN118" i="21"/>
  <c r="AV107" i="21"/>
  <c r="AZ90" i="21"/>
  <c r="AX101" i="21"/>
  <c r="AY90" i="21"/>
  <c r="AT108" i="21"/>
  <c r="AV101" i="21"/>
  <c r="BN128" i="21"/>
  <c r="AU101" i="21"/>
  <c r="BL114" i="21"/>
  <c r="BA109" i="21"/>
  <c r="BB94" i="21"/>
  <c r="BO124" i="21"/>
  <c r="AW99" i="21"/>
  <c r="BN124" i="21"/>
  <c r="BC104" i="21"/>
  <c r="BM124" i="21"/>
  <c r="BB104" i="21"/>
  <c r="AW109" i="21"/>
  <c r="BE98" i="21"/>
  <c r="AV109" i="21"/>
  <c r="AW93" i="21"/>
  <c r="BO123" i="21"/>
  <c r="AU109" i="21"/>
  <c r="AV93" i="21"/>
  <c r="BN123" i="21"/>
  <c r="AW103" i="21"/>
  <c r="AV103" i="21"/>
  <c r="BO119" i="21"/>
  <c r="AU103" i="21"/>
  <c r="AX97" i="21"/>
  <c r="BD102" i="21"/>
  <c r="BN129" i="21"/>
  <c r="BA90" i="21"/>
  <c r="AT98" i="21"/>
  <c r="AT109" i="21"/>
  <c r="BO114" i="21"/>
  <c r="BL108" i="21"/>
  <c r="BE94" i="21"/>
  <c r="BO128" i="21"/>
  <c r="AT107" i="21"/>
  <c r="AW90" i="21"/>
  <c r="BM114" i="21"/>
  <c r="BO107" i="21"/>
  <c r="BC94" i="21"/>
  <c r="AV90" i="21"/>
  <c r="BE104" i="21"/>
  <c r="AU90" i="21"/>
  <c r="BD104" i="21"/>
  <c r="BA94" i="21"/>
  <c r="AY109" i="21"/>
  <c r="AV99" i="21"/>
  <c r="AZ94" i="21"/>
  <c r="AU99" i="21"/>
  <c r="BL124" i="21"/>
  <c r="AZ103" i="21"/>
  <c r="AX94" i="21"/>
  <c r="BD98" i="21"/>
  <c r="BC98" i="21"/>
  <c r="BE108" i="21"/>
  <c r="BB98" i="21"/>
  <c r="BC107" i="21"/>
  <c r="AT93" i="21"/>
  <c r="BB107" i="21"/>
  <c r="BE92" i="21"/>
  <c r="BN119" i="21"/>
  <c r="BE102" i="21"/>
  <c r="AW97" i="21"/>
  <c r="AZ107" i="21"/>
  <c r="BA88" i="21"/>
  <c r="BB88" i="21"/>
  <c r="BD88" i="21"/>
  <c r="AY88" i="21"/>
  <c r="AT88" i="21"/>
  <c r="AW88" i="21"/>
  <c r="AX88" i="21"/>
  <c r="AX114" i="21" s="1"/>
  <c r="BC88" i="21"/>
  <c r="AU88" i="21"/>
  <c r="AV88" i="21"/>
  <c r="AZ88" i="21"/>
  <c r="AW55" i="20"/>
  <c r="AV52" i="20"/>
  <c r="AV60" i="20"/>
  <c r="AV51" i="20"/>
  <c r="AW41" i="20"/>
  <c r="AV59" i="20"/>
  <c r="AV50" i="20"/>
  <c r="AV41" i="20"/>
  <c r="AV58" i="20"/>
  <c r="AV49" i="20"/>
  <c r="AX39" i="20"/>
  <c r="AV57" i="20"/>
  <c r="AV48" i="20"/>
  <c r="AV56" i="20"/>
  <c r="AX46" i="20"/>
  <c r="AX38" i="20"/>
  <c r="AV55" i="20"/>
  <c r="AW46" i="20"/>
  <c r="AX53" i="20"/>
  <c r="AV46" i="20"/>
  <c r="AX37" i="20"/>
  <c r="AW53" i="20"/>
  <c r="AX45" i="20"/>
  <c r="AW37" i="20"/>
  <c r="AX60" i="20"/>
  <c r="AX52" i="20"/>
  <c r="AW45" i="20"/>
  <c r="AX36" i="20"/>
  <c r="AW60" i="20"/>
  <c r="AW52" i="20"/>
  <c r="AV45" i="20"/>
  <c r="AW36" i="20"/>
  <c r="AX59" i="20"/>
  <c r="AX51" i="20"/>
  <c r="AX44" i="20"/>
  <c r="AX35" i="20"/>
  <c r="AW59" i="20"/>
  <c r="AW51" i="20"/>
  <c r="AW44" i="20"/>
  <c r="AW35" i="20"/>
  <c r="AX58" i="20"/>
  <c r="AX50" i="20"/>
  <c r="AV44" i="20"/>
  <c r="AW58" i="20"/>
  <c r="AW50" i="20"/>
  <c r="AX43" i="20"/>
  <c r="AW34" i="20"/>
  <c r="AX57" i="20"/>
  <c r="AX49" i="20"/>
  <c r="AW43" i="20"/>
  <c r="AV39" i="20"/>
  <c r="AV43" i="20"/>
  <c r="AV38" i="20"/>
  <c r="AX42" i="20"/>
  <c r="AV37" i="20"/>
  <c r="AW42" i="20"/>
  <c r="AV36" i="20"/>
  <c r="AV42" i="20"/>
  <c r="AV35" i="20"/>
  <c r="AX41" i="20"/>
  <c r="AW39" i="20"/>
  <c r="AW57" i="20"/>
  <c r="AW49" i="20"/>
  <c r="AV34" i="20"/>
  <c r="AW38" i="20"/>
  <c r="AX34" i="20"/>
  <c r="AX56" i="20"/>
  <c r="AX48" i="20"/>
  <c r="AW56" i="20"/>
  <c r="AW48" i="20"/>
  <c r="AX55" i="20"/>
  <c r="AV53" i="20"/>
  <c r="BK141" i="21" l="1"/>
  <c r="BC115" i="21"/>
  <c r="BM136" i="21"/>
  <c r="BJ135" i="21"/>
  <c r="BJ137" i="21"/>
  <c r="BJ142" i="21"/>
  <c r="BL142" i="21"/>
  <c r="AZ119" i="21"/>
  <c r="AZ114" i="21"/>
  <c r="R121" i="21" s="1"/>
  <c r="AV118" i="21"/>
  <c r="BK142" i="21"/>
  <c r="AY36" i="20"/>
  <c r="BA120" i="21"/>
  <c r="AY114" i="21"/>
  <c r="S136" i="21" s="1"/>
  <c r="BJ136" i="21"/>
  <c r="AY116" i="21"/>
  <c r="Q136" i="21" s="1"/>
  <c r="BL135" i="21"/>
  <c r="BA115" i="21"/>
  <c r="R157" i="21" s="1"/>
  <c r="BO138" i="21"/>
  <c r="BK135" i="21"/>
  <c r="BJ143" i="21"/>
  <c r="BK138" i="21"/>
  <c r="BK136" i="21"/>
  <c r="AV115" i="21"/>
  <c r="T180" i="21" s="1"/>
  <c r="BJ141" i="21"/>
  <c r="BJ138" i="21"/>
  <c r="BO135" i="21"/>
  <c r="BO143" i="21"/>
  <c r="AV119" i="21"/>
  <c r="BC114" i="21"/>
  <c r="S199" i="21" s="1"/>
  <c r="BE119" i="21"/>
  <c r="AY119" i="21"/>
  <c r="BN140" i="21"/>
  <c r="BO137" i="21"/>
  <c r="BB114" i="21"/>
  <c r="P189" i="21" s="1"/>
  <c r="BM138" i="21"/>
  <c r="AX120" i="21"/>
  <c r="BD121" i="21"/>
  <c r="AT118" i="21"/>
  <c r="AW115" i="21"/>
  <c r="T187" i="21" s="1"/>
  <c r="AZ121" i="21"/>
  <c r="AX119" i="21"/>
  <c r="AT121" i="21"/>
  <c r="S179" i="21"/>
  <c r="P176" i="21"/>
  <c r="U181" i="21"/>
  <c r="O6" i="21"/>
  <c r="P126" i="21"/>
  <c r="V132" i="21"/>
  <c r="T130" i="21"/>
  <c r="R128" i="21"/>
  <c r="S129" i="21"/>
  <c r="Q127" i="21"/>
  <c r="U131" i="21"/>
  <c r="S200" i="21"/>
  <c r="R199" i="21"/>
  <c r="Q198" i="21"/>
  <c r="P197" i="21"/>
  <c r="T201" i="21"/>
  <c r="U202" i="21"/>
  <c r="BD114" i="21"/>
  <c r="Q120" i="21"/>
  <c r="BN142" i="21"/>
  <c r="BN136" i="21"/>
  <c r="AY38" i="20"/>
  <c r="AW114" i="21"/>
  <c r="AZ116" i="21"/>
  <c r="BC121" i="21"/>
  <c r="BM143" i="21"/>
  <c r="BB120" i="21"/>
  <c r="BN138" i="21"/>
  <c r="BA118" i="21"/>
  <c r="BE120" i="21"/>
  <c r="BB121" i="21"/>
  <c r="AT114" i="21"/>
  <c r="BD118" i="21"/>
  <c r="BL137" i="21"/>
  <c r="BO141" i="21"/>
  <c r="AV114" i="21"/>
  <c r="AW116" i="21"/>
  <c r="AU114" i="21"/>
  <c r="BE118" i="21"/>
  <c r="BE116" i="21"/>
  <c r="BN143" i="21"/>
  <c r="BE121" i="21"/>
  <c r="BM137" i="21"/>
  <c r="AX115" i="21"/>
  <c r="AZ120" i="21"/>
  <c r="BC120" i="21"/>
  <c r="BO140" i="21"/>
  <c r="BD120" i="21"/>
  <c r="AW118" i="21"/>
  <c r="AY115" i="21"/>
  <c r="AZ115" i="21"/>
  <c r="BO142" i="21"/>
  <c r="AT115" i="21"/>
  <c r="BC119" i="21"/>
  <c r="BL143" i="21"/>
  <c r="BC116" i="21"/>
  <c r="AX118" i="21"/>
  <c r="AZ118" i="21"/>
  <c r="BO136" i="21"/>
  <c r="BA121" i="21"/>
  <c r="AY118" i="21"/>
  <c r="BB115" i="21"/>
  <c r="AV116" i="21"/>
  <c r="AU118" i="21"/>
  <c r="BD119" i="21"/>
  <c r="AY121" i="21"/>
  <c r="BB118" i="21"/>
  <c r="BL141" i="21"/>
  <c r="AT116" i="21"/>
  <c r="AU115" i="21"/>
  <c r="BL136" i="21"/>
  <c r="AU119" i="21"/>
  <c r="BN137" i="21"/>
  <c r="BB116" i="21"/>
  <c r="AU120" i="21"/>
  <c r="BA114" i="21"/>
  <c r="BN141" i="21"/>
  <c r="AX121" i="21"/>
  <c r="BA119" i="21"/>
  <c r="AU121" i="21"/>
  <c r="AT120" i="21"/>
  <c r="BM140" i="21"/>
  <c r="AW119" i="21"/>
  <c r="BA116" i="21"/>
  <c r="BM142" i="21"/>
  <c r="BE115" i="21"/>
  <c r="AT119" i="21"/>
  <c r="BB119" i="21"/>
  <c r="AY52" i="20"/>
  <c r="AV121" i="21"/>
  <c r="AU116" i="21"/>
  <c r="AV120" i="21"/>
  <c r="BL138" i="21"/>
  <c r="AW120" i="21"/>
  <c r="AX116" i="21"/>
  <c r="AY120" i="21"/>
  <c r="AW121" i="21"/>
  <c r="BD115" i="21"/>
  <c r="BC118" i="21"/>
  <c r="BM135" i="21"/>
  <c r="BD116" i="21"/>
  <c r="BE114" i="21"/>
  <c r="AY59" i="20"/>
  <c r="AY41" i="20"/>
  <c r="AY44" i="20"/>
  <c r="AY45" i="20"/>
  <c r="AY60" i="20"/>
  <c r="AY34" i="20"/>
  <c r="AY53" i="20"/>
  <c r="AY55" i="20"/>
  <c r="AY37" i="20"/>
  <c r="AY51" i="20"/>
  <c r="AY56" i="20"/>
  <c r="AY58" i="20"/>
  <c r="AY39" i="20"/>
  <c r="AY35" i="20"/>
  <c r="AY46" i="20"/>
  <c r="AY49" i="20"/>
  <c r="AY57" i="20"/>
  <c r="AY43" i="20"/>
  <c r="AY42" i="20"/>
  <c r="AY50" i="20"/>
  <c r="AY48" i="20"/>
  <c r="G2" i="12"/>
  <c r="G3" i="12"/>
  <c r="P119" i="21" l="1"/>
  <c r="V125" i="21"/>
  <c r="R198" i="21"/>
  <c r="T123" i="21"/>
  <c r="P133" i="21"/>
  <c r="S122" i="21"/>
  <c r="U124" i="21"/>
  <c r="Q134" i="21"/>
  <c r="O3" i="21"/>
  <c r="T139" i="21"/>
  <c r="P135" i="21"/>
  <c r="R137" i="21"/>
  <c r="S138" i="21"/>
  <c r="S158" i="21"/>
  <c r="Q156" i="21"/>
  <c r="U160" i="21"/>
  <c r="U138" i="21"/>
  <c r="R178" i="21"/>
  <c r="R135" i="21"/>
  <c r="T137" i="21"/>
  <c r="T159" i="21"/>
  <c r="S192" i="21"/>
  <c r="V195" i="21"/>
  <c r="V139" i="21"/>
  <c r="P155" i="21"/>
  <c r="T193" i="21"/>
  <c r="Q190" i="21"/>
  <c r="Q177" i="21"/>
  <c r="U194" i="21"/>
  <c r="U201" i="21"/>
  <c r="T200" i="21"/>
  <c r="V202" i="21"/>
  <c r="Q197" i="21"/>
  <c r="P196" i="21"/>
  <c r="AL122" i="21"/>
  <c r="AK120" i="21"/>
  <c r="AM118" i="21"/>
  <c r="AL111" i="21"/>
  <c r="AL109" i="21"/>
  <c r="BB18" i="20"/>
  <c r="AM121" i="21"/>
  <c r="AK117" i="21"/>
  <c r="AK110" i="21"/>
  <c r="BD19" i="20"/>
  <c r="BC20" i="20"/>
  <c r="BC9" i="20"/>
  <c r="BB8" i="20"/>
  <c r="BB6" i="20"/>
  <c r="AK107" i="21"/>
  <c r="BB5" i="20"/>
  <c r="BB4" i="20"/>
  <c r="BC7" i="20"/>
  <c r="AK106" i="21"/>
  <c r="BB15" i="20"/>
  <c r="BD16" i="20"/>
  <c r="AK108" i="21"/>
  <c r="Q184" i="21"/>
  <c r="P183" i="21"/>
  <c r="R185" i="21"/>
  <c r="S186" i="21"/>
  <c r="R191" i="21"/>
  <c r="U188" i="21"/>
  <c r="U195" i="21"/>
  <c r="P190" i="21"/>
  <c r="T194" i="21"/>
  <c r="S193" i="21"/>
  <c r="R192" i="21"/>
  <c r="Q191" i="21"/>
  <c r="T195" i="21"/>
  <c r="R193" i="21"/>
  <c r="P191" i="21"/>
  <c r="S194" i="21"/>
  <c r="Q192" i="21"/>
  <c r="T172" i="21"/>
  <c r="Q169" i="21"/>
  <c r="P168" i="21"/>
  <c r="S171" i="21"/>
  <c r="V174" i="21"/>
  <c r="U173" i="21"/>
  <c r="R170" i="21"/>
  <c r="R200" i="21"/>
  <c r="P198" i="21"/>
  <c r="Q199" i="21"/>
  <c r="T202" i="21"/>
  <c r="S201" i="21"/>
  <c r="T188" i="21"/>
  <c r="R186" i="21"/>
  <c r="S187" i="21"/>
  <c r="Q185" i="21"/>
  <c r="P184" i="21"/>
  <c r="U180" i="21"/>
  <c r="T179" i="21"/>
  <c r="R177" i="21"/>
  <c r="S178" i="21"/>
  <c r="Q176" i="21"/>
  <c r="V181" i="21"/>
  <c r="P175" i="21"/>
  <c r="Q128" i="21"/>
  <c r="U132" i="21"/>
  <c r="R129" i="21"/>
  <c r="P127" i="21"/>
  <c r="T131" i="21"/>
  <c r="S130" i="21"/>
  <c r="S124" i="21"/>
  <c r="R123" i="21"/>
  <c r="T125" i="21"/>
  <c r="Q122" i="21"/>
  <c r="P121" i="21"/>
  <c r="S180" i="21"/>
  <c r="R179" i="21"/>
  <c r="P177" i="21"/>
  <c r="T181" i="21"/>
  <c r="Q178" i="21"/>
  <c r="P128" i="21"/>
  <c r="Q129" i="21"/>
  <c r="T132" i="21"/>
  <c r="S131" i="21"/>
  <c r="R130" i="21"/>
  <c r="U187" i="21"/>
  <c r="T186" i="21"/>
  <c r="P182" i="21"/>
  <c r="R184" i="21"/>
  <c r="V188" i="21"/>
  <c r="S185" i="21"/>
  <c r="Q183" i="21"/>
  <c r="S157" i="21"/>
  <c r="R156" i="21"/>
  <c r="T158" i="21"/>
  <c r="Q155" i="21"/>
  <c r="U159" i="21"/>
  <c r="V160" i="21"/>
  <c r="P154" i="21"/>
  <c r="P142" i="21"/>
  <c r="T146" i="21"/>
  <c r="S145" i="21"/>
  <c r="R144" i="21"/>
  <c r="Q143" i="21"/>
  <c r="N4" i="21"/>
  <c r="O5" i="21"/>
  <c r="O12" i="21"/>
  <c r="Q141" i="21"/>
  <c r="T144" i="21"/>
  <c r="P140" i="21"/>
  <c r="R142" i="21"/>
  <c r="V146" i="21"/>
  <c r="U145" i="21"/>
  <c r="S143" i="21"/>
  <c r="Q150" i="21"/>
  <c r="P149" i="21"/>
  <c r="S152" i="21"/>
  <c r="R151" i="21"/>
  <c r="T153" i="21"/>
  <c r="S173" i="21"/>
  <c r="R172" i="21"/>
  <c r="P170" i="21"/>
  <c r="T174" i="21"/>
  <c r="Q171" i="21"/>
  <c r="S165" i="21"/>
  <c r="R164" i="21"/>
  <c r="P162" i="21"/>
  <c r="T166" i="21"/>
  <c r="U167" i="21"/>
  <c r="Q163" i="21"/>
  <c r="Q149" i="21"/>
  <c r="P148" i="21"/>
  <c r="T152" i="21"/>
  <c r="U153" i="21"/>
  <c r="S151" i="21"/>
  <c r="R150" i="21"/>
  <c r="O9" i="21"/>
  <c r="S164" i="21"/>
  <c r="U166" i="21"/>
  <c r="T165" i="21"/>
  <c r="R163" i="21"/>
  <c r="Q162" i="21"/>
  <c r="P161" i="21"/>
  <c r="V167" i="21"/>
  <c r="P134" i="21"/>
  <c r="T138" i="21"/>
  <c r="S137" i="21"/>
  <c r="Q135" i="21"/>
  <c r="R136" i="21"/>
  <c r="U139" i="21"/>
  <c r="Q157" i="21"/>
  <c r="S159" i="21"/>
  <c r="P156" i="21"/>
  <c r="T160" i="21"/>
  <c r="R158" i="21"/>
  <c r="Q142" i="21"/>
  <c r="P141" i="21"/>
  <c r="T145" i="21"/>
  <c r="R143" i="21"/>
  <c r="U146" i="21"/>
  <c r="S144" i="21"/>
  <c r="S172" i="21"/>
  <c r="P169" i="21"/>
  <c r="Q170" i="21"/>
  <c r="R171" i="21"/>
  <c r="U174" i="21"/>
  <c r="T173" i="21"/>
  <c r="R165" i="21"/>
  <c r="S166" i="21"/>
  <c r="T167" i="21"/>
  <c r="Q164" i="21"/>
  <c r="P163" i="21"/>
  <c r="U125" i="21"/>
  <c r="T124" i="21"/>
  <c r="P120" i="21"/>
  <c r="Q121" i="21"/>
  <c r="R122" i="21"/>
  <c r="S123" i="21"/>
  <c r="O15" i="21"/>
  <c r="R149" i="21"/>
  <c r="V153" i="21"/>
  <c r="Q148" i="21"/>
  <c r="P147" i="21"/>
  <c r="T151" i="21"/>
  <c r="S150" i="21"/>
  <c r="U152" i="21"/>
  <c r="M3" i="21"/>
  <c r="O7" i="21"/>
  <c r="N6" i="21"/>
  <c r="N3" i="21"/>
  <c r="O4" i="21"/>
  <c r="M15" i="21"/>
  <c r="O17" i="21"/>
  <c r="N16" i="21"/>
  <c r="N10" i="21"/>
  <c r="O11" i="21"/>
  <c r="M9" i="21"/>
  <c r="O14" i="21"/>
  <c r="N13" i="21"/>
  <c r="M12" i="21"/>
  <c r="N15" i="21"/>
  <c r="O16" i="21"/>
  <c r="O10" i="21"/>
  <c r="N9" i="21"/>
  <c r="BH118" i="21"/>
  <c r="AR89" i="21"/>
  <c r="BH109" i="21"/>
  <c r="AR88" i="21"/>
  <c r="BH107" i="21"/>
  <c r="BH130" i="21"/>
  <c r="BH129" i="21"/>
  <c r="BH117" i="21"/>
  <c r="AR96" i="21"/>
  <c r="AR93" i="21"/>
  <c r="BH113" i="21"/>
  <c r="BH112" i="21"/>
  <c r="BH115" i="21"/>
  <c r="AR94" i="21"/>
  <c r="BH114" i="21"/>
  <c r="AR92" i="21"/>
  <c r="AR90" i="21"/>
  <c r="BH110" i="21"/>
  <c r="AR109" i="21"/>
  <c r="AR108" i="21"/>
  <c r="BH108" i="21"/>
  <c r="BH127" i="21"/>
  <c r="BH124" i="21"/>
  <c r="BH122" i="21"/>
  <c r="AR103" i="21"/>
  <c r="AR101" i="21"/>
  <c r="BH125" i="21"/>
  <c r="AR107" i="21"/>
  <c r="AR106" i="21"/>
  <c r="BH128" i="21"/>
  <c r="BH123" i="21"/>
  <c r="BH120" i="21"/>
  <c r="BH119" i="21"/>
  <c r="AR104" i="21"/>
  <c r="AR98" i="21"/>
  <c r="AR99" i="21"/>
  <c r="AH37" i="21"/>
  <c r="AG31" i="21"/>
  <c r="AH36" i="21"/>
  <c r="AG30" i="21"/>
  <c r="AH35" i="21"/>
  <c r="AG29" i="21"/>
  <c r="AH34" i="21"/>
  <c r="AG28" i="21"/>
  <c r="AH33" i="21"/>
  <c r="AG27" i="21"/>
  <c r="AH32" i="21"/>
  <c r="AG26" i="21"/>
  <c r="AH31" i="21"/>
  <c r="AG25" i="21"/>
  <c r="AH30" i="21"/>
  <c r="AG24" i="21"/>
  <c r="AG23" i="21"/>
  <c r="AH28" i="21"/>
  <c r="AG22" i="21"/>
  <c r="AH27" i="21"/>
  <c r="AH29" i="21"/>
  <c r="AH26" i="21"/>
  <c r="AH25" i="21"/>
  <c r="AH24" i="21"/>
  <c r="AH23" i="21"/>
  <c r="AG35" i="21"/>
  <c r="AG34" i="21"/>
  <c r="AG33" i="21"/>
  <c r="AH22" i="21"/>
  <c r="AG32" i="21"/>
  <c r="O13" i="21"/>
  <c r="N12" i="21"/>
  <c r="O8" i="21"/>
  <c r="M6" i="21"/>
  <c r="N7" i="21"/>
  <c r="T73" i="13"/>
  <c r="P77" i="13"/>
  <c r="Q77" i="13"/>
  <c r="R77" i="13"/>
  <c r="S77" i="13"/>
  <c r="T77" i="13"/>
  <c r="U77" i="13"/>
  <c r="V77" i="13"/>
  <c r="Q73" i="13"/>
  <c r="S73" i="13"/>
  <c r="R73" i="13"/>
  <c r="U73" i="13"/>
  <c r="V73" i="13"/>
  <c r="D78" i="13"/>
  <c r="J78" i="13" s="1"/>
  <c r="C78" i="13"/>
  <c r="P73" i="13" s="1"/>
  <c r="EH28" i="16"/>
  <c r="EH27" i="16"/>
  <c r="EH26" i="16"/>
  <c r="EH24" i="16"/>
  <c r="EH20" i="16"/>
  <c r="EH19" i="16"/>
  <c r="EH18" i="16"/>
  <c r="EH17" i="16"/>
  <c r="EH11" i="16"/>
  <c r="EH10" i="16"/>
  <c r="EH9" i="16"/>
  <c r="EH25" i="16"/>
  <c r="EH23" i="16"/>
  <c r="EH22" i="16"/>
  <c r="EH16" i="16"/>
  <c r="EH15" i="16"/>
  <c r="EH14" i="16"/>
  <c r="EH13" i="16"/>
  <c r="EH8" i="16"/>
  <c r="EH7" i="16"/>
  <c r="EH6" i="16"/>
  <c r="EH5" i="16"/>
  <c r="EH4" i="16"/>
  <c r="AB28" i="16"/>
  <c r="AA28" i="16"/>
  <c r="Z28" i="16"/>
  <c r="Y28" i="16"/>
  <c r="X28" i="16"/>
  <c r="W28" i="16"/>
  <c r="V28" i="16"/>
  <c r="U28" i="16"/>
  <c r="T28" i="16"/>
  <c r="S28" i="16"/>
  <c r="R28" i="16"/>
  <c r="Q28" i="16"/>
  <c r="AB29" i="16"/>
  <c r="AA29" i="16"/>
  <c r="Z29" i="16"/>
  <c r="Y29" i="16"/>
  <c r="X29" i="16"/>
  <c r="W29" i="16"/>
  <c r="V29" i="16"/>
  <c r="U29" i="16"/>
  <c r="T29" i="16"/>
  <c r="S29" i="16"/>
  <c r="R29" i="16"/>
  <c r="Q29" i="16"/>
  <c r="AB27" i="16"/>
  <c r="AA27" i="16"/>
  <c r="Z27" i="16"/>
  <c r="Y27" i="16"/>
  <c r="X27" i="16"/>
  <c r="W27" i="16"/>
  <c r="V27" i="16"/>
  <c r="U27" i="16"/>
  <c r="T27" i="16"/>
  <c r="S27" i="16"/>
  <c r="R27" i="16"/>
  <c r="Q27" i="16"/>
  <c r="AB26" i="16"/>
  <c r="AA26" i="16"/>
  <c r="Z26" i="16"/>
  <c r="Y26" i="16"/>
  <c r="X26" i="16"/>
  <c r="W26" i="16"/>
  <c r="V26" i="16"/>
  <c r="U26" i="16"/>
  <c r="T26" i="16"/>
  <c r="S26" i="16"/>
  <c r="AB24" i="16"/>
  <c r="AA24" i="16"/>
  <c r="Z24" i="16"/>
  <c r="Y24" i="16"/>
  <c r="X24" i="16"/>
  <c r="W24" i="16"/>
  <c r="V24" i="16"/>
  <c r="U24" i="16"/>
  <c r="T24" i="16"/>
  <c r="S24" i="16"/>
  <c r="R24" i="16"/>
  <c r="Q24" i="16"/>
  <c r="AB25" i="16"/>
  <c r="AA25" i="16"/>
  <c r="Z25" i="16"/>
  <c r="Y25" i="16"/>
  <c r="X25" i="16"/>
  <c r="W25" i="16"/>
  <c r="V25" i="16"/>
  <c r="U25" i="16"/>
  <c r="T25" i="16"/>
  <c r="S25" i="16"/>
  <c r="R25" i="16"/>
  <c r="Q25" i="16"/>
  <c r="AB23" i="16"/>
  <c r="AA23" i="16"/>
  <c r="Z23" i="16"/>
  <c r="Y23" i="16"/>
  <c r="X23" i="16"/>
  <c r="W23" i="16"/>
  <c r="V23" i="16"/>
  <c r="U23" i="16"/>
  <c r="T23" i="16"/>
  <c r="S23" i="16"/>
  <c r="AB21" i="16"/>
  <c r="AA21" i="16"/>
  <c r="Z21" i="16"/>
  <c r="Y21" i="16"/>
  <c r="X21" i="16"/>
  <c r="W21" i="16"/>
  <c r="V21" i="16"/>
  <c r="U21" i="16"/>
  <c r="T21" i="16"/>
  <c r="S21" i="16"/>
  <c r="R21" i="16"/>
  <c r="Q21" i="16"/>
  <c r="AB22" i="16"/>
  <c r="AA22" i="16"/>
  <c r="Z22" i="16"/>
  <c r="Y22" i="16"/>
  <c r="X22" i="16"/>
  <c r="W22" i="16"/>
  <c r="V22" i="16"/>
  <c r="U22" i="16"/>
  <c r="T22" i="16"/>
  <c r="S22" i="16"/>
  <c r="R22" i="16"/>
  <c r="Q22" i="16"/>
  <c r="G15" i="12"/>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W15" i="26"/>
  <c r="T15" i="26"/>
  <c r="R15" i="26"/>
  <c r="N15" i="26"/>
  <c r="Y13" i="26"/>
  <c r="N13" i="26"/>
  <c r="L13" i="26"/>
  <c r="X12" i="26"/>
  <c r="P9" i="26"/>
  <c r="N9" i="26"/>
  <c r="Y8" i="26"/>
  <c r="U7" i="26"/>
  <c r="W6" i="26"/>
  <c r="R6" i="26"/>
  <c r="P6" i="26"/>
  <c r="W4" i="26"/>
  <c r="Y20" i="26"/>
  <c r="Y29" i="26"/>
  <c r="U28" i="26"/>
  <c r="O27" i="26"/>
  <c r="X26" i="26"/>
  <c r="Y25" i="26"/>
  <c r="R24" i="26"/>
  <c r="Y23" i="26"/>
  <c r="V22" i="26"/>
  <c r="F21" i="27"/>
  <c r="F19" i="27"/>
  <c r="X18" i="26"/>
  <c r="F17" i="27"/>
  <c r="P16" i="26"/>
  <c r="L15" i="26"/>
  <c r="Z14" i="26"/>
  <c r="F13" i="27"/>
  <c r="T12" i="26"/>
  <c r="P11" i="26"/>
  <c r="L10" i="26"/>
  <c r="Z9" i="26"/>
  <c r="X8" i="26"/>
  <c r="T7" i="26"/>
  <c r="N6" i="26"/>
  <c r="Y5" i="26"/>
  <c r="V4" i="26"/>
  <c r="O3" i="26"/>
  <c r="AP118" i="3"/>
  <c r="AP111" i="3"/>
  <c r="AP104" i="3"/>
  <c r="AP97" i="3"/>
  <c r="AP90" i="3"/>
  <c r="T3" i="26" l="1"/>
  <c r="N7" i="26"/>
  <c r="O9" i="26"/>
  <c r="U11" i="26"/>
  <c r="Z13" i="26"/>
  <c r="AG58" i="26" s="1"/>
  <c r="S15" i="26"/>
  <c r="Z19" i="26"/>
  <c r="AG78" i="26" s="1"/>
  <c r="T24" i="26"/>
  <c r="P29" i="26"/>
  <c r="K20" i="26"/>
  <c r="U24" i="26"/>
  <c r="Q29" i="26"/>
  <c r="L14" i="26"/>
  <c r="V3" i="26"/>
  <c r="V7" i="26"/>
  <c r="Q9" i="26"/>
  <c r="W11" i="26"/>
  <c r="M14" i="26"/>
  <c r="U15" i="26"/>
  <c r="L20" i="26"/>
  <c r="V24" i="26"/>
  <c r="R29" i="26"/>
  <c r="T11" i="26"/>
  <c r="V11" i="26"/>
  <c r="P4" i="26"/>
  <c r="W7" i="26"/>
  <c r="R9" i="26"/>
  <c r="X11" i="26"/>
  <c r="N14" i="26"/>
  <c r="V15" i="26"/>
  <c r="M20" i="26"/>
  <c r="W24" i="26"/>
  <c r="S29" i="26"/>
  <c r="N20" i="26"/>
  <c r="X24" i="26"/>
  <c r="V29" i="26"/>
  <c r="S3" i="26"/>
  <c r="U3" i="26"/>
  <c r="X7" i="26"/>
  <c r="S9" i="26"/>
  <c r="Y11" i="26"/>
  <c r="O14" i="26"/>
  <c r="F20" i="27"/>
  <c r="X4" i="26"/>
  <c r="Y7" i="26"/>
  <c r="V9" i="26"/>
  <c r="Z11" i="26"/>
  <c r="P14" i="26"/>
  <c r="X15" i="26"/>
  <c r="O20" i="26"/>
  <c r="Y24" i="26"/>
  <c r="P27" i="26"/>
  <c r="Y4" i="26"/>
  <c r="Z7" i="26"/>
  <c r="W9" i="26"/>
  <c r="N12" i="26"/>
  <c r="Q14" i="26"/>
  <c r="Z15" i="26"/>
  <c r="P20" i="26"/>
  <c r="Z25" i="26"/>
  <c r="Q27" i="26"/>
  <c r="S10" i="26"/>
  <c r="F3" i="27"/>
  <c r="F8" i="27"/>
  <c r="Z4" i="26"/>
  <c r="L8" i="26"/>
  <c r="X9" i="26"/>
  <c r="U12" i="26"/>
  <c r="R14" i="26"/>
  <c r="L16" i="26"/>
  <c r="Q20" i="26"/>
  <c r="P26" i="26"/>
  <c r="R27" i="26"/>
  <c r="N5" i="26"/>
  <c r="M8" i="26"/>
  <c r="Y9" i="26"/>
  <c r="V12" i="26"/>
  <c r="S14" i="26"/>
  <c r="M16" i="26"/>
  <c r="R20" i="26"/>
  <c r="Q26" i="26"/>
  <c r="S27" i="26"/>
  <c r="O5" i="26"/>
  <c r="N8" i="26"/>
  <c r="M10" i="26"/>
  <c r="W12" i="26"/>
  <c r="T14" i="26"/>
  <c r="Q16" i="26"/>
  <c r="S20" i="26"/>
  <c r="R26" i="26"/>
  <c r="T27" i="26"/>
  <c r="AI102" i="16"/>
  <c r="AH102" i="16"/>
  <c r="AG102" i="16"/>
  <c r="AF102" i="16"/>
  <c r="AE102" i="16"/>
  <c r="AD102" i="16"/>
  <c r="AC102" i="16"/>
  <c r="O8" i="26"/>
  <c r="V14" i="26"/>
  <c r="R16" i="26"/>
  <c r="V20" i="26"/>
  <c r="S26" i="26"/>
  <c r="U27" i="26"/>
  <c r="Q5" i="26"/>
  <c r="N10" i="26"/>
  <c r="V5" i="26"/>
  <c r="R8" i="26"/>
  <c r="O10" i="26"/>
  <c r="Y12" i="26"/>
  <c r="W14" i="26"/>
  <c r="S16" i="26"/>
  <c r="O21" i="26"/>
  <c r="T26" i="26"/>
  <c r="V27" i="26"/>
  <c r="O6" i="26"/>
  <c r="S8" i="26"/>
  <c r="P10" i="26"/>
  <c r="Z12" i="26"/>
  <c r="X14" i="26"/>
  <c r="T16" i="26"/>
  <c r="Q21" i="26"/>
  <c r="U26" i="26"/>
  <c r="Y27" i="26"/>
  <c r="T8" i="26"/>
  <c r="Q10" i="26"/>
  <c r="Y14" i="26"/>
  <c r="U16" i="26"/>
  <c r="R21" i="26"/>
  <c r="O28" i="26"/>
  <c r="Q6" i="26"/>
  <c r="U8" i="26"/>
  <c r="R10" i="26"/>
  <c r="M13" i="26"/>
  <c r="M15" i="26"/>
  <c r="V16" i="26"/>
  <c r="W22" i="26"/>
  <c r="V28" i="26"/>
  <c r="W16" i="26"/>
  <c r="Y22" i="26"/>
  <c r="W28" i="26"/>
  <c r="S6" i="26"/>
  <c r="Z8" i="26"/>
  <c r="AC50" i="26" s="1"/>
  <c r="Q11" i="26"/>
  <c r="O13" i="26"/>
  <c r="O15" i="26"/>
  <c r="X16" i="26"/>
  <c r="Z22" i="26"/>
  <c r="X28" i="26"/>
  <c r="F28" i="27"/>
  <c r="P3" i="26"/>
  <c r="T6" i="26"/>
  <c r="L9" i="26"/>
  <c r="R11" i="26"/>
  <c r="R13" i="26"/>
  <c r="P15" i="26"/>
  <c r="Y16" i="26"/>
  <c r="P23" i="26"/>
  <c r="Y28" i="26"/>
  <c r="R3" i="26"/>
  <c r="U6" i="26"/>
  <c r="M9" i="26"/>
  <c r="S11" i="26"/>
  <c r="S13" i="26"/>
  <c r="Q15" i="26"/>
  <c r="Z16" i="26"/>
  <c r="Q23" i="26"/>
  <c r="Z28" i="26"/>
  <c r="AF100" i="26" s="1"/>
  <c r="Y18" i="26"/>
  <c r="S24" i="26"/>
  <c r="O29" i="26"/>
  <c r="AV39" i="16"/>
  <c r="BH142" i="21"/>
  <c r="S460" i="21" s="1"/>
  <c r="AF64" i="26"/>
  <c r="AG61" i="26"/>
  <c r="AA59" i="26"/>
  <c r="AB56" i="26"/>
  <c r="AE64" i="26"/>
  <c r="AC62" i="26"/>
  <c r="AE57" i="26"/>
  <c r="AB62" i="26"/>
  <c r="AG60" i="26"/>
  <c r="AA54" i="26"/>
  <c r="AF60" i="26"/>
  <c r="AE58" i="26"/>
  <c r="AD58" i="26"/>
  <c r="AE65" i="26"/>
  <c r="AG64" i="26"/>
  <c r="AA55" i="26"/>
  <c r="AC64" i="26"/>
  <c r="AD78" i="26"/>
  <c r="AB74" i="26"/>
  <c r="AE99" i="26"/>
  <c r="AD99" i="26"/>
  <c r="AB99" i="26"/>
  <c r="AG98" i="26"/>
  <c r="AC99" i="26"/>
  <c r="AF101" i="26"/>
  <c r="AE101" i="26"/>
  <c r="AC53" i="26"/>
  <c r="AD50" i="26"/>
  <c r="AE47" i="26"/>
  <c r="AF44" i="26"/>
  <c r="AD44" i="26"/>
  <c r="AD53" i="26"/>
  <c r="AB43" i="26"/>
  <c r="AC52" i="26"/>
  <c r="AA49" i="26"/>
  <c r="AF45" i="26"/>
  <c r="AD42" i="26"/>
  <c r="AG48" i="26"/>
  <c r="AE45" i="26"/>
  <c r="AC42" i="26"/>
  <c r="AG52" i="26"/>
  <c r="AF52" i="26"/>
  <c r="AD49" i="26"/>
  <c r="AB46" i="26"/>
  <c r="AG42" i="26"/>
  <c r="AE52" i="26"/>
  <c r="AE42" i="26"/>
  <c r="AF53" i="26"/>
  <c r="AA48" i="26"/>
  <c r="AC43" i="26"/>
  <c r="AG47" i="26"/>
  <c r="AA42" i="26"/>
  <c r="AB47" i="26"/>
  <c r="AF51" i="26"/>
  <c r="AA47" i="26"/>
  <c r="AE51" i="26"/>
  <c r="AD51" i="26"/>
  <c r="AC51" i="26"/>
  <c r="AG51" i="26"/>
  <c r="AG46" i="26"/>
  <c r="AF46" i="26"/>
  <c r="AE46" i="26"/>
  <c r="AE43" i="26"/>
  <c r="AD43" i="26"/>
  <c r="AE50" i="26"/>
  <c r="AA50" i="26"/>
  <c r="AG49" i="26"/>
  <c r="AF48" i="26"/>
  <c r="AE48" i="26"/>
  <c r="AD48" i="26"/>
  <c r="AC48" i="26"/>
  <c r="AB48" i="26"/>
  <c r="AD45" i="26"/>
  <c r="AC45" i="26"/>
  <c r="AB45" i="26"/>
  <c r="P79" i="20"/>
  <c r="O79" i="20"/>
  <c r="N79" i="20"/>
  <c r="M79" i="20"/>
  <c r="L79" i="20"/>
  <c r="K79" i="20"/>
  <c r="J79" i="20"/>
  <c r="P83" i="20"/>
  <c r="O83" i="20"/>
  <c r="N83" i="20"/>
  <c r="M83" i="20"/>
  <c r="K83" i="20"/>
  <c r="L83" i="20"/>
  <c r="P82" i="20"/>
  <c r="O82" i="20"/>
  <c r="N82" i="20"/>
  <c r="M82" i="20"/>
  <c r="L82" i="20"/>
  <c r="O76" i="20"/>
  <c r="N76" i="20"/>
  <c r="M76" i="20"/>
  <c r="L76" i="20"/>
  <c r="K76" i="20"/>
  <c r="J76" i="20"/>
  <c r="P75" i="20"/>
  <c r="O75" i="20"/>
  <c r="L75" i="20"/>
  <c r="J75" i="20"/>
  <c r="P76" i="20"/>
  <c r="N75" i="20"/>
  <c r="M75" i="20"/>
  <c r="K75" i="20"/>
  <c r="BF5" i="20"/>
  <c r="AP107" i="21"/>
  <c r="P624" i="21"/>
  <c r="R628" i="21"/>
  <c r="M99" i="21"/>
  <c r="U636" i="21"/>
  <c r="U635" i="21"/>
  <c r="P632" i="21"/>
  <c r="U629" i="21"/>
  <c r="R625" i="21"/>
  <c r="Q627" i="21"/>
  <c r="P623" i="21"/>
  <c r="T635" i="21"/>
  <c r="S634" i="21"/>
  <c r="S635" i="21"/>
  <c r="P631" i="21"/>
  <c r="R635" i="21"/>
  <c r="Q625" i="21"/>
  <c r="Q635" i="21"/>
  <c r="T636" i="21"/>
  <c r="Q633" i="21"/>
  <c r="P634" i="21"/>
  <c r="K97" i="21"/>
  <c r="P633" i="21"/>
  <c r="O98" i="21"/>
  <c r="T627" i="21"/>
  <c r="R633" i="21"/>
  <c r="P627" i="21"/>
  <c r="M98" i="21"/>
  <c r="S628" i="21"/>
  <c r="O97" i="21"/>
  <c r="U628" i="21"/>
  <c r="M97" i="21"/>
  <c r="R626" i="21"/>
  <c r="Q628" i="21"/>
  <c r="O100" i="21"/>
  <c r="T628" i="21"/>
  <c r="S627" i="21"/>
  <c r="V629" i="21"/>
  <c r="N99" i="21"/>
  <c r="V636" i="21"/>
  <c r="S636" i="21"/>
  <c r="Q624" i="21"/>
  <c r="R634" i="21"/>
  <c r="L97" i="21"/>
  <c r="Q634" i="21"/>
  <c r="L98" i="21"/>
  <c r="Q631" i="21"/>
  <c r="T634" i="21"/>
  <c r="Q626" i="21"/>
  <c r="S633" i="21"/>
  <c r="R632" i="21"/>
  <c r="N98" i="21"/>
  <c r="S629" i="21"/>
  <c r="P630" i="21"/>
  <c r="R636" i="21"/>
  <c r="N97" i="21"/>
  <c r="R627" i="21"/>
  <c r="Q632" i="21"/>
  <c r="O101" i="21"/>
  <c r="P626" i="21"/>
  <c r="P625" i="21"/>
  <c r="N100" i="21"/>
  <c r="S626" i="21"/>
  <c r="R629" i="21"/>
  <c r="T629" i="21"/>
  <c r="O99" i="21"/>
  <c r="S655" i="21"/>
  <c r="O110" i="21"/>
  <c r="N108" i="21"/>
  <c r="N109" i="21"/>
  <c r="R654" i="21"/>
  <c r="R653" i="21"/>
  <c r="M108" i="21"/>
  <c r="O112" i="21"/>
  <c r="N111" i="21"/>
  <c r="T655" i="21"/>
  <c r="O111" i="21"/>
  <c r="O107" i="21"/>
  <c r="N110" i="21"/>
  <c r="R657" i="21"/>
  <c r="M110" i="21"/>
  <c r="Q654" i="21"/>
  <c r="Q656" i="21"/>
  <c r="O109" i="21"/>
  <c r="O108" i="21"/>
  <c r="K107" i="21"/>
  <c r="U657" i="21"/>
  <c r="Q655" i="21"/>
  <c r="U656" i="21"/>
  <c r="T657" i="21"/>
  <c r="R655" i="21"/>
  <c r="T656" i="21"/>
  <c r="M109" i="21"/>
  <c r="L109" i="21"/>
  <c r="S656" i="21"/>
  <c r="L108" i="21"/>
  <c r="V657" i="21"/>
  <c r="P656" i="21"/>
  <c r="Q653" i="21"/>
  <c r="K108" i="21"/>
  <c r="Q657" i="21"/>
  <c r="S657" i="21"/>
  <c r="N107" i="21"/>
  <c r="P653" i="21"/>
  <c r="P651" i="21"/>
  <c r="Q652" i="21"/>
  <c r="P655" i="21"/>
  <c r="M107" i="21"/>
  <c r="P657" i="21"/>
  <c r="R656" i="21"/>
  <c r="L107" i="21"/>
  <c r="P652" i="21"/>
  <c r="P654" i="21"/>
  <c r="S654" i="21"/>
  <c r="P81" i="20"/>
  <c r="O81" i="20"/>
  <c r="N81" i="20"/>
  <c r="L81" i="20"/>
  <c r="K81" i="20"/>
  <c r="J81" i="20"/>
  <c r="M81" i="20"/>
  <c r="BH138" i="21"/>
  <c r="Q382" i="21" s="1"/>
  <c r="Q375" i="21" s="1"/>
  <c r="R658" i="21"/>
  <c r="R662" i="21"/>
  <c r="R661" i="21"/>
  <c r="R660" i="21"/>
  <c r="U661" i="21"/>
  <c r="T662" i="21"/>
  <c r="V662" i="21"/>
  <c r="U662" i="21"/>
  <c r="T660" i="21"/>
  <c r="T661" i="21"/>
  <c r="S660" i="21"/>
  <c r="R659" i="21"/>
  <c r="S662" i="21"/>
  <c r="S661" i="21"/>
  <c r="S659" i="21"/>
  <c r="P667" i="21"/>
  <c r="Q665" i="21"/>
  <c r="N117" i="21"/>
  <c r="N115" i="21"/>
  <c r="P663" i="21"/>
  <c r="S669" i="21"/>
  <c r="L114" i="21"/>
  <c r="K114" i="21"/>
  <c r="R666" i="21"/>
  <c r="O113" i="21"/>
  <c r="M113" i="21"/>
  <c r="Q666" i="21"/>
  <c r="R667" i="21"/>
  <c r="K113" i="21"/>
  <c r="Q668" i="21"/>
  <c r="P665" i="21"/>
  <c r="S666" i="21"/>
  <c r="O116" i="21"/>
  <c r="U669" i="21"/>
  <c r="R669" i="21"/>
  <c r="N116" i="21"/>
  <c r="S668" i="21"/>
  <c r="M116" i="21"/>
  <c r="V669" i="21"/>
  <c r="O115" i="21"/>
  <c r="P664" i="21"/>
  <c r="N114" i="21"/>
  <c r="M114" i="21"/>
  <c r="P669" i="21"/>
  <c r="R668" i="21"/>
  <c r="U668" i="21"/>
  <c r="L113" i="21"/>
  <c r="T668" i="21"/>
  <c r="O117" i="21"/>
  <c r="M115" i="21"/>
  <c r="Q664" i="21"/>
  <c r="O118" i="21"/>
  <c r="N113" i="21"/>
  <c r="Q669" i="21"/>
  <c r="P668" i="21"/>
  <c r="P666" i="21"/>
  <c r="T669" i="21"/>
  <c r="S667" i="21"/>
  <c r="L115" i="21"/>
  <c r="T667" i="21"/>
  <c r="O114" i="21"/>
  <c r="R665" i="21"/>
  <c r="Q667" i="21"/>
  <c r="T674" i="21"/>
  <c r="T672" i="21"/>
  <c r="S671" i="21"/>
  <c r="R674" i="21"/>
  <c r="R671" i="21"/>
  <c r="R673" i="21"/>
  <c r="R672" i="21"/>
  <c r="V674" i="21"/>
  <c r="U674" i="21"/>
  <c r="T673" i="21"/>
  <c r="S674" i="21"/>
  <c r="S672" i="21"/>
  <c r="R670" i="21"/>
  <c r="S673" i="21"/>
  <c r="U673" i="21"/>
  <c r="O80" i="20"/>
  <c r="N80" i="20"/>
  <c r="M80" i="20"/>
  <c r="L80" i="20"/>
  <c r="P80" i="20"/>
  <c r="T679" i="21"/>
  <c r="Q677" i="21"/>
  <c r="R678" i="21"/>
  <c r="R676" i="21"/>
  <c r="T680" i="21"/>
  <c r="S680" i="21"/>
  <c r="S678" i="21"/>
  <c r="S677" i="21"/>
  <c r="R679" i="21"/>
  <c r="Q678" i="21"/>
  <c r="R677" i="21"/>
  <c r="S679" i="21"/>
  <c r="Q676" i="21"/>
  <c r="Q680" i="21"/>
  <c r="U680" i="21"/>
  <c r="U679" i="21"/>
  <c r="Q679" i="21"/>
  <c r="T678" i="21"/>
  <c r="R680" i="21"/>
  <c r="V680" i="21"/>
  <c r="Q675" i="21"/>
  <c r="R452" i="21"/>
  <c r="N82" i="21"/>
  <c r="U545" i="21"/>
  <c r="S543" i="21"/>
  <c r="R542" i="21"/>
  <c r="P540" i="21"/>
  <c r="T558" i="21"/>
  <c r="P554" i="21"/>
  <c r="S557" i="21"/>
  <c r="R556" i="21"/>
  <c r="T544" i="21"/>
  <c r="U559" i="21"/>
  <c r="Q541" i="21"/>
  <c r="Q555" i="21"/>
  <c r="O83" i="21"/>
  <c r="U587" i="21"/>
  <c r="U531" i="21" s="1"/>
  <c r="T586" i="21"/>
  <c r="T530" i="21" s="1"/>
  <c r="S585" i="21"/>
  <c r="S529" i="21" s="1"/>
  <c r="R584" i="21"/>
  <c r="R528" i="21" s="1"/>
  <c r="P582" i="21"/>
  <c r="P526" i="21" s="1"/>
  <c r="Q569" i="21"/>
  <c r="R563" i="21"/>
  <c r="U580" i="21"/>
  <c r="R570" i="21"/>
  <c r="U566" i="21"/>
  <c r="R577" i="21"/>
  <c r="U573" i="21"/>
  <c r="T579" i="21"/>
  <c r="P561" i="21"/>
  <c r="Q583" i="21"/>
  <c r="Q527" i="21" s="1"/>
  <c r="T572" i="21"/>
  <c r="S564" i="21"/>
  <c r="P568" i="21"/>
  <c r="Q562" i="21"/>
  <c r="S578" i="21"/>
  <c r="S571" i="21"/>
  <c r="T565" i="21"/>
  <c r="Q576" i="21"/>
  <c r="P575" i="21"/>
  <c r="Q410" i="21"/>
  <c r="P443" i="21"/>
  <c r="S453" i="21"/>
  <c r="Q444" i="21"/>
  <c r="R459" i="21"/>
  <c r="R445" i="21"/>
  <c r="O84" i="21"/>
  <c r="N83" i="21"/>
  <c r="T545" i="21"/>
  <c r="S544" i="21"/>
  <c r="R543" i="21"/>
  <c r="Q542" i="21"/>
  <c r="M82" i="21"/>
  <c r="T559" i="21"/>
  <c r="P555" i="21"/>
  <c r="P541" i="21"/>
  <c r="R557" i="21"/>
  <c r="S558" i="21"/>
  <c r="Q556" i="21"/>
  <c r="R571" i="21"/>
  <c r="T573" i="21"/>
  <c r="T587" i="21"/>
  <c r="T531" i="21" s="1"/>
  <c r="S586" i="21"/>
  <c r="S530" i="21" s="1"/>
  <c r="R585" i="21"/>
  <c r="R529" i="21" s="1"/>
  <c r="Q577" i="21"/>
  <c r="T566" i="21"/>
  <c r="R564" i="21"/>
  <c r="S572" i="21"/>
  <c r="Q570" i="21"/>
  <c r="P583" i="21"/>
  <c r="P527" i="21" s="1"/>
  <c r="Q584" i="21"/>
  <c r="Q528" i="21" s="1"/>
  <c r="T580" i="21"/>
  <c r="R578" i="21"/>
  <c r="S565" i="21"/>
  <c r="S579" i="21"/>
  <c r="P576" i="21"/>
  <c r="P562" i="21"/>
  <c r="Q563" i="21"/>
  <c r="P569" i="21"/>
  <c r="S446" i="21"/>
  <c r="T461" i="21"/>
  <c r="O82" i="21"/>
  <c r="U544" i="21"/>
  <c r="S542" i="21"/>
  <c r="R541" i="21"/>
  <c r="V545" i="21"/>
  <c r="T543" i="21"/>
  <c r="Q554" i="21"/>
  <c r="Q540" i="21"/>
  <c r="P539" i="21"/>
  <c r="P553" i="21"/>
  <c r="V559" i="21"/>
  <c r="S556" i="21"/>
  <c r="U558" i="21"/>
  <c r="R555" i="21"/>
  <c r="T557" i="21"/>
  <c r="U565" i="21"/>
  <c r="S563" i="21"/>
  <c r="R569" i="21"/>
  <c r="U579" i="21"/>
  <c r="U586" i="21"/>
  <c r="U530" i="21" s="1"/>
  <c r="S577" i="21"/>
  <c r="T585" i="21"/>
  <c r="T529" i="21" s="1"/>
  <c r="V573" i="21"/>
  <c r="V580" i="21"/>
  <c r="T578" i="21"/>
  <c r="P581" i="21"/>
  <c r="P525" i="21" s="1"/>
  <c r="P574" i="21"/>
  <c r="P560" i="21"/>
  <c r="Q561" i="21"/>
  <c r="U572" i="21"/>
  <c r="V587" i="21"/>
  <c r="V531" i="21" s="1"/>
  <c r="P567" i="21"/>
  <c r="Q568" i="21"/>
  <c r="S570" i="21"/>
  <c r="R576" i="21"/>
  <c r="Q582" i="21"/>
  <c r="Q526" i="21" s="1"/>
  <c r="S584" i="21"/>
  <c r="S528" i="21" s="1"/>
  <c r="T571" i="21"/>
  <c r="Q575" i="21"/>
  <c r="R583" i="21"/>
  <c r="R527" i="21" s="1"/>
  <c r="T564" i="21"/>
  <c r="R562" i="21"/>
  <c r="V566" i="21"/>
  <c r="P388" i="21"/>
  <c r="R390" i="21"/>
  <c r="O61" i="21"/>
  <c r="O57" i="21" s="1"/>
  <c r="P422" i="21"/>
  <c r="Q423" i="21"/>
  <c r="O64" i="21"/>
  <c r="P429" i="21"/>
  <c r="Q430" i="21"/>
  <c r="T433" i="21"/>
  <c r="S432" i="21"/>
  <c r="R431" i="21"/>
  <c r="Q437" i="21"/>
  <c r="T440" i="21"/>
  <c r="R438" i="21"/>
  <c r="S439" i="21"/>
  <c r="P436" i="21"/>
  <c r="P450" i="21"/>
  <c r="BH140" i="21"/>
  <c r="BH143" i="21"/>
  <c r="AR120" i="21"/>
  <c r="N39" i="21" s="1"/>
  <c r="AR118" i="21"/>
  <c r="O22" i="21" s="1"/>
  <c r="O32" i="21"/>
  <c r="BH136" i="21"/>
  <c r="AR119" i="21"/>
  <c r="N34" i="21" s="1"/>
  <c r="BH141" i="21"/>
  <c r="Q3" i="26"/>
  <c r="U17" i="26"/>
  <c r="Z18" i="26"/>
  <c r="P21" i="26"/>
  <c r="X22" i="26"/>
  <c r="AR121" i="21"/>
  <c r="Z17" i="26"/>
  <c r="W3" i="26"/>
  <c r="P5" i="26"/>
  <c r="V6" i="26"/>
  <c r="T10" i="26"/>
  <c r="L18" i="26"/>
  <c r="M19" i="26"/>
  <c r="V21" i="26"/>
  <c r="S23" i="26"/>
  <c r="Z24" i="26"/>
  <c r="V26" i="26"/>
  <c r="W27" i="26"/>
  <c r="X3" i="26"/>
  <c r="U10" i="26"/>
  <c r="M18" i="26"/>
  <c r="N19" i="26"/>
  <c r="W21" i="26"/>
  <c r="T23" i="26"/>
  <c r="W26" i="26"/>
  <c r="X27" i="26"/>
  <c r="T17" i="26"/>
  <c r="O19" i="26"/>
  <c r="S5" i="26"/>
  <c r="Y6" i="26"/>
  <c r="W10" i="26"/>
  <c r="O18" i="26"/>
  <c r="P19" i="26"/>
  <c r="Y21" i="26"/>
  <c r="V23" i="26"/>
  <c r="Y26" i="26"/>
  <c r="Z27" i="26"/>
  <c r="N4" i="26"/>
  <c r="T5" i="26"/>
  <c r="Z6" i="26"/>
  <c r="P8" i="26"/>
  <c r="T9" i="26"/>
  <c r="X10" i="26"/>
  <c r="L12" i="26"/>
  <c r="P13" i="26"/>
  <c r="P18" i="26"/>
  <c r="Q19" i="26"/>
  <c r="T20" i="26"/>
  <c r="Z21" i="26"/>
  <c r="W23" i="26"/>
  <c r="Q25" i="26"/>
  <c r="Z26" i="26"/>
  <c r="T29" i="26"/>
  <c r="O89" i="21"/>
  <c r="N88" i="21"/>
  <c r="Y3" i="26"/>
  <c r="R5" i="26"/>
  <c r="X6" i="26"/>
  <c r="V10" i="26"/>
  <c r="N18" i="26"/>
  <c r="X21" i="26"/>
  <c r="U23" i="26"/>
  <c r="O25" i="26"/>
  <c r="P25" i="26"/>
  <c r="O4" i="26"/>
  <c r="U5" i="26"/>
  <c r="Q8" i="26"/>
  <c r="U9" i="26"/>
  <c r="Y10" i="26"/>
  <c r="M12" i="26"/>
  <c r="Q13" i="26"/>
  <c r="U14" i="26"/>
  <c r="Y15" i="26"/>
  <c r="L17" i="26"/>
  <c r="Q18" i="26"/>
  <c r="R19" i="26"/>
  <c r="U20" i="26"/>
  <c r="O22" i="26"/>
  <c r="X23" i="26"/>
  <c r="R25" i="26"/>
  <c r="U29" i="26"/>
  <c r="R23" i="26"/>
  <c r="Z10" i="26"/>
  <c r="O88" i="21"/>
  <c r="Y17" i="26"/>
  <c r="T21" i="26"/>
  <c r="M17" i="26"/>
  <c r="R18" i="26"/>
  <c r="S19" i="26"/>
  <c r="S25" i="26"/>
  <c r="Q4" i="26"/>
  <c r="O7" i="26"/>
  <c r="N17" i="26"/>
  <c r="S18" i="26"/>
  <c r="T19" i="26"/>
  <c r="W20" i="26"/>
  <c r="Q22" i="26"/>
  <c r="Z23" i="26"/>
  <c r="T25" i="26"/>
  <c r="P28" i="26"/>
  <c r="W29" i="26"/>
  <c r="V17" i="26"/>
  <c r="I19" i="26"/>
  <c r="K19" i="26"/>
  <c r="W5" i="26"/>
  <c r="O12" i="26"/>
  <c r="R4" i="26"/>
  <c r="X5" i="26"/>
  <c r="L11" i="26"/>
  <c r="P12" i="26"/>
  <c r="T13" i="26"/>
  <c r="O17" i="26"/>
  <c r="T18" i="26"/>
  <c r="U19" i="26"/>
  <c r="X20" i="26"/>
  <c r="R22" i="26"/>
  <c r="U25" i="26"/>
  <c r="Q28" i="26"/>
  <c r="X29" i="26"/>
  <c r="O90" i="21"/>
  <c r="N89" i="21"/>
  <c r="M88" i="21"/>
  <c r="AH38" i="21"/>
  <c r="F24" i="27"/>
  <c r="P7" i="26"/>
  <c r="Z3" i="26"/>
  <c r="R28" i="26"/>
  <c r="T4" i="26"/>
  <c r="Z5" i="26"/>
  <c r="R7" i="26"/>
  <c r="V8" i="26"/>
  <c r="N11" i="26"/>
  <c r="R12" i="26"/>
  <c r="V13" i="26"/>
  <c r="N16" i="26"/>
  <c r="Q17" i="26"/>
  <c r="V18" i="26"/>
  <c r="W19" i="26"/>
  <c r="Z20" i="26"/>
  <c r="T22" i="26"/>
  <c r="P24" i="26"/>
  <c r="W25" i="26"/>
  <c r="S28" i="26"/>
  <c r="Z29" i="26"/>
  <c r="BH135" i="21"/>
  <c r="X17" i="26"/>
  <c r="J19" i="26"/>
  <c r="S21" i="26"/>
  <c r="L19" i="26"/>
  <c r="AG38" i="21"/>
  <c r="P22" i="26"/>
  <c r="S4" i="26"/>
  <c r="Q7" i="26"/>
  <c r="M11" i="26"/>
  <c r="Q12" i="26"/>
  <c r="U13" i="26"/>
  <c r="P17" i="26"/>
  <c r="U18" i="26"/>
  <c r="V19" i="26"/>
  <c r="S22" i="26"/>
  <c r="O24" i="26"/>
  <c r="V25" i="26"/>
  <c r="N3" i="26"/>
  <c r="U4" i="26"/>
  <c r="S7" i="26"/>
  <c r="W8" i="26"/>
  <c r="O11" i="26"/>
  <c r="S12" i="26"/>
  <c r="W13" i="26"/>
  <c r="O16" i="26"/>
  <c r="R17" i="26"/>
  <c r="W18" i="26"/>
  <c r="X19" i="26"/>
  <c r="U22" i="26"/>
  <c r="Q24" i="26"/>
  <c r="X25" i="26"/>
  <c r="T28" i="26"/>
  <c r="W17" i="26"/>
  <c r="U21" i="26"/>
  <c r="X13" i="26"/>
  <c r="S17" i="26"/>
  <c r="Y19" i="26"/>
  <c r="BH137" i="21"/>
  <c r="L78" i="13"/>
  <c r="J79" i="13"/>
  <c r="L79" i="13" s="1"/>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35" i="24"/>
  <c r="D14" i="12"/>
  <c r="D13" i="12"/>
  <c r="D12" i="12"/>
  <c r="D11" i="12"/>
  <c r="D10" i="12"/>
  <c r="D9" i="12"/>
  <c r="D8" i="12"/>
  <c r="D7" i="12"/>
  <c r="D6" i="12"/>
  <c r="D5" i="12"/>
  <c r="D4" i="12"/>
  <c r="D3" i="12"/>
  <c r="DO40" i="16"/>
  <c r="DN39" i="16"/>
  <c r="DO38" i="16"/>
  <c r="DN37" i="16"/>
  <c r="DN36" i="16"/>
  <c r="DN35"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AF99" i="26" l="1"/>
  <c r="AA98" i="26"/>
  <c r="AA97" i="26"/>
  <c r="AA101" i="26"/>
  <c r="AF57" i="26"/>
  <c r="AE78" i="26"/>
  <c r="AB59" i="26"/>
  <c r="AG43" i="26"/>
  <c r="AG45" i="26"/>
  <c r="AC47" i="26"/>
  <c r="AC77" i="26"/>
  <c r="AC59" i="26"/>
  <c r="AB51" i="26"/>
  <c r="AF42" i="26"/>
  <c r="AB50" i="26"/>
  <c r="AB78" i="26"/>
  <c r="AF55" i="26"/>
  <c r="AA44" i="26"/>
  <c r="AA46" i="26"/>
  <c r="AA53" i="26"/>
  <c r="AA74" i="26"/>
  <c r="AG55" i="26"/>
  <c r="AG53" i="26"/>
  <c r="AC49" i="26"/>
  <c r="AB53" i="26"/>
  <c r="AC78" i="26"/>
  <c r="AF61" i="26"/>
  <c r="R424" i="21"/>
  <c r="T447" i="21"/>
  <c r="M62" i="21"/>
  <c r="P457" i="21"/>
  <c r="N63" i="21"/>
  <c r="T454" i="21"/>
  <c r="S425" i="21"/>
  <c r="Q458" i="21"/>
  <c r="T426" i="21"/>
  <c r="Q451" i="21"/>
  <c r="Q389" i="21"/>
  <c r="AC76" i="26"/>
  <c r="AD76" i="26"/>
  <c r="AC54" i="26"/>
  <c r="AD63" i="26"/>
  <c r="AB61" i="26"/>
  <c r="AG57" i="26"/>
  <c r="AF50" i="26"/>
  <c r="AE53" i="26"/>
  <c r="AB52" i="26"/>
  <c r="AG54" i="26"/>
  <c r="AF63" i="26"/>
  <c r="AB55" i="26"/>
  <c r="AD59" i="26"/>
  <c r="AE56" i="26"/>
  <c r="AG44" i="26"/>
  <c r="AB44" i="26"/>
  <c r="AB49" i="26"/>
  <c r="AD46" i="26"/>
  <c r="AD65" i="26"/>
  <c r="AG59" i="26"/>
  <c r="AB58" i="26"/>
  <c r="AA45" i="26"/>
  <c r="AC44" i="26"/>
  <c r="AD52" i="26"/>
  <c r="AF49" i="26"/>
  <c r="AC58" i="26"/>
  <c r="AB63" i="26"/>
  <c r="AE75" i="26"/>
  <c r="AF75" i="26"/>
  <c r="AC74" i="26"/>
  <c r="AE73" i="26"/>
  <c r="AB60" i="26"/>
  <c r="AF59" i="26"/>
  <c r="AD74" i="26"/>
  <c r="AC73" i="26"/>
  <c r="AC60" i="26"/>
  <c r="AA63" i="26"/>
  <c r="AA75" i="26"/>
  <c r="AD54" i="26"/>
  <c r="AB54" i="26"/>
  <c r="AD55" i="26"/>
  <c r="AE74" i="26"/>
  <c r="AA61" i="26"/>
  <c r="AD62" i="26"/>
  <c r="AB76" i="26"/>
  <c r="AG74" i="26"/>
  <c r="AG63" i="26"/>
  <c r="AB100" i="26"/>
  <c r="AC75" i="26"/>
  <c r="AE54" i="26"/>
  <c r="AA62" i="26"/>
  <c r="AF65" i="26"/>
  <c r="AF74" i="26"/>
  <c r="AB75" i="26"/>
  <c r="AG100" i="26"/>
  <c r="AB77" i="26"/>
  <c r="AA64" i="26"/>
  <c r="AD57" i="26"/>
  <c r="AG65" i="26"/>
  <c r="AF56" i="26"/>
  <c r="AA60" i="26"/>
  <c r="AC63" i="26"/>
  <c r="AE76" i="26"/>
  <c r="AA99" i="26"/>
  <c r="AC101" i="26"/>
  <c r="AA100" i="26"/>
  <c r="AD75" i="26"/>
  <c r="AD73" i="26"/>
  <c r="AF54" i="26"/>
  <c r="AD60" i="26"/>
  <c r="AE63" i="26"/>
  <c r="AE55" i="26"/>
  <c r="AB101" i="26"/>
  <c r="AD101" i="26"/>
  <c r="AG99" i="26"/>
  <c r="AA77" i="26"/>
  <c r="AF76" i="26"/>
  <c r="AB64" i="26"/>
  <c r="AE60" i="26"/>
  <c r="AA58" i="26"/>
  <c r="AE62" i="26"/>
  <c r="AG101" i="26"/>
  <c r="AD77" i="26"/>
  <c r="AC97" i="26"/>
  <c r="AB98" i="26"/>
  <c r="AE77" i="26"/>
  <c r="AA73" i="26"/>
  <c r="AD97" i="26"/>
  <c r="AD100" i="26"/>
  <c r="AG77" i="26"/>
  <c r="AG75" i="26"/>
  <c r="AA65" i="26"/>
  <c r="AC61" i="26"/>
  <c r="AF62" i="26"/>
  <c r="AF58" i="26"/>
  <c r="AE97" i="26"/>
  <c r="AC98" i="26"/>
  <c r="AA78" i="26"/>
  <c r="AF78" i="26"/>
  <c r="AC55" i="26"/>
  <c r="AB57" i="26"/>
  <c r="AC56" i="26"/>
  <c r="AE61" i="26"/>
  <c r="AG50" i="26"/>
  <c r="AF47" i="26"/>
  <c r="AA43" i="26"/>
  <c r="AE44" i="26"/>
  <c r="AF97" i="26"/>
  <c r="AE100" i="26"/>
  <c r="AF77" i="26"/>
  <c r="AB73" i="26"/>
  <c r="AB65" i="26"/>
  <c r="AD61" i="26"/>
  <c r="AE59" i="26"/>
  <c r="AD64" i="26"/>
  <c r="AC100" i="26"/>
  <c r="AG76" i="26"/>
  <c r="AF43" i="26"/>
  <c r="AA52" i="26"/>
  <c r="AC46" i="26"/>
  <c r="AD47" i="26"/>
  <c r="AE98" i="26"/>
  <c r="AD98" i="26"/>
  <c r="AF73" i="26"/>
  <c r="AA76" i="26"/>
  <c r="AG56" i="26"/>
  <c r="AA57" i="26"/>
  <c r="AG62" i="26"/>
  <c r="AA56" i="26"/>
  <c r="AG97" i="26"/>
  <c r="AB97" i="26"/>
  <c r="AA51" i="26"/>
  <c r="AB42" i="26"/>
  <c r="AE49" i="26"/>
  <c r="AF98" i="26"/>
  <c r="AG73" i="26"/>
  <c r="AC65" i="26"/>
  <c r="AC57" i="26"/>
  <c r="AD56" i="26"/>
  <c r="AC101" i="16"/>
  <c r="AC103" i="16"/>
  <c r="AI101" i="16"/>
  <c r="AI103" i="16"/>
  <c r="AD101" i="16"/>
  <c r="AD103" i="16"/>
  <c r="AE101" i="16"/>
  <c r="AE103" i="16"/>
  <c r="AF101" i="16"/>
  <c r="AF103" i="16"/>
  <c r="AG101" i="16"/>
  <c r="AG103" i="16"/>
  <c r="AH101" i="16"/>
  <c r="AH103" i="16"/>
  <c r="S398" i="21"/>
  <c r="U5" i="16"/>
  <c r="Q5" i="16"/>
  <c r="R5" i="16"/>
  <c r="S5" i="16"/>
  <c r="T5" i="16"/>
  <c r="V5" i="16"/>
  <c r="P5" i="16"/>
  <c r="P402" i="21"/>
  <c r="M34" i="21"/>
  <c r="N60" i="21"/>
  <c r="N56" i="21" s="1"/>
  <c r="N23" i="21"/>
  <c r="O44" i="21"/>
  <c r="N19" i="21"/>
  <c r="M30" i="21"/>
  <c r="O24" i="21"/>
  <c r="AA79" i="26"/>
  <c r="AB80" i="26"/>
  <c r="AC79" i="26"/>
  <c r="AB79" i="26"/>
  <c r="AG79" i="26"/>
  <c r="AF79" i="26"/>
  <c r="AE79" i="26"/>
  <c r="AD79" i="26"/>
  <c r="AD80" i="26"/>
  <c r="AC80" i="26"/>
  <c r="AA80" i="26"/>
  <c r="AG80" i="26"/>
  <c r="AF80" i="26"/>
  <c r="AE80" i="26"/>
  <c r="AB96" i="26"/>
  <c r="AC93" i="26"/>
  <c r="AD90" i="26"/>
  <c r="AA96" i="26"/>
  <c r="AB93" i="26"/>
  <c r="AC90" i="26"/>
  <c r="AG95" i="26"/>
  <c r="AA93" i="26"/>
  <c r="AB90" i="26"/>
  <c r="AF95" i="26"/>
  <c r="AG92" i="26"/>
  <c r="AA90" i="26"/>
  <c r="AC94" i="26"/>
  <c r="AG90" i="26"/>
  <c r="AE93" i="26"/>
  <c r="AE89" i="26"/>
  <c r="AG96" i="26"/>
  <c r="AD93" i="26"/>
  <c r="AD89" i="26"/>
  <c r="AB94" i="26"/>
  <c r="AF90" i="26"/>
  <c r="AA94" i="26"/>
  <c r="AE90" i="26"/>
  <c r="AG93" i="26"/>
  <c r="AG89" i="26"/>
  <c r="AF93" i="26"/>
  <c r="AF89" i="26"/>
  <c r="AB95" i="26"/>
  <c r="AB89" i="26"/>
  <c r="AA95" i="26"/>
  <c r="AA89" i="26"/>
  <c r="AG94" i="26"/>
  <c r="AE94" i="26"/>
  <c r="AE92" i="26"/>
  <c r="AF94" i="26"/>
  <c r="AD94" i="26"/>
  <c r="AF92" i="26"/>
  <c r="AD92" i="26"/>
  <c r="AA91" i="26"/>
  <c r="AC89" i="26"/>
  <c r="AF96" i="26"/>
  <c r="AE96" i="26"/>
  <c r="AD96" i="26"/>
  <c r="AC96" i="26"/>
  <c r="AE95" i="26"/>
  <c r="AD95" i="26"/>
  <c r="AC95" i="26"/>
  <c r="AC92" i="26"/>
  <c r="AB92" i="26"/>
  <c r="AA92" i="26"/>
  <c r="AG91" i="26"/>
  <c r="AF91" i="26"/>
  <c r="AE91" i="26"/>
  <c r="AD91" i="26"/>
  <c r="AC91" i="26"/>
  <c r="AB91" i="26"/>
  <c r="AG41" i="26"/>
  <c r="AA39" i="26"/>
  <c r="AB36" i="26"/>
  <c r="AC33" i="26"/>
  <c r="AD30" i="26"/>
  <c r="AF41" i="26"/>
  <c r="AG38" i="26"/>
  <c r="AA36" i="26"/>
  <c r="AB33" i="26"/>
  <c r="AC30" i="26"/>
  <c r="AE41" i="26"/>
  <c r="AF38" i="26"/>
  <c r="AG35" i="26"/>
  <c r="AA33" i="26"/>
  <c r="AB30" i="26"/>
  <c r="AG39" i="26"/>
  <c r="AE36" i="26"/>
  <c r="AG32" i="26"/>
  <c r="AC32" i="26"/>
  <c r="AB39" i="26"/>
  <c r="AD35" i="26"/>
  <c r="AB32" i="26"/>
  <c r="AE38" i="26"/>
  <c r="AC35" i="26"/>
  <c r="AA32" i="26"/>
  <c r="AF39" i="26"/>
  <c r="AD36" i="26"/>
  <c r="AF32" i="26"/>
  <c r="AE39" i="26"/>
  <c r="AC36" i="26"/>
  <c r="AE32" i="26"/>
  <c r="AD39" i="26"/>
  <c r="AF35" i="26"/>
  <c r="AD32" i="26"/>
  <c r="AC39" i="26"/>
  <c r="AE35" i="26"/>
  <c r="AE37" i="26"/>
  <c r="AG31" i="26"/>
  <c r="AD37" i="26"/>
  <c r="AF31" i="26"/>
  <c r="AC37" i="26"/>
  <c r="AE31" i="26"/>
  <c r="AD41" i="26"/>
  <c r="AB37" i="26"/>
  <c r="AD31" i="26"/>
  <c r="AC41" i="26"/>
  <c r="AC31" i="26"/>
  <c r="AB41" i="26"/>
  <c r="AG36" i="26"/>
  <c r="AB31" i="26"/>
  <c r="AA31" i="26"/>
  <c r="AG40" i="26"/>
  <c r="AG30" i="26"/>
  <c r="AA37" i="26"/>
  <c r="AA41" i="26"/>
  <c r="AF36" i="26"/>
  <c r="AB35" i="26"/>
  <c r="AG34" i="26"/>
  <c r="AF34" i="26"/>
  <c r="AE34" i="26"/>
  <c r="AD34" i="26"/>
  <c r="AC34" i="26"/>
  <c r="AB34" i="26"/>
  <c r="AA34" i="26"/>
  <c r="AF40" i="26"/>
  <c r="AG33" i="26"/>
  <c r="AE40" i="26"/>
  <c r="AF33" i="26"/>
  <c r="AD40" i="26"/>
  <c r="AE33" i="26"/>
  <c r="AC40" i="26"/>
  <c r="AD33" i="26"/>
  <c r="AB40" i="26"/>
  <c r="AF30" i="26"/>
  <c r="AA40" i="26"/>
  <c r="AE30" i="26"/>
  <c r="AD38" i="26"/>
  <c r="AA30" i="26"/>
  <c r="AC38" i="26"/>
  <c r="AB38" i="26"/>
  <c r="AA38" i="26"/>
  <c r="AG37" i="26"/>
  <c r="AF37" i="26"/>
  <c r="AA35" i="26"/>
  <c r="AD87" i="26"/>
  <c r="AB84" i="26"/>
  <c r="AA87" i="26"/>
  <c r="AC87" i="26"/>
  <c r="AG83" i="26"/>
  <c r="AA86" i="26"/>
  <c r="AB87" i="26"/>
  <c r="AF83" i="26"/>
  <c r="AA85" i="26"/>
  <c r="AG86" i="26"/>
  <c r="AE83" i="26"/>
  <c r="AE86" i="26"/>
  <c r="AE82" i="26"/>
  <c r="AF85" i="26"/>
  <c r="AF81" i="26"/>
  <c r="AE85" i="26"/>
  <c r="AE81" i="26"/>
  <c r="AD86" i="26"/>
  <c r="AD82" i="26"/>
  <c r="AC86" i="26"/>
  <c r="AC82" i="26"/>
  <c r="AB86" i="26"/>
  <c r="AB82" i="26"/>
  <c r="AG85" i="26"/>
  <c r="AG81" i="26"/>
  <c r="AD83" i="26"/>
  <c r="AC83" i="26"/>
  <c r="AG88" i="26"/>
  <c r="AB83" i="26"/>
  <c r="AF88" i="26"/>
  <c r="AE88" i="26"/>
  <c r="AF82" i="26"/>
  <c r="AD88" i="26"/>
  <c r="AD81" i="26"/>
  <c r="AC81" i="26"/>
  <c r="AB88" i="26"/>
  <c r="AB81" i="26"/>
  <c r="AG82" i="26"/>
  <c r="AC88" i="26"/>
  <c r="AG87" i="26"/>
  <c r="AA88" i="26"/>
  <c r="AF87" i="26"/>
  <c r="AE87" i="26"/>
  <c r="AF86" i="26"/>
  <c r="AD85" i="26"/>
  <c r="AC85" i="26"/>
  <c r="AB85" i="26"/>
  <c r="AG84" i="26"/>
  <c r="AF84" i="26"/>
  <c r="AE84" i="26"/>
  <c r="AD84" i="26"/>
  <c r="AC84" i="26"/>
  <c r="AA84" i="26"/>
  <c r="AA83" i="26"/>
  <c r="AA82" i="26"/>
  <c r="AA81" i="26"/>
  <c r="AD70" i="26"/>
  <c r="AE67" i="26"/>
  <c r="AC70" i="26"/>
  <c r="AD67" i="26"/>
  <c r="AB70" i="26"/>
  <c r="AC67" i="26"/>
  <c r="AG69" i="26"/>
  <c r="AE66" i="26"/>
  <c r="AD72" i="26"/>
  <c r="AB69" i="26"/>
  <c r="AC72" i="26"/>
  <c r="AA69" i="26"/>
  <c r="AF69" i="26"/>
  <c r="AD66" i="26"/>
  <c r="AG72" i="26"/>
  <c r="AE69" i="26"/>
  <c r="AC66" i="26"/>
  <c r="AF72" i="26"/>
  <c r="AD69" i="26"/>
  <c r="AB66" i="26"/>
  <c r="AE72" i="26"/>
  <c r="AC69" i="26"/>
  <c r="AA66" i="26"/>
  <c r="AD68" i="26"/>
  <c r="AC68" i="26"/>
  <c r="AB68" i="26"/>
  <c r="AB72" i="26"/>
  <c r="AG67" i="26"/>
  <c r="AA72" i="26"/>
  <c r="AF71" i="26"/>
  <c r="AA67" i="26"/>
  <c r="AA68" i="26"/>
  <c r="AF67" i="26"/>
  <c r="AG71" i="26"/>
  <c r="AB67" i="26"/>
  <c r="AG70" i="26"/>
  <c r="AF70" i="26"/>
  <c r="AE70" i="26"/>
  <c r="AA70" i="26"/>
  <c r="AG68" i="26"/>
  <c r="AF68" i="26"/>
  <c r="AE68" i="26"/>
  <c r="AG66" i="26"/>
  <c r="AF66" i="26"/>
  <c r="AE71" i="26"/>
  <c r="AD71" i="26"/>
  <c r="AC71" i="26"/>
  <c r="AB71" i="26"/>
  <c r="AA71" i="26"/>
  <c r="O48" i="21"/>
  <c r="S419" i="21"/>
  <c r="S384" i="21"/>
  <c r="S377" i="21" s="1"/>
  <c r="O18" i="21"/>
  <c r="N47" i="21"/>
  <c r="P416" i="21"/>
  <c r="R397" i="21"/>
  <c r="R383" i="21"/>
  <c r="R376" i="21" s="1"/>
  <c r="P381" i="21"/>
  <c r="P374" i="21" s="1"/>
  <c r="P395" i="21"/>
  <c r="Q396" i="21"/>
  <c r="Q417" i="21"/>
  <c r="M77" i="20"/>
  <c r="L77" i="20"/>
  <c r="K77" i="20"/>
  <c r="J78" i="20"/>
  <c r="J77" i="20"/>
  <c r="P78" i="20"/>
  <c r="O78" i="20"/>
  <c r="N78" i="20"/>
  <c r="P77" i="20"/>
  <c r="M78" i="20"/>
  <c r="L78" i="20"/>
  <c r="K78" i="20"/>
  <c r="O77" i="20"/>
  <c r="N77" i="20"/>
  <c r="O28" i="21"/>
  <c r="M59" i="21"/>
  <c r="M55" i="21" s="1"/>
  <c r="O42" i="21"/>
  <c r="N51" i="21"/>
  <c r="Q403" i="21"/>
  <c r="R411" i="21"/>
  <c r="S412" i="21"/>
  <c r="R418" i="21"/>
  <c r="O36" i="21"/>
  <c r="S405" i="21"/>
  <c r="S391" i="21"/>
  <c r="N104" i="21"/>
  <c r="M104" i="21"/>
  <c r="O103" i="21"/>
  <c r="N103" i="21"/>
  <c r="M102" i="21"/>
  <c r="K102" i="21"/>
  <c r="O105" i="21"/>
  <c r="M103" i="21"/>
  <c r="L103" i="21"/>
  <c r="O102" i="21"/>
  <c r="N102" i="21"/>
  <c r="L102" i="21"/>
  <c r="O106" i="21"/>
  <c r="N105" i="21"/>
  <c r="O104" i="21"/>
  <c r="S648" i="21"/>
  <c r="P637" i="21"/>
  <c r="Q642" i="21"/>
  <c r="R650" i="21"/>
  <c r="U642" i="21"/>
  <c r="S641" i="21"/>
  <c r="P648" i="21"/>
  <c r="T641" i="21"/>
  <c r="S640" i="21"/>
  <c r="P645" i="21"/>
  <c r="P646" i="21"/>
  <c r="R641" i="21"/>
  <c r="U650" i="21"/>
  <c r="P639" i="21"/>
  <c r="P638" i="21"/>
  <c r="T642" i="21"/>
  <c r="S643" i="21"/>
  <c r="Q639" i="21"/>
  <c r="Q648" i="21"/>
  <c r="P641" i="21"/>
  <c r="U649" i="21"/>
  <c r="Q649" i="21"/>
  <c r="R648" i="21"/>
  <c r="Q645" i="21"/>
  <c r="S642" i="21"/>
  <c r="Q647" i="21"/>
  <c r="R646" i="21"/>
  <c r="R643" i="21"/>
  <c r="P647" i="21"/>
  <c r="Q646" i="21"/>
  <c r="R640" i="21"/>
  <c r="Q641" i="21"/>
  <c r="S649" i="21"/>
  <c r="T649" i="21"/>
  <c r="S647" i="21"/>
  <c r="P640" i="21"/>
  <c r="P644" i="21"/>
  <c r="T650" i="21"/>
  <c r="R649" i="21"/>
  <c r="U643" i="21"/>
  <c r="V650" i="21"/>
  <c r="R647" i="21"/>
  <c r="V643" i="21"/>
  <c r="T643" i="21"/>
  <c r="R639" i="21"/>
  <c r="Q640" i="21"/>
  <c r="Q638" i="21"/>
  <c r="T648" i="21"/>
  <c r="S650" i="21"/>
  <c r="R642" i="21"/>
  <c r="N35" i="21"/>
  <c r="R404" i="21"/>
  <c r="P409" i="21"/>
  <c r="S514" i="21"/>
  <c r="S612" i="21"/>
  <c r="P617" i="21"/>
  <c r="P519" i="21"/>
  <c r="Q618" i="21"/>
  <c r="Q520" i="21"/>
  <c r="U384" i="21"/>
  <c r="U377" i="21" s="1"/>
  <c r="O59" i="21"/>
  <c r="O55" i="21" s="1"/>
  <c r="P386" i="21"/>
  <c r="R388" i="21"/>
  <c r="R381" i="21"/>
  <c r="R374" i="21" s="1"/>
  <c r="T390" i="21"/>
  <c r="S389" i="21"/>
  <c r="T383" i="21"/>
  <c r="T376" i="21" s="1"/>
  <c r="P379" i="21"/>
  <c r="P372" i="21" s="1"/>
  <c r="N58" i="21"/>
  <c r="N54" i="21" s="1"/>
  <c r="Q380" i="21"/>
  <c r="Q373" i="21" s="1"/>
  <c r="S382" i="21"/>
  <c r="S375" i="21" s="1"/>
  <c r="Q387" i="21"/>
  <c r="U391" i="21"/>
  <c r="R409" i="21"/>
  <c r="P407" i="21"/>
  <c r="U412" i="21"/>
  <c r="Q408" i="21"/>
  <c r="T411" i="21"/>
  <c r="S410" i="21"/>
  <c r="Q394" i="21"/>
  <c r="Q401" i="21"/>
  <c r="P393" i="21"/>
  <c r="T404" i="21"/>
  <c r="S396" i="21"/>
  <c r="S403" i="21"/>
  <c r="T397" i="21"/>
  <c r="P414" i="21"/>
  <c r="T418" i="21"/>
  <c r="P400" i="21"/>
  <c r="R402" i="21"/>
  <c r="R395" i="21"/>
  <c r="R416" i="21"/>
  <c r="U405" i="21"/>
  <c r="U398" i="21"/>
  <c r="Q415" i="21"/>
  <c r="S417" i="21"/>
  <c r="U419" i="21"/>
  <c r="S605" i="21"/>
  <c r="S500" i="21"/>
  <c r="T509" i="21"/>
  <c r="P380" i="21"/>
  <c r="P373" i="21" s="1"/>
  <c r="T391" i="21"/>
  <c r="Q381" i="21"/>
  <c r="Q374" i="21" s="1"/>
  <c r="R382" i="21"/>
  <c r="R375" i="21" s="1"/>
  <c r="T384" i="21"/>
  <c r="T377" i="21" s="1"/>
  <c r="N59" i="21"/>
  <c r="N55" i="21" s="1"/>
  <c r="M58" i="21"/>
  <c r="M54" i="21" s="1"/>
  <c r="S383" i="21"/>
  <c r="S376" i="21" s="1"/>
  <c r="O60" i="21"/>
  <c r="O56" i="21" s="1"/>
  <c r="R389" i="21"/>
  <c r="P387" i="21"/>
  <c r="Q388" i="21"/>
  <c r="S390" i="21"/>
  <c r="P415" i="21"/>
  <c r="P401" i="21"/>
  <c r="T419" i="21"/>
  <c r="S404" i="21"/>
  <c r="T405" i="21"/>
  <c r="P394" i="21"/>
  <c r="R396" i="21"/>
  <c r="T398" i="21"/>
  <c r="Q409" i="21"/>
  <c r="P408" i="21"/>
  <c r="S411" i="21"/>
  <c r="R410" i="21"/>
  <c r="S418" i="21"/>
  <c r="R417" i="21"/>
  <c r="Q402" i="21"/>
  <c r="R403" i="21"/>
  <c r="Q395" i="21"/>
  <c r="T412" i="21"/>
  <c r="S397" i="21"/>
  <c r="Q416" i="21"/>
  <c r="S515" i="21"/>
  <c r="S613" i="21"/>
  <c r="U614" i="21"/>
  <c r="U516" i="21"/>
  <c r="P602" i="21"/>
  <c r="P497" i="21"/>
  <c r="S509" i="21"/>
  <c r="T503" i="21"/>
  <c r="T608" i="21"/>
  <c r="S522" i="21"/>
  <c r="S620" i="21"/>
  <c r="Q505" i="21"/>
  <c r="R522" i="21"/>
  <c r="R620" i="21"/>
  <c r="M73" i="21"/>
  <c r="M94" i="21"/>
  <c r="Q499" i="21"/>
  <c r="Q604" i="21"/>
  <c r="Q484" i="21"/>
  <c r="Q596" i="21"/>
  <c r="Q533" i="21"/>
  <c r="Q547" i="21"/>
  <c r="Q491" i="21" s="1"/>
  <c r="T524" i="21"/>
  <c r="T622" i="21"/>
  <c r="Q486" i="21"/>
  <c r="Q598" i="21"/>
  <c r="Q535" i="21"/>
  <c r="Q549" i="21"/>
  <c r="Q493" i="21" s="1"/>
  <c r="Q485" i="21"/>
  <c r="Q597" i="21"/>
  <c r="Q534" i="21"/>
  <c r="Q548" i="21"/>
  <c r="Q492" i="21" s="1"/>
  <c r="P518" i="21"/>
  <c r="P616" i="21"/>
  <c r="R550" i="21"/>
  <c r="R494" i="21" s="1"/>
  <c r="R599" i="21"/>
  <c r="R487" i="21"/>
  <c r="R536" i="21"/>
  <c r="U503" i="21"/>
  <c r="U608" i="21"/>
  <c r="O26" i="21"/>
  <c r="T536" i="21"/>
  <c r="T487" i="21"/>
  <c r="T599" i="21"/>
  <c r="T550" i="21"/>
  <c r="T494" i="21" s="1"/>
  <c r="S537" i="21"/>
  <c r="S488" i="21"/>
  <c r="S600" i="21"/>
  <c r="S551" i="21"/>
  <c r="S495" i="21" s="1"/>
  <c r="T600" i="21"/>
  <c r="T488" i="21"/>
  <c r="T551" i="21"/>
  <c r="T495" i="21" s="1"/>
  <c r="T537" i="21"/>
  <c r="O52" i="21"/>
  <c r="O43" i="21"/>
  <c r="V552" i="21"/>
  <c r="V496" i="21" s="1"/>
  <c r="V601" i="21"/>
  <c r="V489" i="21"/>
  <c r="V538" i="21"/>
  <c r="T552" i="21"/>
  <c r="T496" i="21" s="1"/>
  <c r="T538" i="21"/>
  <c r="T601" i="21"/>
  <c r="T489" i="21"/>
  <c r="R605" i="21"/>
  <c r="R500" i="21"/>
  <c r="M50" i="21"/>
  <c r="O35" i="21"/>
  <c r="V622" i="21"/>
  <c r="V524" i="21"/>
  <c r="S614" i="21"/>
  <c r="S516" i="21"/>
  <c r="N74" i="21"/>
  <c r="N95" i="21"/>
  <c r="S501" i="21"/>
  <c r="S606" i="21"/>
  <c r="S535" i="21"/>
  <c r="S486" i="21"/>
  <c r="S598" i="21"/>
  <c r="S549" i="21"/>
  <c r="S493" i="21" s="1"/>
  <c r="O96" i="21"/>
  <c r="O75" i="21"/>
  <c r="P603" i="21"/>
  <c r="P498" i="21"/>
  <c r="O20" i="21"/>
  <c r="N50" i="21"/>
  <c r="R506" i="21"/>
  <c r="U551" i="21"/>
  <c r="U495" i="21" s="1"/>
  <c r="U537" i="21"/>
  <c r="U488" i="21"/>
  <c r="U600" i="21"/>
  <c r="T510" i="21"/>
  <c r="T502" i="21"/>
  <c r="T607" i="21"/>
  <c r="M38" i="21"/>
  <c r="M26" i="21"/>
  <c r="R521" i="21"/>
  <c r="R619" i="21"/>
  <c r="M46" i="21"/>
  <c r="R549" i="21"/>
  <c r="R493" i="21" s="1"/>
  <c r="R486" i="21"/>
  <c r="R598" i="21"/>
  <c r="R535" i="21"/>
  <c r="M18" i="21"/>
  <c r="U523" i="21"/>
  <c r="U621" i="21"/>
  <c r="R612" i="21"/>
  <c r="R514" i="21"/>
  <c r="T613" i="21"/>
  <c r="T515" i="21"/>
  <c r="U552" i="21"/>
  <c r="U496" i="21" s="1"/>
  <c r="U538" i="21"/>
  <c r="U601" i="21"/>
  <c r="U489" i="21"/>
  <c r="O40" i="21"/>
  <c r="R507" i="21"/>
  <c r="U509" i="21"/>
  <c r="R515" i="21"/>
  <c r="R613" i="21"/>
  <c r="Q611" i="21"/>
  <c r="Q513" i="21"/>
  <c r="R430" i="21"/>
  <c r="Q429" i="21"/>
  <c r="T432" i="21"/>
  <c r="S431" i="21"/>
  <c r="P428" i="21"/>
  <c r="U433" i="21"/>
  <c r="O63" i="21"/>
  <c r="Q422" i="21"/>
  <c r="S424" i="21"/>
  <c r="R423" i="21"/>
  <c r="U426" i="21"/>
  <c r="P421" i="21"/>
  <c r="T425" i="21"/>
  <c r="N62" i="21"/>
  <c r="T453" i="21"/>
  <c r="U454" i="21"/>
  <c r="R451" i="21"/>
  <c r="P449" i="21"/>
  <c r="S452" i="21"/>
  <c r="Q450" i="21"/>
  <c r="S459" i="21"/>
  <c r="P435" i="21"/>
  <c r="U447" i="21"/>
  <c r="R444" i="21"/>
  <c r="Q443" i="21"/>
  <c r="Q436" i="21"/>
  <c r="S438" i="21"/>
  <c r="P456" i="21"/>
  <c r="R458" i="21"/>
  <c r="R437" i="21"/>
  <c r="Q457" i="21"/>
  <c r="T446" i="21"/>
  <c r="S445" i="21"/>
  <c r="T460" i="21"/>
  <c r="P442" i="21"/>
  <c r="T439" i="21"/>
  <c r="U461" i="21"/>
  <c r="U440" i="21"/>
  <c r="R499" i="21"/>
  <c r="R604" i="21"/>
  <c r="Q507" i="21"/>
  <c r="S502" i="21"/>
  <c r="S607" i="21"/>
  <c r="Q610" i="21"/>
  <c r="Q512" i="21"/>
  <c r="U502" i="21"/>
  <c r="U607" i="21"/>
  <c r="P506" i="21"/>
  <c r="R606" i="21"/>
  <c r="R501" i="21"/>
  <c r="P511" i="21"/>
  <c r="P609" i="21"/>
  <c r="P520" i="21"/>
  <c r="P618" i="21"/>
  <c r="P485" i="21"/>
  <c r="P597" i="21"/>
  <c r="P534" i="21"/>
  <c r="P548" i="21"/>
  <c r="P492" i="21" s="1"/>
  <c r="V503" i="21"/>
  <c r="V608" i="21"/>
  <c r="S523" i="21"/>
  <c r="S621" i="21"/>
  <c r="P604" i="21"/>
  <c r="P499" i="21"/>
  <c r="O95" i="21"/>
  <c r="O74" i="21"/>
  <c r="P483" i="21"/>
  <c r="P595" i="21"/>
  <c r="P532" i="21"/>
  <c r="P546" i="21"/>
  <c r="P490" i="21" s="1"/>
  <c r="Q506" i="21"/>
  <c r="P504" i="21"/>
  <c r="P512" i="21"/>
  <c r="P610" i="21"/>
  <c r="N43" i="21"/>
  <c r="L62" i="21"/>
  <c r="S426" i="21"/>
  <c r="R425" i="21"/>
  <c r="Q424" i="21"/>
  <c r="O65" i="21"/>
  <c r="P423" i="21"/>
  <c r="M63" i="21"/>
  <c r="N64" i="21"/>
  <c r="P430" i="21"/>
  <c r="S433" i="21"/>
  <c r="R432" i="21"/>
  <c r="Q431" i="21"/>
  <c r="S447" i="21"/>
  <c r="R446" i="21"/>
  <c r="Q445" i="21"/>
  <c r="P444" i="21"/>
  <c r="R453" i="21"/>
  <c r="P451" i="21"/>
  <c r="S440" i="21"/>
  <c r="P458" i="21"/>
  <c r="S454" i="21"/>
  <c r="Q452" i="21"/>
  <c r="R439" i="21"/>
  <c r="P437" i="21"/>
  <c r="R460" i="21"/>
  <c r="S461" i="21"/>
  <c r="Q438" i="21"/>
  <c r="Q459" i="21"/>
  <c r="Q603" i="21"/>
  <c r="Q498" i="21"/>
  <c r="S508" i="21"/>
  <c r="M22" i="21"/>
  <c r="V433" i="21"/>
  <c r="P427" i="21"/>
  <c r="Q428" i="21"/>
  <c r="U432" i="21"/>
  <c r="T431" i="21"/>
  <c r="S430" i="21"/>
  <c r="R429" i="21"/>
  <c r="R422" i="21"/>
  <c r="O62" i="21"/>
  <c r="Q421" i="21"/>
  <c r="P420" i="21"/>
  <c r="S423" i="21"/>
  <c r="V426" i="21"/>
  <c r="U425" i="21"/>
  <c r="T424" i="21"/>
  <c r="S437" i="21"/>
  <c r="R436" i="21"/>
  <c r="U439" i="21"/>
  <c r="P434" i="21"/>
  <c r="Q435" i="21"/>
  <c r="T438" i="21"/>
  <c r="V440" i="21"/>
  <c r="S451" i="21"/>
  <c r="U460" i="21"/>
  <c r="Q449" i="21"/>
  <c r="P448" i="21"/>
  <c r="R457" i="21"/>
  <c r="T445" i="21"/>
  <c r="V454" i="21"/>
  <c r="U446" i="21"/>
  <c r="V447" i="21"/>
  <c r="R443" i="21"/>
  <c r="U453" i="21"/>
  <c r="V461" i="21"/>
  <c r="R450" i="21"/>
  <c r="Q456" i="21"/>
  <c r="S458" i="21"/>
  <c r="P441" i="21"/>
  <c r="P455" i="21"/>
  <c r="S444" i="21"/>
  <c r="Q442" i="21"/>
  <c r="T452" i="21"/>
  <c r="T459" i="21"/>
  <c r="T614" i="21"/>
  <c r="T516" i="21"/>
  <c r="O30" i="21"/>
  <c r="T522" i="21"/>
  <c r="T620" i="21"/>
  <c r="Q612" i="21"/>
  <c r="Q514" i="21"/>
  <c r="O46" i="21"/>
  <c r="R485" i="21"/>
  <c r="R597" i="21"/>
  <c r="R534" i="21"/>
  <c r="R548" i="21"/>
  <c r="R492" i="21" s="1"/>
  <c r="P505" i="21"/>
  <c r="M42" i="21"/>
  <c r="V510" i="21"/>
  <c r="V615" i="21"/>
  <c r="V517" i="21"/>
  <c r="R508" i="21"/>
  <c r="T523" i="21"/>
  <c r="T621" i="21"/>
  <c r="U615" i="21"/>
  <c r="U517" i="21"/>
  <c r="T508" i="21"/>
  <c r="S521" i="21"/>
  <c r="S619" i="21"/>
  <c r="O73" i="21"/>
  <c r="O94" i="21"/>
  <c r="Q619" i="21"/>
  <c r="Q521" i="21"/>
  <c r="P484" i="21"/>
  <c r="P596" i="21"/>
  <c r="P533" i="21"/>
  <c r="P547" i="21"/>
  <c r="P491" i="21" s="1"/>
  <c r="N27" i="21"/>
  <c r="V391" i="21"/>
  <c r="O58" i="21"/>
  <c r="O54" i="21" s="1"/>
  <c r="U390" i="21"/>
  <c r="S388" i="21"/>
  <c r="T389" i="21"/>
  <c r="S381" i="21"/>
  <c r="S374" i="21" s="1"/>
  <c r="Q379" i="21"/>
  <c r="Q372" i="21" s="1"/>
  <c r="R387" i="21"/>
  <c r="T382" i="21"/>
  <c r="T375" i="21" s="1"/>
  <c r="U383" i="21"/>
  <c r="U376" i="21" s="1"/>
  <c r="V384" i="21"/>
  <c r="V377" i="21" s="1"/>
  <c r="Q386" i="21"/>
  <c r="P378" i="21"/>
  <c r="P371" i="21" s="1"/>
  <c r="R380" i="21"/>
  <c r="R373" i="21" s="1"/>
  <c r="P385" i="21"/>
  <c r="Q400" i="21"/>
  <c r="T396" i="21"/>
  <c r="R401" i="21"/>
  <c r="T403" i="21"/>
  <c r="R394" i="21"/>
  <c r="R415" i="21"/>
  <c r="S395" i="21"/>
  <c r="Q414" i="21"/>
  <c r="P392" i="21"/>
  <c r="T417" i="21"/>
  <c r="V398" i="21"/>
  <c r="V405" i="21"/>
  <c r="U404" i="21"/>
  <c r="S402" i="21"/>
  <c r="P399" i="21"/>
  <c r="U418" i="21"/>
  <c r="Q393" i="21"/>
  <c r="S416" i="21"/>
  <c r="P413" i="21"/>
  <c r="U397" i="21"/>
  <c r="V419" i="21"/>
  <c r="R408" i="21"/>
  <c r="T410" i="21"/>
  <c r="Q407" i="21"/>
  <c r="P406" i="21"/>
  <c r="U411" i="21"/>
  <c r="V412" i="21"/>
  <c r="S409" i="21"/>
  <c r="U510" i="21"/>
  <c r="Q519" i="21"/>
  <c r="Q617" i="21"/>
  <c r="S536" i="21"/>
  <c r="S487" i="21"/>
  <c r="S599" i="21"/>
  <c r="S550" i="21"/>
  <c r="S494" i="21" s="1"/>
  <c r="R611" i="21"/>
  <c r="R513" i="21"/>
  <c r="U622" i="21"/>
  <c r="U524" i="21"/>
  <c r="S507" i="21"/>
  <c r="T615" i="21"/>
  <c r="T517" i="21"/>
  <c r="N73" i="21"/>
  <c r="N94" i="21"/>
  <c r="R618" i="21"/>
  <c r="R520" i="21"/>
  <c r="T501" i="21"/>
  <c r="T606" i="21"/>
  <c r="P611" i="21"/>
  <c r="P513" i="21"/>
  <c r="Q500" i="21"/>
  <c r="Q605" i="21"/>
  <c r="O39" i="21"/>
  <c r="R346" i="21"/>
  <c r="S305" i="21"/>
  <c r="P204" i="21"/>
  <c r="T299" i="21"/>
  <c r="U209" i="21"/>
  <c r="Q303" i="21"/>
  <c r="U321" i="21"/>
  <c r="Q296" i="21"/>
  <c r="P288" i="21"/>
  <c r="Q317" i="21"/>
  <c r="U300" i="21"/>
  <c r="Q345" i="21"/>
  <c r="U265" i="21"/>
  <c r="T292" i="21"/>
  <c r="U216" i="21"/>
  <c r="P316" i="21"/>
  <c r="T306" i="21"/>
  <c r="R290" i="21"/>
  <c r="P218" i="21"/>
  <c r="T208" i="21"/>
  <c r="P295" i="21"/>
  <c r="P232" i="21"/>
  <c r="R304" i="21"/>
  <c r="Q212" i="21"/>
  <c r="R318" i="21"/>
  <c r="T222" i="21"/>
  <c r="S235" i="21"/>
  <c r="S207" i="21"/>
  <c r="R297" i="21"/>
  <c r="R234" i="21"/>
  <c r="U223" i="21"/>
  <c r="P260" i="21"/>
  <c r="T348" i="21"/>
  <c r="S263" i="21"/>
  <c r="T320" i="21"/>
  <c r="R206" i="21"/>
  <c r="U307" i="21"/>
  <c r="U349" i="21"/>
  <c r="S298" i="21"/>
  <c r="U237" i="21"/>
  <c r="U293" i="21"/>
  <c r="S221" i="21"/>
  <c r="P344" i="21"/>
  <c r="S214" i="21"/>
  <c r="T236" i="21"/>
  <c r="S291" i="21"/>
  <c r="P302" i="21"/>
  <c r="Q261" i="21"/>
  <c r="R213" i="21"/>
  <c r="S319" i="21"/>
  <c r="Q289" i="21"/>
  <c r="R220" i="21"/>
  <c r="S347" i="21"/>
  <c r="P211" i="21"/>
  <c r="Q233" i="21"/>
  <c r="Q205" i="21"/>
  <c r="Q219" i="21"/>
  <c r="T264" i="21"/>
  <c r="T215" i="21"/>
  <c r="R262" i="21"/>
  <c r="U342" i="21"/>
  <c r="P281" i="21"/>
  <c r="U251" i="21"/>
  <c r="T327" i="21"/>
  <c r="T278" i="21"/>
  <c r="P309" i="21"/>
  <c r="S249" i="21"/>
  <c r="Q268" i="21"/>
  <c r="U328" i="21"/>
  <c r="P267" i="21"/>
  <c r="R241" i="21"/>
  <c r="Q247" i="21"/>
  <c r="R269" i="21"/>
  <c r="S242" i="21"/>
  <c r="S340" i="21"/>
  <c r="S333" i="21"/>
  <c r="S326" i="21"/>
  <c r="R276" i="21"/>
  <c r="R227" i="21"/>
  <c r="U363" i="21"/>
  <c r="Q282" i="21"/>
  <c r="Q324" i="21"/>
  <c r="Q226" i="21"/>
  <c r="T243" i="21"/>
  <c r="T285" i="21"/>
  <c r="R248" i="21"/>
  <c r="P330" i="21"/>
  <c r="U356" i="21"/>
  <c r="U244" i="21"/>
  <c r="P358" i="21"/>
  <c r="S228" i="21"/>
  <c r="Q275" i="21"/>
  <c r="U230" i="21"/>
  <c r="T250" i="21"/>
  <c r="Q352" i="21"/>
  <c r="S361" i="21"/>
  <c r="U335" i="21"/>
  <c r="Q359" i="21"/>
  <c r="T362" i="21"/>
  <c r="Q254" i="21"/>
  <c r="P365" i="21"/>
  <c r="P274" i="21"/>
  <c r="R311" i="21"/>
  <c r="R332" i="21"/>
  <c r="S270" i="21"/>
  <c r="T355" i="21"/>
  <c r="T369" i="21"/>
  <c r="R353" i="21"/>
  <c r="R325" i="21"/>
  <c r="T229" i="21"/>
  <c r="S368" i="21"/>
  <c r="U314" i="21"/>
  <c r="Q331" i="21"/>
  <c r="U279" i="21"/>
  <c r="Q338" i="21"/>
  <c r="U286" i="21"/>
  <c r="P351" i="21"/>
  <c r="R255" i="21"/>
  <c r="U370" i="21"/>
  <c r="U272" i="21"/>
  <c r="P337" i="21"/>
  <c r="R367" i="21"/>
  <c r="T271" i="21"/>
  <c r="S312" i="21"/>
  <c r="T341" i="21"/>
  <c r="Q366" i="21"/>
  <c r="S354" i="21"/>
  <c r="T257" i="21"/>
  <c r="R339" i="21"/>
  <c r="P253" i="21"/>
  <c r="P246" i="21"/>
  <c r="R360" i="21"/>
  <c r="P239" i="21"/>
  <c r="S256" i="21"/>
  <c r="S284" i="21"/>
  <c r="T334" i="21"/>
  <c r="S277" i="21"/>
  <c r="R283" i="21"/>
  <c r="P225" i="21"/>
  <c r="T313" i="21"/>
  <c r="P323" i="21"/>
  <c r="Q310" i="21"/>
  <c r="U258" i="21"/>
  <c r="Q240" i="21"/>
  <c r="N31" i="21"/>
  <c r="Q325" i="21"/>
  <c r="P212" i="21"/>
  <c r="Q241" i="21"/>
  <c r="R326" i="21"/>
  <c r="R242" i="21"/>
  <c r="Q213" i="21"/>
  <c r="R298" i="21"/>
  <c r="P324" i="21"/>
  <c r="S243" i="21"/>
  <c r="Q297" i="21"/>
  <c r="S215" i="21"/>
  <c r="T328" i="21"/>
  <c r="T300" i="21"/>
  <c r="P240" i="21"/>
  <c r="S327" i="21"/>
  <c r="T244" i="21"/>
  <c r="P296" i="21"/>
  <c r="S299" i="21"/>
  <c r="T216" i="21"/>
  <c r="R214" i="21"/>
  <c r="T342" i="21"/>
  <c r="Q227" i="21"/>
  <c r="P359" i="21"/>
  <c r="T223" i="21"/>
  <c r="T349" i="21"/>
  <c r="Q206" i="21"/>
  <c r="Q220" i="21"/>
  <c r="S369" i="21"/>
  <c r="P345" i="21"/>
  <c r="Q311" i="21"/>
  <c r="T286" i="21"/>
  <c r="T335" i="21"/>
  <c r="T279" i="21"/>
  <c r="R207" i="21"/>
  <c r="R361" i="21"/>
  <c r="R340" i="21"/>
  <c r="P226" i="21"/>
  <c r="Q276" i="21"/>
  <c r="R221" i="21"/>
  <c r="P261" i="21"/>
  <c r="T293" i="21"/>
  <c r="R256" i="21"/>
  <c r="Q339" i="21"/>
  <c r="T265" i="21"/>
  <c r="P352" i="21"/>
  <c r="T209" i="21"/>
  <c r="S236" i="21"/>
  <c r="S257" i="21"/>
  <c r="T314" i="21"/>
  <c r="R277" i="21"/>
  <c r="T307" i="21"/>
  <c r="Q262" i="21"/>
  <c r="P254" i="21"/>
  <c r="S313" i="21"/>
  <c r="P275" i="21"/>
  <c r="S348" i="21"/>
  <c r="R228" i="21"/>
  <c r="T363" i="21"/>
  <c r="R263" i="21"/>
  <c r="T230" i="21"/>
  <c r="Q367" i="21"/>
  <c r="P219" i="21"/>
  <c r="S334" i="21"/>
  <c r="R312" i="21"/>
  <c r="R284" i="21"/>
  <c r="R347" i="21"/>
  <c r="T370" i="21"/>
  <c r="Q346" i="21"/>
  <c r="P331" i="21"/>
  <c r="S285" i="21"/>
  <c r="S264" i="21"/>
  <c r="Q318" i="21"/>
  <c r="Q248" i="21"/>
  <c r="S250" i="21"/>
  <c r="R270" i="21"/>
  <c r="S222" i="21"/>
  <c r="T237" i="21"/>
  <c r="P289" i="21"/>
  <c r="S320" i="21"/>
  <c r="P338" i="21"/>
  <c r="Q255" i="21"/>
  <c r="S355" i="21"/>
  <c r="T356" i="21"/>
  <c r="P282" i="21"/>
  <c r="R235" i="21"/>
  <c r="T251" i="21"/>
  <c r="P268" i="21"/>
  <c r="R368" i="21"/>
  <c r="Q234" i="21"/>
  <c r="R333" i="21"/>
  <c r="R354" i="21"/>
  <c r="P366" i="21"/>
  <c r="T321" i="21"/>
  <c r="Q332" i="21"/>
  <c r="P205" i="21"/>
  <c r="S271" i="21"/>
  <c r="Q283" i="21"/>
  <c r="P233" i="21"/>
  <c r="S292" i="21"/>
  <c r="R249" i="21"/>
  <c r="S362" i="21"/>
  <c r="R305" i="21"/>
  <c r="Q269" i="21"/>
  <c r="S278" i="21"/>
  <c r="Q290" i="21"/>
  <c r="R319" i="21"/>
  <c r="P317" i="21"/>
  <c r="Q353" i="21"/>
  <c r="Q304" i="21"/>
  <c r="P310" i="21"/>
  <c r="P303" i="21"/>
  <c r="T272" i="21"/>
  <c r="P247" i="21"/>
  <c r="S341" i="21"/>
  <c r="T258" i="21"/>
  <c r="S208" i="21"/>
  <c r="R291" i="21"/>
  <c r="S229" i="21"/>
  <c r="Q360" i="21"/>
  <c r="S306" i="21"/>
  <c r="P311" i="21"/>
  <c r="Q291" i="21"/>
  <c r="R292" i="21"/>
  <c r="S293" i="21"/>
  <c r="R208" i="21"/>
  <c r="S230" i="21"/>
  <c r="P290" i="21"/>
  <c r="S209" i="21"/>
  <c r="Q228" i="21"/>
  <c r="Q207" i="21"/>
  <c r="S314" i="21"/>
  <c r="Q312" i="21"/>
  <c r="P227" i="21"/>
  <c r="R229" i="21"/>
  <c r="R313" i="21"/>
  <c r="P206" i="21"/>
  <c r="P255" i="21"/>
  <c r="S279" i="21"/>
  <c r="S356" i="21"/>
  <c r="R348" i="21"/>
  <c r="R362" i="21"/>
  <c r="Q270" i="21"/>
  <c r="R264" i="21"/>
  <c r="P367" i="21"/>
  <c r="R306" i="21"/>
  <c r="R355" i="21"/>
  <c r="P269" i="21"/>
  <c r="S349" i="21"/>
  <c r="S370" i="21"/>
  <c r="P297" i="21"/>
  <c r="Q326" i="21"/>
  <c r="R341" i="21"/>
  <c r="Q277" i="21"/>
  <c r="Q354" i="21"/>
  <c r="S342" i="21"/>
  <c r="S216" i="21"/>
  <c r="Q263" i="21"/>
  <c r="Q284" i="21"/>
  <c r="R299" i="21"/>
  <c r="Q305" i="21"/>
  <c r="P353" i="21"/>
  <c r="S258" i="21"/>
  <c r="P262" i="21"/>
  <c r="S286" i="21"/>
  <c r="P276" i="21"/>
  <c r="R271" i="21"/>
  <c r="R369" i="21"/>
  <c r="Q340" i="21"/>
  <c r="R257" i="21"/>
  <c r="S223" i="21"/>
  <c r="Q256" i="21"/>
  <c r="S321" i="21"/>
  <c r="S363" i="21"/>
  <c r="P339" i="21"/>
  <c r="Q347" i="21"/>
  <c r="Q368" i="21"/>
  <c r="P332" i="21"/>
  <c r="P304" i="21"/>
  <c r="R215" i="21"/>
  <c r="S272" i="21"/>
  <c r="Q242" i="21"/>
  <c r="P346" i="21"/>
  <c r="R285" i="21"/>
  <c r="Q249" i="21"/>
  <c r="R222" i="21"/>
  <c r="Q298" i="21"/>
  <c r="P325" i="21"/>
  <c r="S265" i="21"/>
  <c r="P283" i="21"/>
  <c r="Q333" i="21"/>
  <c r="S307" i="21"/>
  <c r="S300" i="21"/>
  <c r="R327" i="21"/>
  <c r="P248" i="21"/>
  <c r="R236" i="21"/>
  <c r="S237" i="21"/>
  <c r="Q361" i="21"/>
  <c r="S328" i="21"/>
  <c r="S251" i="21"/>
  <c r="Q221" i="21"/>
  <c r="Q214" i="21"/>
  <c r="R243" i="21"/>
  <c r="R250" i="21"/>
  <c r="P220" i="21"/>
  <c r="P213" i="21"/>
  <c r="P241" i="21"/>
  <c r="S335" i="21"/>
  <c r="Q319" i="21"/>
  <c r="S244" i="21"/>
  <c r="R334" i="21"/>
  <c r="Q235" i="21"/>
  <c r="R278" i="21"/>
  <c r="P318" i="21"/>
  <c r="P234" i="21"/>
  <c r="P360" i="21"/>
  <c r="R320" i="21"/>
  <c r="O50" i="21"/>
  <c r="R247" i="21"/>
  <c r="P245" i="21"/>
  <c r="V349" i="21"/>
  <c r="U264" i="21"/>
  <c r="P329" i="21"/>
  <c r="V335" i="21"/>
  <c r="Q246" i="21"/>
  <c r="Q260" i="21"/>
  <c r="P259" i="21"/>
  <c r="R345" i="21"/>
  <c r="Q330" i="21"/>
  <c r="S332" i="21"/>
  <c r="Q344" i="21"/>
  <c r="R261" i="21"/>
  <c r="P343" i="21"/>
  <c r="T347" i="21"/>
  <c r="T249" i="21"/>
  <c r="R331" i="21"/>
  <c r="U348" i="21"/>
  <c r="S248" i="21"/>
  <c r="V265" i="21"/>
  <c r="U334" i="21"/>
  <c r="T263" i="21"/>
  <c r="V251" i="21"/>
  <c r="S262" i="21"/>
  <c r="T333" i="21"/>
  <c r="S346" i="21"/>
  <c r="U250" i="21"/>
  <c r="P217" i="21"/>
  <c r="S213" i="21"/>
  <c r="P308" i="21"/>
  <c r="S283" i="21"/>
  <c r="R268" i="21"/>
  <c r="V328" i="21"/>
  <c r="R317" i="21"/>
  <c r="R254" i="21"/>
  <c r="V307" i="21"/>
  <c r="V216" i="21"/>
  <c r="V237" i="21"/>
  <c r="T221" i="21"/>
  <c r="Q295" i="21"/>
  <c r="V209" i="21"/>
  <c r="V279" i="21"/>
  <c r="U271" i="21"/>
  <c r="S304" i="21"/>
  <c r="T270" i="21"/>
  <c r="P301" i="21"/>
  <c r="S360" i="21"/>
  <c r="S255" i="21"/>
  <c r="P322" i="21"/>
  <c r="U229" i="21"/>
  <c r="U327" i="21"/>
  <c r="V223" i="21"/>
  <c r="V300" i="21"/>
  <c r="Q225" i="21"/>
  <c r="R282" i="21"/>
  <c r="P266" i="21"/>
  <c r="P231" i="21"/>
  <c r="U341" i="21"/>
  <c r="R338" i="21"/>
  <c r="P203" i="21"/>
  <c r="P273" i="21"/>
  <c r="P336" i="21"/>
  <c r="S290" i="21"/>
  <c r="V356" i="21"/>
  <c r="R296" i="21"/>
  <c r="T361" i="21"/>
  <c r="T284" i="21"/>
  <c r="V272" i="21"/>
  <c r="S234" i="21"/>
  <c r="R303" i="21"/>
  <c r="T214" i="21"/>
  <c r="Q281" i="21"/>
  <c r="Q302" i="21"/>
  <c r="U299" i="21"/>
  <c r="U208" i="21"/>
  <c r="Q274" i="21"/>
  <c r="S353" i="21"/>
  <c r="Q316" i="21"/>
  <c r="U257" i="21"/>
  <c r="U292" i="21"/>
  <c r="U362" i="21"/>
  <c r="T354" i="21"/>
  <c r="S339" i="21"/>
  <c r="S220" i="21"/>
  <c r="R219" i="21"/>
  <c r="Q288" i="21"/>
  <c r="T277" i="21"/>
  <c r="R324" i="21"/>
  <c r="V258" i="21"/>
  <c r="P287" i="21"/>
  <c r="S311" i="21"/>
  <c r="U278" i="21"/>
  <c r="U369" i="21"/>
  <c r="S241" i="21"/>
  <c r="T256" i="21"/>
  <c r="T207" i="21"/>
  <c r="T228" i="21"/>
  <c r="S276" i="21"/>
  <c r="P280" i="21"/>
  <c r="S325" i="21"/>
  <c r="T340" i="21"/>
  <c r="R275" i="21"/>
  <c r="V370" i="21"/>
  <c r="P350" i="21"/>
  <c r="T305" i="21"/>
  <c r="S297" i="21"/>
  <c r="R205" i="21"/>
  <c r="V363" i="21"/>
  <c r="Q267" i="21"/>
  <c r="P315" i="21"/>
  <c r="U222" i="21"/>
  <c r="Q204" i="21"/>
  <c r="P364" i="21"/>
  <c r="U355" i="21"/>
  <c r="V293" i="21"/>
  <c r="Q309" i="21"/>
  <c r="Q358" i="21"/>
  <c r="T368" i="21"/>
  <c r="U243" i="21"/>
  <c r="S318" i="21"/>
  <c r="Q253" i="21"/>
  <c r="P210" i="21"/>
  <c r="T291" i="21"/>
  <c r="V314" i="21"/>
  <c r="P357" i="21"/>
  <c r="U285" i="21"/>
  <c r="Q323" i="21"/>
  <c r="T235" i="21"/>
  <c r="P252" i="21"/>
  <c r="T298" i="21"/>
  <c r="R289" i="21"/>
  <c r="R226" i="21"/>
  <c r="R359" i="21"/>
  <c r="R366" i="21"/>
  <c r="R240" i="21"/>
  <c r="V321" i="21"/>
  <c r="U215" i="21"/>
  <c r="S206" i="21"/>
  <c r="P224" i="21"/>
  <c r="T242" i="21"/>
  <c r="R233" i="21"/>
  <c r="T312" i="21"/>
  <c r="S367" i="21"/>
  <c r="P238" i="21"/>
  <c r="R310" i="21"/>
  <c r="P294" i="21"/>
  <c r="Q232" i="21"/>
  <c r="U313" i="21"/>
  <c r="V230" i="21"/>
  <c r="S227" i="21"/>
  <c r="U306" i="21"/>
  <c r="S269" i="21"/>
  <c r="Q239" i="21"/>
  <c r="R212" i="21"/>
  <c r="Q365" i="21"/>
  <c r="V286" i="21"/>
  <c r="T319" i="21"/>
  <c r="Q351" i="21"/>
  <c r="T326" i="21"/>
  <c r="V244" i="21"/>
  <c r="U320" i="21"/>
  <c r="Q218" i="21"/>
  <c r="Q337" i="21"/>
  <c r="V342" i="21"/>
  <c r="Q211" i="21"/>
  <c r="U236" i="21"/>
  <c r="R352" i="21"/>
  <c r="O19" i="21"/>
  <c r="N26" i="21"/>
  <c r="O47" i="21"/>
  <c r="O27" i="21"/>
  <c r="N42" i="21"/>
  <c r="N18" i="21"/>
  <c r="N38" i="21"/>
  <c r="N46" i="21"/>
  <c r="N22" i="21"/>
  <c r="O51" i="21"/>
  <c r="O31" i="21"/>
  <c r="O23" i="21"/>
  <c r="N30" i="21"/>
  <c r="O38" i="21"/>
  <c r="O34" i="21"/>
  <c r="O80" i="21"/>
  <c r="O86" i="21"/>
  <c r="O77" i="21" s="1"/>
  <c r="O79" i="21"/>
  <c r="O85" i="21"/>
  <c r="O76" i="21" s="1"/>
  <c r="Q79" i="13"/>
  <c r="R79" i="13" s="1"/>
  <c r="S79" i="13" s="1"/>
  <c r="T79" i="13" s="1"/>
  <c r="U79" i="13" s="1"/>
  <c r="V79" i="13" s="1"/>
  <c r="Q80" i="13"/>
  <c r="R80" i="13" s="1"/>
  <c r="S80" i="13" s="1"/>
  <c r="T80" i="13" s="1"/>
  <c r="U80" i="13" s="1"/>
  <c r="V80" i="13" s="1"/>
  <c r="M79" i="21"/>
  <c r="M85" i="21"/>
  <c r="M76" i="21" s="1"/>
  <c r="N79" i="21"/>
  <c r="N85" i="21"/>
  <c r="N76" i="21" s="1"/>
  <c r="O81" i="21"/>
  <c r="O87" i="21"/>
  <c r="O78" i="21" s="1"/>
  <c r="N80" i="21"/>
  <c r="N86" i="21"/>
  <c r="N77" i="21" s="1"/>
  <c r="M19" i="21"/>
  <c r="N32" i="21"/>
  <c r="O33" i="21"/>
  <c r="O49" i="21"/>
  <c r="M27" i="21"/>
  <c r="N28" i="21"/>
  <c r="N48" i="21"/>
  <c r="O29" i="21"/>
  <c r="M31" i="21"/>
  <c r="M47" i="21"/>
  <c r="M39" i="21"/>
  <c r="O41" i="21"/>
  <c r="N20" i="21"/>
  <c r="N40" i="21"/>
  <c r="O21" i="21"/>
  <c r="O37" i="21"/>
  <c r="O45" i="21"/>
  <c r="N52" i="21"/>
  <c r="M23" i="21"/>
  <c r="N24" i="21"/>
  <c r="M43" i="21"/>
  <c r="O25" i="21"/>
  <c r="N44" i="21"/>
  <c r="M51" i="21"/>
  <c r="O53" i="21"/>
  <c r="N36" i="21"/>
  <c r="M35" i="21"/>
  <c r="Q76" i="13"/>
  <c r="R76" i="13" s="1"/>
  <c r="S76" i="13" s="1"/>
  <c r="T76" i="13" s="1"/>
  <c r="U76" i="13" s="1"/>
  <c r="V76" i="13" s="1"/>
  <c r="M78" i="13"/>
  <c r="M77" i="13"/>
  <c r="M76" i="13"/>
  <c r="Q71" i="13"/>
  <c r="Q75" i="13"/>
  <c r="Q72" i="13"/>
  <c r="P476" i="21" l="1"/>
  <c r="P588" i="21"/>
  <c r="U594" i="21"/>
  <c r="U482" i="21"/>
  <c r="T593" i="21"/>
  <c r="T481" i="21"/>
  <c r="Q590" i="21"/>
  <c r="Q478" i="21"/>
  <c r="U593" i="21"/>
  <c r="U481" i="21"/>
  <c r="Q591" i="21"/>
  <c r="Q479" i="21"/>
  <c r="S481" i="21"/>
  <c r="S593" i="21"/>
  <c r="P590" i="21"/>
  <c r="P478" i="21"/>
  <c r="V594" i="21"/>
  <c r="V482" i="21"/>
  <c r="S591" i="21"/>
  <c r="S479" i="21"/>
  <c r="P589" i="21"/>
  <c r="P477" i="21"/>
  <c r="R590" i="21"/>
  <c r="R478" i="21"/>
  <c r="S480" i="21"/>
  <c r="S592" i="21"/>
  <c r="R591" i="21"/>
  <c r="R479" i="21"/>
  <c r="T592" i="21"/>
  <c r="T480" i="21"/>
  <c r="T594" i="21"/>
  <c r="T482" i="21"/>
  <c r="Q589" i="21"/>
  <c r="Q477" i="21"/>
  <c r="R592" i="21"/>
  <c r="R480" i="21"/>
  <c r="BC24" i="20"/>
  <c r="BB23" i="20"/>
  <c r="BB22" i="20"/>
  <c r="N92" i="21"/>
  <c r="N71" i="21"/>
  <c r="O72" i="21"/>
  <c r="O93" i="21"/>
  <c r="O91" i="21"/>
  <c r="O70" i="21"/>
  <c r="M91" i="21"/>
  <c r="M70" i="21"/>
  <c r="N91" i="21"/>
  <c r="N70" i="21"/>
  <c r="O92" i="21"/>
  <c r="O71" i="21"/>
  <c r="P78" i="13"/>
  <c r="Q78" i="13"/>
  <c r="R78" i="13"/>
  <c r="S78" i="13"/>
  <c r="T78" i="13"/>
  <c r="U78" i="13"/>
  <c r="V78" i="13"/>
  <c r="Q74" i="13"/>
  <c r="P74" i="13"/>
  <c r="Q70" i="13"/>
  <c r="P70" i="13"/>
  <c r="R75" i="13"/>
  <c r="R74" i="13" s="1"/>
  <c r="R71" i="13"/>
  <c r="R72" i="13"/>
  <c r="S75" i="13"/>
  <c r="S74" i="13" s="1"/>
  <c r="R70" i="13" l="1"/>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G16" i="12"/>
  <c r="Y91" i="13" l="1"/>
  <c r="X91" i="13"/>
  <c r="DK49" i="16" s="1"/>
  <c r="W91" i="13"/>
  <c r="DJ49" i="16" s="1"/>
  <c r="Y90" i="13"/>
  <c r="DL48" i="16" s="1"/>
  <c r="X90" i="13"/>
  <c r="DK48" i="16" s="1"/>
  <c r="W90" i="13"/>
  <c r="DJ48" i="16" s="1"/>
  <c r="V90" i="13"/>
  <c r="DI48" i="16" s="1"/>
  <c r="U90" i="13"/>
  <c r="DH48" i="16" s="1"/>
  <c r="T90" i="13"/>
  <c r="S90" i="13"/>
  <c r="R90" i="13"/>
  <c r="Q90" i="13"/>
  <c r="P90" i="13"/>
  <c r="Y86" i="13"/>
  <c r="V86" i="13"/>
  <c r="X86" i="13"/>
  <c r="W86" i="13"/>
  <c r="S86" i="13"/>
  <c r="T86" i="13"/>
  <c r="U86" i="13"/>
  <c r="DH51" i="16" s="1"/>
  <c r="Q86" i="13"/>
  <c r="R86" i="13"/>
  <c r="P86" i="13"/>
  <c r="G86" i="13"/>
  <c r="L86" i="13" s="1"/>
  <c r="E86" i="13"/>
  <c r="D86" i="13"/>
  <c r="C86" i="13"/>
  <c r="B86" i="13"/>
  <c r="DV48" i="16" l="1"/>
  <c r="AG110" i="16" s="1"/>
  <c r="DS48" i="16"/>
  <c r="DU48" i="16"/>
  <c r="AF110" i="16" s="1"/>
  <c r="DT49" i="16"/>
  <c r="DT48" i="16"/>
  <c r="AE110" i="16" s="1"/>
  <c r="AE111" i="16" s="1"/>
  <c r="DU49" i="16"/>
  <c r="DR48" i="16"/>
  <c r="AC110" i="16" s="1"/>
  <c r="AJ110" i="16" s="1"/>
  <c r="AD110" i="16"/>
  <c r="AF111" i="16"/>
  <c r="Z90" i="13"/>
  <c r="DM48" i="16" s="1"/>
  <c r="DW48" i="16" s="1"/>
  <c r="AH110" i="16" s="1"/>
  <c r="X88" i="13"/>
  <c r="DK53" i="16" s="1"/>
  <c r="X87" i="13"/>
  <c r="DK52" i="16" s="1"/>
  <c r="DK51" i="16"/>
  <c r="DU51" i="16" s="1"/>
  <c r="AF112" i="16" s="1"/>
  <c r="W88" i="13"/>
  <c r="DJ53" i="16" s="1"/>
  <c r="DJ51" i="16"/>
  <c r="DT51" i="16" s="1"/>
  <c r="AE112" i="16" s="1"/>
  <c r="W87" i="13"/>
  <c r="DJ52" i="16" s="1"/>
  <c r="DI51" i="16"/>
  <c r="DS51" i="16" s="1"/>
  <c r="V88" i="13"/>
  <c r="DI53" i="16" s="1"/>
  <c r="Y88" i="13"/>
  <c r="DL53" i="16" s="1"/>
  <c r="Y87" i="13"/>
  <c r="DL52" i="16" s="1"/>
  <c r="DL51" i="16"/>
  <c r="DV51" i="16" s="1"/>
  <c r="AG112" i="16" s="1"/>
  <c r="Z86" i="13"/>
  <c r="DL49" i="16"/>
  <c r="DV49" i="16" s="1"/>
  <c r="AG111" i="16" s="1"/>
  <c r="Z91" i="13"/>
  <c r="AA90" i="13"/>
  <c r="DN48" i="16" s="1"/>
  <c r="DX48" i="16" s="1"/>
  <c r="AI110" i="16" s="1"/>
  <c r="F86" i="13"/>
  <c r="DV52" i="16" l="1"/>
  <c r="DS53" i="16"/>
  <c r="DU53" i="16"/>
  <c r="DT53" i="16"/>
  <c r="DU52" i="16"/>
  <c r="DV53" i="16"/>
  <c r="AG114" i="16"/>
  <c r="AG113" i="16"/>
  <c r="DR51" i="16"/>
  <c r="AC112" i="16" s="1"/>
  <c r="AJ112" i="16" s="1"/>
  <c r="AD112" i="16"/>
  <c r="AD114" i="16" s="1"/>
  <c r="DT52" i="16"/>
  <c r="AE114" i="16"/>
  <c r="AE113" i="16"/>
  <c r="AF114" i="16"/>
  <c r="AF113" i="16"/>
  <c r="AA91" i="13"/>
  <c r="DN49" i="16" s="1"/>
  <c r="DX49" i="16" s="1"/>
  <c r="AI111" i="16" s="1"/>
  <c r="DM49" i="16"/>
  <c r="DW49" i="16" s="1"/>
  <c r="AH111" i="16" s="1"/>
  <c r="DM51" i="16"/>
  <c r="DW51" i="16" s="1"/>
  <c r="AH112" i="16" s="1"/>
  <c r="Z88" i="13"/>
  <c r="DM53" i="16" s="1"/>
  <c r="AA86" i="13"/>
  <c r="Z87" i="13"/>
  <c r="DM52" i="16" s="1"/>
  <c r="DO48" i="16"/>
  <c r="DH41" i="16"/>
  <c r="DH40" i="16"/>
  <c r="DH37" i="16"/>
  <c r="DH36" i="16"/>
  <c r="DH35" i="16"/>
  <c r="AC106"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2" i="24"/>
  <c r="BK8" i="24"/>
  <c r="BX12" i="24"/>
  <c r="BW12" i="24"/>
  <c r="BV12" i="24"/>
  <c r="BU12" i="24"/>
  <c r="BT12" i="24"/>
  <c r="BS12" i="24"/>
  <c r="BR12" i="24"/>
  <c r="BQ12" i="24"/>
  <c r="BP12" i="24"/>
  <c r="BO12" i="24"/>
  <c r="BN12" i="24"/>
  <c r="BM12" i="24"/>
  <c r="BL12" i="24"/>
  <c r="J27" i="13"/>
  <c r="J17" i="13"/>
  <c r="J7" i="13"/>
  <c r="DW52" i="16" l="1"/>
  <c r="DW53" i="16"/>
  <c r="AH114" i="16"/>
  <c r="AH113" i="16"/>
  <c r="AA88" i="13"/>
  <c r="DN53" i="16" s="1"/>
  <c r="AA87" i="13"/>
  <c r="DN52" i="16" s="1"/>
  <c r="DN51" i="16"/>
  <c r="DX51" i="16" s="1"/>
  <c r="AI112" i="16" s="1"/>
  <c r="DO49" i="16"/>
  <c r="AF107" i="16"/>
  <c r="AE107" i="16"/>
  <c r="AD107" i="16"/>
  <c r="AI107" i="16"/>
  <c r="AH107" i="16"/>
  <c r="AG107" i="16"/>
  <c r="AC107" i="16"/>
  <c r="AE106" i="16"/>
  <c r="AH106" i="16"/>
  <c r="AI106" i="16"/>
  <c r="AG106" i="16"/>
  <c r="AF106" i="16"/>
  <c r="AD106" i="16"/>
  <c r="AJ106" i="16"/>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AC108" i="16" l="1"/>
  <c r="AD108" i="16" s="1"/>
  <c r="DX52" i="16"/>
  <c r="AI113" i="16"/>
  <c r="DX53" i="16"/>
  <c r="AI114" i="16" s="1"/>
  <c r="AC109" i="16"/>
  <c r="AJ108" i="16"/>
  <c r="DO51" i="16"/>
  <c r="DO52" i="16"/>
  <c r="DO53" i="16"/>
  <c r="Z19" i="24"/>
  <c r="Y19" i="24"/>
  <c r="X19" i="24"/>
  <c r="W19" i="24"/>
  <c r="V19" i="24"/>
  <c r="P16" i="24"/>
  <c r="O16" i="24"/>
  <c r="N16" i="24"/>
  <c r="M16" i="24"/>
  <c r="L16" i="24"/>
  <c r="P15" i="24"/>
  <c r="O15" i="24"/>
  <c r="N15" i="24"/>
  <c r="M15" i="24"/>
  <c r="L15" i="24"/>
  <c r="AE108" i="16" l="1"/>
  <c r="AD109" i="16"/>
  <c r="BC25" i="24"/>
  <c r="BC26" i="24" s="1"/>
  <c r="BB25" i="24"/>
  <c r="BB26" i="24" s="1"/>
  <c r="BA25" i="24"/>
  <c r="AZ25" i="24"/>
  <c r="AZ26" i="24" s="1"/>
  <c r="AY25" i="24"/>
  <c r="AY27" i="24" s="1"/>
  <c r="BC19" i="24"/>
  <c r="BC21" i="24" s="1"/>
  <c r="BB19" i="24"/>
  <c r="BA19" i="24"/>
  <c r="BA20" i="24" s="1"/>
  <c r="AZ19" i="24"/>
  <c r="AZ22" i="24" s="1"/>
  <c r="AY19" i="24"/>
  <c r="AY20" i="24" s="1"/>
  <c r="AX19" i="24"/>
  <c r="AX20" i="24" s="1"/>
  <c r="AW19" i="24"/>
  <c r="AW22" i="24" s="1"/>
  <c r="AV19" i="24"/>
  <c r="AV23" i="24" s="1"/>
  <c r="AU19" i="24"/>
  <c r="AU22" i="24" s="1"/>
  <c r="AT19" i="24"/>
  <c r="AT24" i="24" s="1"/>
  <c r="AS19"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BA3" i="24"/>
  <c r="BA4" i="24" s="1"/>
  <c r="AZ3" i="24"/>
  <c r="AZ4" i="24" s="1"/>
  <c r="AY3" i="24"/>
  <c r="AY4" i="24" s="1"/>
  <c r="AX3" i="24"/>
  <c r="AX4" i="24" s="1"/>
  <c r="AW3" i="24"/>
  <c r="AW4" i="24" s="1"/>
  <c r="AV3" i="24"/>
  <c r="AV4" i="24" s="1"/>
  <c r="AU3" i="24"/>
  <c r="AU5" i="24" s="1"/>
  <c r="AT3" i="24"/>
  <c r="AT5" i="24" s="1"/>
  <c r="AS3" i="24"/>
  <c r="AS7" i="24" s="1"/>
  <c r="AX18" i="24" l="1"/>
  <c r="AF108" i="16"/>
  <c r="AE109" i="16"/>
  <c r="AY18" i="24"/>
  <c r="AZ16" i="24"/>
  <c r="AZ14" i="24"/>
  <c r="AV33" i="24"/>
  <c r="AV15" i="24"/>
  <c r="AU24" i="24"/>
  <c r="AV14" i="24"/>
  <c r="AY5" i="24"/>
  <c r="AV11" i="24"/>
  <c r="BB6" i="24"/>
  <c r="AX15" i="24"/>
  <c r="AY15" i="24"/>
  <c r="BC30" i="24"/>
  <c r="AX5" i="24"/>
  <c r="AY8" i="24"/>
  <c r="AV5" i="24"/>
  <c r="AY6" i="24"/>
  <c r="AV24" i="24"/>
  <c r="AV16" i="24"/>
  <c r="AU33" i="24"/>
  <c r="AW14" i="24"/>
  <c r="AS11" i="24"/>
  <c r="AT11" i="24"/>
  <c r="BB34" i="24"/>
  <c r="AX6" i="24"/>
  <c r="AW15" i="24"/>
  <c r="AX11" i="24"/>
  <c r="AZ15" i="24"/>
  <c r="AZ8" i="24"/>
  <c r="BA8" i="24"/>
  <c r="BC10" i="24"/>
  <c r="AY26" i="24"/>
  <c r="AZ27" i="24"/>
  <c r="BB31" i="24"/>
  <c r="AV32" i="24"/>
  <c r="AY17" i="24"/>
  <c r="AV21" i="24"/>
  <c r="AS5" i="24"/>
  <c r="AZ30" i="24"/>
  <c r="AZ17" i="24"/>
  <c r="AU23" i="24"/>
  <c r="AV29" i="24"/>
  <c r="AU20" i="24"/>
  <c r="AV20" i="24"/>
  <c r="AW17" i="24"/>
  <c r="AV18" i="24"/>
  <c r="AV34" i="24"/>
  <c r="BC11" i="24"/>
  <c r="AU29" i="24"/>
  <c r="AU4" i="24"/>
  <c r="AS17" i="24"/>
  <c r="AU21" i="24"/>
  <c r="AW18" i="24"/>
  <c r="AX27" i="24"/>
  <c r="BA17" i="24"/>
  <c r="BA34" i="24"/>
  <c r="AW20" i="24"/>
  <c r="BC5" i="24"/>
  <c r="AZ35" i="24"/>
  <c r="AY33" i="24"/>
  <c r="AY23" i="24"/>
  <c r="AZ20" i="24"/>
  <c r="BB18" i="24"/>
  <c r="AV36" i="24"/>
  <c r="AV35" i="24"/>
  <c r="BB36" i="24"/>
  <c r="BC18" i="24"/>
  <c r="AY21" i="24"/>
  <c r="AY24" i="24"/>
  <c r="AU37" i="24"/>
  <c r="BA16" i="24"/>
  <c r="AX22" i="24"/>
  <c r="BB14" i="24"/>
  <c r="AW23" i="24"/>
  <c r="AU12" i="24"/>
  <c r="BA23" i="24"/>
  <c r="AT29" i="24"/>
  <c r="BB27" i="24"/>
  <c r="AV37" i="24"/>
  <c r="BA22" i="24"/>
  <c r="AZ34" i="24"/>
  <c r="BC14" i="24"/>
  <c r="AV12" i="24"/>
  <c r="AZ23" i="24"/>
  <c r="AU36" i="24"/>
  <c r="AX7" i="24"/>
  <c r="AZ21" i="24"/>
  <c r="AZ24" i="24"/>
  <c r="BA7" i="24"/>
  <c r="AV10" i="24"/>
  <c r="BA21" i="24"/>
  <c r="BA24" i="24"/>
  <c r="BC27" i="24"/>
  <c r="AU38" i="24"/>
  <c r="AY22" i="24"/>
  <c r="BA35" i="24"/>
  <c r="AU10" i="24"/>
  <c r="BA30" i="24"/>
  <c r="AV38" i="24"/>
  <c r="AW34" i="24"/>
  <c r="AX23" i="24"/>
  <c r="AU35" i="24"/>
  <c r="AY12" i="24"/>
  <c r="AS30" i="24"/>
  <c r="AU34" i="24"/>
  <c r="AX8" i="24"/>
  <c r="BB10" i="24"/>
  <c r="AY16" i="24"/>
  <c r="AV31" i="24"/>
  <c r="AV22" i="24"/>
  <c r="BB30" i="24"/>
  <c r="AS22" i="24"/>
  <c r="AS24" i="24"/>
  <c r="AS23" i="24"/>
  <c r="AS34" i="24"/>
  <c r="AS28" i="24"/>
  <c r="AS21" i="24"/>
  <c r="AS20" i="24"/>
  <c r="AS36" i="24"/>
  <c r="AW30" i="24"/>
  <c r="AW38" i="24"/>
  <c r="AW35" i="24"/>
  <c r="AW10" i="24"/>
  <c r="AW28" i="24"/>
  <c r="AW31" i="24"/>
  <c r="AW36" i="24"/>
  <c r="AW12" i="24"/>
  <c r="AW32" i="24"/>
  <c r="AW37" i="24"/>
  <c r="AW33" i="24"/>
  <c r="AW29" i="24"/>
  <c r="AT22" i="24"/>
  <c r="AT23" i="24"/>
  <c r="AT38" i="24"/>
  <c r="AT34" i="24"/>
  <c r="AT35" i="24"/>
  <c r="AT20" i="24"/>
  <c r="AT36" i="24"/>
  <c r="AT21" i="24"/>
  <c r="AT37" i="24"/>
  <c r="AX35" i="24"/>
  <c r="AX10" i="24"/>
  <c r="AX38" i="24"/>
  <c r="AX34" i="24"/>
  <c r="AX32" i="24"/>
  <c r="AX31" i="24"/>
  <c r="AX36" i="24"/>
  <c r="AX28" i="24"/>
  <c r="AX30" i="24"/>
  <c r="AX29" i="24"/>
  <c r="AX37" i="24"/>
  <c r="AX33" i="24"/>
  <c r="AZ36" i="24"/>
  <c r="AZ37" i="24"/>
  <c r="AZ11" i="24"/>
  <c r="AZ12" i="24"/>
  <c r="AZ28" i="24"/>
  <c r="AZ10" i="24"/>
  <c r="AV8" i="24"/>
  <c r="AV7" i="24"/>
  <c r="AZ31" i="24"/>
  <c r="AZ33" i="24"/>
  <c r="AT6" i="24"/>
  <c r="AT7" i="24"/>
  <c r="AT8" i="24"/>
  <c r="AT4" i="24"/>
  <c r="BA36" i="24"/>
  <c r="BA11" i="24"/>
  <c r="BA38" i="24"/>
  <c r="BA12" i="24"/>
  <c r="BA29" i="24"/>
  <c r="BA33" i="24"/>
  <c r="AU6" i="24"/>
  <c r="AU8" i="24"/>
  <c r="AU7" i="24"/>
  <c r="AY31" i="24"/>
  <c r="AW8" i="24"/>
  <c r="AW7" i="24"/>
  <c r="AW6" i="24"/>
  <c r="AW5" i="24"/>
  <c r="AS15" i="24"/>
  <c r="AS14" i="24"/>
  <c r="AS32" i="24"/>
  <c r="BB20" i="24"/>
  <c r="BB23" i="24"/>
  <c r="BB22" i="24"/>
  <c r="BB21" i="24"/>
  <c r="BB37" i="24"/>
  <c r="BB24" i="24"/>
  <c r="BB35" i="24"/>
  <c r="BA31" i="24"/>
  <c r="AY38" i="24"/>
  <c r="AY34" i="24"/>
  <c r="AY36" i="24"/>
  <c r="AY32" i="24"/>
  <c r="AY37" i="24"/>
  <c r="AY30" i="24"/>
  <c r="AY28" i="24"/>
  <c r="AY10" i="24"/>
  <c r="AU16" i="24"/>
  <c r="AU14" i="24"/>
  <c r="AU31" i="24"/>
  <c r="AU32" i="24"/>
  <c r="AU30" i="24"/>
  <c r="AU18" i="24"/>
  <c r="AU28" i="24"/>
  <c r="AZ29" i="24"/>
  <c r="BA6" i="24"/>
  <c r="BA5" i="24"/>
  <c r="BA37" i="24"/>
  <c r="BB8" i="24"/>
  <c r="BB5" i="24"/>
  <c r="BB4" i="24"/>
  <c r="AS18" i="24"/>
  <c r="AS8" i="24"/>
  <c r="AS4" i="24"/>
  <c r="AT16" i="24"/>
  <c r="AT15" i="24"/>
  <c r="AT14" i="24"/>
  <c r="AT18" i="24"/>
  <c r="AT32" i="24"/>
  <c r="AT30" i="24"/>
  <c r="BC22" i="24"/>
  <c r="BC34" i="24"/>
  <c r="BC35" i="24"/>
  <c r="BC24" i="24"/>
  <c r="BC37" i="24"/>
  <c r="BC23" i="24"/>
  <c r="AY29" i="24"/>
  <c r="BC8" i="24"/>
  <c r="BC4" i="24"/>
  <c r="BA26" i="24"/>
  <c r="BA27" i="24"/>
  <c r="AZ32" i="24"/>
  <c r="AT17" i="24"/>
  <c r="BC20" i="24"/>
  <c r="BA28" i="24"/>
  <c r="BA32" i="24"/>
  <c r="BB38" i="24"/>
  <c r="AS6" i="24"/>
  <c r="AS29" i="24"/>
  <c r="BB15" i="24"/>
  <c r="BB16" i="24"/>
  <c r="AU17" i="24"/>
  <c r="BB28" i="24"/>
  <c r="BB32" i="24"/>
  <c r="BC38" i="24"/>
  <c r="AY11" i="24"/>
  <c r="AT28" i="24"/>
  <c r="AZ38" i="24"/>
  <c r="BC7" i="24"/>
  <c r="AV6" i="24"/>
  <c r="BC29" i="24"/>
  <c r="BC32" i="24"/>
  <c r="BC16" i="24"/>
  <c r="BC15" i="24"/>
  <c r="BC28" i="24"/>
  <c r="AY35" i="24"/>
  <c r="BB33" i="24"/>
  <c r="BC12" i="24"/>
  <c r="BC31" i="24"/>
  <c r="BC33" i="24"/>
  <c r="BC36" i="24"/>
  <c r="AS38" i="24"/>
  <c r="AZ7" i="24"/>
  <c r="AZ5" i="24"/>
  <c r="BB29" i="24"/>
  <c r="BB12" i="24"/>
  <c r="AW21" i="24"/>
  <c r="AW24" i="24"/>
  <c r="AZ6" i="24"/>
  <c r="AX21" i="24"/>
  <c r="AX24" i="24"/>
  <c r="AX17" i="24"/>
  <c r="AX14" i="24"/>
  <c r="AS33" i="24"/>
  <c r="AS31" i="24"/>
  <c r="AS12" i="24"/>
  <c r="AT33" i="24"/>
  <c r="AT31" i="24"/>
  <c r="AT12" i="24"/>
  <c r="BA18" i="24"/>
  <c r="BA15" i="24"/>
  <c r="AS35" i="24"/>
  <c r="AS37" i="24"/>
  <c r="AV28" i="24"/>
  <c r="AV30" i="24"/>
  <c r="AY7" i="24"/>
  <c r="AG108" i="16" l="1"/>
  <c r="AF109" i="16"/>
  <c r="BD9" i="24"/>
  <c r="BD13" i="24"/>
  <c r="AX26" i="24"/>
  <c r="BD19" i="24"/>
  <c r="AW27" i="24"/>
  <c r="AQ29" i="24"/>
  <c r="AP29" i="24"/>
  <c r="AR29" i="24"/>
  <c r="AM29" i="24"/>
  <c r="AO29" i="24"/>
  <c r="AN29" i="24"/>
  <c r="BD28" i="24"/>
  <c r="AN35" i="24"/>
  <c r="AM35" i="24"/>
  <c r="AR35" i="24"/>
  <c r="AQ35" i="24"/>
  <c r="AP35" i="24"/>
  <c r="AO35" i="24"/>
  <c r="AO4" i="24"/>
  <c r="AR4" i="24"/>
  <c r="BD3" i="24"/>
  <c r="AQ4" i="24"/>
  <c r="AP4" i="24"/>
  <c r="AH108" i="16" l="1"/>
  <c r="AG109" i="16"/>
  <c r="AW26" i="24"/>
  <c r="AV27" i="24"/>
  <c r="AR36" i="24"/>
  <c r="AM36" i="24"/>
  <c r="AN36" i="24"/>
  <c r="AP36" i="24"/>
  <c r="AQ36" i="24"/>
  <c r="AN30" i="24"/>
  <c r="AO30" i="24"/>
  <c r="AR30" i="24"/>
  <c r="AQ5" i="24"/>
  <c r="AP30" i="24"/>
  <c r="AQ30" i="24"/>
  <c r="AO5" i="24"/>
  <c r="AO36" i="24"/>
  <c r="AP5" i="24"/>
  <c r="AM30" i="24"/>
  <c r="AR5" i="24"/>
  <c r="AI108" i="16" l="1"/>
  <c r="AI109" i="16" s="1"/>
  <c r="AH109" i="16"/>
  <c r="AV26" i="24"/>
  <c r="AU27" i="24"/>
  <c r="AU26" i="24" l="1"/>
  <c r="AT27" i="24"/>
  <c r="AT26" i="24" l="1"/>
  <c r="AS27" i="24"/>
  <c r="AS26" i="24" l="1"/>
  <c r="AR27" i="24"/>
  <c r="BD25" i="24"/>
  <c r="AR26" i="24" l="1"/>
  <c r="AQ27" i="24"/>
  <c r="AQ26" i="24" l="1"/>
  <c r="AP27" i="24"/>
  <c r="AP26" i="24" l="1"/>
  <c r="AO27" i="24"/>
  <c r="AO26" i="24" l="1"/>
  <c r="AN27" i="24"/>
  <c r="AN26" i="24" l="1"/>
  <c r="AM27" i="24"/>
  <c r="AM26" i="24"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Q60" i="20" s="1" a="1"/>
  <c r="AQ60" i="20" s="1"/>
  <c r="P69" i="20" s="1"/>
  <c r="AV631" i="23"/>
  <c r="AW631" i="23" s="1"/>
  <c r="AS631" i="23"/>
  <c r="AQ59" i="20" s="1" a="1"/>
  <c r="AQ59" i="20" s="1"/>
  <c r="P68" i="20" s="1"/>
  <c r="P74" i="20" s="1"/>
  <c r="AV630" i="23"/>
  <c r="AW630" i="23" s="1"/>
  <c r="AS630" i="23"/>
  <c r="AQ58" i="20" s="1" a="1"/>
  <c r="AQ58" i="20" s="1"/>
  <c r="P67" i="20" s="1"/>
  <c r="P73" i="20" s="1"/>
  <c r="AV629" i="23"/>
  <c r="AW629" i="23" s="1"/>
  <c r="AS629" i="23"/>
  <c r="AQ57" i="20" s="1" a="1"/>
  <c r="AQ57" i="20" s="1"/>
  <c r="P66" i="20" s="1"/>
  <c r="AV628" i="23"/>
  <c r="AW628" i="23" s="1"/>
  <c r="AS628" i="23"/>
  <c r="AQ56" i="20" s="1" a="1"/>
  <c r="AQ56" i="20" s="1"/>
  <c r="P65" i="20" s="1"/>
  <c r="P72" i="20" s="1"/>
  <c r="AV627" i="23"/>
  <c r="AW627" i="23" s="1"/>
  <c r="AS627" i="23"/>
  <c r="AQ55" i="20" s="1" a="1"/>
  <c r="AQ55" i="20" s="1"/>
  <c r="P63" i="20" s="1"/>
  <c r="P71" i="20" s="1"/>
  <c r="AV626" i="23"/>
  <c r="AW626" i="23" s="1"/>
  <c r="AS626" i="23"/>
  <c r="AN60" i="20" s="1" a="1"/>
  <c r="AN60" i="20" s="1"/>
  <c r="M69" i="20" s="1"/>
  <c r="AV625" i="23"/>
  <c r="AW625" i="23" s="1"/>
  <c r="AS625" i="23"/>
  <c r="AN59" i="20" s="1" a="1"/>
  <c r="AN59" i="20" s="1"/>
  <c r="M68" i="20" s="1"/>
  <c r="M74" i="20" s="1"/>
  <c r="AV624" i="23"/>
  <c r="AW624" i="23" s="1"/>
  <c r="AS624" i="23"/>
  <c r="AN58" i="20" s="1" a="1"/>
  <c r="AN58" i="20" s="1"/>
  <c r="M67" i="20" s="1"/>
  <c r="M73" i="20" s="1"/>
  <c r="AV623" i="23"/>
  <c r="AW623" i="23" s="1"/>
  <c r="AS623" i="23"/>
  <c r="AN57" i="20" s="1" a="1"/>
  <c r="AN57" i="20" s="1"/>
  <c r="M66" i="20" s="1"/>
  <c r="AV622" i="23"/>
  <c r="AW622" i="23" s="1"/>
  <c r="AS622" i="23"/>
  <c r="AN56" i="20" s="1" a="1"/>
  <c r="AN56" i="20" s="1"/>
  <c r="M65" i="20" s="1"/>
  <c r="M72" i="20" s="1"/>
  <c r="AV621" i="23"/>
  <c r="AW621" i="23" s="1"/>
  <c r="AS621" i="23"/>
  <c r="AN55" i="20" s="1" a="1"/>
  <c r="AN55" i="20" s="1"/>
  <c r="M63" i="20" s="1"/>
  <c r="M71" i="20" s="1"/>
  <c r="AV620" i="23"/>
  <c r="AW620" i="23" s="1"/>
  <c r="AS620" i="23"/>
  <c r="AM60" i="20" s="1" a="1"/>
  <c r="AM60" i="20" s="1"/>
  <c r="L69" i="20" s="1"/>
  <c r="AV619" i="23"/>
  <c r="AW619" i="23" s="1"/>
  <c r="AS619" i="23"/>
  <c r="AM59" i="20" s="1" a="1"/>
  <c r="AM59" i="20" s="1"/>
  <c r="L68" i="20" s="1"/>
  <c r="L74" i="20" s="1"/>
  <c r="AV618" i="23"/>
  <c r="AW618" i="23" s="1"/>
  <c r="AS618" i="23"/>
  <c r="AM58" i="20" s="1" a="1"/>
  <c r="AM58" i="20" s="1"/>
  <c r="L67" i="20" s="1"/>
  <c r="L73" i="20" s="1"/>
  <c r="AV617" i="23"/>
  <c r="AW617" i="23" s="1"/>
  <c r="AS617" i="23"/>
  <c r="AM57" i="20" s="1" a="1"/>
  <c r="AM57" i="20" s="1"/>
  <c r="L66" i="20" s="1"/>
  <c r="AV616" i="23"/>
  <c r="AW616" i="23" s="1"/>
  <c r="AS616" i="23"/>
  <c r="AM56" i="20" s="1" a="1"/>
  <c r="AM56" i="20" s="1"/>
  <c r="L65" i="20" s="1"/>
  <c r="L72" i="20" s="1"/>
  <c r="AV615" i="23"/>
  <c r="AW615" i="23" s="1"/>
  <c r="AS615" i="23"/>
  <c r="AM55" i="20" s="1" a="1"/>
  <c r="AM55" i="20" s="1"/>
  <c r="L63" i="20" s="1"/>
  <c r="L71" i="20" s="1"/>
  <c r="AV614" i="23"/>
  <c r="AW614" i="23" s="1"/>
  <c r="AS614" i="23"/>
  <c r="AL60" i="20" s="1" a="1"/>
  <c r="AL60" i="20" s="1"/>
  <c r="K69" i="20" s="1"/>
  <c r="AV613" i="23"/>
  <c r="AW613" i="23" s="1"/>
  <c r="AS613" i="23"/>
  <c r="AL59" i="20" s="1" a="1"/>
  <c r="AL59" i="20" s="1"/>
  <c r="K68" i="20" s="1"/>
  <c r="K74" i="20" s="1"/>
  <c r="AV612" i="23"/>
  <c r="AW612" i="23" s="1"/>
  <c r="AS612" i="23"/>
  <c r="AL58" i="20" s="1" a="1"/>
  <c r="AL58" i="20" s="1"/>
  <c r="K67" i="20" s="1"/>
  <c r="K73" i="20" s="1"/>
  <c r="AV611" i="23"/>
  <c r="AW611" i="23" s="1"/>
  <c r="AS611" i="23"/>
  <c r="AL57" i="20" s="1" a="1"/>
  <c r="AL57" i="20" s="1"/>
  <c r="K66" i="20" s="1"/>
  <c r="AV610" i="23"/>
  <c r="AW610" i="23" s="1"/>
  <c r="AS610" i="23"/>
  <c r="AL56" i="20" s="1" a="1"/>
  <c r="AL56" i="20" s="1"/>
  <c r="K65" i="20" s="1"/>
  <c r="K72" i="20" s="1"/>
  <c r="AV609" i="23"/>
  <c r="AW609" i="23" s="1"/>
  <c r="AS609" i="23"/>
  <c r="AL55" i="20" s="1" a="1"/>
  <c r="AL55" i="20" s="1"/>
  <c r="K63" i="20" s="1"/>
  <c r="K71" i="20" s="1"/>
  <c r="AV608" i="23"/>
  <c r="AW608" i="23" s="1"/>
  <c r="AS608" i="23"/>
  <c r="AK60" i="20" s="1" a="1"/>
  <c r="AK60" i="20" s="1"/>
  <c r="J69" i="20" s="1"/>
  <c r="AV607" i="23"/>
  <c r="AW607" i="23" s="1"/>
  <c r="AS607" i="23"/>
  <c r="AK59" i="20" s="1" a="1"/>
  <c r="AK59" i="20" s="1"/>
  <c r="J68" i="20" s="1"/>
  <c r="J74" i="20" s="1"/>
  <c r="AV606" i="23"/>
  <c r="AW606" i="23" s="1"/>
  <c r="AS606" i="23"/>
  <c r="AK58" i="20" s="1" a="1"/>
  <c r="AK58" i="20" s="1"/>
  <c r="J67" i="20" s="1"/>
  <c r="J73" i="20" s="1"/>
  <c r="AV605" i="23"/>
  <c r="AW605" i="23" s="1"/>
  <c r="AS605" i="23"/>
  <c r="AK57" i="20" s="1" a="1"/>
  <c r="AK57" i="20" s="1"/>
  <c r="J66" i="20" s="1"/>
  <c r="AV604" i="23"/>
  <c r="AW604" i="23" s="1"/>
  <c r="AS604" i="23"/>
  <c r="AK56" i="20" s="1" a="1"/>
  <c r="AK56" i="20" s="1"/>
  <c r="J65" i="20" s="1"/>
  <c r="J72" i="20" s="1"/>
  <c r="AV603" i="23"/>
  <c r="AW603" i="23" s="1"/>
  <c r="AS603" i="23"/>
  <c r="AK55" i="20" s="1" a="1"/>
  <c r="AK55" i="20" s="1"/>
  <c r="J6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V540" i="23"/>
  <c r="AW540" i="23" s="1"/>
  <c r="AS540" i="23"/>
  <c r="AV539" i="23"/>
  <c r="AW539" i="23" s="1"/>
  <c r="AS539" i="23"/>
  <c r="AV538" i="23"/>
  <c r="AW538" i="23" s="1"/>
  <c r="AS538" i="23"/>
  <c r="AV537" i="23"/>
  <c r="AW537" i="23" s="1"/>
  <c r="AS537" i="23"/>
  <c r="AV536" i="23"/>
  <c r="AW536" i="23" s="1"/>
  <c r="AS536" i="23"/>
  <c r="AV535" i="23"/>
  <c r="AW535" i="23" s="1"/>
  <c r="AS535" i="23"/>
  <c r="AV534" i="23"/>
  <c r="AW534" i="23" s="1"/>
  <c r="AS534" i="23"/>
  <c r="AV533" i="23"/>
  <c r="AW533" i="23" s="1"/>
  <c r="AS533" i="23"/>
  <c r="AV532" i="23"/>
  <c r="AW532" i="23" s="1"/>
  <c r="AS532" i="23"/>
  <c r="AV531" i="23"/>
  <c r="AW531" i="23" s="1"/>
  <c r="AS531" i="23"/>
  <c r="AV530" i="23"/>
  <c r="AW530" i="23" s="1"/>
  <c r="AS530" i="23"/>
  <c r="AV529" i="23"/>
  <c r="AW529" i="23" s="1"/>
  <c r="AS529" i="23"/>
  <c r="AV528" i="23"/>
  <c r="AW528" i="23" s="1"/>
  <c r="AS528" i="23"/>
  <c r="AV527" i="23"/>
  <c r="AW527" i="23" s="1"/>
  <c r="AS527" i="23"/>
  <c r="AV526" i="23"/>
  <c r="AW526" i="23" s="1"/>
  <c r="AS526" i="23"/>
  <c r="AV525" i="23"/>
  <c r="AW525" i="23" s="1"/>
  <c r="AS525" i="23"/>
  <c r="AV524" i="23"/>
  <c r="AW524" i="23" s="1"/>
  <c r="AS524" i="23"/>
  <c r="AV523" i="23"/>
  <c r="AW523" i="23" s="1"/>
  <c r="AS523" i="23"/>
  <c r="AV522" i="23"/>
  <c r="AW522" i="23" s="1"/>
  <c r="AS522" i="23"/>
  <c r="AV521" i="23"/>
  <c r="AW521" i="23" s="1"/>
  <c r="AS521" i="23"/>
  <c r="AV520" i="23"/>
  <c r="AW520" i="23" s="1"/>
  <c r="AS520" i="23"/>
  <c r="AV519" i="23"/>
  <c r="AW519" i="23" s="1"/>
  <c r="AS519" i="23"/>
  <c r="AV518" i="23"/>
  <c r="AW518" i="23" s="1"/>
  <c r="AS518" i="23"/>
  <c r="AV517" i="23"/>
  <c r="AW517" i="23" s="1"/>
  <c r="AS517" i="23"/>
  <c r="AV516" i="23"/>
  <c r="AW516" i="23" s="1"/>
  <c r="AS516" i="23"/>
  <c r="AV515" i="23"/>
  <c r="AW515" i="23" s="1"/>
  <c r="AS515" i="23"/>
  <c r="AV514" i="23"/>
  <c r="AW514" i="23" s="1"/>
  <c r="AS514" i="23"/>
  <c r="AV513" i="23"/>
  <c r="AW513" i="23" s="1"/>
  <c r="AS513" i="23"/>
  <c r="AV512" i="23"/>
  <c r="AW512" i="23" s="1"/>
  <c r="AS512" i="23"/>
  <c r="AV511" i="23"/>
  <c r="AW511" i="23" s="1"/>
  <c r="AS511" i="23"/>
  <c r="AV510" i="23"/>
  <c r="AW510" i="23" s="1"/>
  <c r="AS510" i="23"/>
  <c r="AV509" i="23"/>
  <c r="AW509" i="23" s="1"/>
  <c r="AS509" i="23"/>
  <c r="AV508" i="23"/>
  <c r="AW508" i="23" s="1"/>
  <c r="AS508" i="23"/>
  <c r="AV507" i="23"/>
  <c r="AW507" i="23" s="1"/>
  <c r="AS507" i="23"/>
  <c r="AV506" i="23"/>
  <c r="AW506" i="23" s="1"/>
  <c r="AS506" i="23"/>
  <c r="AV505" i="23"/>
  <c r="AW505" i="23" s="1"/>
  <c r="AS505" i="23"/>
  <c r="AV504" i="23"/>
  <c r="AW504" i="23" s="1"/>
  <c r="AS504" i="23"/>
  <c r="AV503" i="23"/>
  <c r="AW503" i="23" s="1"/>
  <c r="AS503" i="23"/>
  <c r="AV502" i="23"/>
  <c r="AW502" i="23" s="1"/>
  <c r="AS502" i="23"/>
  <c r="AV501" i="23"/>
  <c r="AW501" i="23" s="1"/>
  <c r="AS501" i="23"/>
  <c r="AV500" i="23"/>
  <c r="AW500" i="23" s="1"/>
  <c r="AS500" i="23"/>
  <c r="AV499" i="23"/>
  <c r="AW499" i="23" s="1"/>
  <c r="AS499" i="23"/>
  <c r="AV498" i="23"/>
  <c r="AW498" i="23" s="1"/>
  <c r="AS498" i="23"/>
  <c r="AV497" i="23"/>
  <c r="AW497" i="23" s="1"/>
  <c r="AS497" i="23"/>
  <c r="AV496" i="23"/>
  <c r="AW496" i="23" s="1"/>
  <c r="AS496" i="23"/>
  <c r="AV495" i="23"/>
  <c r="AW495" i="23" s="1"/>
  <c r="AS495" i="23"/>
  <c r="AV494" i="23"/>
  <c r="AW494" i="23" s="1"/>
  <c r="AS494" i="23"/>
  <c r="AV493" i="23"/>
  <c r="AW493" i="23" s="1"/>
  <c r="AS493" i="23"/>
  <c r="AV492" i="23"/>
  <c r="AW492" i="23" s="1"/>
  <c r="AS492" i="23"/>
  <c r="AV491" i="23"/>
  <c r="AW491" i="23" s="1"/>
  <c r="AS491" i="23"/>
  <c r="AV490" i="23"/>
  <c r="AW490" i="23" s="1"/>
  <c r="AS490" i="23"/>
  <c r="AV489" i="23"/>
  <c r="AW489" i="23" s="1"/>
  <c r="AS489" i="23"/>
  <c r="AV488" i="23"/>
  <c r="AW488" i="23" s="1"/>
  <c r="AS488" i="23"/>
  <c r="AV487" i="23"/>
  <c r="AW487" i="23" s="1"/>
  <c r="AS487" i="23"/>
  <c r="AV486" i="23"/>
  <c r="AW486" i="23" s="1"/>
  <c r="AS486" i="23"/>
  <c r="AV485" i="23"/>
  <c r="AW485" i="23" s="1"/>
  <c r="AS485" i="23"/>
  <c r="AV484" i="23"/>
  <c r="AW484" i="23" s="1"/>
  <c r="AS484" i="23"/>
  <c r="AV483" i="23"/>
  <c r="AW483" i="23" s="1"/>
  <c r="AS483" i="23"/>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P51" i="20" s="1"/>
  <c r="AV391" i="23"/>
  <c r="AW391" i="23" s="1"/>
  <c r="AS391" i="23"/>
  <c r="P50" i="20" s="1"/>
  <c r="AV390" i="23"/>
  <c r="AW390" i="23" s="1"/>
  <c r="AS390" i="23"/>
  <c r="P49" i="20" s="1"/>
  <c r="AV389" i="23"/>
  <c r="AW389" i="23" s="1"/>
  <c r="AS389" i="23"/>
  <c r="P48" i="20" s="1"/>
  <c r="AV388" i="23"/>
  <c r="AW388" i="23" s="1"/>
  <c r="AS388" i="23"/>
  <c r="P47" i="20" s="1"/>
  <c r="AV387" i="23"/>
  <c r="AW387" i="23" s="1"/>
  <c r="AS387" i="23"/>
  <c r="P46" i="20" s="1"/>
  <c r="AV386" i="23"/>
  <c r="AW386" i="23" s="1"/>
  <c r="AS386" i="23"/>
  <c r="M51" i="20" s="1"/>
  <c r="AV385" i="23"/>
  <c r="AW385" i="23" s="1"/>
  <c r="AS385" i="23"/>
  <c r="M50" i="20" s="1"/>
  <c r="AV384" i="23"/>
  <c r="AW384" i="23" s="1"/>
  <c r="AS384" i="23"/>
  <c r="M49" i="20" s="1"/>
  <c r="AV383" i="23"/>
  <c r="AW383" i="23" s="1"/>
  <c r="AS383" i="23"/>
  <c r="M48" i="20" s="1"/>
  <c r="AV382" i="23"/>
  <c r="AW382" i="23" s="1"/>
  <c r="AS382" i="23"/>
  <c r="M47" i="20" s="1"/>
  <c r="AV381" i="23"/>
  <c r="AW381" i="23" s="1"/>
  <c r="AS381" i="23"/>
  <c r="M46" i="20" s="1"/>
  <c r="AV380" i="23"/>
  <c r="AW380" i="23" s="1"/>
  <c r="AS380" i="23"/>
  <c r="L51" i="20" s="1"/>
  <c r="AV379" i="23"/>
  <c r="AW379" i="23" s="1"/>
  <c r="AS379" i="23"/>
  <c r="L50" i="20" s="1"/>
  <c r="AV378" i="23"/>
  <c r="AW378" i="23" s="1"/>
  <c r="AS378" i="23"/>
  <c r="L49" i="20" s="1"/>
  <c r="AV377" i="23"/>
  <c r="AW377" i="23" s="1"/>
  <c r="AS377" i="23"/>
  <c r="L48" i="20" s="1"/>
  <c r="AV376" i="23"/>
  <c r="AW376" i="23" s="1"/>
  <c r="AS376" i="23"/>
  <c r="L47" i="20" s="1"/>
  <c r="AV375" i="23"/>
  <c r="AW375" i="23" s="1"/>
  <c r="AS375" i="23"/>
  <c r="L46" i="20" s="1"/>
  <c r="AV374" i="23"/>
  <c r="AW374" i="23" s="1"/>
  <c r="AS374" i="23"/>
  <c r="K51" i="20" s="1"/>
  <c r="AV373" i="23"/>
  <c r="AW373" i="23" s="1"/>
  <c r="AS373" i="23"/>
  <c r="K50" i="20" s="1"/>
  <c r="AV372" i="23"/>
  <c r="AW372" i="23" s="1"/>
  <c r="AS372" i="23"/>
  <c r="K49" i="20" s="1"/>
  <c r="AV371" i="23"/>
  <c r="AW371" i="23" s="1"/>
  <c r="AS371" i="23"/>
  <c r="K48" i="20" s="1"/>
  <c r="AV370" i="23"/>
  <c r="AW370" i="23" s="1"/>
  <c r="AS370" i="23"/>
  <c r="K47" i="20" s="1"/>
  <c r="AV369" i="23"/>
  <c r="AW369" i="23" s="1"/>
  <c r="AS369" i="23"/>
  <c r="K46" i="20" s="1"/>
  <c r="AV368" i="23"/>
  <c r="AW368" i="23" s="1"/>
  <c r="AS368" i="23"/>
  <c r="J51" i="20" s="1"/>
  <c r="AV367" i="23"/>
  <c r="AW367" i="23" s="1"/>
  <c r="AS367" i="23"/>
  <c r="J50" i="20" s="1"/>
  <c r="AV366" i="23"/>
  <c r="AW366" i="23" s="1"/>
  <c r="AS366" i="23"/>
  <c r="J49" i="20" s="1"/>
  <c r="AV365" i="23"/>
  <c r="AW365" i="23" s="1"/>
  <c r="AS365" i="23"/>
  <c r="J48" i="20" s="1"/>
  <c r="AV364" i="23"/>
  <c r="AW364" i="23" s="1"/>
  <c r="AS364" i="23"/>
  <c r="J47" i="20" s="1"/>
  <c r="AV363" i="23"/>
  <c r="AW363" i="23" s="1"/>
  <c r="AS363" i="23"/>
  <c r="J46" i="20" s="1"/>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J64" i="20" l="1"/>
  <c r="J71" i="20"/>
  <c r="J62" i="20"/>
  <c r="J70" i="20" s="1"/>
  <c r="L62" i="20"/>
  <c r="L70" i="20" s="1"/>
  <c r="L64" i="20"/>
  <c r="P64" i="20"/>
  <c r="P62" i="20"/>
  <c r="P70" i="20" s="1"/>
  <c r="K64" i="20"/>
  <c r="K62" i="20"/>
  <c r="K70" i="20" s="1"/>
  <c r="M62" i="20"/>
  <c r="M70" i="20" s="1"/>
  <c r="M64" i="20"/>
  <c r="AR41" i="20"/>
  <c r="AR42" i="20"/>
  <c r="AR43" i="20"/>
  <c r="AR44" i="20"/>
  <c r="AR45" i="20"/>
  <c r="AR46" i="20"/>
  <c r="AR55" i="20"/>
  <c r="AO55" i="20"/>
  <c r="AR56" i="20"/>
  <c r="AO56" i="20"/>
  <c r="AR57" i="20"/>
  <c r="AO57" i="20"/>
  <c r="AR58" i="20"/>
  <c r="AO58" i="20"/>
  <c r="AR59" i="20"/>
  <c r="AO59" i="20"/>
  <c r="AR60" i="20"/>
  <c r="AO60"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S301" i="23"/>
  <c r="AS300" i="23"/>
  <c r="AS299" i="23"/>
  <c r="AS298" i="23"/>
  <c r="AS297" i="23"/>
  <c r="AS296" i="23"/>
  <c r="AS295" i="23"/>
  <c r="AS294" i="23"/>
  <c r="AS293" i="23"/>
  <c r="AS292" i="23"/>
  <c r="AS291" i="23"/>
  <c r="AS290" i="23"/>
  <c r="AS289" i="23"/>
  <c r="AS288" i="23"/>
  <c r="AS287" i="23"/>
  <c r="AS286" i="23"/>
  <c r="AS285" i="23"/>
  <c r="AS284" i="23"/>
  <c r="AS283" i="23"/>
  <c r="AS282" i="23"/>
  <c r="AS281" i="23"/>
  <c r="AS280" i="23"/>
  <c r="AS279" i="23"/>
  <c r="AS278" i="23"/>
  <c r="AS277" i="23"/>
  <c r="AS276" i="23"/>
  <c r="AS275" i="23"/>
  <c r="AS274" i="23"/>
  <c r="AS273" i="23"/>
  <c r="AS272" i="23"/>
  <c r="AS271" i="23"/>
  <c r="AS270" i="23"/>
  <c r="AS269" i="23"/>
  <c r="AS268" i="23"/>
  <c r="AS267" i="23"/>
  <c r="AS266" i="23"/>
  <c r="AS265" i="23"/>
  <c r="AS264" i="23"/>
  <c r="AS263" i="23"/>
  <c r="AS262" i="23"/>
  <c r="AS261" i="23"/>
  <c r="AS260" i="23"/>
  <c r="AS259" i="23"/>
  <c r="AS258" i="23"/>
  <c r="AS257" i="23"/>
  <c r="AS256" i="23"/>
  <c r="AS255" i="23"/>
  <c r="AS254" i="23"/>
  <c r="AS253" i="23"/>
  <c r="AS252" i="23"/>
  <c r="AS251" i="23"/>
  <c r="AS250" i="23"/>
  <c r="AS249" i="23"/>
  <c r="AS248" i="23"/>
  <c r="AS247" i="23"/>
  <c r="AS246" i="23"/>
  <c r="AS245" i="23"/>
  <c r="AS244" i="23"/>
  <c r="AS243" i="23"/>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S173" i="23"/>
  <c r="AS172" i="23"/>
  <c r="AS171" i="23"/>
  <c r="AS170" i="23"/>
  <c r="AS169" i="23"/>
  <c r="AS168" i="23"/>
  <c r="AS167" i="23"/>
  <c r="AS166" i="23"/>
  <c r="AS165" i="23"/>
  <c r="AS164" i="23"/>
  <c r="AS163" i="23"/>
  <c r="AS162" i="23"/>
  <c r="AS161" i="23"/>
  <c r="AS160" i="23"/>
  <c r="AS159" i="23"/>
  <c r="AS158" i="23"/>
  <c r="AS157" i="23"/>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Q53" i="20" s="1" a="1"/>
  <c r="AQ53" i="20" s="1"/>
  <c r="P61" i="20" s="1"/>
  <c r="AS121" i="23"/>
  <c r="AQ52" i="20" s="1" a="1"/>
  <c r="AQ52" i="20" s="1"/>
  <c r="P60" i="20" s="1"/>
  <c r="AS120" i="23"/>
  <c r="AQ51" i="20" s="1" a="1"/>
  <c r="AQ51" i="20" s="1"/>
  <c r="P59" i="20" s="1"/>
  <c r="AS119" i="23"/>
  <c r="AQ50" i="20" s="1" a="1"/>
  <c r="AQ50" i="20" s="1"/>
  <c r="P58" i="20" s="1"/>
  <c r="AS118" i="23"/>
  <c r="AQ49" i="20" s="1" a="1"/>
  <c r="AQ49" i="20" s="1"/>
  <c r="P57" i="20" s="1"/>
  <c r="AS117" i="23"/>
  <c r="AQ48" i="20" s="1" a="1"/>
  <c r="AQ48" i="20" s="1"/>
  <c r="P55" i="20" s="1"/>
  <c r="AS116" i="23"/>
  <c r="AN53" i="20" s="1" a="1"/>
  <c r="AN53" i="20" s="1"/>
  <c r="M61" i="20" s="1"/>
  <c r="AS115" i="23"/>
  <c r="AN52" i="20" s="1" a="1"/>
  <c r="AN52" i="20" s="1"/>
  <c r="M60" i="20" s="1"/>
  <c r="AS114" i="23"/>
  <c r="AN51" i="20" s="1" a="1"/>
  <c r="AN51" i="20" s="1"/>
  <c r="M59" i="20" s="1"/>
  <c r="AS113" i="23"/>
  <c r="AN50" i="20" s="1" a="1"/>
  <c r="AN50" i="20" s="1"/>
  <c r="M58" i="20" s="1"/>
  <c r="AS112" i="23"/>
  <c r="AN49" i="20" s="1" a="1"/>
  <c r="AN49" i="20" s="1"/>
  <c r="M57" i="20" s="1"/>
  <c r="AS111" i="23"/>
  <c r="AN48" i="20" s="1" a="1"/>
  <c r="AN48" i="20" s="1"/>
  <c r="M55" i="20" s="1"/>
  <c r="AS110" i="23"/>
  <c r="AM53" i="20" s="1" a="1"/>
  <c r="AM53" i="20" s="1"/>
  <c r="L61" i="20" s="1"/>
  <c r="AS109" i="23"/>
  <c r="AM52" i="20" s="1" a="1"/>
  <c r="AM52" i="20" s="1"/>
  <c r="L60" i="20" s="1"/>
  <c r="AS108" i="23"/>
  <c r="AM51" i="20" s="1" a="1"/>
  <c r="AM51" i="20" s="1"/>
  <c r="L59" i="20" s="1"/>
  <c r="AS107" i="23"/>
  <c r="AM50" i="20" s="1" a="1"/>
  <c r="AM50" i="20" s="1"/>
  <c r="L58" i="20" s="1"/>
  <c r="AS106" i="23"/>
  <c r="AM49" i="20" s="1" a="1"/>
  <c r="AM49" i="20" s="1"/>
  <c r="L57" i="20" s="1"/>
  <c r="AS105" i="23"/>
  <c r="AM48" i="20" s="1" a="1"/>
  <c r="AM48" i="20" s="1"/>
  <c r="L55" i="20" s="1"/>
  <c r="AS104" i="23"/>
  <c r="AL53" i="20" s="1" a="1"/>
  <c r="AL53" i="20" s="1"/>
  <c r="K61" i="20" s="1"/>
  <c r="AS103" i="23"/>
  <c r="AL52" i="20" s="1" a="1"/>
  <c r="AL52" i="20" s="1"/>
  <c r="K60" i="20" s="1"/>
  <c r="AS102" i="23"/>
  <c r="AL51" i="20" s="1" a="1"/>
  <c r="AL51" i="20" s="1"/>
  <c r="K59" i="20" s="1"/>
  <c r="AS101" i="23"/>
  <c r="AL50" i="20" s="1" a="1"/>
  <c r="AL50" i="20" s="1"/>
  <c r="K58" i="20" s="1"/>
  <c r="AS100" i="23"/>
  <c r="AL49" i="20" s="1" a="1"/>
  <c r="AL49" i="20" s="1"/>
  <c r="K57" i="20" s="1"/>
  <c r="AS99" i="23"/>
  <c r="AL48" i="20" s="1" a="1"/>
  <c r="AL48" i="20" s="1"/>
  <c r="K55" i="20" s="1"/>
  <c r="AS98" i="23"/>
  <c r="AK53" i="20" s="1" a="1"/>
  <c r="AK53" i="20" s="1"/>
  <c r="J61" i="20" s="1"/>
  <c r="AS97" i="23"/>
  <c r="AK52" i="20" s="1" a="1"/>
  <c r="AK52" i="20" s="1"/>
  <c r="J60" i="20" s="1"/>
  <c r="AS96" i="23"/>
  <c r="AK51" i="20" s="1" a="1"/>
  <c r="AK51" i="20" s="1"/>
  <c r="J59" i="20" s="1"/>
  <c r="AS95" i="23"/>
  <c r="AK50" i="20" s="1" a="1"/>
  <c r="AK50" i="20" s="1"/>
  <c r="J58" i="20" s="1"/>
  <c r="AS94" i="23"/>
  <c r="AK49" i="20" s="1" a="1"/>
  <c r="AK49" i="20" s="1"/>
  <c r="J57" i="20" s="1"/>
  <c r="AS93" i="23"/>
  <c r="AK48" i="20" s="1" a="1"/>
  <c r="AK48" i="20" s="1"/>
  <c r="J55"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S52" i="23"/>
  <c r="AS51" i="23"/>
  <c r="AS50" i="23"/>
  <c r="AS49" i="23"/>
  <c r="AS48" i="23"/>
  <c r="AS47" i="23"/>
  <c r="AS46" i="23"/>
  <c r="AS45" i="23"/>
  <c r="AS44" i="23"/>
  <c r="AS43" i="23"/>
  <c r="AS42" i="23"/>
  <c r="AS41" i="23"/>
  <c r="AS40" i="23"/>
  <c r="AS39" i="23"/>
  <c r="AS38" i="23"/>
  <c r="AS37" i="23"/>
  <c r="AS36" i="23"/>
  <c r="AS35" i="23"/>
  <c r="AS34" i="23"/>
  <c r="AS33" i="23"/>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L56" i="20" l="1"/>
  <c r="L54" i="20"/>
  <c r="M56" i="20"/>
  <c r="M54" i="20"/>
  <c r="J56" i="20"/>
  <c r="J54" i="20"/>
  <c r="P56" i="20"/>
  <c r="P54" i="20"/>
  <c r="M39" i="20"/>
  <c r="K39" i="20"/>
  <c r="K56" i="20"/>
  <c r="K54" i="20"/>
  <c r="AR39" i="20"/>
  <c r="AP60" i="20"/>
  <c r="O69" i="20" s="1"/>
  <c r="N69" i="20"/>
  <c r="AP59" i="20"/>
  <c r="O68" i="20" s="1"/>
  <c r="O74" i="20" s="1"/>
  <c r="N68" i="20"/>
  <c r="N74" i="20" s="1"/>
  <c r="AP58" i="20"/>
  <c r="O67" i="20" s="1"/>
  <c r="O73" i="20" s="1"/>
  <c r="N67" i="20"/>
  <c r="N73" i="20" s="1"/>
  <c r="AP57" i="20"/>
  <c r="O66" i="20" s="1"/>
  <c r="N66" i="20"/>
  <c r="AP56" i="20"/>
  <c r="O65" i="20" s="1"/>
  <c r="O72" i="20" s="1"/>
  <c r="N65" i="20"/>
  <c r="N72" i="20" s="1"/>
  <c r="AP55" i="20"/>
  <c r="O63" i="20" s="1"/>
  <c r="O71" i="20" s="1"/>
  <c r="N63" i="20"/>
  <c r="N71" i="20" s="1"/>
  <c r="J39" i="20"/>
  <c r="P39" i="20"/>
  <c r="L39" i="20"/>
  <c r="O51" i="20"/>
  <c r="N51" i="20"/>
  <c r="O50" i="20"/>
  <c r="N50" i="20"/>
  <c r="O49" i="20"/>
  <c r="N49" i="20"/>
  <c r="O48" i="20"/>
  <c r="N48" i="20"/>
  <c r="O47" i="20"/>
  <c r="N47" i="20"/>
  <c r="O46" i="20"/>
  <c r="N46" i="20"/>
  <c r="AR38" i="20"/>
  <c r="AO48" i="20"/>
  <c r="AR48" i="20"/>
  <c r="AO49" i="20"/>
  <c r="AR49" i="20"/>
  <c r="AO50" i="20"/>
  <c r="AR50" i="20"/>
  <c r="AO51" i="20"/>
  <c r="AR51" i="20"/>
  <c r="AO52" i="20"/>
  <c r="AR52" i="20"/>
  <c r="AO53" i="20"/>
  <c r="AR53" i="20"/>
  <c r="N64" i="20" l="1"/>
  <c r="N62" i="20"/>
  <c r="N70" i="20" s="1"/>
  <c r="O62" i="20"/>
  <c r="O70" i="20" s="1"/>
  <c r="O64" i="20"/>
  <c r="AR37" i="20"/>
  <c r="AR36" i="20"/>
  <c r="AR34" i="20"/>
  <c r="AR35" i="20"/>
  <c r="AP53" i="20"/>
  <c r="O61" i="20" s="1"/>
  <c r="N61" i="20"/>
  <c r="AP52" i="20"/>
  <c r="O60" i="20" s="1"/>
  <c r="N60" i="20"/>
  <c r="AP51" i="20"/>
  <c r="O59" i="20" s="1"/>
  <c r="N59" i="20"/>
  <c r="AP50" i="20"/>
  <c r="O58" i="20" s="1"/>
  <c r="N58" i="20"/>
  <c r="AP49" i="20"/>
  <c r="O57" i="20" s="1"/>
  <c r="N57" i="20"/>
  <c r="AP48" i="20"/>
  <c r="O55" i="20" s="1"/>
  <c r="N55" i="20"/>
  <c r="O39"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S301" i="19"/>
  <c r="AS300" i="19"/>
  <c r="AS299" i="19"/>
  <c r="AS298" i="19"/>
  <c r="AS297" i="19"/>
  <c r="AS296" i="19"/>
  <c r="AS295" i="19"/>
  <c r="AS294" i="19"/>
  <c r="AS293" i="19"/>
  <c r="AS292" i="19"/>
  <c r="AS291" i="19"/>
  <c r="AS290" i="19"/>
  <c r="AS289" i="19"/>
  <c r="AS288" i="19"/>
  <c r="AS287" i="19"/>
  <c r="AS286" i="19"/>
  <c r="AS285" i="19"/>
  <c r="AS284" i="19"/>
  <c r="AS283" i="19"/>
  <c r="AS282" i="19"/>
  <c r="AS281" i="19"/>
  <c r="AS280" i="19"/>
  <c r="AS279" i="19"/>
  <c r="AS278" i="19"/>
  <c r="AS277" i="19"/>
  <c r="AS276" i="19"/>
  <c r="AS275" i="19"/>
  <c r="AS274" i="19"/>
  <c r="AS273" i="19"/>
  <c r="AS272" i="19"/>
  <c r="AS271" i="19"/>
  <c r="AS270" i="19"/>
  <c r="AS269" i="19"/>
  <c r="AS268" i="19"/>
  <c r="AS267" i="19"/>
  <c r="AS266" i="19"/>
  <c r="AS265" i="19"/>
  <c r="AS264" i="19"/>
  <c r="AS263" i="19"/>
  <c r="AS262" i="19"/>
  <c r="AS261" i="19"/>
  <c r="AS260" i="19"/>
  <c r="AS259" i="19"/>
  <c r="AS258" i="19"/>
  <c r="AS257" i="19"/>
  <c r="AS256" i="19"/>
  <c r="AS255" i="19"/>
  <c r="AS254" i="19"/>
  <c r="AS253" i="19"/>
  <c r="AS252" i="19"/>
  <c r="AS251" i="19"/>
  <c r="AS250" i="19"/>
  <c r="AS249" i="19"/>
  <c r="AS248" i="19"/>
  <c r="AS247" i="19"/>
  <c r="AS246" i="19"/>
  <c r="AS245" i="19"/>
  <c r="AS244" i="19"/>
  <c r="AS243" i="19"/>
  <c r="AS242" i="19"/>
  <c r="AS241" i="19"/>
  <c r="AS240" i="19"/>
  <c r="AS239" i="19"/>
  <c r="AS238" i="19"/>
  <c r="AS237" i="19"/>
  <c r="AS236" i="19"/>
  <c r="AS235" i="19"/>
  <c r="AS234" i="19"/>
  <c r="AS233" i="19"/>
  <c r="AS232" i="19"/>
  <c r="AS231" i="19"/>
  <c r="AS230" i="19"/>
  <c r="AS229" i="19"/>
  <c r="AS228" i="19"/>
  <c r="AS227" i="19"/>
  <c r="AS226" i="19"/>
  <c r="AS225" i="19"/>
  <c r="AS224" i="19"/>
  <c r="AS223" i="19"/>
  <c r="AS222" i="19"/>
  <c r="AS221" i="19"/>
  <c r="AS220" i="19"/>
  <c r="AS219" i="19"/>
  <c r="AS218" i="19"/>
  <c r="AS217" i="19"/>
  <c r="AS216" i="19"/>
  <c r="AS215" i="19"/>
  <c r="AS214" i="19"/>
  <c r="AS213" i="19"/>
  <c r="AS212" i="19"/>
  <c r="AS211" i="19"/>
  <c r="AS210" i="19"/>
  <c r="AS209" i="19"/>
  <c r="AS208" i="19"/>
  <c r="AS207" i="19"/>
  <c r="AS206" i="19"/>
  <c r="AS205" i="19"/>
  <c r="AS204" i="19"/>
  <c r="AS203" i="19"/>
  <c r="AS202" i="19"/>
  <c r="AS201" i="19"/>
  <c r="AS200" i="19"/>
  <c r="AS199" i="19"/>
  <c r="AS198" i="19"/>
  <c r="AS197" i="19"/>
  <c r="AS196" i="19"/>
  <c r="AS195" i="19"/>
  <c r="AS194" i="19"/>
  <c r="AS193" i="19"/>
  <c r="AS192" i="19"/>
  <c r="M14" i="20" s="1"/>
  <c r="AS191" i="19"/>
  <c r="M13" i="20" s="1"/>
  <c r="AS190" i="19"/>
  <c r="M8" i="20" s="1"/>
  <c r="AS189" i="19"/>
  <c r="M3" i="20" s="1"/>
  <c r="AS188" i="19"/>
  <c r="M5" i="20" s="1"/>
  <c r="AS187" i="19"/>
  <c r="M4" i="20" s="1"/>
  <c r="AS186" i="19"/>
  <c r="M12" i="20" s="1"/>
  <c r="AS185" i="19"/>
  <c r="M11" i="20" s="1"/>
  <c r="AS184" i="19"/>
  <c r="AS183" i="19"/>
  <c r="AS182" i="19"/>
  <c r="AS181" i="19"/>
  <c r="AS180" i="19"/>
  <c r="AS179" i="19"/>
  <c r="AS178" i="19"/>
  <c r="AS177" i="19"/>
  <c r="AS176" i="19"/>
  <c r="AS175" i="19"/>
  <c r="AS174" i="19"/>
  <c r="AS173" i="19"/>
  <c r="AS172" i="19"/>
  <c r="AS171" i="19"/>
  <c r="AS170" i="19"/>
  <c r="AS169" i="19"/>
  <c r="AS168" i="19"/>
  <c r="AS167" i="19"/>
  <c r="AS166" i="19"/>
  <c r="AS165" i="19"/>
  <c r="AS164" i="19"/>
  <c r="AS163" i="19"/>
  <c r="AS162" i="19"/>
  <c r="AS161" i="19"/>
  <c r="AS160" i="19"/>
  <c r="AS159" i="19"/>
  <c r="AS158" i="19"/>
  <c r="AS157" i="19"/>
  <c r="AS156" i="19"/>
  <c r="AS155" i="19"/>
  <c r="AS154" i="19"/>
  <c r="AS153" i="19"/>
  <c r="AS152" i="19"/>
  <c r="AS151" i="19"/>
  <c r="AS150" i="19"/>
  <c r="AS149" i="19"/>
  <c r="AS148" i="19"/>
  <c r="AS147" i="19"/>
  <c r="AS146" i="19"/>
  <c r="AS145" i="19"/>
  <c r="AS144" i="19"/>
  <c r="AS143" i="19"/>
  <c r="AS142" i="19"/>
  <c r="AS141" i="19"/>
  <c r="AS140" i="19"/>
  <c r="AS139" i="19"/>
  <c r="AS138" i="19"/>
  <c r="AS137" i="19"/>
  <c r="AS136" i="19"/>
  <c r="AS135" i="19"/>
  <c r="AS134" i="19"/>
  <c r="AS133" i="19"/>
  <c r="AS132" i="19"/>
  <c r="L14" i="20" s="1"/>
  <c r="AS131" i="19"/>
  <c r="L13" i="20" s="1"/>
  <c r="AS130" i="19"/>
  <c r="L8" i="20" s="1"/>
  <c r="AS129" i="19"/>
  <c r="L3" i="20" s="1"/>
  <c r="AS128" i="19"/>
  <c r="L5" i="20" s="1"/>
  <c r="AS127" i="19"/>
  <c r="L4" i="20" s="1"/>
  <c r="AS126" i="19"/>
  <c r="L12" i="20" s="1"/>
  <c r="AS125" i="19"/>
  <c r="AS124" i="19"/>
  <c r="AS123" i="19"/>
  <c r="AS122" i="19"/>
  <c r="AS121" i="19"/>
  <c r="AS120" i="19"/>
  <c r="AS119" i="19"/>
  <c r="AS118" i="19"/>
  <c r="AS117" i="19"/>
  <c r="AS116" i="19"/>
  <c r="AS115" i="19"/>
  <c r="AS114" i="19"/>
  <c r="AS113" i="19"/>
  <c r="AS112" i="19"/>
  <c r="AS111" i="19"/>
  <c r="AS110" i="19"/>
  <c r="AS109" i="19"/>
  <c r="AS108" i="19"/>
  <c r="AS107" i="19"/>
  <c r="AS106" i="19"/>
  <c r="AS105" i="19"/>
  <c r="AS104" i="19"/>
  <c r="AS103" i="19"/>
  <c r="AS102" i="19"/>
  <c r="AS101" i="19"/>
  <c r="AS100" i="19"/>
  <c r="AS99" i="19"/>
  <c r="AS98" i="19"/>
  <c r="AS97" i="19"/>
  <c r="AS96" i="19"/>
  <c r="AS95" i="19"/>
  <c r="AS94" i="19"/>
  <c r="AS93" i="19"/>
  <c r="AS92" i="19"/>
  <c r="AS91" i="19"/>
  <c r="AS90" i="19"/>
  <c r="AS89" i="19"/>
  <c r="AS88" i="19"/>
  <c r="AS87" i="19"/>
  <c r="AS86" i="19"/>
  <c r="AS85" i="19"/>
  <c r="AS84" i="19"/>
  <c r="AS83" i="19"/>
  <c r="AS82" i="19"/>
  <c r="AS81" i="19"/>
  <c r="AS80" i="19"/>
  <c r="AS79" i="19"/>
  <c r="AS78" i="19"/>
  <c r="AS77" i="19"/>
  <c r="AS76" i="19"/>
  <c r="AS75" i="19"/>
  <c r="AS74" i="19"/>
  <c r="AS73" i="19"/>
  <c r="AS72" i="19"/>
  <c r="K14" i="20" s="1"/>
  <c r="AS71" i="19"/>
  <c r="K13" i="20" s="1"/>
  <c r="AS70" i="19"/>
  <c r="K8" i="20" s="1"/>
  <c r="AS69" i="19"/>
  <c r="K3" i="20" s="1"/>
  <c r="AS68" i="19"/>
  <c r="K5" i="20" s="1"/>
  <c r="AS67" i="19"/>
  <c r="K4" i="20" s="1"/>
  <c r="AS66" i="19"/>
  <c r="K12" i="20" s="1"/>
  <c r="AS65" i="19"/>
  <c r="AS64" i="19"/>
  <c r="AS63" i="19"/>
  <c r="AS62" i="19"/>
  <c r="AS61" i="19"/>
  <c r="AS60" i="19"/>
  <c r="AS59" i="19"/>
  <c r="AS58" i="19"/>
  <c r="AS57" i="19"/>
  <c r="AS56" i="19"/>
  <c r="AS55" i="19"/>
  <c r="AS54" i="19"/>
  <c r="AS53" i="19"/>
  <c r="AS52" i="19"/>
  <c r="AS51" i="19"/>
  <c r="AS50" i="19"/>
  <c r="AS49" i="19"/>
  <c r="AS48" i="19"/>
  <c r="AS47" i="19"/>
  <c r="AS46" i="19"/>
  <c r="AS45" i="19"/>
  <c r="AS44" i="19"/>
  <c r="AS43" i="19"/>
  <c r="AS42" i="19"/>
  <c r="AS41" i="19"/>
  <c r="AS40" i="19"/>
  <c r="AS39" i="19"/>
  <c r="AS38" i="19"/>
  <c r="AS37" i="19"/>
  <c r="AS36" i="19"/>
  <c r="AS35" i="19"/>
  <c r="AS34" i="19"/>
  <c r="AS33" i="19"/>
  <c r="AS32" i="19"/>
  <c r="AS31" i="19"/>
  <c r="AS30" i="19"/>
  <c r="AS29" i="19"/>
  <c r="AS28" i="19"/>
  <c r="AS27" i="19"/>
  <c r="AS26" i="19"/>
  <c r="AS25" i="19"/>
  <c r="AS24" i="19"/>
  <c r="AS23" i="19"/>
  <c r="AS22" i="19"/>
  <c r="AS21" i="19"/>
  <c r="AS20" i="19"/>
  <c r="AS19" i="19"/>
  <c r="AS18" i="19"/>
  <c r="AS17" i="19"/>
  <c r="AS16" i="19"/>
  <c r="AS15" i="19"/>
  <c r="J9" i="20" s="1"/>
  <c r="AS14" i="19"/>
  <c r="AS13" i="19"/>
  <c r="AS12" i="19"/>
  <c r="J14" i="20" s="1"/>
  <c r="AS11" i="19"/>
  <c r="J13" i="20" s="1"/>
  <c r="AS10" i="19"/>
  <c r="J8" i="20" s="1"/>
  <c r="AS9" i="19"/>
  <c r="AS8" i="19"/>
  <c r="J5" i="20" s="1"/>
  <c r="AS7" i="19"/>
  <c r="J4" i="20" s="1"/>
  <c r="AS6" i="19"/>
  <c r="J12" i="20" s="1"/>
  <c r="AS5" i="19"/>
  <c r="AS4" i="19"/>
  <c r="N54" i="20" l="1"/>
  <c r="N56" i="20"/>
  <c r="O54" i="20"/>
  <c r="O56" i="20"/>
  <c r="N39" i="20"/>
  <c r="M6" i="20"/>
  <c r="M7" i="20"/>
  <c r="M20" i="20"/>
  <c r="AR17" i="20"/>
  <c r="L15" i="20"/>
  <c r="K27" i="20"/>
  <c r="J6" i="20"/>
  <c r="L6" i="20"/>
  <c r="K6" i="20"/>
  <c r="L20" i="20"/>
  <c r="L7" i="20"/>
  <c r="AR18" i="20"/>
  <c r="AR13" i="20"/>
  <c r="AR14" i="20"/>
  <c r="AR15" i="20"/>
  <c r="AR19" i="20"/>
  <c r="AR5" i="20"/>
  <c r="AR23" i="20"/>
  <c r="AR6" i="20"/>
  <c r="AR24" i="20"/>
  <c r="AR25" i="20"/>
  <c r="AR26" i="20"/>
  <c r="AR9" i="20"/>
  <c r="J32" i="20"/>
  <c r="K32" i="20"/>
  <c r="K19" i="20"/>
  <c r="K7" i="20"/>
  <c r="L31" i="20"/>
  <c r="K38" i="20"/>
  <c r="J38" i="20"/>
  <c r="AR10" i="20"/>
  <c r="M38" i="20"/>
  <c r="K33" i="20"/>
  <c r="L33" i="20"/>
  <c r="J7" i="20"/>
  <c r="P18" i="20"/>
  <c r="P30" i="20"/>
  <c r="J33" i="20"/>
  <c r="J21" i="20"/>
  <c r="K34" i="20"/>
  <c r="K22" i="20"/>
  <c r="AR4" i="20"/>
  <c r="J3" i="20"/>
  <c r="J16" i="20"/>
  <c r="J28" i="20"/>
  <c r="P7" i="20"/>
  <c r="AR27" i="20"/>
  <c r="AR20" i="20"/>
  <c r="P31" i="20"/>
  <c r="P19" i="20"/>
  <c r="M21" i="20"/>
  <c r="M33" i="20"/>
  <c r="L35" i="20"/>
  <c r="L23" i="20"/>
  <c r="AR21" i="20"/>
  <c r="J36" i="20"/>
  <c r="J24" i="20"/>
  <c r="M9" i="20"/>
  <c r="J10" i="20"/>
  <c r="K10" i="20"/>
  <c r="L10" i="20"/>
  <c r="M10" i="20"/>
  <c r="K9" i="20"/>
  <c r="J11" i="20"/>
  <c r="K11" i="20"/>
  <c r="L11" i="20"/>
  <c r="P11" i="20"/>
  <c r="L9" i="20"/>
  <c r="P12" i="20"/>
  <c r="P33" i="20"/>
  <c r="P21" i="20"/>
  <c r="P34" i="20"/>
  <c r="P22" i="20"/>
  <c r="P5" i="20"/>
  <c r="M35" i="20"/>
  <c r="M23" i="20"/>
  <c r="P3" i="20"/>
  <c r="P35" i="20"/>
  <c r="P23" i="20"/>
  <c r="J34" i="20"/>
  <c r="J22" i="20"/>
  <c r="J35" i="20"/>
  <c r="J23" i="20"/>
  <c r="M24" i="20"/>
  <c r="M36" i="20"/>
  <c r="P8" i="20"/>
  <c r="P36" i="20"/>
  <c r="P24" i="20"/>
  <c r="L34" i="20"/>
  <c r="L22" i="20"/>
  <c r="K24" i="20"/>
  <c r="K36" i="20"/>
  <c r="K28" i="20"/>
  <c r="K16" i="20"/>
  <c r="M28" i="20"/>
  <c r="M16" i="20"/>
  <c r="P13" i="20"/>
  <c r="P28" i="20"/>
  <c r="P16" i="20"/>
  <c r="K35" i="20"/>
  <c r="K23" i="20"/>
  <c r="M29" i="20"/>
  <c r="M17" i="20"/>
  <c r="P29" i="20"/>
  <c r="P17" i="20"/>
  <c r="P4" i="20"/>
  <c r="M34" i="20"/>
  <c r="M22" i="20"/>
  <c r="L24" i="20"/>
  <c r="L36" i="20"/>
  <c r="L28" i="20"/>
  <c r="L16" i="20"/>
  <c r="J29" i="20"/>
  <c r="J17" i="20"/>
  <c r="K29" i="20"/>
  <c r="K17" i="20"/>
  <c r="L29" i="20"/>
  <c r="L17" i="20"/>
  <c r="P14" i="20"/>
  <c r="P6" i="20"/>
  <c r="P15" i="20"/>
  <c r="P27" i="20"/>
  <c r="P32" i="20"/>
  <c r="P20" i="20"/>
  <c r="P37" i="20"/>
  <c r="P25" i="20"/>
  <c r="P38" i="20"/>
  <c r="P26" i="20"/>
  <c r="AP10" i="20" l="1"/>
  <c r="AO10" i="20"/>
  <c r="AP6" i="20"/>
  <c r="O5" i="20" s="1"/>
  <c r="AO6" i="20"/>
  <c r="N5" i="20" s="1"/>
  <c r="AP5" i="20"/>
  <c r="O4" i="20" s="1"/>
  <c r="AO5" i="20"/>
  <c r="N4" i="20" s="1"/>
  <c r="AP13" i="20"/>
  <c r="O12" i="20" s="1"/>
  <c r="AO13" i="20"/>
  <c r="N12" i="20" s="1"/>
  <c r="AP12" i="20"/>
  <c r="O11" i="20" s="1"/>
  <c r="AO12" i="20"/>
  <c r="N11" i="20" s="1"/>
  <c r="AP11" i="20"/>
  <c r="AO11" i="20"/>
  <c r="AO15" i="20"/>
  <c r="N14" i="20" s="1"/>
  <c r="AP15" i="20"/>
  <c r="O14" i="20" s="1"/>
  <c r="AO4" i="20"/>
  <c r="N3" i="20" s="1"/>
  <c r="AP4" i="20"/>
  <c r="O3" i="20" s="1"/>
  <c r="P9" i="20"/>
  <c r="L27" i="20"/>
  <c r="K15" i="20"/>
  <c r="J15" i="20"/>
  <c r="J27" i="20"/>
  <c r="M15" i="20"/>
  <c r="AR7" i="20"/>
  <c r="M27" i="20"/>
  <c r="M32" i="20"/>
  <c r="L32" i="20"/>
  <c r="K31" i="20"/>
  <c r="AR28" i="20"/>
  <c r="AR22" i="20"/>
  <c r="AR8" i="20"/>
  <c r="AR11" i="20"/>
  <c r="AR12" i="20"/>
  <c r="K20" i="20"/>
  <c r="K21" i="20"/>
  <c r="L21" i="20"/>
  <c r="K26" i="20"/>
  <c r="M19" i="20"/>
  <c r="M31" i="20"/>
  <c r="L19" i="20"/>
  <c r="O9" i="20"/>
  <c r="J26" i="20"/>
  <c r="N38" i="20"/>
  <c r="J20" i="20"/>
  <c r="M26" i="20"/>
  <c r="O34" i="20"/>
  <c r="O22" i="20"/>
  <c r="O28" i="20"/>
  <c r="O16" i="20"/>
  <c r="P10" i="20"/>
  <c r="N31" i="20"/>
  <c r="N19" i="20"/>
  <c r="N34" i="20"/>
  <c r="N22" i="20"/>
  <c r="O29" i="20"/>
  <c r="O17" i="20"/>
  <c r="N21" i="20"/>
  <c r="N33" i="20"/>
  <c r="O32" i="20"/>
  <c r="O20" i="20"/>
  <c r="N29" i="20"/>
  <c r="N17" i="20"/>
  <c r="N35" i="20"/>
  <c r="N23" i="20"/>
  <c r="N24" i="20"/>
  <c r="N36" i="20"/>
  <c r="N15" i="20"/>
  <c r="N27" i="20"/>
  <c r="M18" i="20"/>
  <c r="M30" i="20"/>
  <c r="L30" i="20"/>
  <c r="L18" i="20"/>
  <c r="K30" i="20"/>
  <c r="K18" i="20"/>
  <c r="N28" i="20"/>
  <c r="N16" i="20"/>
  <c r="J30" i="20"/>
  <c r="J18" i="20"/>
  <c r="L38" i="20"/>
  <c r="L26" i="20"/>
  <c r="M37" i="20"/>
  <c r="M25" i="20"/>
  <c r="L37" i="20"/>
  <c r="L25" i="20"/>
  <c r="K37" i="20"/>
  <c r="K25" i="20"/>
  <c r="J37" i="20"/>
  <c r="J25" i="20"/>
  <c r="J31" i="20"/>
  <c r="J19" i="20"/>
  <c r="AP8" i="20" l="1"/>
  <c r="O7" i="20" s="1"/>
  <c r="AO8" i="20"/>
  <c r="N7" i="20" s="1"/>
  <c r="AP9" i="20"/>
  <c r="O8" i="20" s="1"/>
  <c r="AO9" i="20"/>
  <c r="N8" i="20" s="1"/>
  <c r="AP14" i="20"/>
  <c r="O13" i="20" s="1"/>
  <c r="AO14" i="20"/>
  <c r="N13" i="20" s="1"/>
  <c r="AP7" i="20"/>
  <c r="O6" i="20" s="1"/>
  <c r="AO7" i="20"/>
  <c r="N6" i="20" s="1"/>
  <c r="N9" i="20"/>
  <c r="N32" i="20"/>
  <c r="N20" i="20"/>
  <c r="O38" i="20"/>
  <c r="N26" i="20"/>
  <c r="O15" i="20"/>
  <c r="O27" i="20"/>
  <c r="N37" i="20"/>
  <c r="N25" i="20"/>
  <c r="N18" i="20"/>
  <c r="N30" i="20"/>
  <c r="O36" i="20"/>
  <c r="O24" i="20"/>
  <c r="O31" i="20"/>
  <c r="O19" i="20"/>
  <c r="O10" i="20"/>
  <c r="N10" i="20"/>
  <c r="O35" i="20"/>
  <c r="O23" i="20"/>
  <c r="O21" i="20"/>
  <c r="O33" i="20"/>
  <c r="O26" i="20" l="1"/>
  <c r="O18" i="20"/>
  <c r="O30" i="20"/>
  <c r="O37" i="20"/>
  <c r="O25" i="20"/>
  <c r="G6" i="12"/>
  <c r="G5" i="12"/>
  <c r="G4" i="12"/>
  <c r="G11" i="12" l="1"/>
  <c r="G10" i="12"/>
  <c r="AM37" i="3"/>
  <c r="AM36" i="3"/>
  <c r="AM35" i="3"/>
  <c r="AM34" i="3"/>
  <c r="AM33" i="3"/>
  <c r="AM32" i="3"/>
  <c r="EL21" i="16" l="1"/>
  <c r="EL5" i="16"/>
  <c r="EK9" i="16"/>
  <c r="EK25"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EL19" i="16"/>
  <c r="EK15"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EL12" i="16"/>
  <c r="EL4" i="16"/>
  <c r="EK29" i="16"/>
  <c r="EQ23"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EL20" i="16"/>
  <c r="AT157" i="19"/>
  <c r="AT319" i="23"/>
  <c r="AT398" i="23"/>
  <c r="AT470" i="23"/>
  <c r="AT516" i="23"/>
  <c r="AT522" i="23"/>
  <c r="AT508" i="23"/>
  <c r="AT424" i="23"/>
  <c r="AT347" i="23"/>
  <c r="AT453" i="23"/>
  <c r="AT35" i="23"/>
  <c r="AT132" i="23"/>
  <c r="AT128" i="23"/>
  <c r="AT225" i="23"/>
  <c r="AT241" i="23"/>
  <c r="AT237" i="23"/>
  <c r="AT244" i="19"/>
  <c r="EK22" i="16"/>
  <c r="EK11" i="16"/>
  <c r="EQ26"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EK13" i="16"/>
  <c r="EQ8" i="16"/>
  <c r="EQ25" i="16"/>
  <c r="EK20" i="16"/>
  <c r="EQ7" i="16"/>
  <c r="EL30"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EQ30" i="16"/>
  <c r="EK19" i="16"/>
  <c r="EQ29" i="16"/>
  <c r="EK30"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EK8" i="16"/>
  <c r="EQ20" i="16"/>
  <c r="EK21"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EL9" i="16"/>
  <c r="EL26"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EQ11" i="16"/>
  <c r="EL25"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EL16" i="16"/>
  <c r="EQ6"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EL7" i="16"/>
  <c r="EQ27"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EQ22" i="16"/>
  <c r="EL23" i="16"/>
  <c r="EQ9"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EQ14" i="16"/>
  <c r="EL22" i="16"/>
  <c r="EL53" i="16" s="1"/>
  <c r="EQ15" i="16"/>
  <c r="P28" i="13"/>
  <c r="AT236" i="19"/>
  <c r="AT178" i="19"/>
  <c r="AT180" i="19"/>
  <c r="AT202" i="19"/>
  <c r="AT572" i="23"/>
  <c r="AT425" i="23"/>
  <c r="AT318" i="23"/>
  <c r="AT370" i="23"/>
  <c r="AT489" i="23"/>
  <c r="AT635" i="23"/>
  <c r="AU635" i="23" s="1"/>
  <c r="AT448" i="23"/>
  <c r="AT374" i="23"/>
  <c r="AT520" i="23"/>
  <c r="AT433" i="23"/>
  <c r="AT275" i="23"/>
  <c r="AT34" i="23"/>
  <c r="AT251" i="23"/>
  <c r="AT10" i="23"/>
  <c r="AT66" i="23"/>
  <c r="AT60" i="23"/>
  <c r="AT118" i="23"/>
  <c r="AT243" i="19"/>
  <c r="AT147" i="19"/>
  <c r="AT69" i="19"/>
  <c r="AT51" i="19"/>
  <c r="AT292" i="19"/>
  <c r="AT194" i="19"/>
  <c r="EQ5" i="16"/>
  <c r="EL11" i="16"/>
  <c r="EL42" i="16" s="1"/>
  <c r="EK12" i="16"/>
  <c r="EK43" i="16" s="1"/>
  <c r="AT15" i="19"/>
  <c r="AT198" i="19"/>
  <c r="AT280" i="19"/>
  <c r="AT282" i="19"/>
  <c r="AT552" i="23"/>
  <c r="AU552" i="23" s="1"/>
  <c r="AT405" i="23"/>
  <c r="AT557" i="23"/>
  <c r="AT350" i="23"/>
  <c r="AT656" i="23"/>
  <c r="AT389" i="23"/>
  <c r="AT615" i="23"/>
  <c r="AT428" i="23"/>
  <c r="AT421" i="23"/>
  <c r="EK14" i="16"/>
  <c r="AT75" i="19"/>
  <c r="AT297" i="19"/>
  <c r="AT101" i="19"/>
  <c r="AT512" i="23"/>
  <c r="AT558" i="23"/>
  <c r="AU558" i="23" s="1"/>
  <c r="AT377" i="23"/>
  <c r="AU377" i="23" s="1"/>
  <c r="AX377" i="23" s="1"/>
  <c r="AT616" i="23"/>
  <c r="AT582" i="23"/>
  <c r="AT308" i="23"/>
  <c r="AT627" i="23"/>
  <c r="AT606" i="23"/>
  <c r="AU606" i="23" s="1"/>
  <c r="AT215" i="23"/>
  <c r="AT292" i="23"/>
  <c r="AT169" i="23"/>
  <c r="AT246" i="23"/>
  <c r="AT183" i="23"/>
  <c r="AT280" i="23"/>
  <c r="AT157" i="23"/>
  <c r="AT45" i="19"/>
  <c r="AT28" i="19"/>
  <c r="AT110" i="19"/>
  <c r="AT53" i="19"/>
  <c r="AT205" i="19"/>
  <c r="AT150" i="19"/>
  <c r="AT93" i="19"/>
  <c r="AT109" i="23"/>
  <c r="AU109" i="23" s="1"/>
  <c r="AX109" i="23" s="1"/>
  <c r="AT225" i="19"/>
  <c r="AT261" i="19"/>
  <c r="AT651" i="23"/>
  <c r="AT555" i="23"/>
  <c r="AT601" i="23"/>
  <c r="AU601" i="23" s="1"/>
  <c r="AT413" i="23"/>
  <c r="AT211" i="23"/>
  <c r="AT288" i="23"/>
  <c r="AT83" i="23"/>
  <c r="AT265" i="19"/>
  <c r="AT153" i="19"/>
  <c r="AT195" i="19"/>
  <c r="AT645" i="23"/>
  <c r="AT570" i="23"/>
  <c r="AT356" i="23"/>
  <c r="AT581" i="23"/>
  <c r="AT507" i="23"/>
  <c r="AT254" i="23"/>
  <c r="AT191" i="23"/>
  <c r="AU191" i="23" s="1"/>
  <c r="AT268" i="23"/>
  <c r="AU268" i="23" s="1"/>
  <c r="AT179" i="23"/>
  <c r="AT285" i="19"/>
  <c r="EL6" i="16"/>
  <c r="AT330" i="23"/>
  <c r="AT234" i="23"/>
  <c r="AU234" i="23" s="1"/>
  <c r="AT302" i="23"/>
  <c r="AT46" i="19"/>
  <c r="EL14" i="16"/>
  <c r="AT235" i="19"/>
  <c r="AT159" i="19"/>
  <c r="AT659" i="23"/>
  <c r="AT310" i="23"/>
  <c r="AT316" i="23"/>
  <c r="AT381" i="23"/>
  <c r="AT353" i="23"/>
  <c r="AT151" i="23"/>
  <c r="AT228" i="23"/>
  <c r="AT105" i="23"/>
  <c r="AT139" i="23"/>
  <c r="AU139" i="23" s="1"/>
  <c r="AT263" i="19"/>
  <c r="AU263" i="19" s="1"/>
  <c r="AT683" i="23"/>
  <c r="AT619" i="23"/>
  <c r="AT565" i="23"/>
  <c r="AT689" i="23"/>
  <c r="AT395" i="23"/>
  <c r="AU395" i="23" s="1"/>
  <c r="AT427" i="23"/>
  <c r="AT313" i="23"/>
  <c r="AT111" i="23"/>
  <c r="AT287" i="23"/>
  <c r="AT65" i="23"/>
  <c r="AT22" i="23"/>
  <c r="AT99" i="23"/>
  <c r="AT4" i="19"/>
  <c r="EK4" i="16"/>
  <c r="AT95" i="19"/>
  <c r="AT18" i="19"/>
  <c r="AT181" i="19"/>
  <c r="AT492" i="23"/>
  <c r="AT538" i="23"/>
  <c r="AU538" i="23" s="1"/>
  <c r="AT357" i="23"/>
  <c r="AU357" i="23" s="1"/>
  <c r="AT596" i="23"/>
  <c r="AT502" i="23"/>
  <c r="AT626" i="23"/>
  <c r="AT607" i="23"/>
  <c r="AT526" i="23"/>
  <c r="AU526" i="23" s="1"/>
  <c r="AT195" i="23"/>
  <c r="AT272" i="23"/>
  <c r="AT149" i="23"/>
  <c r="AT226" i="23"/>
  <c r="AT163" i="23"/>
  <c r="AT260" i="23"/>
  <c r="AT137" i="23"/>
  <c r="AT65" i="19"/>
  <c r="AT48" i="19"/>
  <c r="AT130" i="19"/>
  <c r="AT73" i="19"/>
  <c r="AT117" i="23"/>
  <c r="AT205" i="23"/>
  <c r="AT20" i="23"/>
  <c r="AU20" i="23" s="1"/>
  <c r="AX20" i="23" s="1"/>
  <c r="AT97" i="23"/>
  <c r="AU97" i="23" s="1"/>
  <c r="AX97" i="23" s="1"/>
  <c r="AT88" i="19"/>
  <c r="AT170" i="19"/>
  <c r="AT19" i="19"/>
  <c r="AT412" i="23"/>
  <c r="AT527" i="23"/>
  <c r="AU527" i="23" s="1"/>
  <c r="AT279" i="23"/>
  <c r="AT91" i="19"/>
  <c r="EL15" i="16"/>
  <c r="AT631" i="23"/>
  <c r="AT393" i="23"/>
  <c r="AT37" i="23"/>
  <c r="AT151" i="19"/>
  <c r="EQ16" i="16"/>
  <c r="AT139" i="19"/>
  <c r="AT679" i="23"/>
  <c r="AT336" i="23"/>
  <c r="AT487" i="23"/>
  <c r="AT248" i="23"/>
  <c r="AT159" i="23"/>
  <c r="AU159" i="23" s="1"/>
  <c r="AT171" i="19"/>
  <c r="AU171" i="19" s="1"/>
  <c r="EQ12" i="16"/>
  <c r="EK26" i="16"/>
  <c r="AT115" i="19"/>
  <c r="AT38" i="19"/>
  <c r="AT201" i="19"/>
  <c r="AT472" i="23"/>
  <c r="AT518" i="23"/>
  <c r="AT337" i="23"/>
  <c r="AT436" i="23"/>
  <c r="AT482" i="23"/>
  <c r="AT564" i="23"/>
  <c r="AT587" i="23"/>
  <c r="AT366" i="23"/>
  <c r="AT95" i="23"/>
  <c r="AT252" i="23"/>
  <c r="AT129" i="23"/>
  <c r="AT206" i="23"/>
  <c r="AT143" i="23"/>
  <c r="AT40" i="23"/>
  <c r="AU40" i="23" s="1"/>
  <c r="AT68" i="19"/>
  <c r="AU68" i="19" s="1"/>
  <c r="AT165" i="23"/>
  <c r="EK18" i="16"/>
  <c r="AT173" i="19"/>
  <c r="AT455" i="23"/>
  <c r="AT447" i="23"/>
  <c r="AU447" i="23" s="1"/>
  <c r="AT211" i="19"/>
  <c r="AT186" i="19"/>
  <c r="AT599" i="23"/>
  <c r="AT643" i="23"/>
  <c r="AT654" i="23"/>
  <c r="AT666" i="23"/>
  <c r="AT267" i="23"/>
  <c r="AT206" i="19"/>
  <c r="EQ19" i="16"/>
  <c r="EQ28" i="16"/>
  <c r="AT135" i="19"/>
  <c r="AT278" i="19"/>
  <c r="AT221" i="19"/>
  <c r="AT452" i="23"/>
  <c r="AU452" i="23" s="1"/>
  <c r="AT691" i="23"/>
  <c r="AU691" i="23" s="1"/>
  <c r="AT317" i="23"/>
  <c r="AT416" i="23"/>
  <c r="AT595" i="23"/>
  <c r="AT444" i="23"/>
  <c r="AT567" i="23"/>
  <c r="AU567" i="23" s="1"/>
  <c r="AT306" i="23"/>
  <c r="AT15" i="23"/>
  <c r="AT232" i="23"/>
  <c r="AT123" i="23"/>
  <c r="AT113" i="19"/>
  <c r="AT670" i="23"/>
  <c r="AT3" i="23"/>
  <c r="AT467" i="23"/>
  <c r="AT86" i="19"/>
  <c r="AT256" i="19"/>
  <c r="AT174" i="23"/>
  <c r="AT54" i="19"/>
  <c r="EL8" i="16"/>
  <c r="EL39" i="16" s="1"/>
  <c r="EL13" i="16"/>
  <c r="EL44" i="16" s="1"/>
  <c r="AT155" i="19"/>
  <c r="AU155" i="19" s="1"/>
  <c r="AT298" i="19"/>
  <c r="AT241" i="19"/>
  <c r="AT432" i="23"/>
  <c r="AT671" i="23"/>
  <c r="AT690" i="23"/>
  <c r="AU690" i="23" s="1"/>
  <c r="AT396" i="23"/>
  <c r="AT575" i="23"/>
  <c r="AT621" i="23"/>
  <c r="AT547" i="23"/>
  <c r="AT633" i="23"/>
  <c r="AT294" i="23"/>
  <c r="AT231" i="23"/>
  <c r="AT89" i="23"/>
  <c r="AT185" i="23"/>
  <c r="AT103" i="23"/>
  <c r="AT299" i="23"/>
  <c r="AT77" i="23"/>
  <c r="AT245" i="19"/>
  <c r="AT108" i="19"/>
  <c r="AU108" i="19" s="1"/>
  <c r="AX108" i="19" s="1"/>
  <c r="AT71" i="19"/>
  <c r="AU71" i="19" s="1"/>
  <c r="AT133" i="19"/>
  <c r="EQ18" i="16"/>
  <c r="EK5" i="16"/>
  <c r="AT175" i="19"/>
  <c r="AT376" i="23"/>
  <c r="AU376" i="23" s="1"/>
  <c r="AX376" i="23" s="1"/>
  <c r="AT274" i="23"/>
  <c r="AT57" i="23"/>
  <c r="AT119" i="19"/>
  <c r="AT475" i="23"/>
  <c r="AT145" i="23"/>
  <c r="AT148" i="19"/>
  <c r="AT611" i="23"/>
  <c r="AT401" i="23"/>
  <c r="AT373" i="23"/>
  <c r="AT125" i="23"/>
  <c r="AT17" i="23"/>
  <c r="AT168" i="19"/>
  <c r="EL29" i="16"/>
  <c r="EL60" i="16" s="1"/>
  <c r="AT591" i="23"/>
  <c r="AU591" i="23" s="1"/>
  <c r="AT435" i="23"/>
  <c r="AU435" i="23" s="1"/>
  <c r="AT214" i="23"/>
  <c r="AT202" i="23"/>
  <c r="AT66" i="19"/>
  <c r="AT191" i="19"/>
  <c r="AT233" i="19"/>
  <c r="EK16" i="16"/>
  <c r="AT639" i="23"/>
  <c r="AT571" i="23"/>
  <c r="AT415" i="23"/>
  <c r="AT333" i="23"/>
  <c r="AT208" i="23"/>
  <c r="AT42" i="23"/>
  <c r="AT283" i="19"/>
  <c r="AT293" i="19"/>
  <c r="AT199" i="19"/>
  <c r="AT663" i="23"/>
  <c r="AT369" i="23"/>
  <c r="AT19" i="23"/>
  <c r="AT251" i="19"/>
  <c r="AU251" i="19" s="1"/>
  <c r="AT296" i="19"/>
  <c r="AU296" i="19" s="1"/>
  <c r="AX296" i="19" s="1"/>
  <c r="AT579" i="23"/>
  <c r="AT365" i="23"/>
  <c r="AT451" i="23"/>
  <c r="AT623" i="23"/>
  <c r="AT349" i="23"/>
  <c r="AU349" i="23" s="1"/>
  <c r="AT355" i="23"/>
  <c r="AT634" i="23"/>
  <c r="AT500" i="23"/>
  <c r="AT326" i="23"/>
  <c r="AT153" i="23"/>
  <c r="AT11" i="23"/>
  <c r="AT25" i="23"/>
  <c r="AT221" i="23"/>
  <c r="AT298" i="23"/>
  <c r="AT226" i="19"/>
  <c r="AT271" i="19"/>
  <c r="EQ4" i="16"/>
  <c r="AT17" i="19"/>
  <c r="AT259" i="19"/>
  <c r="AU259" i="19" s="1"/>
  <c r="AT664" i="23"/>
  <c r="AU664" i="23" s="1"/>
  <c r="AT431" i="23"/>
  <c r="AT603" i="23"/>
  <c r="AT128" i="19"/>
  <c r="AT625" i="23"/>
  <c r="EL27" i="16"/>
  <c r="EL58" i="16" s="1"/>
  <c r="AT551" i="23"/>
  <c r="AT231" i="19"/>
  <c r="AT74" i="19"/>
  <c r="AT239" i="19"/>
  <c r="AT247" i="23"/>
  <c r="AT281" i="19"/>
  <c r="AT171" i="23"/>
  <c r="AT96" i="19"/>
  <c r="AT131" i="23"/>
  <c r="AT215" i="19"/>
  <c r="AT193" i="19"/>
  <c r="AT605" i="23"/>
  <c r="AT188" i="19"/>
  <c r="AT179" i="19"/>
  <c r="AU179" i="19" s="1"/>
  <c r="AX179" i="19" s="1"/>
  <c r="AT585" i="23"/>
  <c r="AU585" i="23" s="1"/>
  <c r="AT486" i="23"/>
  <c r="AT361" i="23"/>
  <c r="AT194" i="23"/>
  <c r="AT85" i="23"/>
  <c r="AU85" i="23" s="1"/>
  <c r="AT119" i="23"/>
  <c r="AU119" i="23" s="1"/>
  <c r="AX119" i="23" s="1"/>
  <c r="AT248" i="19"/>
  <c r="AT674" i="23"/>
  <c r="AT169" i="19"/>
  <c r="EQ21" i="16"/>
  <c r="AT219" i="19"/>
  <c r="AT471" i="23"/>
  <c r="AT173" i="23"/>
  <c r="AT301" i="23"/>
  <c r="AT189" i="19"/>
  <c r="EQ13" i="16"/>
  <c r="AT209" i="19"/>
  <c r="AT214" i="19"/>
  <c r="EK23" i="16"/>
  <c r="EK54" i="16" s="1"/>
  <c r="AT276" i="19"/>
  <c r="AU276" i="19" s="1"/>
  <c r="AT385" i="23"/>
  <c r="AU385" i="23" s="1"/>
  <c r="AX385" i="23" s="1"/>
  <c r="AT375" i="23"/>
  <c r="AT407" i="23"/>
  <c r="AT91" i="23"/>
  <c r="AT45" i="23"/>
  <c r="AU45" i="23" s="1"/>
  <c r="AT24" i="19"/>
  <c r="AT44" i="19"/>
  <c r="AT279" i="19"/>
  <c r="AT537" i="23"/>
  <c r="AT408" i="23"/>
  <c r="AT236" i="23"/>
  <c r="AT227" i="23"/>
  <c r="AT300" i="23"/>
  <c r="AT207" i="19"/>
  <c r="AT300" i="19"/>
  <c r="AT457" i="23"/>
  <c r="AT388" i="23"/>
  <c r="AT216" i="23"/>
  <c r="AT127" i="23"/>
  <c r="AT278" i="23"/>
  <c r="AU278" i="23" s="1"/>
  <c r="AT227" i="19"/>
  <c r="AU227" i="19" s="1"/>
  <c r="AX227" i="19" s="1"/>
  <c r="AT21" i="19"/>
  <c r="AT437" i="23"/>
  <c r="AT368" i="23"/>
  <c r="AT196" i="23"/>
  <c r="AU196" i="23" s="1"/>
  <c r="AT107" i="23"/>
  <c r="AU107" i="23" s="1"/>
  <c r="AX107" i="23" s="1"/>
  <c r="AT258" i="23"/>
  <c r="AT229" i="19"/>
  <c r="EK6" i="16"/>
  <c r="AT41" i="19"/>
  <c r="AT417" i="23"/>
  <c r="AT348" i="23"/>
  <c r="AT87" i="23"/>
  <c r="AT18" i="23"/>
  <c r="AT249" i="19"/>
  <c r="EK28" i="16"/>
  <c r="EK59" i="16" s="1"/>
  <c r="AT61" i="19"/>
  <c r="AT397" i="23"/>
  <c r="AT328" i="23"/>
  <c r="AU328" i="23" s="1"/>
  <c r="AT255" i="23"/>
  <c r="AU255" i="23" s="1"/>
  <c r="AT7" i="23"/>
  <c r="AU7" i="23" s="1"/>
  <c r="AX7" i="23" s="1"/>
  <c r="AT297" i="23"/>
  <c r="AT269" i="19"/>
  <c r="EK27" i="16"/>
  <c r="AT81" i="19"/>
  <c r="AT443" i="23"/>
  <c r="AU443" i="23" s="1"/>
  <c r="AT614" i="23"/>
  <c r="AT235" i="23"/>
  <c r="AT286" i="23"/>
  <c r="AT217" i="23"/>
  <c r="AT289" i="19"/>
  <c r="EK7" i="16"/>
  <c r="AT423" i="23"/>
  <c r="AT594" i="23"/>
  <c r="AT266" i="23"/>
  <c r="AT50" i="19"/>
  <c r="EL28" i="16"/>
  <c r="EL59" i="16" s="1"/>
  <c r="AT574" i="23"/>
  <c r="AU574" i="23" s="1"/>
  <c r="AT177" i="23"/>
  <c r="AU177" i="23" s="1"/>
  <c r="AT93" i="23"/>
  <c r="AU93" i="23" s="1"/>
  <c r="AX93" i="23" s="1"/>
  <c r="AT499" i="23"/>
  <c r="AU499" i="23" s="1"/>
  <c r="AT363" i="23"/>
  <c r="AT534" i="23"/>
  <c r="AT73" i="23"/>
  <c r="AT264" i="23"/>
  <c r="AU264" i="23" s="1"/>
  <c r="AT291" i="19"/>
  <c r="AT379" i="23"/>
  <c r="AT329" i="23"/>
  <c r="AT647" i="23"/>
  <c r="AT33" i="23"/>
  <c r="AT243" i="23"/>
  <c r="AT124" i="19"/>
  <c r="AT532" i="23"/>
  <c r="AT678" i="23"/>
  <c r="AT460" i="23"/>
  <c r="AT203" i="23"/>
  <c r="AT92" i="19"/>
  <c r="AT37" i="19"/>
  <c r="AT662" i="23"/>
  <c r="AU662" i="23" s="1"/>
  <c r="AT13" i="19"/>
  <c r="AU13" i="19" s="1"/>
  <c r="AX13" i="19" s="1"/>
  <c r="AT57" i="19"/>
  <c r="AU57" i="19" s="1"/>
  <c r="AX57" i="19" s="1"/>
  <c r="AT420" i="23"/>
  <c r="AT181" i="23"/>
  <c r="AT618" i="23"/>
  <c r="AT150" i="23"/>
  <c r="AU150" i="23" s="1"/>
  <c r="AT161" i="23"/>
  <c r="AU161" i="23" s="1"/>
  <c r="AT234" i="19"/>
  <c r="AT320" i="23"/>
  <c r="AT254" i="19"/>
  <c r="EL18" i="16"/>
  <c r="EL49" i="16" s="1"/>
  <c r="AT116" i="23"/>
  <c r="AT559" i="23"/>
  <c r="AT133" i="23"/>
  <c r="AT197" i="23"/>
  <c r="AT539" i="23"/>
  <c r="AT403" i="23"/>
  <c r="AT113" i="23"/>
  <c r="AT5" i="23"/>
  <c r="AT70" i="19"/>
  <c r="AT519" i="23"/>
  <c r="AU519" i="23" s="1"/>
  <c r="AT383" i="23"/>
  <c r="AU383" i="23" s="1"/>
  <c r="AX383" i="23" s="1"/>
  <c r="AT554" i="23"/>
  <c r="AT284" i="23"/>
  <c r="AT64" i="19"/>
  <c r="AT90" i="19"/>
  <c r="AT84" i="19"/>
  <c r="AT479" i="23"/>
  <c r="AT636" i="23"/>
  <c r="AT514" i="23"/>
  <c r="AT53" i="23"/>
  <c r="AT263" i="23"/>
  <c r="AT104" i="19"/>
  <c r="AT12" i="19"/>
  <c r="AT32" i="19"/>
  <c r="AT35" i="19"/>
  <c r="AT309" i="23"/>
  <c r="AT480" i="23"/>
  <c r="AT13" i="23"/>
  <c r="AT223" i="23"/>
  <c r="AU223" i="23" s="1"/>
  <c r="AT144" i="19"/>
  <c r="AU144" i="19" s="1"/>
  <c r="AT52" i="19"/>
  <c r="AU52" i="19" s="1"/>
  <c r="AX52" i="19" s="1"/>
  <c r="AT55" i="19"/>
  <c r="AT682" i="23"/>
  <c r="AT290" i="23"/>
  <c r="AT164" i="19"/>
  <c r="AT440" i="23"/>
  <c r="AU440" i="23" s="1"/>
  <c r="AT270" i="23"/>
  <c r="AT201" i="23"/>
  <c r="AT184" i="19"/>
  <c r="AT638" i="23"/>
  <c r="AT250" i="23"/>
  <c r="AT246" i="19"/>
  <c r="AT622" i="23"/>
  <c r="AT266" i="19"/>
  <c r="AT141" i="23"/>
  <c r="AT658" i="23"/>
  <c r="AT642" i="23"/>
  <c r="AT33" i="19"/>
  <c r="AT77" i="19"/>
  <c r="AT400" i="23"/>
  <c r="AU400" i="23" s="1"/>
  <c r="AT97" i="19"/>
  <c r="AU97" i="19" s="1"/>
  <c r="AT598" i="23"/>
  <c r="AT602" i="23"/>
  <c r="AT289" i="23"/>
  <c r="AT286" i="19"/>
  <c r="AT257" i="19"/>
  <c r="AT277" i="19"/>
  <c r="AT578" i="23"/>
  <c r="AT411" i="23"/>
  <c r="AT335" i="23"/>
  <c r="AT648" i="23"/>
  <c r="AT646" i="23"/>
  <c r="AT256" i="23"/>
  <c r="AT209" i="23"/>
  <c r="AT189" i="23"/>
  <c r="AT41" i="23"/>
  <c r="AT21" i="23"/>
  <c r="AT167" i="19"/>
  <c r="AT187" i="19"/>
  <c r="AT274" i="19"/>
  <c r="AU274" i="19" s="1"/>
  <c r="AT294" i="19"/>
  <c r="AU294" i="19" s="1"/>
  <c r="G12" i="12"/>
  <c r="G13" i="12"/>
  <c r="AU275" i="23" l="1"/>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Z540" i="23" s="1"/>
  <c r="AU62" i="23"/>
  <c r="AX62" i="23" s="1"/>
  <c r="AY62" i="23" s="1"/>
  <c r="AU560" i="23"/>
  <c r="AU577" i="23"/>
  <c r="AU434" i="23"/>
  <c r="AU588" i="23"/>
  <c r="AX588" i="23" s="1"/>
  <c r="AZ588" i="23" s="1"/>
  <c r="AU442" i="23"/>
  <c r="AX442" i="23" s="1"/>
  <c r="AZ442" i="23" s="1"/>
  <c r="AU188" i="23"/>
  <c r="AU9" i="23"/>
  <c r="AX9" i="23" s="1"/>
  <c r="AU665" i="23"/>
  <c r="AU58" i="23"/>
  <c r="AU429" i="23"/>
  <c r="EK44" i="16"/>
  <c r="AU411" i="23"/>
  <c r="AU184" i="19"/>
  <c r="AU514" i="23"/>
  <c r="AU254" i="19"/>
  <c r="AX254" i="19" s="1"/>
  <c r="AZ254" i="19" s="1"/>
  <c r="AU647" i="23"/>
  <c r="AU286" i="23"/>
  <c r="AU169" i="19"/>
  <c r="AX169" i="19" s="1"/>
  <c r="AZ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EK35" i="16"/>
  <c r="AU381" i="23"/>
  <c r="AX381" i="23" s="1"/>
  <c r="AZ381" i="23" s="1"/>
  <c r="AU570" i="23"/>
  <c r="EK45"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EK38"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AZ53" i="23" s="1"/>
  <c r="EK37" i="16"/>
  <c r="AU537" i="23"/>
  <c r="AX537" i="23" s="1"/>
  <c r="AZ537" i="23" s="1"/>
  <c r="AU599" i="23"/>
  <c r="AX599" i="23" s="1"/>
  <c r="AZ599" i="23" s="1"/>
  <c r="EL46" i="16"/>
  <c r="AU149" i="23"/>
  <c r="AX149" i="23" s="1"/>
  <c r="AZ149" i="23" s="1"/>
  <c r="AU111" i="23"/>
  <c r="AX111" i="23" s="1"/>
  <c r="AZ111" i="23" s="1"/>
  <c r="EL45" i="16"/>
  <c r="AU288" i="23"/>
  <c r="AX288" i="23" s="1"/>
  <c r="AZ288" i="23" s="1"/>
  <c r="AU169" i="23"/>
  <c r="AX169" i="23" s="1"/>
  <c r="AZ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Z41" i="19" s="1"/>
  <c r="AU408" i="23"/>
  <c r="AX408" i="23" s="1"/>
  <c r="AZ408" i="23" s="1"/>
  <c r="AU239" i="19"/>
  <c r="AX239" i="19" s="1"/>
  <c r="AZ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Z436" i="23" s="1"/>
  <c r="AU631" i="23"/>
  <c r="AX631" i="23" s="1"/>
  <c r="AZ631" i="23" s="1"/>
  <c r="AU226" i="23"/>
  <c r="AX226" i="23" s="1"/>
  <c r="AZ226" i="23" s="1"/>
  <c r="AU287" i="23"/>
  <c r="AX287" i="23" s="1"/>
  <c r="AZ287" i="23" s="1"/>
  <c r="AU235" i="19"/>
  <c r="AX235" i="19" s="1"/>
  <c r="AZ235" i="19" s="1"/>
  <c r="AU74" i="19"/>
  <c r="AX74" i="19" s="1"/>
  <c r="AY74" i="19" s="1"/>
  <c r="AU119" i="19"/>
  <c r="AX119" i="19" s="1"/>
  <c r="AZ119" i="19" s="1"/>
  <c r="AU223" i="19"/>
  <c r="AX223" i="19" s="1"/>
  <c r="AZ223" i="19" s="1"/>
  <c r="AU293" i="19"/>
  <c r="AX293" i="19" s="1"/>
  <c r="AU86" i="19"/>
  <c r="AX86" i="19" s="1"/>
  <c r="AU139" i="19"/>
  <c r="AU48" i="19"/>
  <c r="AX48" i="19" s="1"/>
  <c r="AU289" i="19"/>
  <c r="AU219" i="19"/>
  <c r="AU113" i="19"/>
  <c r="AU159" i="19"/>
  <c r="AU265" i="19"/>
  <c r="AX265" i="19" s="1"/>
  <c r="AU389" i="23"/>
  <c r="AX389" i="23" s="1"/>
  <c r="AU60" i="23"/>
  <c r="AX60" i="23" s="1"/>
  <c r="AY60" i="23" s="1"/>
  <c r="DH28" i="16"/>
  <c r="AU295" i="23"/>
  <c r="AX295" i="23" s="1"/>
  <c r="AZ295" i="23" s="1"/>
  <c r="AU578" i="23"/>
  <c r="AX578" i="23" s="1"/>
  <c r="AZ578" i="23" s="1"/>
  <c r="AU201" i="23"/>
  <c r="AX201" i="23" s="1"/>
  <c r="AZ201" i="23" s="1"/>
  <c r="AU636" i="23"/>
  <c r="AX636" i="23" s="1"/>
  <c r="AU320" i="23"/>
  <c r="AU329" i="23"/>
  <c r="AU235" i="23"/>
  <c r="AU229" i="19"/>
  <c r="AU279" i="19"/>
  <c r="AX279" i="19" s="1"/>
  <c r="AU674" i="23"/>
  <c r="AX674" i="23" s="1"/>
  <c r="AU231" i="19"/>
  <c r="AU634" i="23"/>
  <c r="AX634" i="23" s="1"/>
  <c r="AZ634" i="23" s="1"/>
  <c r="AU639" i="23"/>
  <c r="AX639" i="23" s="1"/>
  <c r="AZ639" i="23" s="1"/>
  <c r="AU57" i="23"/>
  <c r="AX57" i="23" s="1"/>
  <c r="AY57" i="23" s="1"/>
  <c r="AU575" i="23"/>
  <c r="AX575" i="23" s="1"/>
  <c r="AZ575" i="23" s="1"/>
  <c r="AU15" i="23"/>
  <c r="AX15" i="23" s="1"/>
  <c r="AZ15" i="23" s="1"/>
  <c r="AU186" i="19"/>
  <c r="AX186" i="19" s="1"/>
  <c r="AY186" i="19" s="1"/>
  <c r="AU518" i="23"/>
  <c r="AX518" i="23" s="1"/>
  <c r="AZ518" i="23" s="1"/>
  <c r="AU91" i="19"/>
  <c r="AX91" i="19" s="1"/>
  <c r="AY91" i="19" s="1"/>
  <c r="AU272" i="23"/>
  <c r="AX272" i="23" s="1"/>
  <c r="AZ272" i="23" s="1"/>
  <c r="AU313" i="23"/>
  <c r="AX313" i="23" s="1"/>
  <c r="AZ313" i="23" s="1"/>
  <c r="AU46" i="19"/>
  <c r="AX46" i="19" s="1"/>
  <c r="AZ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Y134" i="19" s="1"/>
  <c r="AU501" i="23"/>
  <c r="AX501" i="23" s="1"/>
  <c r="AZ501" i="23" s="1"/>
  <c r="AU210" i="19"/>
  <c r="AX210" i="19" s="1"/>
  <c r="AY210" i="19" s="1"/>
  <c r="AU422" i="23"/>
  <c r="AX422" i="23" s="1"/>
  <c r="AZ422" i="23" s="1"/>
  <c r="AU268" i="19"/>
  <c r="AX268" i="19" s="1"/>
  <c r="AY268" i="19" s="1"/>
  <c r="AU649" i="23"/>
  <c r="AX649" i="23" s="1"/>
  <c r="AZ649" i="23" s="1"/>
  <c r="AU130" i="23"/>
  <c r="AX130" i="23" s="1"/>
  <c r="AZ130" i="23" s="1"/>
  <c r="AU116" i="19"/>
  <c r="AU170" i="23"/>
  <c r="AX170" i="23" s="1"/>
  <c r="AZ170" i="23" s="1"/>
  <c r="AU399" i="23"/>
  <c r="AX399" i="23" s="1"/>
  <c r="AZ399" i="23" s="1"/>
  <c r="AU219" i="23"/>
  <c r="AX219" i="23" s="1"/>
  <c r="AZ219" i="23" s="1"/>
  <c r="AU476" i="23"/>
  <c r="AX476" i="23" s="1"/>
  <c r="AU109" i="19"/>
  <c r="AX109" i="19" s="1"/>
  <c r="AZ109" i="19" s="1"/>
  <c r="AU384" i="23"/>
  <c r="AX384" i="23" s="1"/>
  <c r="AZ384" i="23" s="1"/>
  <c r="AU72" i="19"/>
  <c r="AX72" i="19" s="1"/>
  <c r="AY72" i="19" s="1"/>
  <c r="AU484" i="23"/>
  <c r="AX484" i="23" s="1"/>
  <c r="AZ484" i="23" s="1"/>
  <c r="AU255" i="19"/>
  <c r="AX255" i="19" s="1"/>
  <c r="AZ255" i="19" s="1"/>
  <c r="AU157" i="19"/>
  <c r="AX157" i="19" s="1"/>
  <c r="AY157" i="19" s="1"/>
  <c r="AU152" i="23"/>
  <c r="AX152" i="23" s="1"/>
  <c r="AZ152" i="23" s="1"/>
  <c r="AU325" i="23"/>
  <c r="AX325" i="23" s="1"/>
  <c r="AZ325" i="23" s="1"/>
  <c r="AU229" i="23"/>
  <c r="AX229" i="23" s="1"/>
  <c r="AZ229" i="23" s="1"/>
  <c r="EK46" i="16"/>
  <c r="AU172" i="19"/>
  <c r="AX172" i="19" s="1"/>
  <c r="AZ172" i="19" s="1"/>
  <c r="AU190" i="19"/>
  <c r="AX190" i="19" s="1"/>
  <c r="AY190" i="19" s="1"/>
  <c r="AU58" i="19"/>
  <c r="AX58" i="19" s="1"/>
  <c r="AZ58" i="19" s="1"/>
  <c r="AU277" i="19"/>
  <c r="AU234" i="19"/>
  <c r="AU44" i="19"/>
  <c r="AU248" i="19"/>
  <c r="AX248" i="19" s="1"/>
  <c r="AZ248" i="19" s="1"/>
  <c r="EK47" i="16"/>
  <c r="AU274" i="23"/>
  <c r="AX274" i="23" s="1"/>
  <c r="AZ274" i="23" s="1"/>
  <c r="AU396" i="23"/>
  <c r="AX396" i="23" s="1"/>
  <c r="AZ396" i="23" s="1"/>
  <c r="AU306" i="23"/>
  <c r="AU211" i="19"/>
  <c r="AX211" i="19" s="1"/>
  <c r="AY211" i="19" s="1"/>
  <c r="AU472" i="23"/>
  <c r="AX472" i="23" s="1"/>
  <c r="AY472" i="23" s="1"/>
  <c r="AU279" i="23"/>
  <c r="AU195" i="23"/>
  <c r="AX195" i="23" s="1"/>
  <c r="AZ195" i="23" s="1"/>
  <c r="AU427" i="23"/>
  <c r="AX427" i="23" s="1"/>
  <c r="AZ427" i="23" s="1"/>
  <c r="AU302" i="23"/>
  <c r="AX302" i="23" s="1"/>
  <c r="AZ302" i="23" s="1"/>
  <c r="AU413" i="23"/>
  <c r="AU215" i="23"/>
  <c r="AX215" i="23" s="1"/>
  <c r="AZ215" i="23" s="1"/>
  <c r="AU405" i="23"/>
  <c r="AX405" i="23" s="1"/>
  <c r="AZ405" i="23" s="1"/>
  <c r="AU34" i="23"/>
  <c r="AX34" i="23" s="1"/>
  <c r="AY34" i="23" s="1"/>
  <c r="AU174" i="19"/>
  <c r="AX174" i="19" s="1"/>
  <c r="AZ174" i="19" s="1"/>
  <c r="AU461" i="23"/>
  <c r="AX461" i="23" s="1"/>
  <c r="AY461" i="23" s="1"/>
  <c r="AU154" i="19"/>
  <c r="AX154" i="19" s="1"/>
  <c r="AY154" i="19" s="1"/>
  <c r="AU481" i="23"/>
  <c r="AX481" i="23" s="1"/>
  <c r="AY481" i="23" s="1"/>
  <c r="AU192" i="19"/>
  <c r="AX192" i="19" s="1"/>
  <c r="AY192" i="19" s="1"/>
  <c r="AU568" i="23"/>
  <c r="AX568" i="23" s="1"/>
  <c r="AZ568" i="23" s="1"/>
  <c r="AU288" i="19"/>
  <c r="AX288" i="19" s="1"/>
  <c r="AZ288" i="19" s="1"/>
  <c r="AU629" i="23"/>
  <c r="AX629" i="23" s="1"/>
  <c r="AY629" i="23" s="1"/>
  <c r="AU7" i="19"/>
  <c r="AU323" i="23"/>
  <c r="AX323" i="23" s="1"/>
  <c r="AZ323" i="23" s="1"/>
  <c r="AU212" i="23"/>
  <c r="AX212" i="23" s="1"/>
  <c r="AZ212" i="23" s="1"/>
  <c r="EK52" i="16"/>
  <c r="AU32" i="23"/>
  <c r="AX32" i="23" s="1"/>
  <c r="AZ32" i="23" s="1"/>
  <c r="AU122" i="19"/>
  <c r="AX122" i="19" s="1"/>
  <c r="AZ122" i="19" s="1"/>
  <c r="AU81" i="23"/>
  <c r="AX81" i="23" s="1"/>
  <c r="AZ81" i="23" s="1"/>
  <c r="AU543" i="23"/>
  <c r="AX543" i="23" s="1"/>
  <c r="AZ543" i="23" s="1"/>
  <c r="AU267" i="19"/>
  <c r="AX267" i="19" s="1"/>
  <c r="AY267" i="19" s="1"/>
  <c r="AU321" i="23"/>
  <c r="AU230" i="19"/>
  <c r="AX230" i="19" s="1"/>
  <c r="AZ230" i="19" s="1"/>
  <c r="AU660" i="23"/>
  <c r="AX660" i="23" s="1"/>
  <c r="AZ660" i="23" s="1"/>
  <c r="EL51" i="16"/>
  <c r="AU253" i="23"/>
  <c r="AX253" i="23" s="1"/>
  <c r="AU332" i="23"/>
  <c r="AU31" i="23"/>
  <c r="AX31" i="23" s="1"/>
  <c r="AZ31" i="23" s="1"/>
  <c r="EL50" i="16"/>
  <c r="AU252" i="19"/>
  <c r="AX252" i="19" s="1"/>
  <c r="AZ252" i="19" s="1"/>
  <c r="AU488" i="23"/>
  <c r="AX488" i="23" s="1"/>
  <c r="AZ488" i="23" s="1"/>
  <c r="AU250" i="19"/>
  <c r="AX250" i="19" s="1"/>
  <c r="AY250" i="19" s="1"/>
  <c r="AU322" i="23"/>
  <c r="AX322" i="23" s="1"/>
  <c r="AZ322" i="23" s="1"/>
  <c r="AU27" i="19"/>
  <c r="AX27" i="19" s="1"/>
  <c r="AY27" i="19" s="1"/>
  <c r="AU303" i="23"/>
  <c r="AX303" i="23" s="1"/>
  <c r="AU85" i="19"/>
  <c r="AX85" i="19" s="1"/>
  <c r="AZ85" i="19" s="1"/>
  <c r="AU530" i="23"/>
  <c r="AX530" i="23" s="1"/>
  <c r="AZ530" i="23" s="1"/>
  <c r="AU154" i="23"/>
  <c r="AX154" i="23" s="1"/>
  <c r="AZ154" i="23" s="1"/>
  <c r="AU193" i="23"/>
  <c r="AX193" i="23" s="1"/>
  <c r="AZ193" i="23" s="1"/>
  <c r="AU260" i="19"/>
  <c r="AX260" i="19" s="1"/>
  <c r="AZ260" i="19" s="1"/>
  <c r="AU242" i="23"/>
  <c r="AX242" i="23" s="1"/>
  <c r="AZ242" i="23" s="1"/>
  <c r="AU610" i="23"/>
  <c r="AX610" i="23" s="1"/>
  <c r="AZ610" i="23" s="1"/>
  <c r="AU126" i="19"/>
  <c r="AX126" i="19" s="1"/>
  <c r="AY126" i="19" s="1"/>
  <c r="AU546" i="23"/>
  <c r="AX546" i="23" s="1"/>
  <c r="AZ546" i="23" s="1"/>
  <c r="AU89" i="19"/>
  <c r="AX89" i="19" s="1"/>
  <c r="AY89" i="19" s="1"/>
  <c r="AU446" i="23"/>
  <c r="EK42" i="16"/>
  <c r="AU84" i="19"/>
  <c r="AX84" i="19" s="1"/>
  <c r="AZ84" i="19" s="1"/>
  <c r="AU24" i="19"/>
  <c r="AX24" i="19" s="1"/>
  <c r="AZ24" i="19" s="1"/>
  <c r="AU201" i="19"/>
  <c r="AX201" i="19" s="1"/>
  <c r="AZ201" i="19" s="1"/>
  <c r="AU272" i="19"/>
  <c r="AX272" i="19" s="1"/>
  <c r="AY272" i="19" s="1"/>
  <c r="AU286" i="19"/>
  <c r="AU164" i="19"/>
  <c r="AX164" i="19" s="1"/>
  <c r="AZ164" i="19" s="1"/>
  <c r="AU90" i="19"/>
  <c r="AX90" i="19" s="1"/>
  <c r="AY90" i="19" s="1"/>
  <c r="AU81" i="19"/>
  <c r="AX81" i="19" s="1"/>
  <c r="AU191" i="19"/>
  <c r="AU175" i="19"/>
  <c r="AX175" i="19" s="1"/>
  <c r="AZ175" i="19" s="1"/>
  <c r="AU671" i="23"/>
  <c r="AU444" i="23"/>
  <c r="AX444" i="23" s="1"/>
  <c r="AZ444" i="23" s="1"/>
  <c r="AU455" i="23"/>
  <c r="AX455" i="23" s="1"/>
  <c r="AU38" i="19"/>
  <c r="AX38" i="19" s="1"/>
  <c r="AU412" i="23"/>
  <c r="AU607" i="23"/>
  <c r="AX607" i="23" s="1"/>
  <c r="AZ607" i="23" s="1"/>
  <c r="AU689" i="23"/>
  <c r="AX689" i="23" s="1"/>
  <c r="AZ689" i="23" s="1"/>
  <c r="AU330" i="23"/>
  <c r="AU555" i="23"/>
  <c r="AU627" i="23"/>
  <c r="AX627" i="23" s="1"/>
  <c r="AZ627" i="23" s="1"/>
  <c r="AU282" i="19"/>
  <c r="AX282" i="19" s="1"/>
  <c r="AZ282" i="19" s="1"/>
  <c r="AU433" i="23"/>
  <c r="AU31" i="19"/>
  <c r="AX31" i="19" s="1"/>
  <c r="AY31" i="19" s="1"/>
  <c r="AU655" i="23"/>
  <c r="AX655" i="23" s="1"/>
  <c r="AZ655" i="23" s="1"/>
  <c r="AU11" i="19"/>
  <c r="AU675" i="23"/>
  <c r="AX675" i="23" s="1"/>
  <c r="AZ675" i="23" s="1"/>
  <c r="AU9" i="19"/>
  <c r="AX9" i="19" s="1"/>
  <c r="AY9" i="19" s="1"/>
  <c r="AU609" i="23"/>
  <c r="AX609" i="23" s="1"/>
  <c r="AY609" i="23" s="1"/>
  <c r="AU105" i="19"/>
  <c r="AX105" i="19" s="1"/>
  <c r="AU450" i="23"/>
  <c r="AX450" i="23" s="1"/>
  <c r="AZ450" i="23" s="1"/>
  <c r="AU3" i="19"/>
  <c r="AU371" i="23"/>
  <c r="AU96" i="23"/>
  <c r="AX96" i="23" s="1"/>
  <c r="AZ96" i="23" s="1"/>
  <c r="EK39" i="16"/>
  <c r="AU115" i="23"/>
  <c r="AX115" i="23" s="1"/>
  <c r="AZ115" i="23" s="1"/>
  <c r="AU99" i="19"/>
  <c r="AU84" i="23"/>
  <c r="AU677" i="23"/>
  <c r="AX677" i="23" s="1"/>
  <c r="AZ677" i="23" s="1"/>
  <c r="AU284" i="19"/>
  <c r="AU346" i="23"/>
  <c r="AX346" i="23" s="1"/>
  <c r="AZ346" i="23" s="1"/>
  <c r="AU247" i="19"/>
  <c r="AX247" i="19" s="1"/>
  <c r="AY247" i="19" s="1"/>
  <c r="AU341" i="23"/>
  <c r="EK53" i="16"/>
  <c r="AU257" i="19"/>
  <c r="AX257" i="19" s="1"/>
  <c r="AZ257" i="19" s="1"/>
  <c r="AU291" i="19"/>
  <c r="AX291" i="19" s="1"/>
  <c r="AZ291" i="19" s="1"/>
  <c r="AU233" i="19"/>
  <c r="AX233" i="19" s="1"/>
  <c r="AZ233" i="19" s="1"/>
  <c r="AU64" i="19"/>
  <c r="AU203" i="19"/>
  <c r="AX203" i="19" s="1"/>
  <c r="AU489" i="23"/>
  <c r="AX489" i="23" s="1"/>
  <c r="AZ489" i="23" s="1"/>
  <c r="AU138" i="23"/>
  <c r="AU338" i="23"/>
  <c r="AX338" i="23" s="1"/>
  <c r="AU158" i="23"/>
  <c r="AX158" i="23" s="1"/>
  <c r="AZ158" i="23" s="1"/>
  <c r="AU358" i="23"/>
  <c r="AX358" i="23" s="1"/>
  <c r="AZ358" i="23" s="1"/>
  <c r="AU120" i="23"/>
  <c r="AX120" i="23" s="1"/>
  <c r="AZ120" i="23" s="1"/>
  <c r="AU485" i="23"/>
  <c r="AX485" i="23" s="1"/>
  <c r="AZ485" i="23" s="1"/>
  <c r="AU204" i="23"/>
  <c r="AX204" i="23" s="1"/>
  <c r="AZ204" i="23" s="1"/>
  <c r="AU42" i="19"/>
  <c r="AX42" i="19" s="1"/>
  <c r="AU166" i="23"/>
  <c r="AU80" i="19"/>
  <c r="AX80" i="19" s="1"/>
  <c r="AZ80" i="19" s="1"/>
  <c r="AU628" i="23"/>
  <c r="AX628" i="23" s="1"/>
  <c r="AY628" i="23" s="1"/>
  <c r="AU8" i="19"/>
  <c r="AX8" i="19" s="1"/>
  <c r="AY8" i="19" s="1"/>
  <c r="AU344" i="23"/>
  <c r="AU93" i="19"/>
  <c r="AX93" i="19" s="1"/>
  <c r="AY93" i="19" s="1"/>
  <c r="AU17" i="19"/>
  <c r="AX17" i="19" s="1"/>
  <c r="AZ17" i="19" s="1"/>
  <c r="AU245" i="19"/>
  <c r="AX245" i="19" s="1"/>
  <c r="AY245" i="19" s="1"/>
  <c r="AU221" i="19"/>
  <c r="AX221" i="19" s="1"/>
  <c r="AZ221" i="19" s="1"/>
  <c r="AU167" i="19"/>
  <c r="AU33" i="19"/>
  <c r="AX33" i="19" s="1"/>
  <c r="AY33" i="19" s="1"/>
  <c r="AU37" i="19"/>
  <c r="AU397" i="23"/>
  <c r="AX397" i="23" s="1"/>
  <c r="AZ397" i="23" s="1"/>
  <c r="AU216" i="23"/>
  <c r="AX216" i="23" s="1"/>
  <c r="AZ216" i="23" s="1"/>
  <c r="AU214" i="19"/>
  <c r="AX214" i="19" s="1"/>
  <c r="AY214" i="19" s="1"/>
  <c r="AU605" i="23"/>
  <c r="AX605" i="23" s="1"/>
  <c r="AY605" i="23" s="1"/>
  <c r="AU369" i="23"/>
  <c r="AX369" i="23" s="1"/>
  <c r="AU168" i="19"/>
  <c r="AX168" i="19" s="1"/>
  <c r="AZ168" i="19" s="1"/>
  <c r="AU77" i="23"/>
  <c r="AU54" i="19"/>
  <c r="AX54" i="19" s="1"/>
  <c r="AU278" i="19"/>
  <c r="AX278" i="19" s="1"/>
  <c r="AU206" i="23"/>
  <c r="AU487" i="23"/>
  <c r="AU117" i="23"/>
  <c r="AX117" i="23" s="1"/>
  <c r="AU181" i="19"/>
  <c r="AX181" i="19" s="1"/>
  <c r="AU228" i="23"/>
  <c r="AX228" i="23" s="1"/>
  <c r="AZ228" i="23" s="1"/>
  <c r="AU507" i="23"/>
  <c r="AX507" i="23" s="1"/>
  <c r="AZ507" i="23" s="1"/>
  <c r="AU205" i="19"/>
  <c r="AX205" i="19" s="1"/>
  <c r="AZ205" i="19" s="1"/>
  <c r="AU101" i="19"/>
  <c r="AX101" i="19" s="1"/>
  <c r="AZ101" i="19" s="1"/>
  <c r="AU194" i="19"/>
  <c r="AU318" i="23"/>
  <c r="AX318" i="23" s="1"/>
  <c r="AU82" i="23"/>
  <c r="AX82" i="23" s="1"/>
  <c r="AZ82" i="23" s="1"/>
  <c r="AU592" i="23"/>
  <c r="AU102" i="23"/>
  <c r="AX102" i="23" s="1"/>
  <c r="AU612" i="23"/>
  <c r="AU44" i="23"/>
  <c r="AX44" i="23" s="1"/>
  <c r="AY44" i="23" s="1"/>
  <c r="AU142" i="19"/>
  <c r="AX142" i="19" s="1"/>
  <c r="AZ142" i="19" s="1"/>
  <c r="AU88" i="23"/>
  <c r="AX88" i="23" s="1"/>
  <c r="AZ88" i="23" s="1"/>
  <c r="AU98" i="19"/>
  <c r="AU110" i="23"/>
  <c r="AX110" i="23" s="1"/>
  <c r="AZ110" i="23" s="1"/>
  <c r="AU136" i="19"/>
  <c r="AU669" i="23"/>
  <c r="AU25" i="19"/>
  <c r="AX25" i="19" s="1"/>
  <c r="AZ25" i="19" s="1"/>
  <c r="AU668" i="23"/>
  <c r="AU135" i="23"/>
  <c r="AU79" i="19"/>
  <c r="AX79" i="19" s="1"/>
  <c r="AZ79" i="19" s="1"/>
  <c r="AU26" i="23"/>
  <c r="AX26" i="23" s="1"/>
  <c r="AU624" i="23"/>
  <c r="AX624" i="23" s="1"/>
  <c r="AU282" i="23"/>
  <c r="AX282" i="23" s="1"/>
  <c r="AZ282" i="23" s="1"/>
  <c r="AU650" i="23"/>
  <c r="AU35" i="23"/>
  <c r="AU59" i="23"/>
  <c r="AX59" i="23" s="1"/>
  <c r="AY59" i="23" s="1"/>
  <c r="AU528" i="23"/>
  <c r="AU187" i="19"/>
  <c r="AX187" i="19" s="1"/>
  <c r="AY187" i="19" s="1"/>
  <c r="AU77" i="19"/>
  <c r="AX77" i="19" s="1"/>
  <c r="AZ77" i="19" s="1"/>
  <c r="AU70" i="19"/>
  <c r="AU209" i="19"/>
  <c r="AX209" i="19" s="1"/>
  <c r="AY209" i="19" s="1"/>
  <c r="AU271" i="19"/>
  <c r="AX271" i="19" s="1"/>
  <c r="AY271" i="19" s="1"/>
  <c r="AU135" i="19"/>
  <c r="AX135" i="19" s="1"/>
  <c r="AU129" i="23"/>
  <c r="AX129" i="23" s="1"/>
  <c r="AZ129" i="23" s="1"/>
  <c r="AU336" i="23"/>
  <c r="AU73" i="19"/>
  <c r="AX73" i="19" s="1"/>
  <c r="AY73" i="19" s="1"/>
  <c r="AU18" i="19"/>
  <c r="AU151" i="23"/>
  <c r="AX151" i="23" s="1"/>
  <c r="AZ151" i="23" s="1"/>
  <c r="AU581" i="23"/>
  <c r="AU53" i="19"/>
  <c r="AX53" i="19" s="1"/>
  <c r="AZ53" i="19" s="1"/>
  <c r="AU297" i="19"/>
  <c r="AX297" i="19" s="1"/>
  <c r="AZ297" i="19" s="1"/>
  <c r="AU292" i="19"/>
  <c r="AX292" i="19" s="1"/>
  <c r="AZ292" i="19" s="1"/>
  <c r="AU425" i="23"/>
  <c r="AX425" i="23" s="1"/>
  <c r="AZ425" i="23" s="1"/>
  <c r="AU4" i="23"/>
  <c r="AX4" i="23" s="1"/>
  <c r="AZ4" i="23" s="1"/>
  <c r="AU182" i="19"/>
  <c r="AU24" i="23"/>
  <c r="AX24" i="23" s="1"/>
  <c r="AU162" i="19"/>
  <c r="AX162" i="19" s="1"/>
  <c r="AZ162" i="19" s="1"/>
  <c r="AU126" i="23"/>
  <c r="AX126" i="23" s="1"/>
  <c r="AZ126" i="23" s="1"/>
  <c r="AU120" i="19"/>
  <c r="AX120" i="19" s="1"/>
  <c r="AU90" i="23"/>
  <c r="AX90" i="23" s="1"/>
  <c r="AZ90" i="23" s="1"/>
  <c r="AU156" i="19"/>
  <c r="AU192" i="23"/>
  <c r="EL57" i="16"/>
  <c r="AU343" i="23"/>
  <c r="AU163" i="19"/>
  <c r="AX163" i="19" s="1"/>
  <c r="AZ163" i="19" s="1"/>
  <c r="AU188" i="19"/>
  <c r="AX188" i="19" s="1"/>
  <c r="AY188" i="19" s="1"/>
  <c r="AU92" i="19"/>
  <c r="AU61" i="19"/>
  <c r="AU193" i="19"/>
  <c r="AX193" i="19" s="1"/>
  <c r="AY193" i="19" s="1"/>
  <c r="AU50" i="19"/>
  <c r="AX50" i="19" s="1"/>
  <c r="AZ50" i="19" s="1"/>
  <c r="AU457" i="23"/>
  <c r="AX457" i="23" s="1"/>
  <c r="AU215" i="19"/>
  <c r="AU226" i="19"/>
  <c r="AX226" i="19" s="1"/>
  <c r="AZ226" i="19" s="1"/>
  <c r="AU199" i="19"/>
  <c r="AU125" i="23"/>
  <c r="AU103" i="23"/>
  <c r="AX103" i="23" s="1"/>
  <c r="AU256" i="19"/>
  <c r="AX256" i="19" s="1"/>
  <c r="AZ256" i="19" s="1"/>
  <c r="AU252" i="23"/>
  <c r="AU679" i="23"/>
  <c r="AX679" i="23" s="1"/>
  <c r="AZ679" i="23" s="1"/>
  <c r="AU130" i="19"/>
  <c r="AU95" i="19"/>
  <c r="AU353" i="23"/>
  <c r="AX353" i="23" s="1"/>
  <c r="AZ353" i="23" s="1"/>
  <c r="AU356" i="23"/>
  <c r="AU110" i="19"/>
  <c r="AX110" i="19" s="1"/>
  <c r="AZ110" i="19" s="1"/>
  <c r="AU75" i="19"/>
  <c r="AX75" i="19" s="1"/>
  <c r="AU51" i="19"/>
  <c r="AX51" i="19" s="1"/>
  <c r="AU572" i="23"/>
  <c r="AU86" i="23"/>
  <c r="AU160" i="19"/>
  <c r="AX160" i="19" s="1"/>
  <c r="AZ160" i="19" s="1"/>
  <c r="AU106" i="23"/>
  <c r="AX106" i="23" s="1"/>
  <c r="AU140" i="19"/>
  <c r="AX140" i="19" s="1"/>
  <c r="AZ140" i="19" s="1"/>
  <c r="AU118" i="19"/>
  <c r="AX118" i="19" s="1"/>
  <c r="AZ118" i="19" s="1"/>
  <c r="AU391" i="23"/>
  <c r="AX391" i="23" s="1"/>
  <c r="AZ391" i="23" s="1"/>
  <c r="AU199" i="23"/>
  <c r="AU456" i="23"/>
  <c r="AU270" i="19"/>
  <c r="AU620" i="23"/>
  <c r="AU302" i="19"/>
  <c r="AU210" i="23"/>
  <c r="AU439" i="23"/>
  <c r="AX439" i="23" s="1"/>
  <c r="AZ439" i="23" s="1"/>
  <c r="AU207" i="23"/>
  <c r="AX207" i="23" s="1"/>
  <c r="AZ207" i="23" s="1"/>
  <c r="AU644" i="23"/>
  <c r="AU424" i="23"/>
  <c r="AX424" i="23" s="1"/>
  <c r="AZ424" i="23" s="1"/>
  <c r="AU43" i="23"/>
  <c r="AU549" i="23"/>
  <c r="AU202" i="19"/>
  <c r="AU158" i="19"/>
  <c r="AX158" i="19" s="1"/>
  <c r="AY158" i="19" s="1"/>
  <c r="AU138" i="19"/>
  <c r="AX138" i="19" s="1"/>
  <c r="AU176" i="19"/>
  <c r="AU266" i="19"/>
  <c r="AX266" i="19" s="1"/>
  <c r="AZ266" i="19" s="1"/>
  <c r="AU32" i="19"/>
  <c r="AX32" i="19" s="1"/>
  <c r="AU207" i="19"/>
  <c r="AX207" i="19" s="1"/>
  <c r="AY207" i="19" s="1"/>
  <c r="AU301" i="23"/>
  <c r="AU96" i="19"/>
  <c r="AU221" i="23"/>
  <c r="AU283" i="19"/>
  <c r="AU401" i="23"/>
  <c r="AU89" i="23"/>
  <c r="AU467" i="23"/>
  <c r="AX467" i="23" s="1"/>
  <c r="AY467" i="23" s="1"/>
  <c r="AU206" i="19"/>
  <c r="AU366" i="23"/>
  <c r="AX366" i="23" s="1"/>
  <c r="AY366" i="23" s="1"/>
  <c r="AU65" i="19"/>
  <c r="AU4" i="19"/>
  <c r="AU316" i="23"/>
  <c r="AU645" i="23"/>
  <c r="AU45" i="19"/>
  <c r="AU421" i="23"/>
  <c r="AX421" i="23" s="1"/>
  <c r="AZ421" i="23" s="1"/>
  <c r="AU147" i="19"/>
  <c r="AU180" i="19"/>
  <c r="AX180" i="19" s="1"/>
  <c r="AU30" i="23"/>
  <c r="AX30" i="23" s="1"/>
  <c r="AZ30" i="23" s="1"/>
  <c r="AU216" i="19"/>
  <c r="AX216" i="19" s="1"/>
  <c r="AU50" i="23"/>
  <c r="AX50" i="23" s="1"/>
  <c r="AU196" i="19"/>
  <c r="AX196" i="19" s="1"/>
  <c r="AZ196" i="19" s="1"/>
  <c r="AU12" i="23"/>
  <c r="AX12" i="23" s="1"/>
  <c r="AU56" i="23"/>
  <c r="AU504" i="23"/>
  <c r="AU593" i="23"/>
  <c r="AX593" i="23" s="1"/>
  <c r="AZ593" i="23" s="1"/>
  <c r="AU238" i="23"/>
  <c r="AX238" i="23" s="1"/>
  <c r="AZ238" i="23" s="1"/>
  <c r="AU498" i="23"/>
  <c r="AU61" i="23"/>
  <c r="AU523" i="23"/>
  <c r="AU129" i="19"/>
  <c r="AU687" i="23"/>
  <c r="EL61" i="16"/>
  <c r="AU72" i="23"/>
  <c r="AX72" i="23" s="1"/>
  <c r="AU82" i="19"/>
  <c r="AX82" i="19" s="1"/>
  <c r="AZ82" i="19" s="1"/>
  <c r="AU69" i="23"/>
  <c r="AU392" i="23"/>
  <c r="AX392" i="23" s="1"/>
  <c r="AU508" i="23"/>
  <c r="AU144" i="23"/>
  <c r="AU536" i="23"/>
  <c r="AX536" i="23" s="1"/>
  <c r="AZ536" i="23" s="1"/>
  <c r="AU143" i="19"/>
  <c r="AX143" i="19" s="1"/>
  <c r="AU262" i="19"/>
  <c r="AX262" i="19" s="1"/>
  <c r="AZ262" i="19" s="1"/>
  <c r="AU79" i="23"/>
  <c r="AU548" i="23"/>
  <c r="EK56" i="16"/>
  <c r="AU28" i="19"/>
  <c r="AX28" i="19" s="1"/>
  <c r="AU12" i="19"/>
  <c r="AX12" i="19" s="1"/>
  <c r="AY12" i="19" s="1"/>
  <c r="AU532" i="23"/>
  <c r="AU423" i="23"/>
  <c r="AX423" i="23" s="1"/>
  <c r="AU87" i="23"/>
  <c r="AX87" i="23" s="1"/>
  <c r="AZ87" i="23" s="1"/>
  <c r="AU300" i="23"/>
  <c r="AU173" i="23"/>
  <c r="AU171" i="23"/>
  <c r="AU25" i="23"/>
  <c r="AX25" i="23" s="1"/>
  <c r="AU42" i="23"/>
  <c r="AU611" i="23"/>
  <c r="AX611" i="23" s="1"/>
  <c r="AZ611" i="23" s="1"/>
  <c r="AU231" i="23"/>
  <c r="AU3" i="23"/>
  <c r="AX3" i="23" s="1"/>
  <c r="AU267" i="23"/>
  <c r="AX267" i="23" s="1"/>
  <c r="AZ267" i="23" s="1"/>
  <c r="AU587" i="23"/>
  <c r="AX587" i="23" s="1"/>
  <c r="AZ587" i="23" s="1"/>
  <c r="AU151" i="19"/>
  <c r="AX151" i="19" s="1"/>
  <c r="AY151" i="19" s="1"/>
  <c r="AU137" i="23"/>
  <c r="AX137" i="23" s="1"/>
  <c r="AZ137" i="23" s="1"/>
  <c r="AU99" i="23"/>
  <c r="AX99" i="23" s="1"/>
  <c r="AU310" i="23"/>
  <c r="AX310" i="23" s="1"/>
  <c r="AZ310" i="23" s="1"/>
  <c r="AU195" i="19"/>
  <c r="AX195" i="19" s="1"/>
  <c r="AU157" i="23"/>
  <c r="AX157" i="23" s="1"/>
  <c r="AZ157" i="23" s="1"/>
  <c r="AU428" i="23"/>
  <c r="AU243" i="19"/>
  <c r="AU178" i="19"/>
  <c r="AU271" i="23"/>
  <c r="DH29" i="16"/>
  <c r="AU291" i="23"/>
  <c r="AU94" i="23"/>
  <c r="AX94" i="23" s="1"/>
  <c r="AZ94" i="23" s="1"/>
  <c r="AU573" i="23"/>
  <c r="AU185" i="19"/>
  <c r="AU307" i="23"/>
  <c r="AU240" i="23"/>
  <c r="AU545" i="23"/>
  <c r="AU222" i="23"/>
  <c r="AU590" i="23"/>
  <c r="AX590" i="23" s="1"/>
  <c r="AU287" i="19"/>
  <c r="AX287" i="19" s="1"/>
  <c r="AZ287" i="19" s="1"/>
  <c r="AU566" i="23"/>
  <c r="AU293" i="23"/>
  <c r="AU220" i="19"/>
  <c r="AU230" i="23"/>
  <c r="AU459" i="23"/>
  <c r="AU522" i="23"/>
  <c r="AU245" i="23"/>
  <c r="AX245" i="23" s="1"/>
  <c r="AZ245" i="23" s="1"/>
  <c r="AU483" i="23"/>
  <c r="AX483" i="23" s="1"/>
  <c r="AZ483" i="23" s="1"/>
  <c r="AU39" i="23"/>
  <c r="AX39" i="23" s="1"/>
  <c r="AY39" i="23" s="1"/>
  <c r="AU161" i="19"/>
  <c r="AU180" i="23"/>
  <c r="AU535" i="23"/>
  <c r="EK40" i="16"/>
  <c r="AU69" i="19"/>
  <c r="AU246" i="19"/>
  <c r="AX246" i="19" s="1"/>
  <c r="AU104" i="19"/>
  <c r="AX104" i="19" s="1"/>
  <c r="AZ104" i="19" s="1"/>
  <c r="AU124" i="19"/>
  <c r="AX124" i="19" s="1"/>
  <c r="AY124" i="19" s="1"/>
  <c r="AU348" i="23"/>
  <c r="AX348" i="23" s="1"/>
  <c r="AZ348" i="23" s="1"/>
  <c r="AU227" i="23"/>
  <c r="AX227" i="23" s="1"/>
  <c r="AZ227" i="23" s="1"/>
  <c r="AU471" i="23"/>
  <c r="AX471" i="23" s="1"/>
  <c r="AY471" i="23" s="1"/>
  <c r="AU281" i="19"/>
  <c r="AX281" i="19" s="1"/>
  <c r="AZ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U236" i="19"/>
  <c r="AX236" i="19" s="1"/>
  <c r="AZ236" i="19" s="1"/>
  <c r="AU54" i="23"/>
  <c r="AU74" i="23"/>
  <c r="AX74" i="23" s="1"/>
  <c r="AZ74" i="23" s="1"/>
  <c r="AU36" i="23"/>
  <c r="EL47" i="16"/>
  <c r="AU680" i="23"/>
  <c r="AU441" i="23"/>
  <c r="AU474" i="23"/>
  <c r="AU182" i="23"/>
  <c r="AU692" i="23"/>
  <c r="AU64" i="23"/>
  <c r="AU657" i="23"/>
  <c r="AX657" i="23" s="1"/>
  <c r="AZ657" i="23" s="1"/>
  <c r="AU146" i="19"/>
  <c r="AX146" i="19" s="1"/>
  <c r="AZ146" i="19" s="1"/>
  <c r="AU426" i="23"/>
  <c r="EK51" i="16"/>
  <c r="AU155" i="23"/>
  <c r="AU59" i="19"/>
  <c r="AU92" i="23"/>
  <c r="AU62" i="19"/>
  <c r="AX62" i="19" s="1"/>
  <c r="AU516" i="23"/>
  <c r="AU47" i="23"/>
  <c r="AU490" i="23"/>
  <c r="AX490" i="23" s="1"/>
  <c r="AZ490" i="23" s="1"/>
  <c r="AU140" i="23"/>
  <c r="AX140" i="23" s="1"/>
  <c r="AZ140" i="23" s="1"/>
  <c r="AU60" i="19"/>
  <c r="AU281" i="23"/>
  <c r="AX281" i="23" s="1"/>
  <c r="AZ281" i="23" s="1"/>
  <c r="AU562" i="23"/>
  <c r="EL36" i="16"/>
  <c r="EL54" i="16"/>
  <c r="AU16" i="23"/>
  <c r="AX16" i="23" s="1"/>
  <c r="AZ16" i="23" s="1"/>
  <c r="EL38" i="16"/>
  <c r="AU553" i="23"/>
  <c r="AX553" i="23" s="1"/>
  <c r="AZ553" i="23" s="1"/>
  <c r="AU283" i="23"/>
  <c r="AU454" i="23"/>
  <c r="AX454" i="23" s="1"/>
  <c r="AU94" i="19"/>
  <c r="AX94" i="19" s="1"/>
  <c r="AY94" i="19" s="1"/>
  <c r="AU541" i="23"/>
  <c r="AU244" i="23"/>
  <c r="AU301" i="19"/>
  <c r="AX301" i="19" s="1"/>
  <c r="AU285" i="23"/>
  <c r="AU524" i="23"/>
  <c r="AU5" i="19"/>
  <c r="AX5" i="19" s="1"/>
  <c r="AY5" i="19" s="1"/>
  <c r="AU688" i="23"/>
  <c r="AU304" i="23"/>
  <c r="AU197" i="19"/>
  <c r="AX197" i="19" s="1"/>
  <c r="AZ197" i="19" s="1"/>
  <c r="AU14" i="23"/>
  <c r="AX14" i="23" s="1"/>
  <c r="AZ14" i="23" s="1"/>
  <c r="AU200" i="19"/>
  <c r="AX200" i="19" s="1"/>
  <c r="AZ200" i="19" s="1"/>
  <c r="AU470" i="23"/>
  <c r="AX470" i="23" s="1"/>
  <c r="AU148" i="23"/>
  <c r="AX148" i="23" s="1"/>
  <c r="AZ148" i="23" s="1"/>
  <c r="AU497" i="23"/>
  <c r="AU23" i="23"/>
  <c r="AX23" i="23" s="1"/>
  <c r="AU258" i="19"/>
  <c r="AX258" i="19" s="1"/>
  <c r="AU63" i="23"/>
  <c r="AU569" i="23"/>
  <c r="AX569" i="23" s="1"/>
  <c r="AZ569" i="23" s="1"/>
  <c r="EL52" i="16"/>
  <c r="AX638" i="23"/>
  <c r="AZ638" i="23" s="1"/>
  <c r="AX33" i="23"/>
  <c r="AY33" i="23" s="1"/>
  <c r="ER21" i="16"/>
  <c r="EM21" i="16"/>
  <c r="EM52" i="16" s="1"/>
  <c r="EQ52" i="16"/>
  <c r="CU60" i="16" a="1"/>
  <c r="CU60" i="16" s="1"/>
  <c r="AU83" i="23"/>
  <c r="AU246" i="23"/>
  <c r="AU656" i="23"/>
  <c r="AU66" i="23"/>
  <c r="ER15" i="16"/>
  <c r="EM15" i="16"/>
  <c r="EM46" i="16" s="1"/>
  <c r="EQ46" i="16"/>
  <c r="AU513" i="23"/>
  <c r="ER22" i="16"/>
  <c r="EM22" i="16"/>
  <c r="EM53" i="16" s="1"/>
  <c r="EQ53" i="16"/>
  <c r="AU533" i="23"/>
  <c r="AU8" i="23"/>
  <c r="AX8" i="23" s="1"/>
  <c r="AU580" i="23"/>
  <c r="AU114" i="19"/>
  <c r="AU521" i="23"/>
  <c r="AU152" i="19"/>
  <c r="AU608" i="23"/>
  <c r="AU186" i="23"/>
  <c r="AU299" i="19"/>
  <c r="AX299" i="19" s="1"/>
  <c r="AU147" i="23"/>
  <c r="AU404" i="23"/>
  <c r="AU83" i="19"/>
  <c r="AU362" i="23"/>
  <c r="EM8" i="16"/>
  <c r="EM39" i="16" s="1"/>
  <c r="ER8" i="16"/>
  <c r="EQ39" i="16"/>
  <c r="AU324" i="23"/>
  <c r="AU275" i="19"/>
  <c r="AU175" i="23"/>
  <c r="AU39" i="19"/>
  <c r="AU398" i="23"/>
  <c r="AU249" i="23"/>
  <c r="AU511" i="23"/>
  <c r="AU124" i="23"/>
  <c r="AU56" i="19"/>
  <c r="AU164" i="23"/>
  <c r="AU556" i="23"/>
  <c r="AX411" i="23"/>
  <c r="AZ411" i="23" s="1"/>
  <c r="AX184" i="19"/>
  <c r="AY184" i="19" s="1"/>
  <c r="AX514" i="23"/>
  <c r="AZ514" i="23" s="1"/>
  <c r="AX647" i="23"/>
  <c r="AZ647" i="23" s="1"/>
  <c r="AX286" i="23"/>
  <c r="AZ286" i="23" s="1"/>
  <c r="AY169" i="19"/>
  <c r="AX500" i="23"/>
  <c r="AZ500" i="23" s="1"/>
  <c r="AY621" i="23"/>
  <c r="CR56" i="16" a="1"/>
  <c r="CR56" i="16" s="1"/>
  <c r="AX337" i="23"/>
  <c r="AZ337" i="23" s="1"/>
  <c r="AY111" i="23"/>
  <c r="AX560" i="23"/>
  <c r="AZ560" i="23" s="1"/>
  <c r="AX577" i="23"/>
  <c r="AZ577" i="23" s="1"/>
  <c r="AX434" i="23"/>
  <c r="AZ434" i="23" s="1"/>
  <c r="AX188" i="23"/>
  <c r="AZ188" i="23" s="1"/>
  <c r="AY9" i="23"/>
  <c r="AZ9" i="23"/>
  <c r="AX665" i="23"/>
  <c r="AZ665" i="23" s="1"/>
  <c r="AX58" i="23"/>
  <c r="AY58" i="23" s="1"/>
  <c r="AX429" i="23"/>
  <c r="AZ429" i="23" s="1"/>
  <c r="AU640" i="23"/>
  <c r="AU213" i="19"/>
  <c r="AU686" i="23"/>
  <c r="AU177" i="19"/>
  <c r="AU319" i="23"/>
  <c r="AU51" i="23"/>
  <c r="AU418" i="23"/>
  <c r="AU27" i="23"/>
  <c r="AX27" i="23" s="1"/>
  <c r="DH25" i="16"/>
  <c r="AU265" i="23"/>
  <c r="AU503" i="23"/>
  <c r="AX131" i="23"/>
  <c r="AZ131" i="23" s="1"/>
  <c r="AZ114" i="23"/>
  <c r="AX320" i="23"/>
  <c r="AZ320" i="23" s="1"/>
  <c r="AX329" i="23"/>
  <c r="AZ329" i="23" s="1"/>
  <c r="AX235" i="23"/>
  <c r="AZ235" i="23" s="1"/>
  <c r="AX229" i="19"/>
  <c r="AZ229" i="19" s="1"/>
  <c r="AY279" i="19"/>
  <c r="AZ279" i="19"/>
  <c r="AX231" i="19"/>
  <c r="AZ231" i="19" s="1"/>
  <c r="AX251" i="23"/>
  <c r="AZ251" i="23" s="1"/>
  <c r="EQ45" i="16"/>
  <c r="ER14" i="16"/>
  <c r="EM14" i="16"/>
  <c r="EM45" i="16" s="1"/>
  <c r="AX116" i="19"/>
  <c r="AZ116" i="19" s="1"/>
  <c r="AU67" i="23"/>
  <c r="AU510" i="23"/>
  <c r="AX35" i="19"/>
  <c r="AY35" i="19" s="1"/>
  <c r="AY293" i="19"/>
  <c r="AZ293" i="19"/>
  <c r="AX479" i="23"/>
  <c r="AY479" i="23" s="1"/>
  <c r="AX44" i="19"/>
  <c r="AZ44" i="19" s="1"/>
  <c r="AX306" i="23"/>
  <c r="AZ306" i="23" s="1"/>
  <c r="AX279" i="23"/>
  <c r="AZ279" i="23" s="1"/>
  <c r="AX413" i="23"/>
  <c r="AZ413" i="23" s="1"/>
  <c r="AX321" i="23"/>
  <c r="AZ321" i="23" s="1"/>
  <c r="EM26" i="16"/>
  <c r="EM57" i="16" s="1"/>
  <c r="ER26" i="16"/>
  <c r="EQ57" i="16"/>
  <c r="AU168" i="23"/>
  <c r="AU517" i="23"/>
  <c r="AX266" i="23"/>
  <c r="AZ266" i="23" s="1"/>
  <c r="AZ379" i="23"/>
  <c r="AX440" i="23"/>
  <c r="AZ440" i="23" s="1"/>
  <c r="AX161" i="23"/>
  <c r="AZ161" i="23" s="1"/>
  <c r="AX443" i="23"/>
  <c r="AZ443" i="23" s="1"/>
  <c r="AY107" i="23"/>
  <c r="AZ107" i="23"/>
  <c r="AY24" i="19"/>
  <c r="AY119" i="23"/>
  <c r="AZ119" i="23"/>
  <c r="CU51" i="16" a="1"/>
  <c r="CU51" i="16" s="1"/>
  <c r="AX349" i="23"/>
  <c r="AZ349" i="23" s="1"/>
  <c r="AY376" i="23"/>
  <c r="AZ376" i="23"/>
  <c r="AX690" i="23"/>
  <c r="AZ690" i="23" s="1"/>
  <c r="AX567" i="23"/>
  <c r="AZ567" i="23" s="1"/>
  <c r="AX447" i="23"/>
  <c r="AZ447" i="23" s="1"/>
  <c r="AX527" i="23"/>
  <c r="AZ527" i="23" s="1"/>
  <c r="AX526" i="23"/>
  <c r="AZ526" i="23" s="1"/>
  <c r="AX395" i="23"/>
  <c r="AZ395" i="23" s="1"/>
  <c r="AX234" i="23"/>
  <c r="AZ234" i="23" s="1"/>
  <c r="AX601" i="23"/>
  <c r="AZ601" i="23" s="1"/>
  <c r="AX606" i="23"/>
  <c r="AY606" i="23" s="1"/>
  <c r="AX552" i="23"/>
  <c r="AZ552" i="23" s="1"/>
  <c r="AX275" i="23"/>
  <c r="AZ275" i="23" s="1"/>
  <c r="AX468" i="23"/>
  <c r="AY468" i="23" s="1"/>
  <c r="EM20" i="16"/>
  <c r="EM51" i="16" s="1"/>
  <c r="ER20" i="16"/>
  <c r="EQ51" i="16"/>
  <c r="CP57" i="16" a="1"/>
  <c r="CP57" i="16" s="1"/>
  <c r="AX446" i="23"/>
  <c r="AZ446" i="23" s="1"/>
  <c r="AU232" i="19"/>
  <c r="AX232" i="19" s="1"/>
  <c r="AU55" i="23"/>
  <c r="AU339" i="23"/>
  <c r="AU233" i="23"/>
  <c r="AU34" i="19"/>
  <c r="AU269" i="23"/>
  <c r="AU531" i="23"/>
  <c r="AX286" i="19"/>
  <c r="AZ286" i="19" s="1"/>
  <c r="AX150" i="23"/>
  <c r="AZ150" i="23" s="1"/>
  <c r="AX264" i="23"/>
  <c r="AZ264" i="23" s="1"/>
  <c r="AY81" i="19"/>
  <c r="AZ81" i="19"/>
  <c r="AX196" i="23"/>
  <c r="AZ196" i="23" s="1"/>
  <c r="AX45" i="23"/>
  <c r="AY45" i="23" s="1"/>
  <c r="AX85" i="23"/>
  <c r="AZ85" i="23" s="1"/>
  <c r="AY625" i="23"/>
  <c r="AZ625" i="23"/>
  <c r="CR60" i="16" a="1"/>
  <c r="CR60" i="16" s="1"/>
  <c r="AY623" i="23"/>
  <c r="AZ623" i="23"/>
  <c r="CR58" i="16" a="1"/>
  <c r="CR58" i="16" s="1"/>
  <c r="AX191" i="19"/>
  <c r="AY191" i="19" s="1"/>
  <c r="AX671" i="23"/>
  <c r="AZ671" i="23" s="1"/>
  <c r="AX412" i="23"/>
  <c r="AZ412" i="23" s="1"/>
  <c r="AY607" i="23"/>
  <c r="AX330" i="23"/>
  <c r="AZ330" i="23" s="1"/>
  <c r="AX555" i="23"/>
  <c r="AZ555" i="23" s="1"/>
  <c r="CU56" i="16" a="1"/>
  <c r="CU56" i="16" s="1"/>
  <c r="AX433" i="23"/>
  <c r="AZ433" i="23" s="1"/>
  <c r="AY433" i="23"/>
  <c r="AX11" i="19"/>
  <c r="AY11" i="19" s="1"/>
  <c r="AZ105" i="19"/>
  <c r="AX3" i="19"/>
  <c r="AY3" i="19" s="1"/>
  <c r="AX371" i="23"/>
  <c r="AY371" i="23" s="1"/>
  <c r="AY115" i="23"/>
  <c r="AX99" i="19"/>
  <c r="AZ99" i="19" s="1"/>
  <c r="AX84" i="23"/>
  <c r="AZ84" i="23" s="1"/>
  <c r="AX284" i="19"/>
  <c r="AZ284" i="19" s="1"/>
  <c r="AX341" i="23"/>
  <c r="AZ341" i="23" s="1"/>
  <c r="AU30" i="19"/>
  <c r="AU156" i="23"/>
  <c r="AU242" i="19"/>
  <c r="AU136" i="23"/>
  <c r="AU131" i="19"/>
  <c r="AU71" i="23"/>
  <c r="AU438" i="23"/>
  <c r="AX289" i="23"/>
  <c r="AZ289" i="23" s="1"/>
  <c r="AX290" i="23"/>
  <c r="AZ290" i="23" s="1"/>
  <c r="AX64" i="19"/>
  <c r="AY64" i="19" s="1"/>
  <c r="AU618" i="23"/>
  <c r="AU73" i="23"/>
  <c r="EK58" i="16"/>
  <c r="AU368" i="23"/>
  <c r="AX368" i="23" s="1"/>
  <c r="AU91" i="23"/>
  <c r="AU194" i="23"/>
  <c r="AU128" i="19"/>
  <c r="AU451" i="23"/>
  <c r="AU66" i="19"/>
  <c r="EK36" i="16"/>
  <c r="AU432" i="23"/>
  <c r="AU595" i="23"/>
  <c r="AU173" i="19"/>
  <c r="AU115" i="19"/>
  <c r="AX115" i="19" s="1"/>
  <c r="AU19" i="19"/>
  <c r="AU626" i="23"/>
  <c r="AU565" i="23"/>
  <c r="EL37" i="16"/>
  <c r="AU651" i="23"/>
  <c r="AU308" i="23"/>
  <c r="AU280" i="19"/>
  <c r="AX280" i="19" s="1"/>
  <c r="AU520" i="23"/>
  <c r="AU49" i="19"/>
  <c r="AX49" i="19" s="1"/>
  <c r="AU509" i="23"/>
  <c r="AU29" i="19"/>
  <c r="AU589" i="23"/>
  <c r="AU47" i="19"/>
  <c r="AX47" i="19" s="1"/>
  <c r="AU466" i="23"/>
  <c r="AU23" i="19"/>
  <c r="AX23" i="19" s="1"/>
  <c r="AU351" i="23"/>
  <c r="AU218" i="23"/>
  <c r="AU478" i="23"/>
  <c r="AU613" i="23"/>
  <c r="AU273" i="19"/>
  <c r="AU276" i="23"/>
  <c r="AU237" i="19"/>
  <c r="AU6" i="23"/>
  <c r="AU604" i="23"/>
  <c r="AX604" i="23" s="1"/>
  <c r="AU63" i="19"/>
  <c r="AU382" i="23"/>
  <c r="AX382" i="23" s="1"/>
  <c r="AU106" i="19"/>
  <c r="AX106" i="19" s="1"/>
  <c r="AU586" i="23"/>
  <c r="AU244" i="19"/>
  <c r="AU228" i="19"/>
  <c r="AU473" i="23"/>
  <c r="AU141" i="19"/>
  <c r="AX141" i="19" s="1"/>
  <c r="AU340" i="23"/>
  <c r="AU14" i="19"/>
  <c r="AU172" i="23"/>
  <c r="AU345" i="23"/>
  <c r="AU602" i="23"/>
  <c r="AU682" i="23"/>
  <c r="AU284" i="23"/>
  <c r="AU181" i="23"/>
  <c r="AU534" i="23"/>
  <c r="AU269" i="19"/>
  <c r="AU437" i="23"/>
  <c r="AU407" i="23"/>
  <c r="AU361" i="23"/>
  <c r="AU603" i="23"/>
  <c r="AX603" i="23" s="1"/>
  <c r="AU365" i="23"/>
  <c r="AX365" i="23" s="1"/>
  <c r="AU202" i="23"/>
  <c r="ER18" i="16"/>
  <c r="EM18" i="16"/>
  <c r="EM49" i="16" s="1"/>
  <c r="EQ49" i="16"/>
  <c r="AU241" i="19"/>
  <c r="AX241" i="19" s="1"/>
  <c r="AU416" i="23"/>
  <c r="EK49" i="16"/>
  <c r="EK57" i="16"/>
  <c r="AU170" i="19"/>
  <c r="AU502" i="23"/>
  <c r="AU619" i="23"/>
  <c r="AX619" i="23" s="1"/>
  <c r="AU285" i="19"/>
  <c r="AU261" i="19"/>
  <c r="AX261" i="19" s="1"/>
  <c r="AU582" i="23"/>
  <c r="AU198" i="19"/>
  <c r="AU374" i="23"/>
  <c r="AX374" i="23" s="1"/>
  <c r="AU87" i="19"/>
  <c r="AU364" i="23"/>
  <c r="AX364" i="23"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AU317" i="23"/>
  <c r="AU165" i="23"/>
  <c r="ER12" i="16"/>
  <c r="EM12" i="16"/>
  <c r="EM43" i="16" s="1"/>
  <c r="EQ43" i="16"/>
  <c r="ER43" i="16" s="1"/>
  <c r="AU88" i="19"/>
  <c r="AU596" i="23"/>
  <c r="AU683" i="23"/>
  <c r="AU179" i="23"/>
  <c r="AU225" i="19"/>
  <c r="AX225" i="19" s="1"/>
  <c r="AU616" i="23"/>
  <c r="AU15" i="19"/>
  <c r="AX15" i="19" s="1"/>
  <c r="AU448" i="23"/>
  <c r="AU165" i="19"/>
  <c r="AX165" i="19" s="1"/>
  <c r="AU390" i="23"/>
  <c r="AX390" i="23" s="1"/>
  <c r="AU145" i="19"/>
  <c r="AX145" i="19" s="1"/>
  <c r="AU410" i="23"/>
  <c r="AU183" i="19"/>
  <c r="AU637" i="23"/>
  <c r="AU200" i="23"/>
  <c r="AU505" i="23"/>
  <c r="AU162" i="23"/>
  <c r="AU672" i="23"/>
  <c r="AU494" i="23"/>
  <c r="AU290" i="19"/>
  <c r="AX290" i="19" s="1"/>
  <c r="AU600" i="23"/>
  <c r="DH30" i="16"/>
  <c r="AU29" i="23"/>
  <c r="AX29" i="23" s="1"/>
  <c r="AU685" i="23"/>
  <c r="AU239" i="23"/>
  <c r="AU496" i="23"/>
  <c r="AU43" i="19"/>
  <c r="AU402" i="23"/>
  <c r="AU241" i="23"/>
  <c r="AU26" i="19"/>
  <c r="AX26" i="19" s="1"/>
  <c r="AU367" i="23"/>
  <c r="AX367" i="23" s="1"/>
  <c r="AU238" i="19"/>
  <c r="AU641" i="23"/>
  <c r="AU111" i="19"/>
  <c r="AU75" i="23"/>
  <c r="AU359" i="23"/>
  <c r="AX294" i="19"/>
  <c r="AZ294" i="19" s="1"/>
  <c r="AX97" i="19"/>
  <c r="AY52" i="19"/>
  <c r="AZ52" i="19"/>
  <c r="AY383" i="23"/>
  <c r="AZ383" i="23"/>
  <c r="AY57" i="19"/>
  <c r="AZ57" i="19"/>
  <c r="AX499" i="23"/>
  <c r="AZ499" i="23" s="1"/>
  <c r="AY7" i="23"/>
  <c r="AZ7" i="23"/>
  <c r="AY227" i="19"/>
  <c r="AZ227" i="19"/>
  <c r="AY385" i="23"/>
  <c r="AZ385" i="23"/>
  <c r="AX585" i="23"/>
  <c r="AZ585" i="23" s="1"/>
  <c r="AX664" i="23"/>
  <c r="AZ664" i="23" s="1"/>
  <c r="AY296" i="19"/>
  <c r="AZ296" i="19"/>
  <c r="AX435" i="23"/>
  <c r="AZ435" i="23" s="1"/>
  <c r="AX71" i="19"/>
  <c r="AY71" i="19" s="1"/>
  <c r="AX155" i="19"/>
  <c r="AY155" i="19" s="1"/>
  <c r="AX691" i="23"/>
  <c r="AZ691" i="23" s="1"/>
  <c r="AX68" i="19"/>
  <c r="AY68" i="19" s="1"/>
  <c r="AX171" i="19"/>
  <c r="AZ171" i="19" s="1"/>
  <c r="AY97" i="23"/>
  <c r="AZ97" i="23"/>
  <c r="AX357" i="23"/>
  <c r="AZ357" i="23" s="1"/>
  <c r="AX263" i="19"/>
  <c r="AZ263" i="19" s="1"/>
  <c r="AX268" i="23"/>
  <c r="AZ268" i="23" s="1"/>
  <c r="AY109" i="23"/>
  <c r="AZ109" i="23"/>
  <c r="AY377" i="23"/>
  <c r="AZ377" i="23"/>
  <c r="AX635" i="23"/>
  <c r="AZ635" i="23" s="1"/>
  <c r="AY223" i="19"/>
  <c r="AX597" i="23"/>
  <c r="AZ597" i="23" s="1"/>
  <c r="AY203" i="19"/>
  <c r="AZ203" i="19"/>
  <c r="AU617" i="23"/>
  <c r="AU178" i="23"/>
  <c r="AU378" i="23"/>
  <c r="AX378" i="23" s="1"/>
  <c r="AU142" i="23"/>
  <c r="AU652" i="23"/>
  <c r="AU224" i="23"/>
  <c r="AU22" i="19"/>
  <c r="AX22" i="19" s="1"/>
  <c r="AU561" i="23"/>
  <c r="AU149" i="19"/>
  <c r="AU667" i="23"/>
  <c r="EK61" i="16"/>
  <c r="AU190" i="23"/>
  <c r="AU419" i="23"/>
  <c r="AU101" i="23"/>
  <c r="AX101" i="23" s="1"/>
  <c r="AU563" i="23"/>
  <c r="AU98" i="23"/>
  <c r="AX98" i="23" s="1"/>
  <c r="AU469" i="23"/>
  <c r="AU225" i="23"/>
  <c r="AU224" i="19"/>
  <c r="AX224" i="19" s="1"/>
  <c r="AU334" i="23"/>
  <c r="AU137" i="19"/>
  <c r="AX137" i="19" s="1"/>
  <c r="AU495" i="23"/>
  <c r="AU10" i="19"/>
  <c r="AU176" i="23"/>
  <c r="AU222" i="19"/>
  <c r="AX222" i="19" s="1"/>
  <c r="AX300" i="19"/>
  <c r="AZ300" i="19" s="1"/>
  <c r="AX274" i="19"/>
  <c r="AY274" i="19" s="1"/>
  <c r="AX400" i="23"/>
  <c r="AZ400" i="23" s="1"/>
  <c r="AX144" i="19"/>
  <c r="AZ144" i="19" s="1"/>
  <c r="AX519" i="23"/>
  <c r="AZ519" i="23" s="1"/>
  <c r="AY13" i="19"/>
  <c r="BL7" i="16"/>
  <c r="AZ13" i="19"/>
  <c r="AY93" i="23"/>
  <c r="AZ93" i="23"/>
  <c r="AX255" i="23"/>
  <c r="AZ255" i="23" s="1"/>
  <c r="AX278" i="23"/>
  <c r="AZ278" i="23" s="1"/>
  <c r="AX276" i="19"/>
  <c r="AY276" i="19" s="1"/>
  <c r="AY179" i="19"/>
  <c r="AZ179" i="19"/>
  <c r="AX259" i="19"/>
  <c r="AZ259" i="19" s="1"/>
  <c r="AX251" i="19"/>
  <c r="AY251" i="19" s="1"/>
  <c r="AX591" i="23"/>
  <c r="AZ591" i="23" s="1"/>
  <c r="AY108" i="19"/>
  <c r="AZ108" i="19"/>
  <c r="AX452" i="23"/>
  <c r="AZ452" i="23" s="1"/>
  <c r="AX40" i="23"/>
  <c r="AY40" i="23" s="1"/>
  <c r="AX159" i="23"/>
  <c r="AZ159" i="23" s="1"/>
  <c r="AY20" i="23"/>
  <c r="AZ20" i="23"/>
  <c r="AX538" i="23"/>
  <c r="AZ538" i="23" s="1"/>
  <c r="AX139" i="23"/>
  <c r="AZ139" i="23" s="1"/>
  <c r="AX191" i="23"/>
  <c r="AZ191" i="23" s="1"/>
  <c r="AY191" i="23"/>
  <c r="AX558" i="23"/>
  <c r="AZ558" i="23" s="1"/>
  <c r="AX138" i="23"/>
  <c r="AZ138" i="23" s="1"/>
  <c r="AY120" i="23"/>
  <c r="AZ42" i="19"/>
  <c r="AX166" i="23"/>
  <c r="AZ166" i="23" s="1"/>
  <c r="AX344" i="23"/>
  <c r="AZ344" i="23" s="1"/>
  <c r="ER29" i="16"/>
  <c r="EM29" i="16"/>
  <c r="EM60" i="16" s="1"/>
  <c r="EQ60" i="16"/>
  <c r="AU52" i="23"/>
  <c r="AU102" i="19"/>
  <c r="AU262" i="23"/>
  <c r="AU630" i="23"/>
  <c r="AU259" i="23"/>
  <c r="AU576" i="23"/>
  <c r="AU128" i="23"/>
  <c r="AU123" i="19"/>
  <c r="AU544" i="23"/>
  <c r="AU36" i="19"/>
  <c r="AU529" i="23"/>
  <c r="AU208" i="19"/>
  <c r="AU493" i="23"/>
  <c r="AU121" i="19"/>
  <c r="AX121" i="19" s="1"/>
  <c r="AX189" i="23"/>
  <c r="AZ189" i="23" s="1"/>
  <c r="AX539" i="23"/>
  <c r="AZ539" i="23" s="1"/>
  <c r="AX189" i="19"/>
  <c r="AY189" i="19" s="1"/>
  <c r="AX185" i="23"/>
  <c r="AZ185" i="23" s="1"/>
  <c r="AX139" i="19"/>
  <c r="AZ139" i="19" s="1"/>
  <c r="AX570" i="23"/>
  <c r="AZ570" i="23" s="1"/>
  <c r="AX202" i="19"/>
  <c r="AZ202" i="19" s="1"/>
  <c r="AX176" i="19"/>
  <c r="AZ176" i="19" s="1"/>
  <c r="AX270" i="23"/>
  <c r="AZ270" i="23" s="1"/>
  <c r="AX614" i="23"/>
  <c r="AY614" i="23" s="1"/>
  <c r="AY77" i="19"/>
  <c r="AX223" i="23"/>
  <c r="AZ223" i="23" s="1"/>
  <c r="AX70" i="19"/>
  <c r="AY70" i="19" s="1"/>
  <c r="AX662" i="23"/>
  <c r="AZ662" i="23" s="1"/>
  <c r="AX177" i="23"/>
  <c r="AZ177" i="23" s="1"/>
  <c r="AX328" i="23"/>
  <c r="AZ328" i="23" s="1"/>
  <c r="AX127" i="23"/>
  <c r="AZ127" i="23" s="1"/>
  <c r="AY19" i="23"/>
  <c r="AZ19" i="23"/>
  <c r="AU143" i="23"/>
  <c r="AU248" i="23"/>
  <c r="AU205" i="23"/>
  <c r="AU492" i="23"/>
  <c r="AU105" i="23"/>
  <c r="AX105" i="23" s="1"/>
  <c r="AU254" i="23"/>
  <c r="AU150" i="19"/>
  <c r="AU512" i="23"/>
  <c r="ER5" i="16"/>
  <c r="EM5" i="16"/>
  <c r="EM36" i="16" s="1"/>
  <c r="EQ36" i="16"/>
  <c r="AU370" i="23"/>
  <c r="AX370" i="23" s="1"/>
  <c r="AU80" i="23"/>
  <c r="AU445" i="23"/>
  <c r="AU100" i="23"/>
  <c r="AX100" i="23" s="1"/>
  <c r="AU465" i="23"/>
  <c r="AU122" i="23"/>
  <c r="AX122" i="23" s="1"/>
  <c r="AU632" i="23"/>
  <c r="AU146" i="23"/>
  <c r="AU100" i="19"/>
  <c r="AX100" i="19" s="1"/>
  <c r="AU108" i="23"/>
  <c r="AX108" i="23" s="1"/>
  <c r="AU78" i="19"/>
  <c r="AU462" i="23"/>
  <c r="AU166" i="19"/>
  <c r="AX166" i="19" s="1"/>
  <c r="AU386" i="23"/>
  <c r="AX386" i="23" s="1"/>
  <c r="EK50" i="16"/>
  <c r="AU213" i="23"/>
  <c r="AU240" i="19"/>
  <c r="AX240" i="19" s="1"/>
  <c r="AU104" i="23"/>
  <c r="AX104" i="23" s="1"/>
  <c r="AU311" i="23"/>
  <c r="AU121" i="23"/>
  <c r="AX121" i="23" s="1"/>
  <c r="AU583" i="23"/>
  <c r="AU132" i="23"/>
  <c r="AU257" i="23"/>
  <c r="AU661" i="23"/>
  <c r="Q26" i="13"/>
  <c r="DI26" i="16" s="1"/>
  <c r="Q27" i="13"/>
  <c r="DI27" i="16" s="1"/>
  <c r="Q30" i="13"/>
  <c r="DI30" i="16" s="1"/>
  <c r="Q29" i="13"/>
  <c r="DI29" i="16" s="1"/>
  <c r="Q28" i="13"/>
  <c r="DI28" i="16" s="1"/>
  <c r="DI25" i="16"/>
  <c r="AU463" i="23"/>
  <c r="AU107" i="19"/>
  <c r="AU380" i="23"/>
  <c r="AX380" i="23" s="1"/>
  <c r="AU20" i="19"/>
  <c r="AX20" i="19" s="1"/>
  <c r="AX141" i="23"/>
  <c r="AZ141" i="23" s="1"/>
  <c r="AX460" i="23"/>
  <c r="AY460" i="23" s="1"/>
  <c r="AY373" i="23"/>
  <c r="AZ373" i="23"/>
  <c r="ER19" i="16"/>
  <c r="EM19" i="16"/>
  <c r="EM50" i="16" s="1"/>
  <c r="EQ50" i="16"/>
  <c r="AY95" i="23"/>
  <c r="AZ95" i="23"/>
  <c r="AY381" i="23"/>
  <c r="AX69" i="19"/>
  <c r="AY69" i="19" s="1"/>
  <c r="AX277" i="19"/>
  <c r="AY277" i="19" s="1"/>
  <c r="AX234" i="19"/>
  <c r="AZ234" i="19" s="1"/>
  <c r="AX258" i="23"/>
  <c r="AZ258" i="23" s="1"/>
  <c r="AX551" i="23"/>
  <c r="AZ551" i="23" s="1"/>
  <c r="AX355" i="23"/>
  <c r="AZ355" i="23" s="1"/>
  <c r="AX167" i="19"/>
  <c r="AZ167" i="19" s="1"/>
  <c r="AY13" i="23"/>
  <c r="AZ13" i="23"/>
  <c r="AY5" i="23"/>
  <c r="AZ5" i="23"/>
  <c r="AX37" i="19"/>
  <c r="AY37" i="19" s="1"/>
  <c r="AX574" i="23"/>
  <c r="AZ574" i="23" s="1"/>
  <c r="EM4" i="16"/>
  <c r="EM35" i="16" s="1"/>
  <c r="ER4" i="16"/>
  <c r="EQ35" i="16"/>
  <c r="AZ369" i="23"/>
  <c r="AX77" i="23"/>
  <c r="AZ77" i="23" s="1"/>
  <c r="AY54" i="19"/>
  <c r="AZ54" i="19"/>
  <c r="AY278" i="19"/>
  <c r="AZ278" i="19"/>
  <c r="AX206" i="23"/>
  <c r="AZ206" i="23" s="1"/>
  <c r="AX487" i="23"/>
  <c r="AZ487" i="23" s="1"/>
  <c r="AZ117" i="23"/>
  <c r="AY181" i="19"/>
  <c r="AZ181" i="19"/>
  <c r="AX194" i="19"/>
  <c r="AY194" i="19" s="1"/>
  <c r="AX592" i="23"/>
  <c r="AZ592" i="23" s="1"/>
  <c r="AZ102" i="23"/>
  <c r="AX612" i="23"/>
  <c r="AY612" i="23" s="1"/>
  <c r="AX98" i="19"/>
  <c r="AX136" i="19"/>
  <c r="AZ136" i="19" s="1"/>
  <c r="AX669" i="23"/>
  <c r="AZ669" i="23" s="1"/>
  <c r="AX668" i="23"/>
  <c r="AZ668" i="23" s="1"/>
  <c r="EM30" i="16"/>
  <c r="EM61" i="16" s="1"/>
  <c r="ER30" i="16"/>
  <c r="EQ61" i="16"/>
  <c r="AX135" i="23"/>
  <c r="AZ135" i="23" s="1"/>
  <c r="AY26" i="23"/>
  <c r="AZ26" i="23"/>
  <c r="AX650" i="23"/>
  <c r="AZ650" i="23" s="1"/>
  <c r="AX35" i="23"/>
  <c r="AY35" i="23" s="1"/>
  <c r="AX528" i="23"/>
  <c r="AZ528" i="23" s="1"/>
  <c r="EQ54" i="16"/>
  <c r="ER54" i="16" s="1"/>
  <c r="ER23" i="16"/>
  <c r="EM23" i="16"/>
  <c r="EM54" i="16" s="1"/>
  <c r="AU477" i="23"/>
  <c r="AU6" i="19"/>
  <c r="AU387" i="23"/>
  <c r="AX387" i="23" s="1"/>
  <c r="AU218" i="19"/>
  <c r="AY21" i="23"/>
  <c r="AZ21" i="23"/>
  <c r="AX642" i="23"/>
  <c r="AZ642" i="23" s="1"/>
  <c r="AX480" i="23"/>
  <c r="AY480" i="23" s="1"/>
  <c r="AY113" i="23"/>
  <c r="AZ113" i="23"/>
  <c r="AX92" i="19"/>
  <c r="AY92" i="19" s="1"/>
  <c r="AX61" i="19"/>
  <c r="AZ61" i="19" s="1"/>
  <c r="AY388" i="23"/>
  <c r="AZ388" i="23"/>
  <c r="AX663" i="23"/>
  <c r="AZ663" i="23" s="1"/>
  <c r="AY17" i="23"/>
  <c r="AZ17" i="23"/>
  <c r="AX299" i="23"/>
  <c r="AZ299" i="23" s="1"/>
  <c r="AX174" i="23"/>
  <c r="AZ174" i="23" s="1"/>
  <c r="AY135" i="19"/>
  <c r="AZ135" i="19"/>
  <c r="AX336" i="23"/>
  <c r="AZ336" i="23" s="1"/>
  <c r="AX18" i="19"/>
  <c r="AZ18" i="19" s="1"/>
  <c r="AX581" i="23"/>
  <c r="AZ581" i="23" s="1"/>
  <c r="AY4" i="23"/>
  <c r="AX182" i="19"/>
  <c r="AZ182" i="19" s="1"/>
  <c r="AY24" i="23"/>
  <c r="AZ24" i="23"/>
  <c r="AY120" i="19"/>
  <c r="AZ120" i="19"/>
  <c r="AX156" i="19"/>
  <c r="AY156" i="19" s="1"/>
  <c r="AX192" i="23"/>
  <c r="AZ192" i="23" s="1"/>
  <c r="AX343" i="23"/>
  <c r="AZ343" i="23" s="1"/>
  <c r="AU342" i="23"/>
  <c r="AU253" i="19"/>
  <c r="AU296" i="23"/>
  <c r="AU217" i="19"/>
  <c r="AU187" i="23"/>
  <c r="AU584" i="23"/>
  <c r="AU184" i="23"/>
  <c r="AU331" i="23"/>
  <c r="AU453" i="23"/>
  <c r="AU160" i="23"/>
  <c r="AU515" i="23"/>
  <c r="EK60" i="16"/>
  <c r="AU491" i="23"/>
  <c r="AU204" i="19"/>
  <c r="AU354" i="23"/>
  <c r="AU117" i="19"/>
  <c r="AX117" i="19" s="1"/>
  <c r="AX41" i="23"/>
  <c r="AY41" i="23" s="1"/>
  <c r="AX658" i="23"/>
  <c r="AZ658" i="23" s="1"/>
  <c r="AX309" i="23"/>
  <c r="AZ309" i="23" s="1"/>
  <c r="AX403" i="23"/>
  <c r="AZ403" i="23" s="1"/>
  <c r="AX203" i="23"/>
  <c r="AZ203" i="23" s="1"/>
  <c r="ER13" i="16"/>
  <c r="EM13" i="16"/>
  <c r="EM44" i="16" s="1"/>
  <c r="EQ44" i="16"/>
  <c r="ER44" i="16" s="1"/>
  <c r="AX199" i="19"/>
  <c r="AZ199" i="19" s="1"/>
  <c r="AX125" i="23"/>
  <c r="AZ125" i="23" s="1"/>
  <c r="AY103" i="23"/>
  <c r="AZ103" i="23"/>
  <c r="AY256" i="19"/>
  <c r="ER28" i="16"/>
  <c r="EM28" i="16"/>
  <c r="EM59" i="16" s="1"/>
  <c r="EQ59" i="16"/>
  <c r="ER59" i="16" s="1"/>
  <c r="AX252" i="23"/>
  <c r="AZ252" i="23" s="1"/>
  <c r="AX130" i="19"/>
  <c r="AY130" i="19" s="1"/>
  <c r="AX95" i="19"/>
  <c r="AY95" i="19" s="1"/>
  <c r="AX356" i="23"/>
  <c r="AZ356" i="23" s="1"/>
  <c r="AY75" i="19"/>
  <c r="AZ75" i="19"/>
  <c r="AY51" i="19"/>
  <c r="AZ51" i="19"/>
  <c r="AX572" i="23"/>
  <c r="AZ572" i="23" s="1"/>
  <c r="AX86" i="23"/>
  <c r="AZ86" i="23" s="1"/>
  <c r="AY106" i="23"/>
  <c r="AZ106" i="23"/>
  <c r="AU68" i="23"/>
  <c r="AU112" i="23"/>
  <c r="AX112" i="23" s="1"/>
  <c r="EL56" i="16"/>
  <c r="AU134" i="23"/>
  <c r="EL40" i="16"/>
  <c r="AU550" i="23"/>
  <c r="AU38" i="23"/>
  <c r="AU409" i="23"/>
  <c r="AU112" i="19"/>
  <c r="AX112" i="19" s="1"/>
  <c r="AU673" i="23"/>
  <c r="AU295" i="19"/>
  <c r="AX295" i="19" s="1"/>
  <c r="AU49" i="23"/>
  <c r="AU372" i="23"/>
  <c r="AX372" i="23" s="1"/>
  <c r="AU46" i="23"/>
  <c r="AU684" i="23"/>
  <c r="AU347" i="23"/>
  <c r="AU261" i="23"/>
  <c r="AU542" i="23"/>
  <c r="EL35" i="16"/>
  <c r="AU305" i="23"/>
  <c r="AU103" i="19"/>
  <c r="AX103" i="19" s="1"/>
  <c r="AU506" i="23"/>
  <c r="AU16" i="19"/>
  <c r="AX16" i="19" s="1"/>
  <c r="AY391" i="23"/>
  <c r="AX199" i="23"/>
  <c r="AZ199" i="23" s="1"/>
  <c r="AX456" i="23"/>
  <c r="AX270" i="19"/>
  <c r="AY270" i="19" s="1"/>
  <c r="AX620" i="23"/>
  <c r="AY620" i="23" s="1"/>
  <c r="AX302" i="19"/>
  <c r="AZ302" i="19" s="1"/>
  <c r="AX210" i="23"/>
  <c r="AZ210" i="23" s="1"/>
  <c r="AX644" i="23"/>
  <c r="AZ644" i="23" s="1"/>
  <c r="AX43" i="23"/>
  <c r="AY43" i="23" s="1"/>
  <c r="AX549" i="23"/>
  <c r="AZ549" i="23" s="1"/>
  <c r="EL43" i="16"/>
  <c r="AU312" i="23"/>
  <c r="AU277" i="23"/>
  <c r="AU681" i="23"/>
  <c r="R29" i="13"/>
  <c r="DJ29" i="16" s="1"/>
  <c r="R30" i="13"/>
  <c r="DJ30" i="16" s="1"/>
  <c r="R28" i="13"/>
  <c r="DJ28" i="16" s="1"/>
  <c r="R26" i="13"/>
  <c r="DJ26" i="16" s="1"/>
  <c r="R27" i="13"/>
  <c r="DJ27" i="16" s="1"/>
  <c r="DJ25" i="16"/>
  <c r="AX298" i="23"/>
  <c r="AZ298" i="23" s="1"/>
  <c r="AY48" i="19"/>
  <c r="AZ48" i="19"/>
  <c r="AX76" i="23"/>
  <c r="AZ76" i="23" s="1"/>
  <c r="AX209" i="23"/>
  <c r="AZ209" i="23" s="1"/>
  <c r="AX197" i="23"/>
  <c r="AZ197" i="23" s="1"/>
  <c r="AX678" i="23"/>
  <c r="AZ678" i="23" s="1"/>
  <c r="AX594" i="23"/>
  <c r="AZ594" i="23" s="1"/>
  <c r="AY18" i="23"/>
  <c r="AZ18" i="23"/>
  <c r="AX301" i="23"/>
  <c r="AZ301" i="23" s="1"/>
  <c r="AX96" i="19"/>
  <c r="AY96" i="19" s="1"/>
  <c r="AX221" i="23"/>
  <c r="AZ221" i="23" s="1"/>
  <c r="AX283" i="19"/>
  <c r="AZ283" i="19" s="1"/>
  <c r="AX401" i="23"/>
  <c r="AZ401" i="23" s="1"/>
  <c r="AX89" i="23"/>
  <c r="AZ89" i="23" s="1"/>
  <c r="AX206" i="19"/>
  <c r="AZ206" i="19" s="1"/>
  <c r="ER16" i="16"/>
  <c r="EM16" i="16"/>
  <c r="EM47" i="16" s="1"/>
  <c r="EQ47" i="16"/>
  <c r="AX65" i="19"/>
  <c r="AY65" i="19" s="1"/>
  <c r="AX4" i="19"/>
  <c r="AY4" i="19" s="1"/>
  <c r="AX316" i="23"/>
  <c r="AZ316" i="23" s="1"/>
  <c r="AX645" i="23"/>
  <c r="AZ645" i="23" s="1"/>
  <c r="AX45" i="19"/>
  <c r="AZ45" i="19" s="1"/>
  <c r="AX147" i="19"/>
  <c r="AY147" i="19" s="1"/>
  <c r="AY180" i="19"/>
  <c r="AZ180" i="19"/>
  <c r="AY12" i="23"/>
  <c r="AZ12" i="23"/>
  <c r="V27" i="13"/>
  <c r="DN27" i="16" s="1"/>
  <c r="W27" i="13"/>
  <c r="V26" i="13"/>
  <c r="DN26" i="16" s="1"/>
  <c r="V30" i="13"/>
  <c r="DN30" i="16" s="1"/>
  <c r="V28" i="13"/>
  <c r="DN28" i="16" s="1"/>
  <c r="V29" i="13"/>
  <c r="DN29" i="16" s="1"/>
  <c r="DN25" i="16"/>
  <c r="AX56" i="23"/>
  <c r="AY56" i="23" s="1"/>
  <c r="AX504" i="23"/>
  <c r="AZ504" i="23" s="1"/>
  <c r="AX498" i="23"/>
  <c r="AZ498" i="23" s="1"/>
  <c r="AX61" i="23"/>
  <c r="AY61" i="23" s="1"/>
  <c r="AX129" i="19"/>
  <c r="AY129" i="19" s="1"/>
  <c r="AX687" i="23"/>
  <c r="AZ687" i="23" s="1"/>
  <c r="AX69" i="23"/>
  <c r="AZ69" i="23" s="1"/>
  <c r="AY392" i="23"/>
  <c r="AZ392" i="23"/>
  <c r="AX508" i="23"/>
  <c r="AZ508" i="23" s="1"/>
  <c r="AX144" i="23"/>
  <c r="AZ144" i="23" s="1"/>
  <c r="AY143" i="19"/>
  <c r="AZ143" i="19"/>
  <c r="AX79" i="23"/>
  <c r="AZ79" i="23" s="1"/>
  <c r="AX548" i="23"/>
  <c r="AZ548" i="23" s="1"/>
  <c r="AX256" i="23"/>
  <c r="AZ256" i="23" s="1"/>
  <c r="AX622" i="23"/>
  <c r="AY622" i="23" s="1"/>
  <c r="AX133" i="23"/>
  <c r="AZ133" i="23" s="1"/>
  <c r="AX532" i="23"/>
  <c r="AZ532" i="23" s="1"/>
  <c r="AX300" i="23"/>
  <c r="AZ300" i="23" s="1"/>
  <c r="AX173" i="23"/>
  <c r="AY173" i="23" s="1"/>
  <c r="AX171" i="23"/>
  <c r="AZ171" i="23" s="1"/>
  <c r="AY25" i="23"/>
  <c r="AZ25" i="23"/>
  <c r="AX42" i="23"/>
  <c r="AY611" i="23"/>
  <c r="CP58" i="16" a="1"/>
  <c r="CP58" i="16" s="1"/>
  <c r="AX231" i="23"/>
  <c r="AZ231" i="23" s="1"/>
  <c r="AY3" i="23"/>
  <c r="AZ3" i="23"/>
  <c r="AY99" i="23"/>
  <c r="AZ99" i="23"/>
  <c r="AX428" i="23"/>
  <c r="AZ428" i="23" s="1"/>
  <c r="AY428" i="23"/>
  <c r="AX243" i="19"/>
  <c r="AY243" i="19" s="1"/>
  <c r="AX178" i="19"/>
  <c r="AZ178" i="19" s="1"/>
  <c r="AX271" i="23"/>
  <c r="AZ271" i="23" s="1"/>
  <c r="AX291" i="23"/>
  <c r="AZ291" i="23" s="1"/>
  <c r="S28" i="13"/>
  <c r="DK28" i="16" s="1"/>
  <c r="S30" i="13"/>
  <c r="DK30" i="16" s="1"/>
  <c r="S26" i="13"/>
  <c r="DK26" i="16" s="1"/>
  <c r="S29" i="13"/>
  <c r="DK29" i="16" s="1"/>
  <c r="DK25" i="16"/>
  <c r="S27" i="13"/>
  <c r="DK27" i="16" s="1"/>
  <c r="EM6" i="16"/>
  <c r="EM37" i="16" s="1"/>
  <c r="ER6" i="16"/>
  <c r="EQ37" i="16"/>
  <c r="AX573" i="23"/>
  <c r="AZ573" i="23" s="1"/>
  <c r="AX185" i="19"/>
  <c r="AY185" i="19" s="1"/>
  <c r="AX307" i="23"/>
  <c r="AZ307" i="23" s="1"/>
  <c r="AX240" i="23"/>
  <c r="AZ240" i="23" s="1"/>
  <c r="AX545" i="23"/>
  <c r="AZ545" i="23" s="1"/>
  <c r="AX222" i="23"/>
  <c r="AZ222" i="23" s="1"/>
  <c r="AX566" i="23"/>
  <c r="AZ566" i="23" s="1"/>
  <c r="EM7" i="16"/>
  <c r="EM38" i="16" s="1"/>
  <c r="ER7" i="16"/>
  <c r="EQ38" i="16"/>
  <c r="AX293" i="23"/>
  <c r="AZ293" i="23" s="1"/>
  <c r="AX220" i="19"/>
  <c r="AZ220" i="19" s="1"/>
  <c r="AX230" i="23"/>
  <c r="AZ230" i="23" s="1"/>
  <c r="AX459" i="23"/>
  <c r="CP49" i="16" s="1" a="1"/>
  <c r="CP49" i="16" s="1"/>
  <c r="AX522" i="23"/>
  <c r="AZ522" i="23" s="1"/>
  <c r="AX161" i="19"/>
  <c r="AZ161" i="19" s="1"/>
  <c r="AX180" i="23"/>
  <c r="AZ180" i="23" s="1"/>
  <c r="AX535" i="23"/>
  <c r="AZ535" i="23" s="1"/>
  <c r="AX646" i="23"/>
  <c r="AZ646" i="23" s="1"/>
  <c r="AY281" i="19"/>
  <c r="AY11" i="23"/>
  <c r="AZ11" i="23"/>
  <c r="AX208" i="23"/>
  <c r="AZ208" i="23" s="1"/>
  <c r="AY208" i="23"/>
  <c r="AX148" i="19"/>
  <c r="AY148" i="19" s="1"/>
  <c r="AX294" i="23"/>
  <c r="AZ294" i="23" s="1"/>
  <c r="AX670" i="23"/>
  <c r="AZ670" i="23" s="1"/>
  <c r="AX666" i="23"/>
  <c r="AZ666" i="23" s="1"/>
  <c r="AX37" i="23"/>
  <c r="AY37" i="23" s="1"/>
  <c r="AX260" i="23"/>
  <c r="AZ260" i="23" s="1"/>
  <c r="AY22" i="23"/>
  <c r="AZ22" i="23"/>
  <c r="AX153" i="19"/>
  <c r="AX280" i="23"/>
  <c r="AZ280" i="23" s="1"/>
  <c r="AZ118" i="23"/>
  <c r="AX54" i="23"/>
  <c r="AY54" i="23" s="1"/>
  <c r="ER9" i="16"/>
  <c r="EM9" i="16"/>
  <c r="EM40" i="16" s="1"/>
  <c r="EQ40" i="16"/>
  <c r="ER27" i="16"/>
  <c r="EM27" i="16"/>
  <c r="EM58" i="16" s="1"/>
  <c r="EQ58" i="16"/>
  <c r="AX680" i="23"/>
  <c r="AZ680" i="23" s="1"/>
  <c r="AX441" i="23"/>
  <c r="AZ441" i="23" s="1"/>
  <c r="AX474" i="23"/>
  <c r="AY474" i="23" s="1"/>
  <c r="AX182" i="23"/>
  <c r="AZ182" i="23" s="1"/>
  <c r="AX64" i="23"/>
  <c r="AZ64" i="23" s="1"/>
  <c r="AX426" i="23"/>
  <c r="AZ426" i="23" s="1"/>
  <c r="AY426" i="23"/>
  <c r="AX155" i="23"/>
  <c r="AZ155" i="23" s="1"/>
  <c r="AX59" i="19"/>
  <c r="AZ59" i="19" s="1"/>
  <c r="AX92" i="23"/>
  <c r="AZ92" i="23" s="1"/>
  <c r="AY62" i="19"/>
  <c r="AZ62" i="19"/>
  <c r="AX516" i="23"/>
  <c r="AZ516" i="23" s="1"/>
  <c r="AX47" i="23"/>
  <c r="AY47" i="23" s="1"/>
  <c r="AX60" i="19"/>
  <c r="AZ60" i="19" s="1"/>
  <c r="AX562" i="23"/>
  <c r="AZ562" i="23" s="1"/>
  <c r="AX249" i="19"/>
  <c r="AY249" i="19" s="1"/>
  <c r="AY86" i="19"/>
  <c r="AZ86" i="19"/>
  <c r="AY28" i="23"/>
  <c r="AZ28" i="23"/>
  <c r="AX48" i="23"/>
  <c r="EM11" i="16"/>
  <c r="EM42" i="16" s="1"/>
  <c r="ER11" i="16"/>
  <c r="EQ42" i="16"/>
  <c r="AX648" i="23"/>
  <c r="AZ648" i="23" s="1"/>
  <c r="AX250" i="23"/>
  <c r="AZ250" i="23" s="1"/>
  <c r="AX263" i="23"/>
  <c r="AZ263" i="23" s="1"/>
  <c r="AY116" i="23"/>
  <c r="AZ116" i="23"/>
  <c r="AX243" i="23"/>
  <c r="AZ243" i="23" s="1"/>
  <c r="AX289" i="19"/>
  <c r="AZ289" i="19" s="1"/>
  <c r="AX417" i="23"/>
  <c r="AZ417" i="23" s="1"/>
  <c r="AX236" i="23"/>
  <c r="AZ236" i="23" s="1"/>
  <c r="AX219" i="19"/>
  <c r="AZ219" i="19" s="1"/>
  <c r="AX247" i="23"/>
  <c r="AZ247" i="23" s="1"/>
  <c r="AX153" i="23"/>
  <c r="AZ153" i="23" s="1"/>
  <c r="AX333" i="23"/>
  <c r="AZ333" i="23" s="1"/>
  <c r="AX145" i="23"/>
  <c r="AZ145" i="23" s="1"/>
  <c r="AX633" i="23"/>
  <c r="AZ633" i="23" s="1"/>
  <c r="AX113" i="19"/>
  <c r="AZ113" i="19" s="1"/>
  <c r="AX654" i="23"/>
  <c r="AZ654" i="23" s="1"/>
  <c r="AX482" i="23"/>
  <c r="AY482" i="23" s="1"/>
  <c r="AX393" i="23"/>
  <c r="AZ393" i="23" s="1"/>
  <c r="AX163" i="23"/>
  <c r="AZ163" i="23" s="1"/>
  <c r="AX65" i="23"/>
  <c r="AZ65" i="23" s="1"/>
  <c r="AX159" i="19"/>
  <c r="AZ159" i="19" s="1"/>
  <c r="AY265" i="19"/>
  <c r="AZ265" i="19"/>
  <c r="AX183" i="23"/>
  <c r="AZ183" i="23" s="1"/>
  <c r="AY389" i="23"/>
  <c r="AZ389" i="23"/>
  <c r="AY16" i="23"/>
  <c r="AX283" i="23"/>
  <c r="AZ283" i="23" s="1"/>
  <c r="AX541" i="23"/>
  <c r="AZ541" i="23" s="1"/>
  <c r="AX244" i="23"/>
  <c r="AZ244" i="23" s="1"/>
  <c r="AY301" i="19"/>
  <c r="AZ301" i="19"/>
  <c r="AX285" i="23"/>
  <c r="AZ285" i="23" s="1"/>
  <c r="AX524" i="23"/>
  <c r="AZ524" i="23" s="1"/>
  <c r="AX688" i="23"/>
  <c r="AZ688" i="23" s="1"/>
  <c r="EM25" i="16"/>
  <c r="EM56" i="16" s="1"/>
  <c r="ER25" i="16"/>
  <c r="EQ56" i="16"/>
  <c r="AX304" i="23"/>
  <c r="AZ304" i="23" s="1"/>
  <c r="AY304" i="23"/>
  <c r="AX497" i="23"/>
  <c r="AZ497" i="23" s="1"/>
  <c r="AY497" i="23"/>
  <c r="AY23" i="23"/>
  <c r="AZ23" i="23"/>
  <c r="AY258" i="19"/>
  <c r="AZ258" i="19"/>
  <c r="AX63" i="23"/>
  <c r="AZ63" i="23" s="1"/>
  <c r="BB102" i="16"/>
  <c r="BB104" i="16" s="1"/>
  <c r="EC50" i="16"/>
  <c r="EG53" i="16"/>
  <c r="EC39" i="16"/>
  <c r="EC38" i="16"/>
  <c r="EB46" i="16"/>
  <c r="EA56" i="16"/>
  <c r="EC55" i="16"/>
  <c r="EF50" i="16"/>
  <c r="EB47" i="16"/>
  <c r="EF49" i="16"/>
  <c r="ED36" i="16"/>
  <c r="ED57" i="16"/>
  <c r="EC37" i="16"/>
  <c r="EC51" i="16"/>
  <c r="ED50" i="16"/>
  <c r="EG45" i="16"/>
  <c r="EC44" i="16"/>
  <c r="EF46" i="16"/>
  <c r="ED54" i="16"/>
  <c r="EF51" i="16"/>
  <c r="EF58" i="16"/>
  <c r="EC46" i="16"/>
  <c r="EE45" i="16"/>
  <c r="EG40" i="16"/>
  <c r="EB40" i="16"/>
  <c r="EG42" i="16"/>
  <c r="EC40" i="16"/>
  <c r="EG41" i="16"/>
  <c r="EE54" i="16"/>
  <c r="ED37" i="16"/>
  <c r="EE40" i="16"/>
  <c r="EB36" i="16"/>
  <c r="EB37" i="16"/>
  <c r="EE39" i="16"/>
  <c r="EF54" i="16"/>
  <c r="EG54" i="16"/>
  <c r="ED48" i="16"/>
  <c r="EB51" i="16"/>
  <c r="EG35" i="16"/>
  <c r="EE59" i="16"/>
  <c r="EB57" i="16"/>
  <c r="EF36" i="16"/>
  <c r="EE58" i="16"/>
  <c r="EF48" i="16"/>
  <c r="EE57" i="16"/>
  <c r="EC41" i="16"/>
  <c r="EC59" i="16"/>
  <c r="ED55" i="16"/>
  <c r="EB54" i="16"/>
  <c r="EG59" i="16"/>
  <c r="EC58" i="16"/>
  <c r="EG38" i="16"/>
  <c r="EG51" i="16"/>
  <c r="EG58" i="16"/>
  <c r="EH58" i="16" s="1"/>
  <c r="EB55" i="16"/>
  <c r="EE50" i="16"/>
  <c r="EB50" i="16"/>
  <c r="EE56" i="16"/>
  <c r="ED53" i="16"/>
  <c r="EA35" i="16"/>
  <c r="EF47" i="16"/>
  <c r="EE48" i="16"/>
  <c r="EC49" i="16"/>
  <c r="EF45" i="16"/>
  <c r="DD66" i="16" s="1"/>
  <c r="EA47" i="16"/>
  <c r="EF53" i="16"/>
  <c r="EC48" i="16"/>
  <c r="ED35" i="16"/>
  <c r="EB35" i="16"/>
  <c r="ED58" i="16"/>
  <c r="ED45" i="16"/>
  <c r="EF40" i="16"/>
  <c r="EB44" i="16"/>
  <c r="EE49" i="16"/>
  <c r="EE44" i="16"/>
  <c r="EF57" i="16"/>
  <c r="EF44" i="16"/>
  <c r="EB49" i="16"/>
  <c r="ED40" i="16"/>
  <c r="EA36" i="16"/>
  <c r="EG39" i="16"/>
  <c r="EE46" i="16"/>
  <c r="EE38" i="16"/>
  <c r="EA53" i="16"/>
  <c r="EC56" i="16"/>
  <c r="EA45" i="16"/>
  <c r="EF35" i="16"/>
  <c r="EG46" i="16"/>
  <c r="EB56" i="16"/>
  <c r="EG48" i="16"/>
  <c r="EA37" i="16"/>
  <c r="EF42" i="16"/>
  <c r="EB58" i="16"/>
  <c r="EG47" i="16"/>
  <c r="EE51" i="16"/>
  <c r="EC35" i="16"/>
  <c r="EB59" i="16"/>
  <c r="ED56" i="16"/>
  <c r="EG56" i="16"/>
  <c r="ED39" i="16"/>
  <c r="EC53" i="16"/>
  <c r="EC42" i="16"/>
  <c r="ED47" i="16"/>
  <c r="EG44" i="16"/>
  <c r="EA55" i="16"/>
  <c r="EA38" i="16"/>
  <c r="EA54" i="16"/>
  <c r="EE36" i="16"/>
  <c r="EB48" i="16"/>
  <c r="EB38" i="16"/>
  <c r="EF41" i="16"/>
  <c r="EF38" i="16"/>
  <c r="EC45" i="16"/>
  <c r="EG49" i="16"/>
  <c r="EF59" i="16"/>
  <c r="ED44" i="16"/>
  <c r="EB42" i="16"/>
  <c r="EF37" i="16"/>
  <c r="EF55" i="16"/>
  <c r="EE35" i="16"/>
  <c r="ED38" i="16"/>
  <c r="EG50" i="16"/>
  <c r="EA44" i="16"/>
  <c r="EE53" i="16"/>
  <c r="EG57" i="16"/>
  <c r="EE47" i="16"/>
  <c r="ED51" i="16"/>
  <c r="EA46" i="16"/>
  <c r="EB45" i="16"/>
  <c r="EF39" i="16"/>
  <c r="ED49" i="16"/>
  <c r="EB53" i="16"/>
  <c r="EG37" i="16"/>
  <c r="EC47" i="16"/>
  <c r="EB41" i="16"/>
  <c r="EB39" i="16"/>
  <c r="EC57" i="16"/>
  <c r="EG36" i="16"/>
  <c r="ED46" i="16"/>
  <c r="EA48" i="16"/>
  <c r="ED41" i="16"/>
  <c r="EE41" i="16"/>
  <c r="EC36" i="16"/>
  <c r="EA39" i="16"/>
  <c r="EC54" i="16"/>
  <c r="EF56" i="16"/>
  <c r="EE42" i="16"/>
  <c r="ED42" i="16"/>
  <c r="EG55" i="16"/>
  <c r="EE37" i="16"/>
  <c r="ED59" i="16"/>
  <c r="EE55" i="16"/>
  <c r="BB101" i="16"/>
  <c r="BB103" i="16" s="1"/>
  <c r="AU33"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D93" i="16"/>
  <c r="BO92" i="16"/>
  <c r="BN92" i="16"/>
  <c r="BM92" i="16"/>
  <c r="BL92" i="16"/>
  <c r="BK92" i="16"/>
  <c r="BJ92" i="16"/>
  <c r="BI92" i="16"/>
  <c r="BH92" i="16"/>
  <c r="BG92" i="16"/>
  <c r="BF92" i="16"/>
  <c r="BE92" i="16"/>
  <c r="AP53" i="24" l="1"/>
  <c r="AO53" i="24"/>
  <c r="DC66" i="16"/>
  <c r="BP92" i="16"/>
  <c r="DB60" i="16"/>
  <c r="DE60" i="16"/>
  <c r="DB58" i="16"/>
  <c r="DD67" i="16"/>
  <c r="DA66" i="16"/>
  <c r="DB66" i="16"/>
  <c r="CZ67" i="16"/>
  <c r="DC67" i="16"/>
  <c r="CY67" i="16"/>
  <c r="DB67" i="16"/>
  <c r="DE67" i="16"/>
  <c r="DE66" i="16"/>
  <c r="CZ66" i="16"/>
  <c r="CY66" i="16"/>
  <c r="DA67" i="16"/>
  <c r="BP93" i="16"/>
  <c r="P3" i="16"/>
  <c r="Q3" i="16"/>
  <c r="CP26" i="16"/>
  <c r="CR25" i="16"/>
  <c r="CO22" i="16"/>
  <c r="CR27" i="16"/>
  <c r="CO29" i="16"/>
  <c r="CR29" i="16"/>
  <c r="CP27" i="16"/>
  <c r="CP18" i="16"/>
  <c r="ER56" i="16"/>
  <c r="BP94" i="16"/>
  <c r="ER35" i="16"/>
  <c r="ER37" i="16"/>
  <c r="ER38" i="16"/>
  <c r="AY541" i="23"/>
  <c r="AY562" i="23"/>
  <c r="AY384" i="23"/>
  <c r="AY10" i="23"/>
  <c r="AY379" i="23"/>
  <c r="AY475" i="23"/>
  <c r="CR53" i="16" a="1"/>
  <c r="CR53" i="16" s="1"/>
  <c r="AY239" i="19"/>
  <c r="AY180" i="23"/>
  <c r="AY442" i="23"/>
  <c r="AY48" i="23"/>
  <c r="AY254" i="19"/>
  <c r="AY235" i="19"/>
  <c r="AY691" i="23"/>
  <c r="AY155" i="23"/>
  <c r="AY522" i="23"/>
  <c r="AY42" i="19"/>
  <c r="AY149" i="23"/>
  <c r="AY110" i="23"/>
  <c r="AY168" i="19"/>
  <c r="AY369" i="23"/>
  <c r="AY528" i="23"/>
  <c r="AY114" i="23"/>
  <c r="AY139" i="23"/>
  <c r="AY85" i="19"/>
  <c r="AY408" i="23"/>
  <c r="ER45" i="16"/>
  <c r="AY41" i="19"/>
  <c r="AY293" i="23"/>
  <c r="AY127" i="23"/>
  <c r="AX36" i="23"/>
  <c r="AY36" i="23" s="1"/>
  <c r="DO28"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CQ54" i="16" a="1"/>
  <c r="CQ54" i="16" s="1"/>
  <c r="AZ590" i="23"/>
  <c r="AY590" i="23"/>
  <c r="AY183" i="23"/>
  <c r="AY459" i="23"/>
  <c r="AY358" i="23"/>
  <c r="AY286" i="23"/>
  <c r="AY498" i="23"/>
  <c r="AY81" i="23"/>
  <c r="AY692" i="23"/>
  <c r="AY251" i="23"/>
  <c r="AY536" i="23"/>
  <c r="AY285" i="23"/>
  <c r="AY65" i="23"/>
  <c r="AY126" i="23"/>
  <c r="AY96" i="23"/>
  <c r="AY530" i="23"/>
  <c r="AY163" i="23"/>
  <c r="AY680" i="23"/>
  <c r="AY566" i="23"/>
  <c r="AY301" i="23"/>
  <c r="AY222" i="23"/>
  <c r="AY105" i="19"/>
  <c r="AY633" i="23"/>
  <c r="AX523" i="23"/>
  <c r="AZ523" i="23" s="1"/>
  <c r="AY572" i="23"/>
  <c r="AY53" i="19"/>
  <c r="AY135" i="23"/>
  <c r="AY122" i="19"/>
  <c r="AY516" i="23"/>
  <c r="AY631" i="23"/>
  <c r="AY32" i="23"/>
  <c r="AY46" i="19"/>
  <c r="AY295" i="23"/>
  <c r="AY28" i="19"/>
  <c r="AY310" i="23"/>
  <c r="AY439" i="23"/>
  <c r="AY197" i="19"/>
  <c r="AX692" i="23"/>
  <c r="AZ692" i="23" s="1"/>
  <c r="AY123" i="23"/>
  <c r="AY535" i="23"/>
  <c r="AY177" i="23"/>
  <c r="EH44" i="16"/>
  <c r="DO25" i="16"/>
  <c r="DO29" i="16"/>
  <c r="AY199" i="19"/>
  <c r="AZ674" i="23"/>
  <c r="AY674" i="23"/>
  <c r="AY476" i="23"/>
  <c r="CR54" i="16" a="1"/>
  <c r="CR54"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Y7" i="19" s="1"/>
  <c r="AX215" i="19"/>
  <c r="AY215" i="19" s="1"/>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EN16" i="16"/>
  <c r="EN47" i="16" s="1"/>
  <c r="AY18" i="19"/>
  <c r="AY202" i="19"/>
  <c r="AY219" i="19"/>
  <c r="AY113" i="19"/>
  <c r="AY302" i="19"/>
  <c r="AY226" i="19"/>
  <c r="AY289" i="19"/>
  <c r="AY263" i="19"/>
  <c r="AY146" i="19"/>
  <c r="AY162" i="19"/>
  <c r="AY175" i="19"/>
  <c r="EN26" i="16"/>
  <c r="EN57" i="16" s="1"/>
  <c r="ER42" i="16"/>
  <c r="EN5" i="16"/>
  <c r="EN36" i="16" s="1"/>
  <c r="ER39" i="16"/>
  <c r="ER52" i="16"/>
  <c r="ER53" i="16"/>
  <c r="ER40" i="16"/>
  <c r="ER46" i="16"/>
  <c r="ER51" i="16"/>
  <c r="ER47" i="16"/>
  <c r="EN11" i="16"/>
  <c r="EN28" i="16"/>
  <c r="EN59" i="16" s="1"/>
  <c r="EN19" i="16"/>
  <c r="EN50" i="16" s="1"/>
  <c r="AZ138" i="19"/>
  <c r="AY138" i="19"/>
  <c r="AY567" i="23"/>
  <c r="AY161" i="23"/>
  <c r="AY152" i="23"/>
  <c r="AY130" i="23"/>
  <c r="AY148" i="23"/>
  <c r="AY145" i="23"/>
  <c r="AY250" i="23"/>
  <c r="AY74" i="23"/>
  <c r="AY348" i="23"/>
  <c r="AY245" i="23"/>
  <c r="AY267" i="23"/>
  <c r="DO30" i="16"/>
  <c r="AY210" i="23"/>
  <c r="AY282" i="23"/>
  <c r="EN4" i="16"/>
  <c r="EN35" i="16" s="1"/>
  <c r="AY570" i="23"/>
  <c r="AY427" i="23"/>
  <c r="AY551" i="23"/>
  <c r="AY555" i="23"/>
  <c r="EN20" i="16"/>
  <c r="EN51" i="16" s="1"/>
  <c r="AY244" i="23"/>
  <c r="AY60" i="19"/>
  <c r="EN9" i="16"/>
  <c r="AY666" i="23"/>
  <c r="AY307" i="23"/>
  <c r="AY256" i="23"/>
  <c r="AY403" i="23"/>
  <c r="AY142" i="19"/>
  <c r="AY306" i="23"/>
  <c r="AY422" i="23"/>
  <c r="AY211" i="23"/>
  <c r="AY172" i="19"/>
  <c r="AY647" i="23"/>
  <c r="AY275" i="23"/>
  <c r="AY321" i="23"/>
  <c r="AY337" i="23"/>
  <c r="EN8" i="16"/>
  <c r="EN39" i="16" s="1"/>
  <c r="EN15" i="16"/>
  <c r="EN46"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EH40"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ER58" i="16"/>
  <c r="EN6" i="16"/>
  <c r="EN37" i="16" s="1"/>
  <c r="EN18" i="16"/>
  <c r="EN49" i="16" s="1"/>
  <c r="EN25" i="16"/>
  <c r="ER61" i="16"/>
  <c r="EN21" i="16"/>
  <c r="EN52" i="16" s="1"/>
  <c r="ER57" i="16"/>
  <c r="EH56" i="16"/>
  <c r="EH54" i="16"/>
  <c r="EH45" i="16"/>
  <c r="EH49" i="16"/>
  <c r="EH47" i="16"/>
  <c r="EH37" i="16"/>
  <c r="EH51" i="16"/>
  <c r="ER49" i="16"/>
  <c r="EH55" i="16"/>
  <c r="EN27" i="16"/>
  <c r="EN58" i="16" s="1"/>
  <c r="EN13" i="16"/>
  <c r="EN23" i="16"/>
  <c r="EN54" i="16" s="1"/>
  <c r="AZ153" i="19"/>
  <c r="AZ246" i="19"/>
  <c r="AZ42" i="23"/>
  <c r="AZ216" i="19"/>
  <c r="AZ456" i="23"/>
  <c r="AY112" i="19"/>
  <c r="AZ112" i="19"/>
  <c r="AX354" i="23"/>
  <c r="AZ354" i="23" s="1"/>
  <c r="AZ98" i="19"/>
  <c r="BM21" i="16"/>
  <c r="AX463" i="23"/>
  <c r="AY463" i="23" s="1"/>
  <c r="AX78" i="19"/>
  <c r="AZ78" i="19" s="1"/>
  <c r="AY105" i="23"/>
  <c r="AZ105" i="23"/>
  <c r="AX123" i="19"/>
  <c r="AY123" i="19" s="1"/>
  <c r="AY137" i="19"/>
  <c r="AZ137" i="19"/>
  <c r="AX617" i="23"/>
  <c r="AY617" i="23" s="1"/>
  <c r="AZ97" i="19"/>
  <c r="BM20" i="16"/>
  <c r="AX494" i="23"/>
  <c r="AZ494" i="23" s="1"/>
  <c r="AX598" i="23"/>
  <c r="AZ598" i="23" s="1"/>
  <c r="AX220" i="23"/>
  <c r="AZ220" i="23" s="1"/>
  <c r="AY241" i="19"/>
  <c r="AZ241" i="19"/>
  <c r="AX172" i="23"/>
  <c r="AZ172" i="23" s="1"/>
  <c r="AY23" i="19"/>
  <c r="AZ23" i="19"/>
  <c r="AX66" i="19"/>
  <c r="AY66" i="19" s="1"/>
  <c r="AX156" i="23"/>
  <c r="AZ156" i="23" s="1"/>
  <c r="AX339" i="23"/>
  <c r="AZ339" i="23" s="1"/>
  <c r="EH57" i="16"/>
  <c r="AZ470" i="23"/>
  <c r="AY524" i="23"/>
  <c r="AY417" i="23"/>
  <c r="AY490" i="23"/>
  <c r="AY64" i="23"/>
  <c r="AY659" i="23"/>
  <c r="AY646" i="23"/>
  <c r="AY220" i="19"/>
  <c r="AY240" i="23"/>
  <c r="AZ622" i="23"/>
  <c r="CR57" i="16" a="1"/>
  <c r="CR57" i="16" s="1"/>
  <c r="DB57" i="16" s="1"/>
  <c r="AY69" i="23"/>
  <c r="AY504" i="23"/>
  <c r="BM28" i="16"/>
  <c r="AZ96" i="19"/>
  <c r="AY76" i="23"/>
  <c r="AY199" i="23"/>
  <c r="AX409" i="23"/>
  <c r="AZ409" i="23" s="1"/>
  <c r="AX204" i="19"/>
  <c r="AZ204" i="19" s="1"/>
  <c r="AY174" i="23"/>
  <c r="AY88" i="23"/>
  <c r="AY397" i="23"/>
  <c r="AY355" i="23"/>
  <c r="AY108" i="23"/>
  <c r="CQ52" i="16" a="1"/>
  <c r="CQ52" i="16" s="1"/>
  <c r="AZ108" i="23"/>
  <c r="AX492" i="23"/>
  <c r="AZ492" i="23" s="1"/>
  <c r="AX128" i="23"/>
  <c r="AZ128" i="23" s="1"/>
  <c r="AY489" i="23"/>
  <c r="AX334" i="23"/>
  <c r="AZ334" i="23" s="1"/>
  <c r="AY294" i="19"/>
  <c r="AX672" i="23"/>
  <c r="AZ672" i="23" s="1"/>
  <c r="EN12" i="16"/>
  <c r="AX352" i="23"/>
  <c r="AZ352" i="23" s="1"/>
  <c r="AX458" i="23"/>
  <c r="AY458" i="23" s="1"/>
  <c r="AX14" i="19"/>
  <c r="AY14" i="19" s="1"/>
  <c r="AX466" i="23"/>
  <c r="AX451" i="23"/>
  <c r="AZ451" i="23" s="1"/>
  <c r="AX30" i="19"/>
  <c r="AY30" i="19" s="1"/>
  <c r="AZ31" i="19"/>
  <c r="BL21" i="16"/>
  <c r="AZ38" i="19"/>
  <c r="AZ45" i="23"/>
  <c r="AX55" i="23"/>
  <c r="AY55" i="23" s="1"/>
  <c r="AY230" i="19"/>
  <c r="AZ72" i="19"/>
  <c r="BM15" i="16"/>
  <c r="AY188" i="23"/>
  <c r="EN22" i="16"/>
  <c r="AZ268" i="19"/>
  <c r="AZ186" i="19"/>
  <c r="AY27" i="23"/>
  <c r="AZ27" i="23"/>
  <c r="CV60" i="16"/>
  <c r="CS60" i="16"/>
  <c r="CU29" i="16"/>
  <c r="AZ48" i="23"/>
  <c r="AX550" i="23"/>
  <c r="AZ550" i="23" s="1"/>
  <c r="AX418" i="23"/>
  <c r="AZ418" i="23" s="1"/>
  <c r="AX146" i="23"/>
  <c r="AY146" i="23" s="1"/>
  <c r="AX248" i="23"/>
  <c r="AZ248" i="23" s="1"/>
  <c r="AX259" i="23"/>
  <c r="AZ259" i="23" s="1"/>
  <c r="AX225" i="23"/>
  <c r="AZ225" i="23" s="1"/>
  <c r="AX359" i="23"/>
  <c r="AZ359" i="23" s="1"/>
  <c r="AX505" i="23"/>
  <c r="AY505" i="23" s="1"/>
  <c r="AX212" i="19"/>
  <c r="AY212" i="19" s="1"/>
  <c r="AX430" i="23"/>
  <c r="AZ430" i="23" s="1"/>
  <c r="AY141" i="19"/>
  <c r="AZ141" i="19"/>
  <c r="AX589" i="23"/>
  <c r="AZ589" i="23" s="1"/>
  <c r="AX194" i="23"/>
  <c r="AZ194" i="23" s="1"/>
  <c r="AZ371" i="23"/>
  <c r="AZ455" i="23"/>
  <c r="CU58" i="16" a="1"/>
  <c r="CU58" i="16" s="1"/>
  <c r="DE58" i="16" s="1"/>
  <c r="AZ629" i="23"/>
  <c r="EH50" i="16"/>
  <c r="EH53" i="16"/>
  <c r="AZ47" i="23"/>
  <c r="AY291" i="23"/>
  <c r="AY171" i="23"/>
  <c r="AY548" i="23"/>
  <c r="AZ56" i="23"/>
  <c r="AZ158" i="19"/>
  <c r="AX515" i="23"/>
  <c r="AZ515" i="23" s="1"/>
  <c r="EN30"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Y125" i="19" s="1"/>
  <c r="AX473" i="23"/>
  <c r="AY473" i="23" s="1"/>
  <c r="AX29" i="19"/>
  <c r="AY29" i="19" s="1"/>
  <c r="AX91" i="23"/>
  <c r="AY91" i="23" s="1"/>
  <c r="AY444" i="23"/>
  <c r="AX517" i="23"/>
  <c r="AZ517" i="23" s="1"/>
  <c r="AY413" i="23"/>
  <c r="AY329" i="23"/>
  <c r="AX51" i="23"/>
  <c r="AY51" i="23" s="1"/>
  <c r="AY350" i="23"/>
  <c r="AY119" i="19"/>
  <c r="AX162" i="23"/>
  <c r="AZ162" i="23" s="1"/>
  <c r="AX273" i="23"/>
  <c r="AZ273" i="23" s="1"/>
  <c r="AX198" i="23"/>
  <c r="AZ198" i="23" s="1"/>
  <c r="AX340" i="23"/>
  <c r="AZ340" i="23" s="1"/>
  <c r="AY47" i="19"/>
  <c r="AZ47" i="19"/>
  <c r="AX128" i="19"/>
  <c r="AY128" i="19" s="1"/>
  <c r="AY232" i="19"/>
  <c r="AZ232" i="19"/>
  <c r="EH39" i="16"/>
  <c r="AZ60" i="23"/>
  <c r="BR6" i="16"/>
  <c r="AY122" i="23"/>
  <c r="AZ122" i="23"/>
  <c r="CU54" i="16" a="1"/>
  <c r="CU54" i="16" s="1"/>
  <c r="AZ70" i="19"/>
  <c r="BM9" i="16"/>
  <c r="AX262" i="23"/>
  <c r="AZ262" i="23" s="1"/>
  <c r="AY98" i="23"/>
  <c r="AZ98" i="23"/>
  <c r="AX111" i="19"/>
  <c r="AZ111" i="19" s="1"/>
  <c r="AX637" i="23"/>
  <c r="AZ637" i="23" s="1"/>
  <c r="AX165" i="23"/>
  <c r="AZ165" i="23" s="1"/>
  <c r="AX40" i="19"/>
  <c r="AZ40" i="19" s="1"/>
  <c r="AX406" i="23"/>
  <c r="AZ406" i="23" s="1"/>
  <c r="AX228" i="19"/>
  <c r="AZ228" i="19" s="1"/>
  <c r="AX509" i="23"/>
  <c r="AY509" i="23" s="1"/>
  <c r="AY368" i="23"/>
  <c r="AZ368" i="23"/>
  <c r="CO16" i="16"/>
  <c r="AZ247" i="19"/>
  <c r="AZ3" i="19"/>
  <c r="BL10" i="16"/>
  <c r="AZ468" i="23"/>
  <c r="CQ51" i="16" a="1"/>
  <c r="CQ51" i="16" s="1"/>
  <c r="AX168" i="23"/>
  <c r="AZ168" i="23" s="1"/>
  <c r="BL27" i="16"/>
  <c r="AZ35" i="19"/>
  <c r="AY109" i="19"/>
  <c r="AY557" i="23"/>
  <c r="AX319" i="23"/>
  <c r="AZ319" i="23" s="1"/>
  <c r="AX513" i="23"/>
  <c r="AZ513" i="23" s="1"/>
  <c r="AY436" i="23"/>
  <c r="AZ482" i="23"/>
  <c r="AY260" i="23"/>
  <c r="AZ185" i="19"/>
  <c r="BO12" i="16"/>
  <c r="AY271" i="23"/>
  <c r="BN18" i="16"/>
  <c r="AZ151" i="19"/>
  <c r="AY79" i="23"/>
  <c r="AY16" i="19"/>
  <c r="AZ16" i="19"/>
  <c r="AY110" i="19"/>
  <c r="AZ457" i="23"/>
  <c r="AX453" i="23"/>
  <c r="AY453" i="23" s="1"/>
  <c r="AZ59" i="23"/>
  <c r="AZ44" i="23"/>
  <c r="AY228" i="23"/>
  <c r="AZ37" i="19"/>
  <c r="BL20" i="16"/>
  <c r="AX465" i="23"/>
  <c r="CQ49" i="16" s="1" a="1"/>
  <c r="CQ49" i="16" s="1"/>
  <c r="AY223" i="23"/>
  <c r="AY185" i="23"/>
  <c r="AX102" i="19"/>
  <c r="AZ102" i="19" s="1"/>
  <c r="AY204" i="23"/>
  <c r="AZ93" i="19"/>
  <c r="BM17" i="16"/>
  <c r="AY144" i="19"/>
  <c r="AX563" i="23"/>
  <c r="AZ563" i="23" s="1"/>
  <c r="AX641" i="23"/>
  <c r="AZ641" i="23" s="1"/>
  <c r="AX183" i="19"/>
  <c r="AY183" i="19" s="1"/>
  <c r="AX317" i="23"/>
  <c r="AZ317" i="23" s="1"/>
  <c r="AX360" i="23"/>
  <c r="AY360" i="23" s="1"/>
  <c r="AX67" i="19"/>
  <c r="AY67" i="19" s="1"/>
  <c r="AX244" i="19"/>
  <c r="AY244" i="19" s="1"/>
  <c r="AY49" i="19"/>
  <c r="AZ49" i="19"/>
  <c r="AY346" i="23"/>
  <c r="AY450" i="23"/>
  <c r="CS56" i="16"/>
  <c r="CU25" i="16"/>
  <c r="AY671" i="23"/>
  <c r="AY264" i="23"/>
  <c r="AZ89" i="19"/>
  <c r="BM25" i="16"/>
  <c r="AY447" i="23"/>
  <c r="AZ267" i="19"/>
  <c r="AY568" i="23"/>
  <c r="AY302" i="23"/>
  <c r="AX510" i="23"/>
  <c r="AZ510" i="23" s="1"/>
  <c r="BO26" i="16"/>
  <c r="AZ210" i="19"/>
  <c r="AY575" i="23"/>
  <c r="AY320" i="23"/>
  <c r="AX177" i="19"/>
  <c r="AZ177" i="19" s="1"/>
  <c r="AZ190" i="19"/>
  <c r="BO9" i="16"/>
  <c r="AY169" i="23"/>
  <c r="AY571" i="23"/>
  <c r="AZ184" i="19"/>
  <c r="BO11" i="16"/>
  <c r="AX362" i="23"/>
  <c r="AZ362" i="23" s="1"/>
  <c r="EN7" i="16"/>
  <c r="AZ173" i="23"/>
  <c r="BN23" i="16"/>
  <c r="AZ147" i="19"/>
  <c r="AZ366" i="23"/>
  <c r="ER50" i="16"/>
  <c r="AX661" i="23"/>
  <c r="AZ661" i="23" s="1"/>
  <c r="AY100" i="23"/>
  <c r="CP50" i="16" a="1"/>
  <c r="CP50" i="16" s="1"/>
  <c r="CZ50" i="16" s="1"/>
  <c r="AZ100" i="23"/>
  <c r="AX52" i="23"/>
  <c r="AY52" i="23" s="1"/>
  <c r="AZ251" i="19"/>
  <c r="AY101" i="23"/>
  <c r="AZ101" i="23"/>
  <c r="CP51" i="16" a="1"/>
  <c r="CP51" i="16" s="1"/>
  <c r="CZ51" i="16" s="1"/>
  <c r="AZ68" i="19"/>
  <c r="BM6" i="16"/>
  <c r="AX67" i="23"/>
  <c r="AZ67" i="23" s="1"/>
  <c r="AX686" i="23"/>
  <c r="AZ686" i="23" s="1"/>
  <c r="AX83" i="19"/>
  <c r="AZ83" i="19" s="1"/>
  <c r="AX506" i="23"/>
  <c r="AZ506" i="23" s="1"/>
  <c r="AY112" i="23"/>
  <c r="CR50" i="16" a="1"/>
  <c r="CR50" i="16" s="1"/>
  <c r="AZ112" i="23"/>
  <c r="AX331" i="23"/>
  <c r="AZ331" i="23" s="1"/>
  <c r="AZ480" i="23"/>
  <c r="AX238" i="19"/>
  <c r="AZ238" i="19" s="1"/>
  <c r="AX410" i="23"/>
  <c r="AZ410" i="23" s="1"/>
  <c r="AY298" i="19"/>
  <c r="AZ298" i="19"/>
  <c r="AX127" i="19"/>
  <c r="AY127" i="19" s="1"/>
  <c r="AY364" i="23"/>
  <c r="AZ364" i="23"/>
  <c r="AX202" i="23"/>
  <c r="AZ202" i="23" s="1"/>
  <c r="AX586" i="23"/>
  <c r="AZ586" i="23" s="1"/>
  <c r="AX520" i="23"/>
  <c r="AZ520" i="23" s="1"/>
  <c r="AX73" i="23"/>
  <c r="AY73" i="23" s="1"/>
  <c r="AZ272" i="19"/>
  <c r="EH36" i="16"/>
  <c r="AZ28" i="19"/>
  <c r="AZ474" i="23"/>
  <c r="AZ471" i="23"/>
  <c r="AY178" i="19"/>
  <c r="AY300" i="23"/>
  <c r="AY262" i="19"/>
  <c r="AY421" i="23"/>
  <c r="AY206" i="19"/>
  <c r="AY103" i="19"/>
  <c r="AZ103" i="19"/>
  <c r="AY118" i="19"/>
  <c r="AY356" i="23"/>
  <c r="AX184" i="23"/>
  <c r="AZ184" i="23" s="1"/>
  <c r="AY663" i="23"/>
  <c r="AY642" i="23"/>
  <c r="AZ35" i="23"/>
  <c r="AY668" i="23"/>
  <c r="CP59" i="16" a="1"/>
  <c r="CP59" i="16" s="1"/>
  <c r="AZ612" i="23"/>
  <c r="AY258" i="23"/>
  <c r="AX257" i="23"/>
  <c r="AZ257" i="23" s="1"/>
  <c r="AX445" i="23"/>
  <c r="AZ445" i="23" s="1"/>
  <c r="AZ245" i="19"/>
  <c r="AY485" i="23"/>
  <c r="AY259" i="19"/>
  <c r="AY400" i="23"/>
  <c r="AX419" i="23"/>
  <c r="AZ419" i="23" s="1"/>
  <c r="AY367" i="23"/>
  <c r="AZ367" i="23"/>
  <c r="AY145" i="19"/>
  <c r="AZ145" i="19"/>
  <c r="AX133" i="19"/>
  <c r="AY133" i="19" s="1"/>
  <c r="AX237" i="23"/>
  <c r="AZ237" i="23" s="1"/>
  <c r="AX87" i="19"/>
  <c r="AY87" i="19" s="1"/>
  <c r="AY365" i="23"/>
  <c r="AZ365" i="23"/>
  <c r="CO13" i="16"/>
  <c r="AY106" i="19"/>
  <c r="AZ106" i="19"/>
  <c r="AY280" i="19"/>
  <c r="AZ280" i="19"/>
  <c r="AX618" i="23"/>
  <c r="AY618" i="23" s="1"/>
  <c r="AZ476" i="23"/>
  <c r="AX213" i="19"/>
  <c r="AY213" i="19" s="1"/>
  <c r="AX404" i="23"/>
  <c r="AZ404" i="23" s="1"/>
  <c r="AY404" i="23"/>
  <c r="AX132" i="23"/>
  <c r="AY132" i="23"/>
  <c r="AX80" i="23"/>
  <c r="AY80" i="23" s="1"/>
  <c r="AZ189" i="19"/>
  <c r="BO4" i="16"/>
  <c r="AX190" i="23"/>
  <c r="AZ190" i="23" s="1"/>
  <c r="CQ13" i="16"/>
  <c r="AY26" i="19"/>
  <c r="AZ26" i="19"/>
  <c r="AY390" i="23"/>
  <c r="AZ390" i="23"/>
  <c r="AX214" i="23"/>
  <c r="AZ214" i="23" s="1"/>
  <c r="AX315" i="23"/>
  <c r="AZ315" i="23" s="1"/>
  <c r="AY374" i="23"/>
  <c r="AZ374" i="23"/>
  <c r="AY603" i="23"/>
  <c r="CY60" i="16"/>
  <c r="AZ603" i="23"/>
  <c r="AY382" i="23"/>
  <c r="AZ382" i="23"/>
  <c r="AX308" i="23"/>
  <c r="AZ308" i="23" s="1"/>
  <c r="BO15" i="16"/>
  <c r="AZ192" i="19"/>
  <c r="AZ57" i="23"/>
  <c r="AX640" i="23"/>
  <c r="AZ640" i="23" s="1"/>
  <c r="AX556" i="23"/>
  <c r="AZ556" i="23" s="1"/>
  <c r="AX147" i="23"/>
  <c r="AZ147" i="23" s="1"/>
  <c r="AZ207" i="19"/>
  <c r="BO23" i="16"/>
  <c r="AX134" i="23"/>
  <c r="AZ134" i="23" s="1"/>
  <c r="AX160" i="23"/>
  <c r="AY160" i="23" s="1"/>
  <c r="EH35" i="16"/>
  <c r="AZ54" i="23"/>
  <c r="AZ37" i="23"/>
  <c r="AX305" i="23"/>
  <c r="AY305" i="23" s="1"/>
  <c r="AX584" i="23"/>
  <c r="AZ584" i="23" s="1"/>
  <c r="AY263" i="23"/>
  <c r="AY564" i="23"/>
  <c r="AZ39" i="23"/>
  <c r="AY87" i="23"/>
  <c r="AZ129" i="19"/>
  <c r="BN4" i="16"/>
  <c r="AY45" i="19"/>
  <c r="AX68" i="23"/>
  <c r="AZ68" i="23" s="1"/>
  <c r="AY353" i="23"/>
  <c r="AX187" i="23"/>
  <c r="AZ187" i="23" s="1"/>
  <c r="AY234" i="19"/>
  <c r="AX583" i="23"/>
  <c r="AZ583" i="23" s="1"/>
  <c r="AY370" i="23"/>
  <c r="AZ370" i="23"/>
  <c r="AY539" i="23"/>
  <c r="ER60" i="16"/>
  <c r="CU52" i="16" a="1"/>
  <c r="CU52" i="16" s="1"/>
  <c r="AY499" i="23"/>
  <c r="AX241" i="23"/>
  <c r="AZ241" i="23" s="1"/>
  <c r="AY165" i="19"/>
  <c r="AZ165" i="19"/>
  <c r="AX579" i="23"/>
  <c r="AZ579" i="23" s="1"/>
  <c r="AX264" i="19"/>
  <c r="AY264" i="19" s="1"/>
  <c r="AX198" i="19"/>
  <c r="AZ198" i="19" s="1"/>
  <c r="AX361" i="23"/>
  <c r="AZ361" i="23" s="1"/>
  <c r="AX63" i="19"/>
  <c r="AY63" i="19" s="1"/>
  <c r="AX651" i="23"/>
  <c r="AZ651" i="23" s="1"/>
  <c r="AZ64" i="19"/>
  <c r="AY677" i="23"/>
  <c r="AZ126" i="19"/>
  <c r="BN13" i="16"/>
  <c r="AY552" i="23"/>
  <c r="AY690" i="23"/>
  <c r="AY279" i="23"/>
  <c r="AY325" i="23"/>
  <c r="AZ134" i="19"/>
  <c r="BN8" i="16"/>
  <c r="AY639" i="23"/>
  <c r="AY201" i="23"/>
  <c r="AY429" i="23"/>
  <c r="AX164" i="23"/>
  <c r="AZ164" i="23" s="1"/>
  <c r="AY299" i="19"/>
  <c r="AZ299" i="19"/>
  <c r="AY121" i="23"/>
  <c r="AZ121" i="23"/>
  <c r="CU53" i="16" a="1"/>
  <c r="CU53" i="16" s="1"/>
  <c r="AZ187" i="19"/>
  <c r="BO5" i="16"/>
  <c r="EN29" i="16"/>
  <c r="AY538" i="23"/>
  <c r="AZ274" i="19"/>
  <c r="AX667" i="23"/>
  <c r="AZ667" i="23" s="1"/>
  <c r="AZ155" i="19"/>
  <c r="BN27" i="16"/>
  <c r="AX402" i="23"/>
  <c r="AZ402" i="23" s="1"/>
  <c r="AX448" i="23"/>
  <c r="AZ448" i="23" s="1"/>
  <c r="AX431" i="23"/>
  <c r="AZ431" i="23" s="1"/>
  <c r="AX449" i="23"/>
  <c r="AZ449" i="23" s="1"/>
  <c r="AX582" i="23"/>
  <c r="AZ582" i="23" s="1"/>
  <c r="AX407" i="23"/>
  <c r="AZ407" i="23" s="1"/>
  <c r="AY604" i="23"/>
  <c r="AZ604" i="23"/>
  <c r="CP56" i="16" a="1"/>
  <c r="CP56" i="16" s="1"/>
  <c r="CZ56" i="16" s="1"/>
  <c r="AD94" i="16" s="1"/>
  <c r="AZ609" i="23"/>
  <c r="BO14" i="16"/>
  <c r="AZ191" i="19"/>
  <c r="AZ90" i="19"/>
  <c r="AZ481" i="23"/>
  <c r="CR49" i="16" a="1"/>
  <c r="CR49" i="16" s="1"/>
  <c r="AZ74" i="19"/>
  <c r="BM8" i="16"/>
  <c r="AX56" i="19"/>
  <c r="AZ56" i="19" s="1"/>
  <c r="AX186" i="23"/>
  <c r="AZ186" i="23" s="1"/>
  <c r="AY547" i="23"/>
  <c r="AY217" i="23"/>
  <c r="AZ271" i="19"/>
  <c r="BM22" i="16"/>
  <c r="AZ94" i="19"/>
  <c r="AZ249" i="19"/>
  <c r="AY645" i="23"/>
  <c r="AY89" i="23"/>
  <c r="AX261" i="23"/>
  <c r="AZ261" i="23" s="1"/>
  <c r="AX296" i="23"/>
  <c r="AZ296" i="23" s="1"/>
  <c r="AY669" i="23"/>
  <c r="AY592" i="23"/>
  <c r="AX311" i="23"/>
  <c r="AZ311" i="23" s="1"/>
  <c r="AY17" i="19"/>
  <c r="AY189" i="23"/>
  <c r="AX149" i="19"/>
  <c r="AY149" i="19" s="1"/>
  <c r="AX43" i="19"/>
  <c r="AZ43" i="19" s="1"/>
  <c r="AY15" i="19"/>
  <c r="AZ15" i="19"/>
  <c r="AX486" i="23"/>
  <c r="AZ486" i="23" s="1"/>
  <c r="AX78" i="23"/>
  <c r="AY78" i="23" s="1"/>
  <c r="AY261" i="19"/>
  <c r="AZ261" i="19"/>
  <c r="AX437" i="23"/>
  <c r="AZ437" i="23" s="1"/>
  <c r="AX6" i="23"/>
  <c r="AY6" i="23" s="1"/>
  <c r="AX565" i="23"/>
  <c r="AZ565" i="23" s="1"/>
  <c r="AY84" i="23"/>
  <c r="AY164" i="19"/>
  <c r="AY634" i="23"/>
  <c r="AY578" i="23"/>
  <c r="AX124" i="23"/>
  <c r="AZ124" i="23" s="1"/>
  <c r="AX608" i="23"/>
  <c r="AY608" i="23" s="1"/>
  <c r="AX66" i="23"/>
  <c r="AZ66" i="23" s="1"/>
  <c r="AZ95" i="19"/>
  <c r="AX253" i="19"/>
  <c r="AY253" i="19" s="1"/>
  <c r="AZ193" i="19"/>
  <c r="BO7" i="16"/>
  <c r="AX218" i="19"/>
  <c r="AY218" i="19" s="1"/>
  <c r="AZ277" i="19"/>
  <c r="AY104" i="23"/>
  <c r="AZ104" i="23"/>
  <c r="AZ472" i="23"/>
  <c r="BN22" i="16"/>
  <c r="AZ154" i="19"/>
  <c r="AZ58" i="23"/>
  <c r="AX511" i="23"/>
  <c r="AY511" i="23" s="1"/>
  <c r="AX152" i="19"/>
  <c r="AY152" i="19" s="1"/>
  <c r="AX656" i="23"/>
  <c r="AZ656" i="23" s="1"/>
  <c r="AZ276" i="19"/>
  <c r="AZ211" i="19"/>
  <c r="BO18" i="16"/>
  <c r="AX561" i="23"/>
  <c r="AZ561" i="23" s="1"/>
  <c r="AZ71" i="19"/>
  <c r="AX496" i="23"/>
  <c r="AY496" i="23" s="1"/>
  <c r="AX616" i="23"/>
  <c r="AY616" i="23" s="1"/>
  <c r="AY375" i="23"/>
  <c r="AZ375" i="23"/>
  <c r="AX464" i="23"/>
  <c r="CP54" i="16" s="1" a="1"/>
  <c r="CP54" i="16" s="1"/>
  <c r="CZ54" i="16" s="1"/>
  <c r="AX285" i="19"/>
  <c r="AZ285" i="19" s="1"/>
  <c r="AX269" i="19"/>
  <c r="AY269" i="19" s="1"/>
  <c r="AX237" i="19"/>
  <c r="AZ237" i="19" s="1"/>
  <c r="AX626" i="23"/>
  <c r="AY626" i="23" s="1"/>
  <c r="AZ9" i="19"/>
  <c r="CY59" i="16"/>
  <c r="AZ606" i="23"/>
  <c r="EH38" i="16"/>
  <c r="AZ454" i="23"/>
  <c r="AY648" i="23"/>
  <c r="AZ36" i="23"/>
  <c r="AY670" i="23"/>
  <c r="AZ124" i="19"/>
  <c r="BN11" i="16"/>
  <c r="AY157" i="23"/>
  <c r="AY231" i="23"/>
  <c r="AY532" i="23"/>
  <c r="AY144" i="23"/>
  <c r="AZ61" i="23"/>
  <c r="AY316" i="23"/>
  <c r="AY401" i="23"/>
  <c r="AX684" i="23"/>
  <c r="AZ684" i="23" s="1"/>
  <c r="AX342" i="23"/>
  <c r="AZ342" i="23" s="1"/>
  <c r="AY182" i="19"/>
  <c r="AZ73" i="19"/>
  <c r="BM7" i="16"/>
  <c r="AY387" i="23"/>
  <c r="AZ387" i="23"/>
  <c r="AZ624" i="23"/>
  <c r="CR59" i="16" a="1"/>
  <c r="CR59" i="16" s="1"/>
  <c r="DB59" i="16" s="1"/>
  <c r="AY136" i="19"/>
  <c r="AY82" i="23"/>
  <c r="AZ33" i="19"/>
  <c r="BL17" i="16"/>
  <c r="AY70" i="23"/>
  <c r="AZ460" i="23"/>
  <c r="AY240" i="19"/>
  <c r="AZ240" i="19"/>
  <c r="ER36" i="16"/>
  <c r="AY121" i="19"/>
  <c r="AZ121" i="19"/>
  <c r="AY344" i="23"/>
  <c r="AY278" i="23"/>
  <c r="AY300" i="19"/>
  <c r="AY22" i="19"/>
  <c r="AZ22" i="19"/>
  <c r="AY435" i="23"/>
  <c r="AX239" i="23"/>
  <c r="AZ239" i="23" s="1"/>
  <c r="AY225" i="19"/>
  <c r="AZ225" i="19"/>
  <c r="AX21" i="19"/>
  <c r="AZ21" i="19" s="1"/>
  <c r="AX167" i="23"/>
  <c r="AY619" i="23"/>
  <c r="AZ619" i="23"/>
  <c r="CQ60" i="16" a="1"/>
  <c r="CQ60" i="16" s="1"/>
  <c r="AX534" i="23"/>
  <c r="AY534" i="23" s="1"/>
  <c r="AX276" i="23"/>
  <c r="AZ276" i="23" s="1"/>
  <c r="AX19" i="19"/>
  <c r="AZ19" i="19" s="1"/>
  <c r="AY99" i="19"/>
  <c r="AY675" i="23"/>
  <c r="AY286" i="19"/>
  <c r="AY242" i="23"/>
  <c r="AZ27" i="19"/>
  <c r="AY601" i="23"/>
  <c r="AY396" i="23"/>
  <c r="AY231" i="19"/>
  <c r="AY665" i="23"/>
  <c r="AY537" i="23"/>
  <c r="AX249" i="23"/>
  <c r="AZ249" i="23" s="1"/>
  <c r="AX521" i="23"/>
  <c r="AZ521" i="23" s="1"/>
  <c r="AX246" i="23"/>
  <c r="AZ246" i="23" s="1"/>
  <c r="AZ475" i="23"/>
  <c r="AZ33" i="23"/>
  <c r="AY206" i="23"/>
  <c r="AY167" i="19"/>
  <c r="AY141" i="23"/>
  <c r="AX213" i="23"/>
  <c r="AY213" i="23" s="1"/>
  <c r="BO6" i="16"/>
  <c r="AZ188" i="19"/>
  <c r="CP61" i="16" a="1"/>
  <c r="CP61" i="16" s="1"/>
  <c r="AZ614" i="23"/>
  <c r="AX493" i="23"/>
  <c r="AY493" i="23" s="1"/>
  <c r="AY158" i="23"/>
  <c r="AX224" i="23"/>
  <c r="AZ224" i="23" s="1"/>
  <c r="AY268" i="23"/>
  <c r="AX685" i="23"/>
  <c r="AZ685" i="23" s="1"/>
  <c r="AX179" i="23"/>
  <c r="AZ179" i="23" s="1"/>
  <c r="AX297" i="23"/>
  <c r="AZ297" i="23" s="1"/>
  <c r="AX76" i="19"/>
  <c r="AZ76" i="19" s="1"/>
  <c r="AX502" i="23"/>
  <c r="AZ502" i="23" s="1"/>
  <c r="AX181" i="23"/>
  <c r="AZ181" i="23" s="1"/>
  <c r="AX273" i="19"/>
  <c r="AY273" i="19" s="1"/>
  <c r="AY115" i="19"/>
  <c r="AZ115" i="19"/>
  <c r="AX438" i="23"/>
  <c r="AZ438" i="23" s="1"/>
  <c r="AY322" i="23"/>
  <c r="AY440" i="23"/>
  <c r="AZ461" i="23"/>
  <c r="AZ157" i="19"/>
  <c r="BN20" i="16"/>
  <c r="AY116" i="19"/>
  <c r="AY394" i="23"/>
  <c r="AY272" i="23"/>
  <c r="CR52" i="16" a="1"/>
  <c r="CR52" i="16" s="1"/>
  <c r="AX398" i="23"/>
  <c r="AZ398" i="23" s="1"/>
  <c r="AX114" i="19"/>
  <c r="AZ114" i="19" s="1"/>
  <c r="AX83" i="23"/>
  <c r="AY83" i="23" s="1"/>
  <c r="AY224" i="19"/>
  <c r="AZ224" i="19"/>
  <c r="AY133" i="23"/>
  <c r="AY508" i="23"/>
  <c r="AY283" i="19"/>
  <c r="AZ32" i="19"/>
  <c r="AX277" i="23"/>
  <c r="AZ277" i="23" s="1"/>
  <c r="AZ620" i="23"/>
  <c r="CQ61" i="16" a="1"/>
  <c r="CQ61" i="16" s="1"/>
  <c r="AY372" i="23"/>
  <c r="AZ372" i="23"/>
  <c r="AY679" i="23"/>
  <c r="AX477" i="23"/>
  <c r="AY477" i="23" s="1"/>
  <c r="CY58" i="16"/>
  <c r="AZ605" i="23"/>
  <c r="AX208" i="19"/>
  <c r="AY208" i="19" s="1"/>
  <c r="AY222" i="19"/>
  <c r="AZ222" i="19"/>
  <c r="AX652" i="23"/>
  <c r="AZ652" i="23" s="1"/>
  <c r="AY29" i="23"/>
  <c r="AZ29" i="23"/>
  <c r="AX683" i="23"/>
  <c r="AZ683" i="23" s="1"/>
  <c r="AY363" i="23"/>
  <c r="AZ363" i="23"/>
  <c r="AX653" i="23"/>
  <c r="AZ653" i="23" s="1"/>
  <c r="AX170" i="19"/>
  <c r="AZ170" i="19" s="1"/>
  <c r="AX284" i="23"/>
  <c r="AZ284" i="23" s="1"/>
  <c r="AX613" i="23"/>
  <c r="AY613" i="23" s="1"/>
  <c r="AX173" i="19"/>
  <c r="AZ173" i="19" s="1"/>
  <c r="AX71" i="23"/>
  <c r="AY71" i="23" s="1"/>
  <c r="AX531" i="23"/>
  <c r="AY531" i="23" s="1"/>
  <c r="AX39" i="19"/>
  <c r="AZ39" i="19" s="1"/>
  <c r="AX580" i="23"/>
  <c r="AZ580" i="23" s="1"/>
  <c r="AX347" i="23"/>
  <c r="AZ347" i="23" s="1"/>
  <c r="AX681" i="23"/>
  <c r="AZ681" i="23" s="1"/>
  <c r="AX46" i="23"/>
  <c r="AY46" i="23" s="1"/>
  <c r="BN9" i="16"/>
  <c r="AZ130" i="19"/>
  <c r="BO25" i="16"/>
  <c r="AZ209" i="19"/>
  <c r="AX6" i="19"/>
  <c r="AY6" i="19" s="1"/>
  <c r="EH48" i="16"/>
  <c r="EH59" i="16"/>
  <c r="CQ56" i="16" a="1"/>
  <c r="CQ56" i="16" s="1"/>
  <c r="DA56" i="16" s="1"/>
  <c r="AE94" i="16" s="1"/>
  <c r="AZ615" i="23"/>
  <c r="AY129" i="23"/>
  <c r="AY195" i="23"/>
  <c r="AZ69" i="19"/>
  <c r="BM4" i="16"/>
  <c r="AY20" i="19"/>
  <c r="AZ20" i="19"/>
  <c r="AY386" i="23"/>
  <c r="AZ386" i="23"/>
  <c r="AX512" i="23"/>
  <c r="AY512" i="23" s="1"/>
  <c r="AX529" i="23"/>
  <c r="AY529" i="23" s="1"/>
  <c r="AZ8" i="19"/>
  <c r="BL6" i="16"/>
  <c r="AX176" i="23"/>
  <c r="AZ176" i="23" s="1"/>
  <c r="AX142" i="23"/>
  <c r="AZ142" i="23" s="1"/>
  <c r="AX596" i="23"/>
  <c r="AZ596" i="23" s="1"/>
  <c r="AX420" i="23"/>
  <c r="AZ420" i="23" s="1"/>
  <c r="AX132" i="19"/>
  <c r="AY132" i="19" s="1"/>
  <c r="AX682" i="23"/>
  <c r="AZ682" i="23" s="1"/>
  <c r="AX478" i="23"/>
  <c r="AY478" i="23" s="1"/>
  <c r="AX595" i="23"/>
  <c r="AZ595" i="23" s="1"/>
  <c r="AX131" i="19"/>
  <c r="AY131" i="19" s="1"/>
  <c r="BL14" i="16"/>
  <c r="AZ11" i="19"/>
  <c r="AX269" i="23"/>
  <c r="AZ269" i="23" s="1"/>
  <c r="AX175" i="23"/>
  <c r="AZ175" i="23" s="1"/>
  <c r="AY8" i="23"/>
  <c r="AZ8" i="23"/>
  <c r="AZ243" i="19"/>
  <c r="AZ467" i="23"/>
  <c r="AX542" i="23"/>
  <c r="AZ542" i="23" s="1"/>
  <c r="AX217" i="19"/>
  <c r="AY217" i="19" s="1"/>
  <c r="AZ50" i="23"/>
  <c r="AZ270" i="19"/>
  <c r="AY295" i="19"/>
  <c r="AZ295" i="19"/>
  <c r="AZ215" i="19"/>
  <c r="BO27" i="16"/>
  <c r="AZ41" i="23"/>
  <c r="AY380" i="23"/>
  <c r="AZ380" i="23"/>
  <c r="CQ16" i="16"/>
  <c r="AY166" i="19"/>
  <c r="AZ166" i="19"/>
  <c r="AX150" i="19"/>
  <c r="AY150" i="19" s="1"/>
  <c r="AY328" i="23"/>
  <c r="AY176" i="19"/>
  <c r="AX36" i="19"/>
  <c r="AY36" i="19"/>
  <c r="AX10" i="19"/>
  <c r="AY10" i="19" s="1"/>
  <c r="AY378" i="23"/>
  <c r="AZ378" i="23"/>
  <c r="CQ14" i="16"/>
  <c r="AY664" i="23"/>
  <c r="AX600" i="23"/>
  <c r="AZ600" i="23" s="1"/>
  <c r="AX88" i="19"/>
  <c r="AY88" i="19" s="1"/>
  <c r="AX554" i="23"/>
  <c r="AZ554" i="23" s="1"/>
  <c r="AX327" i="23"/>
  <c r="AZ327" i="23" s="1"/>
  <c r="AX602" i="23"/>
  <c r="AZ602" i="23" s="1"/>
  <c r="AX218" i="23"/>
  <c r="AZ218" i="23" s="1"/>
  <c r="AX432" i="23"/>
  <c r="AZ432" i="23" s="1"/>
  <c r="AX136" i="23"/>
  <c r="AZ136" i="23" s="1"/>
  <c r="AY655" i="23"/>
  <c r="AY412" i="23"/>
  <c r="AY85" i="23"/>
  <c r="AX34" i="19"/>
  <c r="AY34" i="19"/>
  <c r="AY193" i="23"/>
  <c r="AZ250" i="19"/>
  <c r="AY395" i="23"/>
  <c r="AY323" i="23"/>
  <c r="AY484" i="23"/>
  <c r="AZ91" i="19"/>
  <c r="BM18" i="16"/>
  <c r="AZ62" i="23"/>
  <c r="AX275" i="19"/>
  <c r="AY275" i="19" s="1"/>
  <c r="AX533" i="23"/>
  <c r="AZ533" i="23" s="1"/>
  <c r="BR21" i="16"/>
  <c r="AZ214" i="19"/>
  <c r="BO22" i="16"/>
  <c r="AY393" i="23"/>
  <c r="AY236" i="23"/>
  <c r="AY140" i="23"/>
  <c r="AY657" i="23"/>
  <c r="AY153" i="19"/>
  <c r="AZ148" i="19"/>
  <c r="BN24" i="16"/>
  <c r="AY246" i="19"/>
  <c r="AY230" i="23"/>
  <c r="AY545" i="23"/>
  <c r="AY42" i="23"/>
  <c r="BL15" i="16"/>
  <c r="AZ12" i="19"/>
  <c r="AY593" i="23"/>
  <c r="AY216" i="19"/>
  <c r="AZ65" i="19"/>
  <c r="BM12" i="16"/>
  <c r="AY209" i="23"/>
  <c r="AY549" i="23"/>
  <c r="AY456" i="23"/>
  <c r="AX673" i="23"/>
  <c r="AZ673" i="23" s="1"/>
  <c r="AY117" i="19"/>
  <c r="AZ117" i="19"/>
  <c r="AY192" i="23"/>
  <c r="AY425" i="23"/>
  <c r="AY61" i="19"/>
  <c r="AY98" i="19"/>
  <c r="BO8" i="16"/>
  <c r="AZ194" i="19"/>
  <c r="AY216" i="23"/>
  <c r="AY274" i="23"/>
  <c r="AX107" i="19"/>
  <c r="AZ107" i="19" s="1"/>
  <c r="AX462" i="23"/>
  <c r="AY462" i="23" s="1"/>
  <c r="AX254" i="23"/>
  <c r="AZ254" i="23" s="1"/>
  <c r="AX544" i="23"/>
  <c r="AZ544" i="23" s="1"/>
  <c r="CU57" i="16" a="1"/>
  <c r="CU57" i="16" s="1"/>
  <c r="DE57" i="16" s="1"/>
  <c r="AZ628" i="23"/>
  <c r="AY138" i="23"/>
  <c r="AZ40" i="23"/>
  <c r="AX495" i="23"/>
  <c r="AZ495" i="23" s="1"/>
  <c r="AX178" i="23"/>
  <c r="AY178" i="23"/>
  <c r="AY357" i="23"/>
  <c r="AY97" i="19"/>
  <c r="AY290" i="19"/>
  <c r="AZ290" i="19"/>
  <c r="AX55" i="19"/>
  <c r="AZ55" i="19" s="1"/>
  <c r="AX525" i="23"/>
  <c r="AZ525" i="23" s="1"/>
  <c r="AX416" i="23"/>
  <c r="AZ416" i="23" s="1"/>
  <c r="AX345" i="23"/>
  <c r="AZ345" i="23" s="1"/>
  <c r="AX351" i="23"/>
  <c r="AZ351" i="23" s="1"/>
  <c r="AX242" i="19"/>
  <c r="AZ242" i="19" s="1"/>
  <c r="AX233" i="23"/>
  <c r="AZ233" i="23" s="1"/>
  <c r="AY488" i="23"/>
  <c r="CU20" i="16"/>
  <c r="AY660" i="23"/>
  <c r="AZ34" i="23"/>
  <c r="AZ479" i="23"/>
  <c r="AY649" i="23"/>
  <c r="EN14" i="16"/>
  <c r="AY518" i="23"/>
  <c r="AX503" i="23"/>
  <c r="AY503" i="23"/>
  <c r="AY58" i="19"/>
  <c r="AY540" i="23"/>
  <c r="AY232" i="23"/>
  <c r="AX324" i="23"/>
  <c r="AY324" i="23" s="1"/>
  <c r="AZ43" i="23"/>
  <c r="AX38" i="23"/>
  <c r="AY38" i="23" s="1"/>
  <c r="AX491" i="23"/>
  <c r="AZ491" i="23" s="1"/>
  <c r="BN28" i="16"/>
  <c r="AZ156" i="19"/>
  <c r="AZ92" i="19"/>
  <c r="BM19" i="16"/>
  <c r="AY100" i="19"/>
  <c r="AZ100" i="19"/>
  <c r="AX205" i="23"/>
  <c r="AZ205" i="23" s="1"/>
  <c r="AX576" i="23"/>
  <c r="AZ576" i="23" s="1"/>
  <c r="AZ4" i="19"/>
  <c r="BL11" i="16"/>
  <c r="AX312" i="23"/>
  <c r="AZ312" i="23" s="1"/>
  <c r="AX49" i="23"/>
  <c r="AY49" i="23" s="1"/>
  <c r="EH46" i="16"/>
  <c r="EH41" i="16"/>
  <c r="AZ459" i="23"/>
  <c r="EH42" i="16"/>
  <c r="AZ5" i="19"/>
  <c r="BL12" i="16"/>
  <c r="AX265" i="23"/>
  <c r="AZ265" i="23" s="1"/>
  <c r="BR8" i="16"/>
  <c r="AY226" i="23"/>
  <c r="G14" i="12"/>
  <c r="DC60" i="16" l="1"/>
  <c r="DB53" i="16"/>
  <c r="DB54" i="16"/>
  <c r="DB52" i="16"/>
  <c r="DB50" i="16"/>
  <c r="DA61" i="16"/>
  <c r="AE100" i="16" s="1"/>
  <c r="DA60" i="16"/>
  <c r="AD95" i="16"/>
  <c r="AD93" i="16"/>
  <c r="DA54" i="16"/>
  <c r="AE99" i="16"/>
  <c r="AE95" i="16"/>
  <c r="AE93" i="16"/>
  <c r="CY57" i="16"/>
  <c r="CZ59" i="16"/>
  <c r="AD98" i="16" s="1"/>
  <c r="CZ58" i="16"/>
  <c r="AD97" i="16" s="1"/>
  <c r="CZ61" i="16"/>
  <c r="AD100" i="16" s="1"/>
  <c r="DA52" i="16"/>
  <c r="DA51" i="16"/>
  <c r="CZ57" i="16"/>
  <c r="AD96" i="16" s="1"/>
  <c r="DB56" i="16"/>
  <c r="AF94" i="16" s="1"/>
  <c r="CY56" i="16"/>
  <c r="AC94" i="16" s="1"/>
  <c r="DC56" i="16"/>
  <c r="AG94" i="16" s="1"/>
  <c r="DE56" i="16"/>
  <c r="AI94" i="16" s="1"/>
  <c r="CR19" i="16"/>
  <c r="CS29" i="16"/>
  <c r="CO25" i="16"/>
  <c r="CV25" i="16" s="1"/>
  <c r="CR26" i="16"/>
  <c r="CS25" i="16"/>
  <c r="CP28" i="16"/>
  <c r="CO19" i="16"/>
  <c r="CO20" i="16"/>
  <c r="CV20" i="16" s="1"/>
  <c r="CR22" i="16"/>
  <c r="CQ21" i="16"/>
  <c r="CQ20" i="16"/>
  <c r="CR18" i="16"/>
  <c r="CR21" i="16"/>
  <c r="CR23" i="16"/>
  <c r="CO21" i="16"/>
  <c r="CO27" i="16"/>
  <c r="CP19" i="16"/>
  <c r="CQ18" i="16"/>
  <c r="CP30" i="16"/>
  <c r="CQ29" i="16"/>
  <c r="CQ25" i="16"/>
  <c r="CO23" i="16"/>
  <c r="CP23" i="16"/>
  <c r="CR28" i="16"/>
  <c r="CP20" i="16"/>
  <c r="CQ30" i="16"/>
  <c r="CO28" i="16"/>
  <c r="CP25" i="16"/>
  <c r="CQ23" i="16"/>
  <c r="CO26" i="16"/>
  <c r="CV29" i="16"/>
  <c r="CV51"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EO16" i="16"/>
  <c r="EP16" i="16" s="1"/>
  <c r="EP47" i="16" s="1"/>
  <c r="AY523" i="23"/>
  <c r="AY39" i="19"/>
  <c r="AY249" i="23"/>
  <c r="AY407" i="23"/>
  <c r="AY561" i="23"/>
  <c r="AY486" i="23"/>
  <c r="AY520" i="23"/>
  <c r="AZ7" i="19"/>
  <c r="AY265" i="23"/>
  <c r="AY332" i="23"/>
  <c r="CR12" i="16"/>
  <c r="AY494" i="23"/>
  <c r="CO9" i="16"/>
  <c r="AY233" i="23"/>
  <c r="AY542" i="23"/>
  <c r="AY656" i="23"/>
  <c r="AY409" i="23"/>
  <c r="AY312" i="23"/>
  <c r="AY683" i="23"/>
  <c r="AY175" i="23"/>
  <c r="AY437" i="23"/>
  <c r="BL24" i="16"/>
  <c r="CT60" i="16"/>
  <c r="AY114" i="19"/>
  <c r="AY600" i="23"/>
  <c r="AY181" i="23"/>
  <c r="AY276" i="23"/>
  <c r="AY684" i="23"/>
  <c r="AY297" i="23"/>
  <c r="AY246" i="23"/>
  <c r="AY565" i="23"/>
  <c r="AY200" i="23"/>
  <c r="AY445" i="23"/>
  <c r="AY410" i="23"/>
  <c r="AY598" i="23"/>
  <c r="AY147" i="23"/>
  <c r="AY331" i="23"/>
  <c r="AY317" i="23"/>
  <c r="CO11" i="16"/>
  <c r="BL19" i="16"/>
  <c r="AY107" i="19"/>
  <c r="BL23" i="16"/>
  <c r="EO15" i="16"/>
  <c r="EO46" i="16" s="1"/>
  <c r="BM14" i="16"/>
  <c r="AY78" i="19"/>
  <c r="AY21" i="19"/>
  <c r="EO19" i="16"/>
  <c r="EP19" i="16" s="1"/>
  <c r="EP50" i="16" s="1"/>
  <c r="EO26" i="16"/>
  <c r="EO57" i="16" s="1"/>
  <c r="EO4" i="16"/>
  <c r="EP4" i="16" s="1"/>
  <c r="EP35" i="16" s="1"/>
  <c r="EO5" i="16"/>
  <c r="EP5" i="16" s="1"/>
  <c r="EP36" i="16" s="1"/>
  <c r="EO8" i="16"/>
  <c r="EP8" i="16" s="1"/>
  <c r="EP39" i="16" s="1"/>
  <c r="EO28" i="16"/>
  <c r="EO59" i="16" s="1"/>
  <c r="EO20" i="16"/>
  <c r="EO51" i="16" s="1"/>
  <c r="EN42" i="16"/>
  <c r="EO11" i="16"/>
  <c r="EO6" i="16"/>
  <c r="EO37" i="16" s="1"/>
  <c r="EO21" i="16"/>
  <c r="EO52" i="16" s="1"/>
  <c r="AY102" i="19"/>
  <c r="AY595" i="23"/>
  <c r="BM26" i="16"/>
  <c r="AY580" i="23"/>
  <c r="AY515" i="23"/>
  <c r="AY651" i="23"/>
  <c r="CO15" i="16"/>
  <c r="AY184" i="23"/>
  <c r="BS21" i="16"/>
  <c r="CO5" i="16"/>
  <c r="AY359" i="23"/>
  <c r="CP11" i="16"/>
  <c r="BL4" i="16"/>
  <c r="BS50" i="16"/>
  <c r="CP4" i="16"/>
  <c r="CP14" i="16"/>
  <c r="AY179" i="23"/>
  <c r="AY66" i="23"/>
  <c r="AY164" i="23"/>
  <c r="AY68" i="23"/>
  <c r="AY202" i="23"/>
  <c r="AY686" i="23"/>
  <c r="AY641" i="23"/>
  <c r="AY340" i="23"/>
  <c r="AY225" i="23"/>
  <c r="AY327" i="23"/>
  <c r="AY315" i="23"/>
  <c r="AY563" i="23"/>
  <c r="EN40" i="16"/>
  <c r="EO9" i="16"/>
  <c r="AY672" i="23"/>
  <c r="AY156" i="23"/>
  <c r="AY495" i="23"/>
  <c r="EO18" i="16"/>
  <c r="EO49" i="16" s="1"/>
  <c r="EO27" i="16"/>
  <c r="EO58" i="16" s="1"/>
  <c r="EN56" i="16"/>
  <c r="EO25" i="16"/>
  <c r="EO23" i="16"/>
  <c r="EO54" i="16" s="1"/>
  <c r="EN44" i="16"/>
  <c r="EO13" i="16"/>
  <c r="BP8" i="16"/>
  <c r="BS6" i="16"/>
  <c r="AZ466" i="23"/>
  <c r="CQ50" i="16" a="1"/>
  <c r="CQ50" i="16" s="1"/>
  <c r="DA50" i="16" s="1"/>
  <c r="CU11" i="16"/>
  <c r="AZ511" i="23"/>
  <c r="BM27" i="16"/>
  <c r="AZ78" i="23"/>
  <c r="CQ7" i="16"/>
  <c r="AZ264" i="19"/>
  <c r="AY506" i="23"/>
  <c r="AY661" i="23"/>
  <c r="AY168" i="23"/>
  <c r="AY165" i="23"/>
  <c r="AZ75" i="23"/>
  <c r="CQ4" i="16"/>
  <c r="AY550" i="23"/>
  <c r="CO12" i="16"/>
  <c r="AZ51" i="23"/>
  <c r="CR4" i="16"/>
  <c r="BL5" i="16"/>
  <c r="AZ14" i="19"/>
  <c r="CQ11" i="16"/>
  <c r="AY525" i="23"/>
  <c r="AY269" i="23"/>
  <c r="AY176" i="23"/>
  <c r="AY277" i="23"/>
  <c r="AY19" i="19"/>
  <c r="AY667" i="23"/>
  <c r="AZ160" i="23"/>
  <c r="CP5" i="16"/>
  <c r="AY83" i="19"/>
  <c r="AY637" i="23"/>
  <c r="AY430" i="23"/>
  <c r="AY220" i="23"/>
  <c r="AZ463" i="23"/>
  <c r="CP53" i="16" a="1"/>
  <c r="CP53" i="16" s="1"/>
  <c r="CZ53" i="16" s="1"/>
  <c r="BP12" i="16"/>
  <c r="BR12" i="16"/>
  <c r="BS12" i="16" s="1"/>
  <c r="BS41" i="16"/>
  <c r="AZ34" i="19"/>
  <c r="BL22" i="16"/>
  <c r="AY685" i="23"/>
  <c r="BR4" i="16"/>
  <c r="BP4" i="16"/>
  <c r="AY134" i="23"/>
  <c r="AZ80" i="23"/>
  <c r="CQ9" i="16"/>
  <c r="AY257" i="23"/>
  <c r="CO14" i="16"/>
  <c r="AZ469" i="23"/>
  <c r="CQ53" i="16" a="1"/>
  <c r="CQ53" i="16" s="1"/>
  <c r="DA53" i="16" s="1"/>
  <c r="AZ244" i="19"/>
  <c r="AY111" i="19"/>
  <c r="AY517" i="23"/>
  <c r="AZ458" i="23"/>
  <c r="AZ531" i="23"/>
  <c r="CR11" i="16"/>
  <c r="AY124" i="23"/>
  <c r="AY43" i="19"/>
  <c r="AY241" i="23"/>
  <c r="CP16" i="16"/>
  <c r="AZ132" i="23"/>
  <c r="CP7" i="16"/>
  <c r="AY237" i="23"/>
  <c r="AZ127" i="19"/>
  <c r="BN5" i="16"/>
  <c r="BO19" i="16"/>
  <c r="AZ212" i="19"/>
  <c r="AY352" i="23"/>
  <c r="AY204" i="19"/>
  <c r="AY354" i="23"/>
  <c r="BM23" i="16"/>
  <c r="AZ87" i="19"/>
  <c r="BP26" i="16"/>
  <c r="BR26" i="16"/>
  <c r="AY652" i="23"/>
  <c r="AY224" i="23"/>
  <c r="AY521" i="23"/>
  <c r="AZ496" i="23"/>
  <c r="CQ12" i="16"/>
  <c r="BR18" i="16"/>
  <c r="BP18" i="16"/>
  <c r="AY67" i="23"/>
  <c r="AZ67" i="19"/>
  <c r="BM5" i="16"/>
  <c r="AZ465" i="23"/>
  <c r="AZ131" i="19"/>
  <c r="BN14" i="16"/>
  <c r="AZ529" i="23"/>
  <c r="CQ15" i="16"/>
  <c r="AZ71" i="23"/>
  <c r="CP6" i="16"/>
  <c r="AZ534" i="23"/>
  <c r="CR14" i="16"/>
  <c r="BP5" i="16"/>
  <c r="BR5" i="16"/>
  <c r="BN6" i="16"/>
  <c r="AZ128" i="19"/>
  <c r="CU59" i="16" a="1"/>
  <c r="CU59" i="16" s="1"/>
  <c r="DE59" i="16" s="1"/>
  <c r="AZ630" i="23"/>
  <c r="CP9" i="16"/>
  <c r="AZ505" i="23"/>
  <c r="CR15" i="16"/>
  <c r="AZ55" i="23"/>
  <c r="CR8" i="16"/>
  <c r="EN43" i="16"/>
  <c r="EO12" i="16"/>
  <c r="EN60" i="16"/>
  <c r="EO29" i="16"/>
  <c r="AZ38" i="23"/>
  <c r="AZ149" i="19"/>
  <c r="BN25" i="16"/>
  <c r="BR23" i="16"/>
  <c r="BP23" i="16"/>
  <c r="AZ360" i="23"/>
  <c r="AZ91" i="23"/>
  <c r="EN45" i="16"/>
  <c r="EO14" i="16"/>
  <c r="CQ57" i="16" a="1"/>
  <c r="CQ57" i="16" s="1"/>
  <c r="DA57" i="16" s="1"/>
  <c r="AE96" i="16" s="1"/>
  <c r="AZ616" i="23"/>
  <c r="BL28" i="16"/>
  <c r="AZ36" i="19"/>
  <c r="AZ6" i="19"/>
  <c r="BL13" i="16"/>
  <c r="CU21" i="16"/>
  <c r="CV52" i="16"/>
  <c r="CS52" i="16"/>
  <c r="AZ133" i="19"/>
  <c r="BN7" i="16"/>
  <c r="AZ275" i="19"/>
  <c r="AY218" i="23"/>
  <c r="AZ512" i="23"/>
  <c r="BM11" i="16"/>
  <c r="EN38" i="16"/>
  <c r="EO7" i="16"/>
  <c r="AY262" i="23"/>
  <c r="AY143" i="23"/>
  <c r="AZ464" i="23"/>
  <c r="AZ493" i="23"/>
  <c r="CP15" i="16"/>
  <c r="AY186" i="23"/>
  <c r="AY582" i="23"/>
  <c r="CS53" i="16"/>
  <c r="CV53" i="16"/>
  <c r="CU22" i="16"/>
  <c r="CV22" i="16" s="1"/>
  <c r="AY214" i="23"/>
  <c r="AY238" i="19"/>
  <c r="BC3" i="19" s="1"/>
  <c r="AY362" i="23"/>
  <c r="AZ29" i="19"/>
  <c r="BL25" i="16"/>
  <c r="AZ462" i="23"/>
  <c r="CP52" i="16" a="1"/>
  <c r="CP52" i="16" s="1"/>
  <c r="CZ52" i="16" s="1"/>
  <c r="AZ478" i="23"/>
  <c r="CU50" i="16" a="1"/>
  <c r="CU50" i="16" s="1"/>
  <c r="CR16" i="16"/>
  <c r="CP60" i="16" a="1"/>
  <c r="CP60" i="16" s="1"/>
  <c r="CZ60" i="16" s="1"/>
  <c r="AD99" i="16" s="1"/>
  <c r="AZ613" i="23"/>
  <c r="AZ208" i="19"/>
  <c r="BO24" i="16"/>
  <c r="CR61" i="16" a="1"/>
  <c r="CR61" i="16" s="1"/>
  <c r="DB61" i="16" s="1"/>
  <c r="AZ626" i="23"/>
  <c r="AZ213" i="19"/>
  <c r="BO17" i="16"/>
  <c r="BR19" i="16"/>
  <c r="CV58" i="16"/>
  <c r="CU27" i="16"/>
  <c r="CS58" i="16"/>
  <c r="DC58" i="16" s="1"/>
  <c r="AY334" i="23"/>
  <c r="CQ58" i="16" a="1"/>
  <c r="CQ58" i="16" s="1"/>
  <c r="DA58" i="16" s="1"/>
  <c r="AE97" i="16" s="1"/>
  <c r="AZ617" i="23"/>
  <c r="BP22" i="16"/>
  <c r="BR22" i="16"/>
  <c r="BN26" i="16"/>
  <c r="AZ150" i="19"/>
  <c r="AY284" i="23"/>
  <c r="AZ83" i="23"/>
  <c r="CR6" i="16"/>
  <c r="AZ273" i="19"/>
  <c r="AZ167" i="23"/>
  <c r="CQ6" i="16"/>
  <c r="AY237" i="19"/>
  <c r="BS49" i="16"/>
  <c r="BR20" i="16"/>
  <c r="BS20" i="16" s="1"/>
  <c r="AY311" i="23"/>
  <c r="AY56" i="19"/>
  <c r="AY449" i="23"/>
  <c r="CP12" i="16"/>
  <c r="AY584" i="23"/>
  <c r="CO8" i="16"/>
  <c r="AZ183" i="19"/>
  <c r="BO10" i="16"/>
  <c r="AY513" i="23"/>
  <c r="AY198" i="23"/>
  <c r="AZ473" i="23"/>
  <c r="CR51" i="16" a="1"/>
  <c r="CR51" i="16" s="1"/>
  <c r="DB51" i="16" s="1"/>
  <c r="AZ632" i="23"/>
  <c r="CU61" i="16" a="1"/>
  <c r="CU61" i="16" s="1"/>
  <c r="DE61" i="16" s="1"/>
  <c r="AY259" i="23"/>
  <c r="BO13" i="16"/>
  <c r="BO28" i="16"/>
  <c r="BS43" i="16"/>
  <c r="BR14" i="16"/>
  <c r="BS14" i="16" s="1"/>
  <c r="BP14" i="16"/>
  <c r="CU23" i="16"/>
  <c r="CS54" i="16"/>
  <c r="CV54" i="16"/>
  <c r="BL9" i="16"/>
  <c r="AZ10" i="19"/>
  <c r="AZ49" i="23"/>
  <c r="CQ8" i="16"/>
  <c r="BL18" i="16"/>
  <c r="AY242" i="19"/>
  <c r="AZ46" i="23"/>
  <c r="CQ5" i="16"/>
  <c r="AY170" i="19"/>
  <c r="AZ218" i="19"/>
  <c r="AZ6" i="23"/>
  <c r="CO7" i="16"/>
  <c r="AY431" i="23"/>
  <c r="AZ63" i="19"/>
  <c r="BM10" i="16"/>
  <c r="AY583" i="23"/>
  <c r="AY419" i="23"/>
  <c r="AZ73" i="23"/>
  <c r="CP8" i="16"/>
  <c r="AY319" i="23"/>
  <c r="AY228" i="19"/>
  <c r="AY273" i="23"/>
  <c r="AZ125" i="19"/>
  <c r="BN12" i="16"/>
  <c r="EN61" i="16"/>
  <c r="EO30" i="16"/>
  <c r="CP13" i="16"/>
  <c r="AY248" i="23"/>
  <c r="AY128" i="23"/>
  <c r="CY61" i="16"/>
  <c r="AZ608" i="23"/>
  <c r="BR28" i="16"/>
  <c r="AZ509" i="23"/>
  <c r="AY576" i="23"/>
  <c r="AY554" i="23"/>
  <c r="AZ132" i="19"/>
  <c r="BN15" i="16"/>
  <c r="AY681" i="23"/>
  <c r="AZ477" i="23"/>
  <c r="CU49" i="16" a="1"/>
  <c r="CU49" i="16" s="1"/>
  <c r="DE51" i="16" s="1"/>
  <c r="AY398" i="23"/>
  <c r="AY502" i="23"/>
  <c r="AZ269" i="19"/>
  <c r="AZ305" i="23"/>
  <c r="CO6" i="16"/>
  <c r="CQ59" i="16" a="1"/>
  <c r="CQ59" i="16" s="1"/>
  <c r="DA59" i="16" s="1"/>
  <c r="AE98" i="16" s="1"/>
  <c r="AZ618" i="23"/>
  <c r="CT56" i="16"/>
  <c r="DD56" i="16" s="1"/>
  <c r="AH94" i="16" s="1"/>
  <c r="BR24" i="16"/>
  <c r="BL26" i="16"/>
  <c r="AZ30" i="19"/>
  <c r="AZ66" i="19"/>
  <c r="BM13" i="16"/>
  <c r="AZ123" i="19"/>
  <c r="BN10" i="16"/>
  <c r="BR13" i="16"/>
  <c r="BR10" i="16"/>
  <c r="BS10" i="16" s="1"/>
  <c r="BS39" i="16"/>
  <c r="AY420" i="23"/>
  <c r="AY653" i="23"/>
  <c r="AZ213" i="23"/>
  <c r="CO4" i="16"/>
  <c r="AY285" i="19"/>
  <c r="AY296" i="23"/>
  <c r="AY448" i="23"/>
  <c r="AZ52" i="23"/>
  <c r="CR5" i="16"/>
  <c r="CV56" i="16"/>
  <c r="AZ453" i="23"/>
  <c r="CY53" i="16"/>
  <c r="AY406" i="23"/>
  <c r="AY162" i="23"/>
  <c r="AY194" i="23"/>
  <c r="EN53" i="16"/>
  <c r="EO22" i="16"/>
  <c r="AY451" i="23"/>
  <c r="AY492" i="23"/>
  <c r="BO20" i="16"/>
  <c r="AZ217" i="19"/>
  <c r="AZ178" i="23"/>
  <c r="AZ324" i="23"/>
  <c r="CR7" i="16"/>
  <c r="BQ8" i="16"/>
  <c r="AY205" i="23"/>
  <c r="AZ503" i="23"/>
  <c r="CR13" i="16"/>
  <c r="BP9" i="16"/>
  <c r="BR9" i="16"/>
  <c r="AY347" i="23"/>
  <c r="AY76" i="19"/>
  <c r="AY239" i="23"/>
  <c r="AY198" i="19"/>
  <c r="AY308" i="23"/>
  <c r="AY586" i="23"/>
  <c r="BN21" i="16"/>
  <c r="AZ146" i="23"/>
  <c r="CR9" i="16"/>
  <c r="BN17" i="16"/>
  <c r="CU26" i="16"/>
  <c r="CS57" i="16"/>
  <c r="DC57" i="16" s="1"/>
  <c r="CV57" i="16"/>
  <c r="AY673" i="23"/>
  <c r="BM24" i="16"/>
  <c r="AZ88" i="19"/>
  <c r="AY596" i="23"/>
  <c r="CU12" i="16"/>
  <c r="AY464" i="23"/>
  <c r="AZ152" i="19"/>
  <c r="BN19" i="16"/>
  <c r="AZ253" i="19"/>
  <c r="AY261" i="23"/>
  <c r="AY402" i="23"/>
  <c r="AY187" i="23"/>
  <c r="AY190" i="23"/>
  <c r="AY177" i="19"/>
  <c r="AY40" i="19"/>
  <c r="BS35" i="16"/>
  <c r="AY589" i="23"/>
  <c r="AY418" i="23"/>
  <c r="AY466" i="23"/>
  <c r="AY172" i="23"/>
  <c r="AJ102" i="16"/>
  <c r="DK37" i="16"/>
  <c r="DK36" i="16"/>
  <c r="DK35" i="16"/>
  <c r="DK34"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DD60" i="16" l="1"/>
  <c r="AH99" i="16" s="1"/>
  <c r="CV27" i="16"/>
  <c r="AI93" i="16"/>
  <c r="AI95" i="16"/>
  <c r="AI98" i="16"/>
  <c r="AI97" i="16"/>
  <c r="AI96" i="16"/>
  <c r="AI99" i="16"/>
  <c r="AI100" i="16"/>
  <c r="AG93" i="16"/>
  <c r="AG95" i="16"/>
  <c r="AG96" i="16"/>
  <c r="AG97" i="16"/>
  <c r="AG99" i="16"/>
  <c r="AC100" i="16"/>
  <c r="AC95" i="16"/>
  <c r="AJ95" i="16" s="1"/>
  <c r="AC93" i="16"/>
  <c r="AJ93" i="16" s="1"/>
  <c r="AC97" i="16"/>
  <c r="AC96" i="16"/>
  <c r="AC98" i="16"/>
  <c r="AC104" i="16" s="1"/>
  <c r="AC99" i="16"/>
  <c r="AF93" i="16"/>
  <c r="AF95" i="16"/>
  <c r="AF100" i="16"/>
  <c r="AF96" i="16"/>
  <c r="AF99" i="16"/>
  <c r="AF98" i="16"/>
  <c r="AF97" i="16"/>
  <c r="DE50" i="16"/>
  <c r="CY51" i="16"/>
  <c r="AH93" i="16"/>
  <c r="AH95" i="16"/>
  <c r="CY50" i="16"/>
  <c r="CY54" i="16"/>
  <c r="DE53" i="16"/>
  <c r="CY52" i="16"/>
  <c r="EP15" i="16"/>
  <c r="EP46" i="16" s="1"/>
  <c r="DE52" i="16"/>
  <c r="DE54" i="16"/>
  <c r="CZ49" i="16"/>
  <c r="AD86" i="16" s="1"/>
  <c r="CY49" i="16"/>
  <c r="AC86" i="16" s="1"/>
  <c r="DE49" i="16"/>
  <c r="AI86" i="16" s="1"/>
  <c r="DB49" i="16"/>
  <c r="AF86" i="16" s="1"/>
  <c r="DA49" i="16"/>
  <c r="AE86" i="16" s="1"/>
  <c r="CQ26" i="16"/>
  <c r="CO30" i="16"/>
  <c r="CO18" i="16"/>
  <c r="CQ22" i="16"/>
  <c r="CP29" i="16"/>
  <c r="CP22" i="16"/>
  <c r="CT25" i="16"/>
  <c r="CS26" i="16"/>
  <c r="CS27" i="16"/>
  <c r="CS21" i="16"/>
  <c r="CQ28" i="16"/>
  <c r="CP21" i="16"/>
  <c r="CV26" i="16"/>
  <c r="CS23" i="16"/>
  <c r="CV21" i="16"/>
  <c r="CT29" i="16"/>
  <c r="CQ27" i="16"/>
  <c r="CV23" i="16"/>
  <c r="CS22" i="16"/>
  <c r="CQ19" i="16"/>
  <c r="CR30" i="16"/>
  <c r="EO47" i="16"/>
  <c r="EO50" i="16"/>
  <c r="EO36" i="16"/>
  <c r="K5" i="32"/>
  <c r="K6" i="32" s="1"/>
  <c r="J5" i="32"/>
  <c r="J6" i="32" s="1"/>
  <c r="I5" i="32"/>
  <c r="I6" i="32" s="1"/>
  <c r="H5" i="32"/>
  <c r="H6" i="32" s="1"/>
  <c r="G5" i="32"/>
  <c r="G6" i="32" s="1"/>
  <c r="M5" i="32"/>
  <c r="M6" i="32" s="1"/>
  <c r="L5" i="32"/>
  <c r="L6" i="32" s="1"/>
  <c r="CS12" i="16"/>
  <c r="BS53" i="16"/>
  <c r="CV43" i="16"/>
  <c r="CV40" i="16"/>
  <c r="BS24" i="16"/>
  <c r="CT57" i="16"/>
  <c r="DD57" i="16" s="1"/>
  <c r="AH96" i="16" s="1"/>
  <c r="EO39" i="16"/>
  <c r="CT53" i="16"/>
  <c r="CV42" i="16"/>
  <c r="CV11" i="16"/>
  <c r="BS52" i="16"/>
  <c r="BS23" i="16"/>
  <c r="BS48" i="16"/>
  <c r="BS19" i="16"/>
  <c r="CT54" i="16"/>
  <c r="EP26" i="16"/>
  <c r="EP57" i="16" s="1"/>
  <c r="EO35" i="16"/>
  <c r="BS22" i="16"/>
  <c r="BS13" i="16"/>
  <c r="BB3" i="19"/>
  <c r="BS42" i="16"/>
  <c r="BS51" i="16"/>
  <c r="EP6" i="16"/>
  <c r="EP37" i="16" s="1"/>
  <c r="EP27" i="16"/>
  <c r="EP58" i="16" s="1"/>
  <c r="EP28" i="16"/>
  <c r="EP59" i="16" s="1"/>
  <c r="EP20" i="16"/>
  <c r="EP51" i="16" s="1"/>
  <c r="EP23" i="16"/>
  <c r="EP54" i="16" s="1"/>
  <c r="CT52" i="16"/>
  <c r="BP10" i="16"/>
  <c r="BS38" i="16"/>
  <c r="EO42" i="16"/>
  <c r="EP11" i="16"/>
  <c r="EP42" i="16" s="1"/>
  <c r="EP21" i="16"/>
  <c r="EP52" i="16" s="1"/>
  <c r="EP18" i="16"/>
  <c r="EP49" i="16" s="1"/>
  <c r="EO40" i="16"/>
  <c r="EP9" i="16"/>
  <c r="EP40" i="16" s="1"/>
  <c r="BB3" i="23"/>
  <c r="CU9" i="16"/>
  <c r="CV9" i="16" s="1"/>
  <c r="BQ9" i="16"/>
  <c r="BS33" i="16"/>
  <c r="BS4" i="16"/>
  <c r="BP13" i="16"/>
  <c r="EO56" i="16"/>
  <c r="EP25" i="16"/>
  <c r="EP56" i="16" s="1"/>
  <c r="CV12" i="16"/>
  <c r="BP24" i="16"/>
  <c r="BQ23" i="16"/>
  <c r="BQ12" i="16"/>
  <c r="BQ22" i="16"/>
  <c r="BS34" i="16"/>
  <c r="BP19" i="16"/>
  <c r="EO44" i="16"/>
  <c r="EP13" i="16"/>
  <c r="EP44" i="16" s="1"/>
  <c r="CV61" i="16"/>
  <c r="CU30" i="16"/>
  <c r="CS61" i="16"/>
  <c r="DC61" i="16" s="1"/>
  <c r="AG100" i="16" s="1"/>
  <c r="BS5" i="16"/>
  <c r="BS40" i="16"/>
  <c r="BP11" i="16"/>
  <c r="BR11" i="16"/>
  <c r="BS11" i="16" s="1"/>
  <c r="BR15" i="16"/>
  <c r="BS15" i="16" s="1"/>
  <c r="BS44" i="16"/>
  <c r="BP15" i="16"/>
  <c r="CR20" i="16"/>
  <c r="CS51" i="16"/>
  <c r="BS9" i="16"/>
  <c r="BP17" i="16"/>
  <c r="BR17" i="16"/>
  <c r="BS17" i="16" s="1"/>
  <c r="BS46" i="16"/>
  <c r="EO60" i="16"/>
  <c r="EP29" i="16"/>
  <c r="EP60" i="16" s="1"/>
  <c r="BS57" i="16"/>
  <c r="BL8" i="16"/>
  <c r="BS8" i="16" s="1"/>
  <c r="BS37" i="16"/>
  <c r="CU4" i="16"/>
  <c r="CV4" i="16" s="1"/>
  <c r="CS4" i="16"/>
  <c r="CV35" i="16"/>
  <c r="EO38" i="16"/>
  <c r="EP7" i="16"/>
  <c r="EP38" i="16" s="1"/>
  <c r="EO45" i="16"/>
  <c r="EP14" i="16"/>
  <c r="EP45" i="16" s="1"/>
  <c r="BQ26" i="16"/>
  <c r="BR7" i="16"/>
  <c r="BS7" i="16" s="1"/>
  <c r="BS36" i="16"/>
  <c r="BP7" i="16"/>
  <c r="BS26" i="16"/>
  <c r="CV46" i="16"/>
  <c r="CU15" i="16"/>
  <c r="CV15" i="16" s="1"/>
  <c r="CS15" i="16"/>
  <c r="CU18" i="16"/>
  <c r="CS49" i="16"/>
  <c r="DC49" i="16" s="1"/>
  <c r="AG86" i="16" s="1"/>
  <c r="CV49" i="16"/>
  <c r="CU16" i="16"/>
  <c r="CV16" i="16" s="1"/>
  <c r="CV47" i="16"/>
  <c r="CS16" i="16"/>
  <c r="BS55" i="16"/>
  <c r="CV38" i="16"/>
  <c r="CU7" i="16"/>
  <c r="CV7" i="16" s="1"/>
  <c r="CS7" i="16"/>
  <c r="CS9" i="16"/>
  <c r="BO21" i="16"/>
  <c r="BP21" i="16"/>
  <c r="CS11" i="16"/>
  <c r="BQ14" i="16"/>
  <c r="BQ4" i="16"/>
  <c r="BP27" i="16"/>
  <c r="BS56" i="16"/>
  <c r="BR27" i="16"/>
  <c r="BS27" i="16" s="1"/>
  <c r="CV36" i="16"/>
  <c r="CU5" i="16"/>
  <c r="CV5" i="16" s="1"/>
  <c r="CS5" i="16"/>
  <c r="EO61" i="16"/>
  <c r="EP30" i="16"/>
  <c r="EP61" i="16" s="1"/>
  <c r="CS14" i="16"/>
  <c r="CV45" i="16"/>
  <c r="CU14" i="16"/>
  <c r="CV14" i="16" s="1"/>
  <c r="CT58" i="16"/>
  <c r="DD58" i="16" s="1"/>
  <c r="AH97" i="16" s="1"/>
  <c r="CV59" i="16"/>
  <c r="CU28" i="16"/>
  <c r="CV28" i="16" s="1"/>
  <c r="CS59" i="16"/>
  <c r="DC59" i="16" s="1"/>
  <c r="AG98" i="16" s="1"/>
  <c r="BQ18" i="16"/>
  <c r="CV39" i="16"/>
  <c r="CU8" i="16"/>
  <c r="CV8" i="16" s="1"/>
  <c r="CS8" i="16"/>
  <c r="EO43" i="16"/>
  <c r="EP12" i="16"/>
  <c r="EP43" i="16" s="1"/>
  <c r="BS47" i="16"/>
  <c r="CV37" i="16"/>
  <c r="CU6" i="16"/>
  <c r="CV6" i="16" s="1"/>
  <c r="CS6" i="16"/>
  <c r="BP6" i="16"/>
  <c r="BQ6" i="16"/>
  <c r="BP20" i="16"/>
  <c r="CU19" i="16"/>
  <c r="CV19" i="16" s="1"/>
  <c r="CS50" i="16"/>
  <c r="DC50" i="16" s="1"/>
  <c r="CV50" i="16"/>
  <c r="BS54" i="16"/>
  <c r="BR25" i="16"/>
  <c r="BS25" i="16" s="1"/>
  <c r="BS28" i="16"/>
  <c r="CU13" i="16"/>
  <c r="CV13" i="16" s="1"/>
  <c r="CS13" i="16"/>
  <c r="CV44" i="16"/>
  <c r="EO53" i="16"/>
  <c r="EP22" i="16"/>
  <c r="EP53" i="16" s="1"/>
  <c r="BQ5" i="16"/>
  <c r="BS18" i="16"/>
  <c r="AJ94" i="16"/>
  <c r="C28" i="13"/>
  <c r="P26" i="13" s="1"/>
  <c r="DH26" i="16" s="1"/>
  <c r="DO26" i="16" s="1"/>
  <c r="B29" i="13"/>
  <c r="B28" i="13"/>
  <c r="B26" i="13"/>
  <c r="C29" i="13"/>
  <c r="P27" i="13" s="1"/>
  <c r="DH27" i="16" s="1"/>
  <c r="C26" i="13"/>
  <c r="I26" i="13"/>
  <c r="H26" i="13"/>
  <c r="G26" i="13"/>
  <c r="F26" i="13"/>
  <c r="E26" i="13"/>
  <c r="D26" i="13"/>
  <c r="G22" i="13"/>
  <c r="AJ98" i="16" l="1"/>
  <c r="AE90" i="16"/>
  <c r="AE88" i="16"/>
  <c r="AE89" i="16"/>
  <c r="AE87" i="16"/>
  <c r="AE85" i="16"/>
  <c r="AE92" i="16"/>
  <c r="AE91" i="16"/>
  <c r="AF91" i="16"/>
  <c r="AF85" i="16"/>
  <c r="AF90" i="16"/>
  <c r="AF88" i="16"/>
  <c r="AF87" i="16"/>
  <c r="AF89" i="16"/>
  <c r="AF92" i="16"/>
  <c r="AG92" i="16"/>
  <c r="AG88" i="16"/>
  <c r="AG87" i="16"/>
  <c r="AG85" i="16"/>
  <c r="AI87" i="16"/>
  <c r="AI88" i="16"/>
  <c r="AI91" i="16"/>
  <c r="AI90" i="16"/>
  <c r="AI89" i="16"/>
  <c r="AI85" i="16"/>
  <c r="AI92" i="16"/>
  <c r="AD88" i="16"/>
  <c r="AD92" i="16"/>
  <c r="AD90" i="16"/>
  <c r="AD89" i="16"/>
  <c r="AD87" i="16"/>
  <c r="AD85" i="16"/>
  <c r="AD91" i="16"/>
  <c r="AC91" i="16"/>
  <c r="AC89" i="16"/>
  <c r="AC87" i="16"/>
  <c r="AJ87" i="16" s="1"/>
  <c r="AC85" i="16"/>
  <c r="AJ85" i="16" s="1"/>
  <c r="AC92" i="16"/>
  <c r="AC90" i="16"/>
  <c r="AC88" i="16"/>
  <c r="DC51" i="16"/>
  <c r="AG89" i="16" s="1"/>
  <c r="DC53" i="16"/>
  <c r="AG91" i="16" s="1"/>
  <c r="DC54" i="16"/>
  <c r="DC52" i="16"/>
  <c r="AG90" i="16" s="1"/>
  <c r="CT59" i="16"/>
  <c r="DD59" i="16" s="1"/>
  <c r="AH98" i="16" s="1"/>
  <c r="CT22" i="16"/>
  <c r="CT61" i="16"/>
  <c r="DD61" i="16" s="1"/>
  <c r="AH100" i="16" s="1"/>
  <c r="CV30" i="16"/>
  <c r="CT23" i="16"/>
  <c r="CT21" i="16"/>
  <c r="CT50" i="16"/>
  <c r="CT49" i="16"/>
  <c r="DD49" i="16" s="1"/>
  <c r="AH86" i="16" s="1"/>
  <c r="CT26" i="16"/>
  <c r="CV18" i="16"/>
  <c r="CT12" i="16"/>
  <c r="G3" i="32"/>
  <c r="G4" i="32" s="1"/>
  <c r="M3" i="32"/>
  <c r="M4" i="32" s="1"/>
  <c r="H3" i="32"/>
  <c r="H4" i="32" s="1"/>
  <c r="L3" i="32"/>
  <c r="L4" i="32" s="1"/>
  <c r="K3" i="32"/>
  <c r="K4" i="32" s="1"/>
  <c r="J3" i="32"/>
  <c r="J4" i="32" s="1"/>
  <c r="I3" i="32"/>
  <c r="I4" i="32" s="1"/>
  <c r="M7" i="32"/>
  <c r="M8" i="32" s="1"/>
  <c r="L7" i="32"/>
  <c r="L8" i="32" s="1"/>
  <c r="K7" i="32"/>
  <c r="K8" i="32" s="1"/>
  <c r="I7" i="32"/>
  <c r="I8" i="32" s="1"/>
  <c r="H7" i="32"/>
  <c r="H8" i="32" s="1"/>
  <c r="G7" i="32"/>
  <c r="G8" i="32" s="1"/>
  <c r="J7" i="32"/>
  <c r="J8" i="32" s="1"/>
  <c r="CT5" i="16"/>
  <c r="CT14" i="16"/>
  <c r="AJ86" i="16"/>
  <c r="BQ21" i="16"/>
  <c r="BQ27" i="16"/>
  <c r="BQ10" i="16"/>
  <c r="BQ13" i="16"/>
  <c r="CT7" i="16"/>
  <c r="CT6" i="16"/>
  <c r="BQ24" i="16"/>
  <c r="CT8" i="16"/>
  <c r="BQ19" i="16"/>
  <c r="CS20" i="16"/>
  <c r="CT9" i="16"/>
  <c r="CT51" i="16"/>
  <c r="CT16" i="16"/>
  <c r="BQ15" i="16"/>
  <c r="BQ25" i="16"/>
  <c r="BP25" i="16"/>
  <c r="CT4" i="16"/>
  <c r="CS28" i="16"/>
  <c r="BQ11" i="16"/>
  <c r="CS19" i="16"/>
  <c r="CT27" i="16"/>
  <c r="CS18" i="16"/>
  <c r="CT15" i="16"/>
  <c r="BQ20" i="16"/>
  <c r="BQ17" i="16"/>
  <c r="CT11" i="16"/>
  <c r="BQ7" i="16"/>
  <c r="CS30" i="16"/>
  <c r="CT13" i="16"/>
  <c r="BP28" i="16"/>
  <c r="BQ28" i="16"/>
  <c r="DO27" i="16"/>
  <c r="G17" i="13"/>
  <c r="T25" i="13" s="1"/>
  <c r="DD50" i="16" l="1"/>
  <c r="CT28" i="16"/>
  <c r="DD51" i="16"/>
  <c r="AH87" i="16"/>
  <c r="AH88" i="16"/>
  <c r="AH85" i="16"/>
  <c r="AH89" i="16"/>
  <c r="DD54" i="16"/>
  <c r="AH92" i="16" s="1"/>
  <c r="DD52" i="16"/>
  <c r="AH90" i="16" s="1"/>
  <c r="DD53" i="16"/>
  <c r="AH91" i="16" s="1"/>
  <c r="CT19" i="16"/>
  <c r="CT18" i="16"/>
  <c r="CT30" i="16"/>
  <c r="CT20" i="16"/>
  <c r="T28" i="13"/>
  <c r="DL28" i="16" s="1"/>
  <c r="T26" i="13"/>
  <c r="DL26" i="16" s="1"/>
  <c r="T27" i="13"/>
  <c r="DL27" i="16" s="1"/>
  <c r="DL25" i="16"/>
  <c r="H17" i="13"/>
  <c r="U25" i="13" s="1"/>
  <c r="U27" i="13" l="1"/>
  <c r="DM27" i="16" s="1"/>
  <c r="U26" i="13"/>
  <c r="DM26" i="16" s="1"/>
  <c r="DM25" i="16"/>
  <c r="C22" i="13"/>
  <c r="C24" i="13"/>
  <c r="C23" i="13"/>
  <c r="C13" i="13"/>
  <c r="G24" i="13"/>
  <c r="T30" i="13" s="1"/>
  <c r="DL30" i="16" s="1"/>
  <c r="B24" i="13"/>
  <c r="G23" i="13"/>
  <c r="T29" i="13" s="1"/>
  <c r="DL29" i="16" s="1"/>
  <c r="B23" i="13"/>
  <c r="H22" i="13"/>
  <c r="U28" i="13" s="1"/>
  <c r="DM28" i="16" s="1"/>
  <c r="B22" i="13"/>
  <c r="C21" i="13"/>
  <c r="B21" i="13"/>
  <c r="B20" i="13"/>
  <c r="C19" i="13"/>
  <c r="B19" i="13"/>
  <c r="B18" i="13"/>
  <c r="I16" i="13"/>
  <c r="V24" i="13" s="1"/>
  <c r="DN24" i="16" s="1"/>
  <c r="H16" i="13"/>
  <c r="U24" i="13" s="1"/>
  <c r="DM24" i="16" s="1"/>
  <c r="G16" i="13"/>
  <c r="T24" i="13" s="1"/>
  <c r="DL24" i="16" s="1"/>
  <c r="F16" i="13"/>
  <c r="S24" i="13" s="1"/>
  <c r="DK24" i="16" s="1"/>
  <c r="E16" i="13"/>
  <c r="R24" i="13" s="1"/>
  <c r="DJ24" i="16" s="1"/>
  <c r="D16" i="13"/>
  <c r="Q24" i="13" s="1"/>
  <c r="DI24"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D18" i="13" l="1"/>
  <c r="E18" i="13"/>
  <c r="F18" i="13"/>
  <c r="C10" i="13"/>
  <c r="E8" i="13"/>
  <c r="G8" i="13"/>
  <c r="I8" i="13"/>
  <c r="C18" i="13"/>
  <c r="H23" i="13"/>
  <c r="U29" i="13" s="1"/>
  <c r="DM29" i="16" s="1"/>
  <c r="D8" i="13"/>
  <c r="H8" i="13"/>
  <c r="H24" i="13"/>
  <c r="U30" i="13" s="1"/>
  <c r="DM30" i="16" s="1"/>
  <c r="F8" i="13"/>
  <c r="I18" i="13"/>
  <c r="G18" i="13"/>
  <c r="H18" i="13"/>
  <c r="H7" i="13"/>
  <c r="C20" i="13"/>
  <c r="C8" i="13"/>
  <c r="AB5" i="15" l="1"/>
  <c r="AG275" i="15"/>
  <c r="AF275" i="15"/>
  <c r="AE275" i="15"/>
  <c r="AD275" i="15"/>
  <c r="AC275" i="15"/>
  <c r="AB275" i="15"/>
  <c r="AG274" i="15"/>
  <c r="AF274" i="15"/>
  <c r="AE274" i="15"/>
  <c r="AD274" i="15"/>
  <c r="AC274" i="15"/>
  <c r="AB274" i="15"/>
  <c r="AG273" i="15"/>
  <c r="AF273" i="15"/>
  <c r="AE273" i="15"/>
  <c r="AD273" i="15"/>
  <c r="AC273" i="15"/>
  <c r="AB273" i="15"/>
  <c r="AG272" i="15"/>
  <c r="AF272" i="15"/>
  <c r="AE272" i="15"/>
  <c r="AD272" i="15"/>
  <c r="AC272" i="15"/>
  <c r="AB272" i="15"/>
  <c r="AG271" i="15"/>
  <c r="AF271" i="15"/>
  <c r="AE271" i="15"/>
  <c r="AD271" i="15"/>
  <c r="AC271" i="15"/>
  <c r="AB271" i="15"/>
  <c r="AG270" i="15"/>
  <c r="AF270" i="15"/>
  <c r="AE270" i="15"/>
  <c r="AD270" i="15"/>
  <c r="AC270" i="15"/>
  <c r="AB270" i="15"/>
  <c r="AG269" i="15"/>
  <c r="AF269" i="15"/>
  <c r="AE269" i="15"/>
  <c r="AD269" i="15"/>
  <c r="AC269" i="15"/>
  <c r="AB269" i="15"/>
  <c r="AG268" i="15"/>
  <c r="AF268" i="15"/>
  <c r="AE268" i="15"/>
  <c r="AD268" i="15"/>
  <c r="AC268" i="15"/>
  <c r="AB268" i="15"/>
  <c r="AG267" i="15"/>
  <c r="AF267" i="15"/>
  <c r="AE267" i="15"/>
  <c r="AD267" i="15"/>
  <c r="AC267" i="15"/>
  <c r="AB267" i="15"/>
  <c r="AG266" i="15"/>
  <c r="AF266" i="15"/>
  <c r="AE266" i="15"/>
  <c r="AD266" i="15"/>
  <c r="AC266" i="15"/>
  <c r="AB266" i="15"/>
  <c r="AG265" i="15"/>
  <c r="AF265" i="15"/>
  <c r="AE265" i="15"/>
  <c r="AD265" i="15"/>
  <c r="AC265" i="15"/>
  <c r="AB265" i="15"/>
  <c r="AG264" i="15"/>
  <c r="AF264" i="15"/>
  <c r="AE264" i="15"/>
  <c r="AD264" i="15"/>
  <c r="AC264" i="15"/>
  <c r="AB264" i="15"/>
  <c r="AG263" i="15"/>
  <c r="AF263" i="15"/>
  <c r="AE263" i="15"/>
  <c r="AD263" i="15"/>
  <c r="AC263" i="15"/>
  <c r="AB263" i="15"/>
  <c r="AG262" i="15"/>
  <c r="AF262" i="15"/>
  <c r="AE262" i="15"/>
  <c r="AD262" i="15"/>
  <c r="AC262" i="15"/>
  <c r="AB262" i="15"/>
  <c r="AG261" i="15"/>
  <c r="AF261" i="15"/>
  <c r="AE261" i="15"/>
  <c r="AD261" i="15"/>
  <c r="AC261" i="15"/>
  <c r="AB261" i="15"/>
  <c r="AG260" i="15"/>
  <c r="AF260" i="15"/>
  <c r="AE260" i="15"/>
  <c r="AD260" i="15"/>
  <c r="AC260" i="15"/>
  <c r="AB260" i="15"/>
  <c r="AG258" i="15"/>
  <c r="AF258" i="15"/>
  <c r="AE258" i="15"/>
  <c r="AD258" i="15"/>
  <c r="AC258" i="15"/>
  <c r="AB258" i="15"/>
  <c r="AG257" i="15"/>
  <c r="AF257" i="15"/>
  <c r="AE257" i="15"/>
  <c r="AD257" i="15"/>
  <c r="AC257" i="15"/>
  <c r="AB257" i="15"/>
  <c r="AG256" i="15"/>
  <c r="AF256" i="15"/>
  <c r="AE256" i="15"/>
  <c r="AD256" i="15"/>
  <c r="AC256" i="15"/>
  <c r="AB256" i="15"/>
  <c r="AG255" i="15"/>
  <c r="AF255" i="15"/>
  <c r="AE255" i="15"/>
  <c r="AD255" i="15"/>
  <c r="AC255" i="15"/>
  <c r="AB255" i="15"/>
  <c r="AG254" i="15"/>
  <c r="AF254" i="15"/>
  <c r="AE254" i="15"/>
  <c r="AD254" i="15"/>
  <c r="AC254" i="15"/>
  <c r="AB254" i="15"/>
  <c r="AG253" i="15"/>
  <c r="AF253" i="15"/>
  <c r="AE253" i="15"/>
  <c r="AD253" i="15"/>
  <c r="AC253" i="15"/>
  <c r="AB253" i="15"/>
  <c r="AG252" i="15"/>
  <c r="AF252" i="15"/>
  <c r="AE252" i="15"/>
  <c r="AD252" i="15"/>
  <c r="AC252" i="15"/>
  <c r="AB252" i="15"/>
  <c r="AG251" i="15"/>
  <c r="AF251" i="15"/>
  <c r="AE251" i="15"/>
  <c r="AD251" i="15"/>
  <c r="AC251" i="15"/>
  <c r="AB251" i="15"/>
  <c r="AG250" i="15"/>
  <c r="AF250" i="15"/>
  <c r="AE250" i="15"/>
  <c r="AD250" i="15"/>
  <c r="AC250" i="15"/>
  <c r="AB250" i="15"/>
  <c r="AG249" i="15"/>
  <c r="AF249" i="15"/>
  <c r="AE249" i="15"/>
  <c r="AD249" i="15"/>
  <c r="AC249" i="15"/>
  <c r="AB249" i="15"/>
  <c r="AG248" i="15"/>
  <c r="AF248" i="15"/>
  <c r="AE248" i="15"/>
  <c r="AD248" i="15"/>
  <c r="AC248" i="15"/>
  <c r="AB248" i="15"/>
  <c r="AG247" i="15"/>
  <c r="AF247" i="15"/>
  <c r="AE247" i="15"/>
  <c r="AD247" i="15"/>
  <c r="AC247" i="15"/>
  <c r="AB247" i="15"/>
  <c r="AG246" i="15"/>
  <c r="AF246" i="15"/>
  <c r="AE246" i="15"/>
  <c r="AD246" i="15"/>
  <c r="AC246" i="15"/>
  <c r="AB246" i="15"/>
  <c r="AG245" i="15"/>
  <c r="AF245" i="15"/>
  <c r="AE245" i="15"/>
  <c r="AD245" i="15"/>
  <c r="AC245" i="15"/>
  <c r="AB245" i="15"/>
  <c r="AG244" i="15"/>
  <c r="AF244" i="15"/>
  <c r="AE244" i="15"/>
  <c r="AD244" i="15"/>
  <c r="AC244" i="15"/>
  <c r="AB244" i="15"/>
  <c r="AG243" i="15"/>
  <c r="AF243" i="15"/>
  <c r="AE243" i="15"/>
  <c r="AD243" i="15"/>
  <c r="AC243" i="15"/>
  <c r="AB243" i="15"/>
  <c r="AG241" i="15"/>
  <c r="AF241" i="15"/>
  <c r="AE241" i="15"/>
  <c r="AD241" i="15"/>
  <c r="AC241" i="15"/>
  <c r="AB241" i="15"/>
  <c r="AG240" i="15"/>
  <c r="AF240" i="15"/>
  <c r="AE240" i="15"/>
  <c r="AD240" i="15"/>
  <c r="AC240" i="15"/>
  <c r="AB240" i="15"/>
  <c r="AG239" i="15"/>
  <c r="AF239" i="15"/>
  <c r="AE239" i="15"/>
  <c r="AD239" i="15"/>
  <c r="AC239" i="15"/>
  <c r="AB239" i="15"/>
  <c r="AG238" i="15"/>
  <c r="AF238" i="15"/>
  <c r="AE238" i="15"/>
  <c r="AD238" i="15"/>
  <c r="AC238" i="15"/>
  <c r="AB238" i="15"/>
  <c r="AG237" i="15"/>
  <c r="AF237" i="15"/>
  <c r="AE237" i="15"/>
  <c r="AD237" i="15"/>
  <c r="AC237" i="15"/>
  <c r="AB237" i="15"/>
  <c r="AG236" i="15"/>
  <c r="AF236" i="15"/>
  <c r="AE236" i="15"/>
  <c r="AD236" i="15"/>
  <c r="AC236" i="15"/>
  <c r="AB236" i="15"/>
  <c r="AG235" i="15"/>
  <c r="AF235" i="15"/>
  <c r="AE235" i="15"/>
  <c r="AD235" i="15"/>
  <c r="AC235" i="15"/>
  <c r="AB235" i="15"/>
  <c r="AG234" i="15"/>
  <c r="AF234" i="15"/>
  <c r="AE234" i="15"/>
  <c r="AD234" i="15"/>
  <c r="AC234" i="15"/>
  <c r="AB234" i="15"/>
  <c r="AG233" i="15"/>
  <c r="AF233" i="15"/>
  <c r="AE233" i="15"/>
  <c r="AD233" i="15"/>
  <c r="AC233" i="15"/>
  <c r="AB233" i="15"/>
  <c r="AG232" i="15"/>
  <c r="AF232" i="15"/>
  <c r="AE232" i="15"/>
  <c r="AD232" i="15"/>
  <c r="AC232" i="15"/>
  <c r="AB232" i="15"/>
  <c r="AG231" i="15"/>
  <c r="AF231" i="15"/>
  <c r="AE231" i="15"/>
  <c r="AD231" i="15"/>
  <c r="AC231" i="15"/>
  <c r="AB231" i="15"/>
  <c r="AG230" i="15"/>
  <c r="AF230" i="15"/>
  <c r="AE230" i="15"/>
  <c r="AD230" i="15"/>
  <c r="AC230" i="15"/>
  <c r="AB230" i="15"/>
  <c r="AG229" i="15"/>
  <c r="AF229" i="15"/>
  <c r="AE229" i="15"/>
  <c r="AD229" i="15"/>
  <c r="AC229" i="15"/>
  <c r="AB229" i="15"/>
  <c r="AG228" i="15"/>
  <c r="AF228" i="15"/>
  <c r="AE228" i="15"/>
  <c r="AD228" i="15"/>
  <c r="AC228" i="15"/>
  <c r="AB228" i="15"/>
  <c r="AG227" i="15"/>
  <c r="AF227" i="15"/>
  <c r="AE227" i="15"/>
  <c r="AD227" i="15"/>
  <c r="AC227" i="15"/>
  <c r="AB227" i="15"/>
  <c r="AG226" i="15"/>
  <c r="AF226" i="15"/>
  <c r="AE226" i="15"/>
  <c r="AD226" i="15"/>
  <c r="AC226" i="15"/>
  <c r="AB226" i="15"/>
  <c r="AG224" i="15"/>
  <c r="AF224" i="15"/>
  <c r="AE224" i="15"/>
  <c r="AD224" i="15"/>
  <c r="AC224" i="15"/>
  <c r="AB224" i="15"/>
  <c r="AG223" i="15"/>
  <c r="AF223" i="15"/>
  <c r="AE223" i="15"/>
  <c r="AD223" i="15"/>
  <c r="AC223" i="15"/>
  <c r="AB223" i="15"/>
  <c r="AG222" i="15"/>
  <c r="AF222" i="15"/>
  <c r="AE222" i="15"/>
  <c r="AD222" i="15"/>
  <c r="AC222" i="15"/>
  <c r="AB222" i="15"/>
  <c r="AG221" i="15"/>
  <c r="AF221" i="15"/>
  <c r="AE221" i="15"/>
  <c r="AD221" i="15"/>
  <c r="AC221" i="15"/>
  <c r="AB221" i="15"/>
  <c r="AG220" i="15"/>
  <c r="AF220" i="15"/>
  <c r="AE220" i="15"/>
  <c r="AD220" i="15"/>
  <c r="AC220" i="15"/>
  <c r="AB220" i="15"/>
  <c r="AG219" i="15"/>
  <c r="AF219" i="15"/>
  <c r="AE219" i="15"/>
  <c r="AD219" i="15"/>
  <c r="AC219" i="15"/>
  <c r="AB219" i="15"/>
  <c r="AG218" i="15"/>
  <c r="AF218" i="15"/>
  <c r="AE218" i="15"/>
  <c r="AD218" i="15"/>
  <c r="AC218" i="15"/>
  <c r="AB218" i="15"/>
  <c r="AG217" i="15"/>
  <c r="AF217" i="15"/>
  <c r="AE217" i="15"/>
  <c r="AD217" i="15"/>
  <c r="AC217" i="15"/>
  <c r="AB217" i="15"/>
  <c r="AG216" i="15"/>
  <c r="AF216" i="15"/>
  <c r="AE216" i="15"/>
  <c r="AD216" i="15"/>
  <c r="AC216" i="15"/>
  <c r="AB216" i="15"/>
  <c r="AG215" i="15"/>
  <c r="AF215" i="15"/>
  <c r="AE215" i="15"/>
  <c r="AD215" i="15"/>
  <c r="AC215" i="15"/>
  <c r="AB215" i="15"/>
  <c r="AG214" i="15"/>
  <c r="AF214" i="15"/>
  <c r="AE214" i="15"/>
  <c r="AD214" i="15"/>
  <c r="AC214" i="15"/>
  <c r="AB214" i="15"/>
  <c r="AG213" i="15"/>
  <c r="AF213" i="15"/>
  <c r="AE213" i="15"/>
  <c r="AD213" i="15"/>
  <c r="AC213" i="15"/>
  <c r="AB213" i="15"/>
  <c r="AG212" i="15"/>
  <c r="AF212" i="15"/>
  <c r="AE212" i="15"/>
  <c r="AD212" i="15"/>
  <c r="AC212" i="15"/>
  <c r="AB212" i="15"/>
  <c r="AG211" i="15"/>
  <c r="AF211" i="15"/>
  <c r="AE211" i="15"/>
  <c r="AD211" i="15"/>
  <c r="AC211" i="15"/>
  <c r="AB211" i="15"/>
  <c r="AG210" i="15"/>
  <c r="AF210" i="15"/>
  <c r="AE210" i="15"/>
  <c r="AD210" i="15"/>
  <c r="AC210" i="15"/>
  <c r="AB210" i="15"/>
  <c r="AG209" i="15"/>
  <c r="AF209" i="15"/>
  <c r="AE209" i="15"/>
  <c r="AD209" i="15"/>
  <c r="AC209" i="15"/>
  <c r="AB209" i="15"/>
  <c r="AG207" i="15"/>
  <c r="AF207" i="15"/>
  <c r="AE207" i="15"/>
  <c r="AD207" i="15"/>
  <c r="AC207" i="15"/>
  <c r="AB207" i="15"/>
  <c r="AG206" i="15"/>
  <c r="AF206" i="15"/>
  <c r="AE206" i="15"/>
  <c r="AD206" i="15"/>
  <c r="AC206" i="15"/>
  <c r="AB206" i="15"/>
  <c r="AG205" i="15"/>
  <c r="AF205" i="15"/>
  <c r="AE205" i="15"/>
  <c r="AD205" i="15"/>
  <c r="AC205" i="15"/>
  <c r="AB205" i="15"/>
  <c r="AG204" i="15"/>
  <c r="AF204" i="15"/>
  <c r="AE204" i="15"/>
  <c r="AD204" i="15"/>
  <c r="AC204" i="15"/>
  <c r="AB204" i="15"/>
  <c r="AG203" i="15"/>
  <c r="AF203" i="15"/>
  <c r="AE203" i="15"/>
  <c r="AD203" i="15"/>
  <c r="AC203" i="15"/>
  <c r="AB203" i="15"/>
  <c r="AG202" i="15"/>
  <c r="AF202" i="15"/>
  <c r="AE202" i="15"/>
  <c r="AD202" i="15"/>
  <c r="AC202" i="15"/>
  <c r="AB202" i="15"/>
  <c r="AG201" i="15"/>
  <c r="AF201" i="15"/>
  <c r="AE201" i="15"/>
  <c r="AD201" i="15"/>
  <c r="AC201" i="15"/>
  <c r="AB201" i="15"/>
  <c r="AG200" i="15"/>
  <c r="AF200" i="15"/>
  <c r="AE200" i="15"/>
  <c r="AD200" i="15"/>
  <c r="AC200" i="15"/>
  <c r="AB200" i="15"/>
  <c r="AG199" i="15"/>
  <c r="AF199" i="15"/>
  <c r="AE199" i="15"/>
  <c r="AD199" i="15"/>
  <c r="AC199" i="15"/>
  <c r="AB199" i="15"/>
  <c r="AG198" i="15"/>
  <c r="AF198" i="15"/>
  <c r="AE198" i="15"/>
  <c r="AD198" i="15"/>
  <c r="AC198" i="15"/>
  <c r="AB198" i="15"/>
  <c r="AG197" i="15"/>
  <c r="AF197" i="15"/>
  <c r="AE197" i="15"/>
  <c r="AD197" i="15"/>
  <c r="AC197" i="15"/>
  <c r="AB197" i="15"/>
  <c r="AG196" i="15"/>
  <c r="AF196" i="15"/>
  <c r="AE196" i="15"/>
  <c r="AD196" i="15"/>
  <c r="AC196" i="15"/>
  <c r="AB196" i="15"/>
  <c r="AG195" i="15"/>
  <c r="AF195" i="15"/>
  <c r="AE195" i="15"/>
  <c r="AD195" i="15"/>
  <c r="AC195" i="15"/>
  <c r="AB195" i="15"/>
  <c r="AG194" i="15"/>
  <c r="AF194" i="15"/>
  <c r="AE194" i="15"/>
  <c r="AD194" i="15"/>
  <c r="AC194" i="15"/>
  <c r="AB194" i="15"/>
  <c r="AG193" i="15"/>
  <c r="AF193" i="15"/>
  <c r="AE193" i="15"/>
  <c r="AD193" i="15"/>
  <c r="AC193" i="15"/>
  <c r="AB193" i="15"/>
  <c r="AG192" i="15"/>
  <c r="AF192" i="15"/>
  <c r="AE192" i="15"/>
  <c r="AD192" i="15"/>
  <c r="AC192" i="15"/>
  <c r="AB192" i="15"/>
  <c r="AG190" i="15"/>
  <c r="AF190" i="15"/>
  <c r="AE190" i="15"/>
  <c r="AD190" i="15"/>
  <c r="AC190" i="15"/>
  <c r="AB190" i="15"/>
  <c r="AG189" i="15"/>
  <c r="AF189" i="15"/>
  <c r="AE189" i="15"/>
  <c r="AD189" i="15"/>
  <c r="AC189" i="15"/>
  <c r="AB189" i="15"/>
  <c r="AG188" i="15"/>
  <c r="AF188" i="15"/>
  <c r="AE188" i="15"/>
  <c r="AD188" i="15"/>
  <c r="AC188" i="15"/>
  <c r="AB188" i="15"/>
  <c r="AG187" i="15"/>
  <c r="AF187" i="15"/>
  <c r="AE187" i="15"/>
  <c r="AD187" i="15"/>
  <c r="AC187" i="15"/>
  <c r="AB187" i="15"/>
  <c r="AG186" i="15"/>
  <c r="AF186" i="15"/>
  <c r="AE186" i="15"/>
  <c r="AD186" i="15"/>
  <c r="AC186" i="15"/>
  <c r="AB186" i="15"/>
  <c r="AG185" i="15"/>
  <c r="AF185" i="15"/>
  <c r="AE185" i="15"/>
  <c r="AD185" i="15"/>
  <c r="AC185" i="15"/>
  <c r="AB185" i="15"/>
  <c r="AG184" i="15"/>
  <c r="AF184" i="15"/>
  <c r="AE184" i="15"/>
  <c r="AD184" i="15"/>
  <c r="AC184" i="15"/>
  <c r="AB184" i="15"/>
  <c r="AG183" i="15"/>
  <c r="AF183" i="15"/>
  <c r="AE183" i="15"/>
  <c r="AD183" i="15"/>
  <c r="AC183" i="15"/>
  <c r="AB183" i="15"/>
  <c r="AG182" i="15"/>
  <c r="AF182" i="15"/>
  <c r="AE182" i="15"/>
  <c r="AD182" i="15"/>
  <c r="AC182" i="15"/>
  <c r="AB182" i="15"/>
  <c r="AG181" i="15"/>
  <c r="AF181" i="15"/>
  <c r="AE181" i="15"/>
  <c r="AD181" i="15"/>
  <c r="AC181" i="15"/>
  <c r="AB181" i="15"/>
  <c r="AG180" i="15"/>
  <c r="AF180" i="15"/>
  <c r="AE180" i="15"/>
  <c r="AD180" i="15"/>
  <c r="AC180" i="15"/>
  <c r="AB180" i="15"/>
  <c r="AG179" i="15"/>
  <c r="AF179" i="15"/>
  <c r="AE179" i="15"/>
  <c r="AD179" i="15"/>
  <c r="AC179" i="15"/>
  <c r="AB179" i="15"/>
  <c r="AG178" i="15"/>
  <c r="AF178" i="15"/>
  <c r="AE178" i="15"/>
  <c r="AD178" i="15"/>
  <c r="AC178" i="15"/>
  <c r="AB178" i="15"/>
  <c r="AG177" i="15"/>
  <c r="AF177" i="15"/>
  <c r="AE177" i="15"/>
  <c r="AD177" i="15"/>
  <c r="AC177" i="15"/>
  <c r="AB177" i="15"/>
  <c r="AG176" i="15"/>
  <c r="AF176" i="15"/>
  <c r="AE176" i="15"/>
  <c r="AD176" i="15"/>
  <c r="AC176" i="15"/>
  <c r="AB176" i="15"/>
  <c r="AG175" i="15"/>
  <c r="AF175" i="15"/>
  <c r="AE175" i="15"/>
  <c r="AD175" i="15"/>
  <c r="AC175" i="15"/>
  <c r="AB175" i="15"/>
  <c r="AG173" i="15"/>
  <c r="AF173" i="15"/>
  <c r="AE173" i="15"/>
  <c r="AD173" i="15"/>
  <c r="AC173" i="15"/>
  <c r="AB173" i="15"/>
  <c r="AG172" i="15"/>
  <c r="AF172" i="15"/>
  <c r="AE172" i="15"/>
  <c r="AD172" i="15"/>
  <c r="AC172" i="15"/>
  <c r="AB172" i="15"/>
  <c r="AG171" i="15"/>
  <c r="AF171" i="15"/>
  <c r="AE171" i="15"/>
  <c r="AD171" i="15"/>
  <c r="AC171" i="15"/>
  <c r="AB171" i="15"/>
  <c r="AG170" i="15"/>
  <c r="AF170" i="15"/>
  <c r="AE170" i="15"/>
  <c r="AD170" i="15"/>
  <c r="AC170" i="15"/>
  <c r="AB170" i="15"/>
  <c r="AG169" i="15"/>
  <c r="AF169" i="15"/>
  <c r="AE169" i="15"/>
  <c r="AD169" i="15"/>
  <c r="AC169" i="15"/>
  <c r="AB169" i="15"/>
  <c r="AG168" i="15"/>
  <c r="AF168" i="15"/>
  <c r="AE168" i="15"/>
  <c r="AD168" i="15"/>
  <c r="AC168" i="15"/>
  <c r="AB168" i="15"/>
  <c r="AG167" i="15"/>
  <c r="AF167" i="15"/>
  <c r="AE167" i="15"/>
  <c r="AD167" i="15"/>
  <c r="AC167" i="15"/>
  <c r="AB167" i="15"/>
  <c r="AG166" i="15"/>
  <c r="AF166" i="15"/>
  <c r="AE166" i="15"/>
  <c r="AD166" i="15"/>
  <c r="AC166" i="15"/>
  <c r="AB166" i="15"/>
  <c r="AG165" i="15"/>
  <c r="AF165" i="15"/>
  <c r="AE165" i="15"/>
  <c r="AD165" i="15"/>
  <c r="AC165" i="15"/>
  <c r="AB165" i="15"/>
  <c r="AG164" i="15"/>
  <c r="AF164" i="15"/>
  <c r="AE164" i="15"/>
  <c r="AD164" i="15"/>
  <c r="AC164" i="15"/>
  <c r="AB164" i="15"/>
  <c r="AG163" i="15"/>
  <c r="AF163" i="15"/>
  <c r="AE163" i="15"/>
  <c r="AD163" i="15"/>
  <c r="AC163" i="15"/>
  <c r="AB163" i="15"/>
  <c r="AG162" i="15"/>
  <c r="AF162" i="15"/>
  <c r="AE162" i="15"/>
  <c r="AD162" i="15"/>
  <c r="AC162" i="15"/>
  <c r="AB162" i="15"/>
  <c r="AG161" i="15"/>
  <c r="AF161" i="15"/>
  <c r="AE161" i="15"/>
  <c r="AD161" i="15"/>
  <c r="AC161" i="15"/>
  <c r="AB161" i="15"/>
  <c r="AG160" i="15"/>
  <c r="AF160" i="15"/>
  <c r="AE160" i="15"/>
  <c r="AD160" i="15"/>
  <c r="AC160" i="15"/>
  <c r="AB160" i="15"/>
  <c r="AG159" i="15"/>
  <c r="AF159" i="15"/>
  <c r="AE159" i="15"/>
  <c r="AD159" i="15"/>
  <c r="AC159" i="15"/>
  <c r="AB159" i="15"/>
  <c r="AG158" i="15"/>
  <c r="AF158" i="15"/>
  <c r="AE158" i="15"/>
  <c r="AD158" i="15"/>
  <c r="AC158" i="15"/>
  <c r="AB158" i="15"/>
  <c r="AG156" i="15"/>
  <c r="AF156" i="15"/>
  <c r="AE156" i="15"/>
  <c r="AD156" i="15"/>
  <c r="AC156" i="15"/>
  <c r="AB156" i="15"/>
  <c r="AG155" i="15"/>
  <c r="AF155" i="15"/>
  <c r="AE155" i="15"/>
  <c r="AD155" i="15"/>
  <c r="AC155" i="15"/>
  <c r="AB155" i="15"/>
  <c r="AG154" i="15"/>
  <c r="AF154" i="15"/>
  <c r="AE154" i="15"/>
  <c r="AD154" i="15"/>
  <c r="AC154" i="15"/>
  <c r="AB154" i="15"/>
  <c r="AG153" i="15"/>
  <c r="AF153" i="15"/>
  <c r="AE153" i="15"/>
  <c r="AD153" i="15"/>
  <c r="AC153" i="15"/>
  <c r="AB153" i="15"/>
  <c r="AG152" i="15"/>
  <c r="AF152" i="15"/>
  <c r="AE152" i="15"/>
  <c r="AD152" i="15"/>
  <c r="AC152" i="15"/>
  <c r="AB152" i="15"/>
  <c r="AG151" i="15"/>
  <c r="AF151" i="15"/>
  <c r="AE151" i="15"/>
  <c r="AD151" i="15"/>
  <c r="AC151" i="15"/>
  <c r="AB151" i="15"/>
  <c r="AG150" i="15"/>
  <c r="AF150" i="15"/>
  <c r="AE150" i="15"/>
  <c r="AD150" i="15"/>
  <c r="AC150" i="15"/>
  <c r="AB150" i="15"/>
  <c r="AG149" i="15"/>
  <c r="AF149" i="15"/>
  <c r="AE149" i="15"/>
  <c r="AD149" i="15"/>
  <c r="AC149" i="15"/>
  <c r="AB149" i="15"/>
  <c r="AG148" i="15"/>
  <c r="AF148" i="15"/>
  <c r="AE148" i="15"/>
  <c r="AD148" i="15"/>
  <c r="AC148" i="15"/>
  <c r="AB148" i="15"/>
  <c r="AG147" i="15"/>
  <c r="AF147" i="15"/>
  <c r="AE147" i="15"/>
  <c r="AD147" i="15"/>
  <c r="AC147" i="15"/>
  <c r="AB147" i="15"/>
  <c r="AG146" i="15"/>
  <c r="AF146" i="15"/>
  <c r="AE146" i="15"/>
  <c r="AD146" i="15"/>
  <c r="AC146" i="15"/>
  <c r="AB146" i="15"/>
  <c r="AG145" i="15"/>
  <c r="AF145" i="15"/>
  <c r="AE145" i="15"/>
  <c r="AD145" i="15"/>
  <c r="AC145" i="15"/>
  <c r="AB145" i="15"/>
  <c r="AG144" i="15"/>
  <c r="AF144" i="15"/>
  <c r="AE144" i="15"/>
  <c r="AD144" i="15"/>
  <c r="AC144" i="15"/>
  <c r="AB144" i="15"/>
  <c r="AG143" i="15"/>
  <c r="AF143" i="15"/>
  <c r="AE143" i="15"/>
  <c r="AD143" i="15"/>
  <c r="AC143" i="15"/>
  <c r="AB143" i="15"/>
  <c r="AG142" i="15"/>
  <c r="AF142" i="15"/>
  <c r="AE142" i="15"/>
  <c r="AD142" i="15"/>
  <c r="AC142" i="15"/>
  <c r="AB142" i="15"/>
  <c r="AG141" i="15"/>
  <c r="AF141" i="15"/>
  <c r="AE141" i="15"/>
  <c r="AD141" i="15"/>
  <c r="AC141" i="15"/>
  <c r="AB141" i="15"/>
  <c r="AG139" i="15"/>
  <c r="AF139" i="15"/>
  <c r="AE139" i="15"/>
  <c r="AD139" i="15"/>
  <c r="AC139" i="15"/>
  <c r="AB139" i="15"/>
  <c r="AG138" i="15"/>
  <c r="AF138" i="15"/>
  <c r="AE138" i="15"/>
  <c r="AD138" i="15"/>
  <c r="AC138" i="15"/>
  <c r="AB138" i="15"/>
  <c r="AG137" i="15"/>
  <c r="AF137" i="15"/>
  <c r="AE137" i="15"/>
  <c r="AD137" i="15"/>
  <c r="AC137" i="15"/>
  <c r="AB137" i="15"/>
  <c r="AG136" i="15"/>
  <c r="AF136" i="15"/>
  <c r="AE136" i="15"/>
  <c r="AD136" i="15"/>
  <c r="AC136" i="15"/>
  <c r="AB136" i="15"/>
  <c r="AG135" i="15"/>
  <c r="AF135" i="15"/>
  <c r="AE135" i="15"/>
  <c r="AD135" i="15"/>
  <c r="AC135" i="15"/>
  <c r="AB135" i="15"/>
  <c r="AG134" i="15"/>
  <c r="AF134" i="15"/>
  <c r="AE134" i="15"/>
  <c r="AD134" i="15"/>
  <c r="AC134" i="15"/>
  <c r="AB134" i="15"/>
  <c r="AG133" i="15"/>
  <c r="AF133" i="15"/>
  <c r="AE133" i="15"/>
  <c r="AD133" i="15"/>
  <c r="AC133" i="15"/>
  <c r="AB133" i="15"/>
  <c r="AG132" i="15"/>
  <c r="AF132" i="15"/>
  <c r="AE132" i="15"/>
  <c r="AD132" i="15"/>
  <c r="AC132" i="15"/>
  <c r="AB132" i="15"/>
  <c r="AG131" i="15"/>
  <c r="AF131" i="15"/>
  <c r="AE131" i="15"/>
  <c r="AD131" i="15"/>
  <c r="AC131" i="15"/>
  <c r="AB131" i="15"/>
  <c r="AG130" i="15"/>
  <c r="AF130" i="15"/>
  <c r="AE130" i="15"/>
  <c r="AD130" i="15"/>
  <c r="AC130" i="15"/>
  <c r="AB130" i="15"/>
  <c r="AG129" i="15"/>
  <c r="AF129" i="15"/>
  <c r="AE129" i="15"/>
  <c r="AD129" i="15"/>
  <c r="AC129" i="15"/>
  <c r="AB129" i="15"/>
  <c r="AG128" i="15"/>
  <c r="AF128" i="15"/>
  <c r="AE128" i="15"/>
  <c r="AD128" i="15"/>
  <c r="AC128" i="15"/>
  <c r="AB128" i="15"/>
  <c r="AG127" i="15"/>
  <c r="AF127" i="15"/>
  <c r="AE127" i="15"/>
  <c r="AD127" i="15"/>
  <c r="AC127" i="15"/>
  <c r="AB127" i="15"/>
  <c r="AG126" i="15"/>
  <c r="AF126" i="15"/>
  <c r="AE126" i="15"/>
  <c r="AD126" i="15"/>
  <c r="AC126" i="15"/>
  <c r="AB126" i="15"/>
  <c r="AG125" i="15"/>
  <c r="AF125" i="15"/>
  <c r="AE125" i="15"/>
  <c r="AD125" i="15"/>
  <c r="AC125" i="15"/>
  <c r="AB125" i="15"/>
  <c r="AG124" i="15"/>
  <c r="AF124" i="15"/>
  <c r="AE124" i="15"/>
  <c r="AD124" i="15"/>
  <c r="AC124" i="15"/>
  <c r="AB124" i="15"/>
  <c r="AG122" i="15"/>
  <c r="AF122" i="15"/>
  <c r="AE122" i="15"/>
  <c r="AD122" i="15"/>
  <c r="AC122" i="15"/>
  <c r="AB122" i="15"/>
  <c r="AG121" i="15"/>
  <c r="AF121" i="15"/>
  <c r="AE121" i="15"/>
  <c r="AD121" i="15"/>
  <c r="AC121" i="15"/>
  <c r="AB121" i="15"/>
  <c r="AG120" i="15"/>
  <c r="AF120" i="15"/>
  <c r="AE120" i="15"/>
  <c r="AD120" i="15"/>
  <c r="AC120" i="15"/>
  <c r="AB120" i="15"/>
  <c r="AG119" i="15"/>
  <c r="AF119" i="15"/>
  <c r="AE119" i="15"/>
  <c r="AD119" i="15"/>
  <c r="AC119" i="15"/>
  <c r="AB119" i="15"/>
  <c r="AG118" i="15"/>
  <c r="AF118" i="15"/>
  <c r="AE118" i="15"/>
  <c r="AD118" i="15"/>
  <c r="AC118" i="15"/>
  <c r="AB118" i="15"/>
  <c r="AG117" i="15"/>
  <c r="AF117" i="15"/>
  <c r="AE117" i="15"/>
  <c r="AD117" i="15"/>
  <c r="AC117" i="15"/>
  <c r="AB117" i="15"/>
  <c r="AG116" i="15"/>
  <c r="AF116" i="15"/>
  <c r="AE116" i="15"/>
  <c r="AD116" i="15"/>
  <c r="AC116" i="15"/>
  <c r="AB116" i="15"/>
  <c r="AG115" i="15"/>
  <c r="AF115" i="15"/>
  <c r="AE115" i="15"/>
  <c r="AD115" i="15"/>
  <c r="AC115" i="15"/>
  <c r="AB115" i="15"/>
  <c r="AG114" i="15"/>
  <c r="AF114" i="15"/>
  <c r="AE114" i="15"/>
  <c r="AD114" i="15"/>
  <c r="AC114" i="15"/>
  <c r="AB114" i="15"/>
  <c r="AG113" i="15"/>
  <c r="AF113" i="15"/>
  <c r="AE113" i="15"/>
  <c r="AD113" i="15"/>
  <c r="AC113" i="15"/>
  <c r="AB113" i="15"/>
  <c r="AG112" i="15"/>
  <c r="AF112" i="15"/>
  <c r="AE112" i="15"/>
  <c r="AD112" i="15"/>
  <c r="AC112" i="15"/>
  <c r="AB112" i="15"/>
  <c r="AG111" i="15"/>
  <c r="AF111" i="15"/>
  <c r="AE111" i="15"/>
  <c r="AD111" i="15"/>
  <c r="AC111" i="15"/>
  <c r="AB111" i="15"/>
  <c r="AG110" i="15"/>
  <c r="AF110" i="15"/>
  <c r="AE110" i="15"/>
  <c r="AD110" i="15"/>
  <c r="AC110" i="15"/>
  <c r="AB110" i="15"/>
  <c r="AG109" i="15"/>
  <c r="AF109" i="15"/>
  <c r="AE109" i="15"/>
  <c r="AD109" i="15"/>
  <c r="AC109" i="15"/>
  <c r="AB109" i="15"/>
  <c r="AG108" i="15"/>
  <c r="AF108" i="15"/>
  <c r="AE108" i="15"/>
  <c r="AD108" i="15"/>
  <c r="AC108" i="15"/>
  <c r="AB108" i="15"/>
  <c r="AG107" i="15"/>
  <c r="AF107" i="15"/>
  <c r="AE107" i="15"/>
  <c r="AD107" i="15"/>
  <c r="AC107" i="15"/>
  <c r="AB107" i="15"/>
  <c r="AG105" i="15"/>
  <c r="AF105" i="15"/>
  <c r="AE105" i="15"/>
  <c r="AD105" i="15"/>
  <c r="AC105" i="15"/>
  <c r="AB105" i="15"/>
  <c r="AG104" i="15"/>
  <c r="AF104" i="15"/>
  <c r="AE104" i="15"/>
  <c r="AD104" i="15"/>
  <c r="AC104" i="15"/>
  <c r="AB104" i="15"/>
  <c r="AG103" i="15"/>
  <c r="AF103" i="15"/>
  <c r="AE103" i="15"/>
  <c r="AD103" i="15"/>
  <c r="AC103" i="15"/>
  <c r="AB103" i="15"/>
  <c r="AG102" i="15"/>
  <c r="AF102" i="15"/>
  <c r="AE102" i="15"/>
  <c r="AD102" i="15"/>
  <c r="AC102" i="15"/>
  <c r="AB102" i="15"/>
  <c r="AG101" i="15"/>
  <c r="AF101" i="15"/>
  <c r="AE101" i="15"/>
  <c r="AD101" i="15"/>
  <c r="AC101" i="15"/>
  <c r="AB101" i="15"/>
  <c r="AG100" i="15"/>
  <c r="AF100" i="15"/>
  <c r="AE100" i="15"/>
  <c r="AD100" i="15"/>
  <c r="AC100" i="15"/>
  <c r="AB100" i="15"/>
  <c r="AG99" i="15"/>
  <c r="AF99" i="15"/>
  <c r="AE99" i="15"/>
  <c r="AD99" i="15"/>
  <c r="AC99" i="15"/>
  <c r="AB99" i="15"/>
  <c r="AG98" i="15"/>
  <c r="AF98" i="15"/>
  <c r="AE98" i="15"/>
  <c r="AD98" i="15"/>
  <c r="AC98" i="15"/>
  <c r="AB98" i="15"/>
  <c r="AG97" i="15"/>
  <c r="AF97" i="15"/>
  <c r="AE97" i="15"/>
  <c r="AD97" i="15"/>
  <c r="AC97" i="15"/>
  <c r="AB97" i="15"/>
  <c r="AG96" i="15"/>
  <c r="AF96" i="15"/>
  <c r="AE96" i="15"/>
  <c r="AD96" i="15"/>
  <c r="AC96" i="15"/>
  <c r="AB96" i="15"/>
  <c r="AG95" i="15"/>
  <c r="AF95" i="15"/>
  <c r="AE95" i="15"/>
  <c r="AD95" i="15"/>
  <c r="AC95" i="15"/>
  <c r="AB95" i="15"/>
  <c r="AG94" i="15"/>
  <c r="AF94" i="15"/>
  <c r="AE94" i="15"/>
  <c r="AD94" i="15"/>
  <c r="AC94" i="15"/>
  <c r="AB94" i="15"/>
  <c r="AG93" i="15"/>
  <c r="AF93" i="15"/>
  <c r="AE93" i="15"/>
  <c r="AD93" i="15"/>
  <c r="AC93" i="15"/>
  <c r="AB93" i="15"/>
  <c r="AG92" i="15"/>
  <c r="AF92" i="15"/>
  <c r="AE92" i="15"/>
  <c r="AD92" i="15"/>
  <c r="AC92" i="15"/>
  <c r="AB92" i="15"/>
  <c r="AG91" i="15"/>
  <c r="AF91" i="15"/>
  <c r="AE91" i="15"/>
  <c r="AD91" i="15"/>
  <c r="AC91" i="15"/>
  <c r="AB91" i="15"/>
  <c r="AG90" i="15"/>
  <c r="AF90" i="15"/>
  <c r="AE90" i="15"/>
  <c r="AD90" i="15"/>
  <c r="AC90" i="15"/>
  <c r="AB90" i="15"/>
  <c r="AG88" i="15"/>
  <c r="AF88" i="15"/>
  <c r="AE88" i="15"/>
  <c r="AD88" i="15"/>
  <c r="AC88" i="15"/>
  <c r="AB88" i="15"/>
  <c r="AG87" i="15"/>
  <c r="AF87" i="15"/>
  <c r="AE87" i="15"/>
  <c r="AD87" i="15"/>
  <c r="AC87" i="15"/>
  <c r="AB87" i="15"/>
  <c r="AG86" i="15"/>
  <c r="AF86" i="15"/>
  <c r="AE86" i="15"/>
  <c r="AD86" i="15"/>
  <c r="AC86" i="15"/>
  <c r="AB86" i="15"/>
  <c r="AG85" i="15"/>
  <c r="AF85" i="15"/>
  <c r="AE85" i="15"/>
  <c r="AD85" i="15"/>
  <c r="AC85" i="15"/>
  <c r="AB85" i="15"/>
  <c r="AG84" i="15"/>
  <c r="AF84" i="15"/>
  <c r="AE84" i="15"/>
  <c r="AD84" i="15"/>
  <c r="AC84" i="15"/>
  <c r="AB84" i="15"/>
  <c r="AG83" i="15"/>
  <c r="AF83" i="15"/>
  <c r="AE83" i="15"/>
  <c r="AD83" i="15"/>
  <c r="AC83" i="15"/>
  <c r="AB83" i="15"/>
  <c r="AG82" i="15"/>
  <c r="AF82" i="15"/>
  <c r="AE82" i="15"/>
  <c r="AD82" i="15"/>
  <c r="AC82" i="15"/>
  <c r="AB82" i="15"/>
  <c r="AG81" i="15"/>
  <c r="AF81" i="15"/>
  <c r="AE81" i="15"/>
  <c r="AD81" i="15"/>
  <c r="AC81" i="15"/>
  <c r="AB81" i="15"/>
  <c r="AG80" i="15"/>
  <c r="AF80" i="15"/>
  <c r="AE80" i="15"/>
  <c r="AD80" i="15"/>
  <c r="AC80" i="15"/>
  <c r="AB80" i="15"/>
  <c r="AG79" i="15"/>
  <c r="AF79" i="15"/>
  <c r="AE79" i="15"/>
  <c r="AD79" i="15"/>
  <c r="AC79" i="15"/>
  <c r="AB79" i="15"/>
  <c r="AG78" i="15"/>
  <c r="AF78" i="15"/>
  <c r="AE78" i="15"/>
  <c r="AD78" i="15"/>
  <c r="AC78" i="15"/>
  <c r="AB78" i="15"/>
  <c r="AG77" i="15"/>
  <c r="AF77" i="15"/>
  <c r="AE77" i="15"/>
  <c r="AD77" i="15"/>
  <c r="AC77" i="15"/>
  <c r="AB77" i="15"/>
  <c r="AG76" i="15"/>
  <c r="AF76" i="15"/>
  <c r="AE76" i="15"/>
  <c r="AD76" i="15"/>
  <c r="AC76" i="15"/>
  <c r="AB76" i="15"/>
  <c r="AG75" i="15"/>
  <c r="AF75" i="15"/>
  <c r="AE75" i="15"/>
  <c r="AD75" i="15"/>
  <c r="AC75" i="15"/>
  <c r="AB75" i="15"/>
  <c r="AG74" i="15"/>
  <c r="AF74" i="15"/>
  <c r="AE74" i="15"/>
  <c r="AD74" i="15"/>
  <c r="AC74" i="15"/>
  <c r="AB74" i="15"/>
  <c r="AG73" i="15"/>
  <c r="AF73" i="15"/>
  <c r="AE73" i="15"/>
  <c r="AD73" i="15"/>
  <c r="AC73" i="15"/>
  <c r="AB73" i="15"/>
  <c r="AG71" i="15"/>
  <c r="AF71" i="15"/>
  <c r="AE71" i="15"/>
  <c r="AD71" i="15"/>
  <c r="AC71" i="15"/>
  <c r="AB71" i="15"/>
  <c r="AG70" i="15"/>
  <c r="AF70" i="15"/>
  <c r="AE70" i="15"/>
  <c r="AD70" i="15"/>
  <c r="AC70" i="15"/>
  <c r="AB70" i="15"/>
  <c r="AG69" i="15"/>
  <c r="AF69" i="15"/>
  <c r="AE69" i="15"/>
  <c r="AD69" i="15"/>
  <c r="AC69" i="15"/>
  <c r="AB69" i="15"/>
  <c r="AG68" i="15"/>
  <c r="AF68" i="15"/>
  <c r="AE68" i="15"/>
  <c r="AD68" i="15"/>
  <c r="AC68" i="15"/>
  <c r="AB68" i="15"/>
  <c r="AG67" i="15"/>
  <c r="AF67" i="15"/>
  <c r="AE67" i="15"/>
  <c r="AD67" i="15"/>
  <c r="AC67" i="15"/>
  <c r="AB67" i="15"/>
  <c r="AG66" i="15"/>
  <c r="AF66" i="15"/>
  <c r="AE66" i="15"/>
  <c r="AD66" i="15"/>
  <c r="AC66" i="15"/>
  <c r="AB66" i="15"/>
  <c r="AG65" i="15"/>
  <c r="AF65" i="15"/>
  <c r="AE65" i="15"/>
  <c r="AD65" i="15"/>
  <c r="AC65" i="15"/>
  <c r="AB65" i="15"/>
  <c r="AG64" i="15"/>
  <c r="AF64" i="15"/>
  <c r="AE64" i="15"/>
  <c r="AD64" i="15"/>
  <c r="AC64" i="15"/>
  <c r="AB64" i="15"/>
  <c r="AG63" i="15"/>
  <c r="AF63" i="15"/>
  <c r="AE63" i="15"/>
  <c r="AD63" i="15"/>
  <c r="AC63" i="15"/>
  <c r="AB63" i="15"/>
  <c r="AG62" i="15"/>
  <c r="AF62" i="15"/>
  <c r="AE62" i="15"/>
  <c r="AD62" i="15"/>
  <c r="AC62" i="15"/>
  <c r="AB62" i="15"/>
  <c r="AG61" i="15"/>
  <c r="AF61" i="15"/>
  <c r="AE61" i="15"/>
  <c r="AD61" i="15"/>
  <c r="AC61" i="15"/>
  <c r="AB61" i="15"/>
  <c r="AG60" i="15"/>
  <c r="AF60" i="15"/>
  <c r="AE60" i="15"/>
  <c r="AD60" i="15"/>
  <c r="AC60" i="15"/>
  <c r="AB60" i="15"/>
  <c r="AG59" i="15"/>
  <c r="AF59" i="15"/>
  <c r="AE59" i="15"/>
  <c r="AD59" i="15"/>
  <c r="AC59" i="15"/>
  <c r="AB59" i="15"/>
  <c r="AG58" i="15"/>
  <c r="AF58" i="15"/>
  <c r="AE58" i="15"/>
  <c r="AD58" i="15"/>
  <c r="AC58" i="15"/>
  <c r="AB58" i="15"/>
  <c r="AG57" i="15"/>
  <c r="AF57" i="15"/>
  <c r="AE57" i="15"/>
  <c r="AD57" i="15"/>
  <c r="AC57" i="15"/>
  <c r="AB57" i="15"/>
  <c r="AG56" i="15"/>
  <c r="AF56" i="15"/>
  <c r="AE56" i="15"/>
  <c r="AD56" i="15"/>
  <c r="AC56" i="15"/>
  <c r="AB56" i="15"/>
  <c r="AG54" i="15"/>
  <c r="AF54" i="15"/>
  <c r="AE54" i="15"/>
  <c r="AD54" i="15"/>
  <c r="AC54" i="15"/>
  <c r="AB54" i="15"/>
  <c r="AG53" i="15"/>
  <c r="AF53" i="15"/>
  <c r="AE53" i="15"/>
  <c r="AD53" i="15"/>
  <c r="AC53" i="15"/>
  <c r="AB53" i="15"/>
  <c r="AG52" i="15"/>
  <c r="AF52" i="15"/>
  <c r="AE52" i="15"/>
  <c r="AD52" i="15"/>
  <c r="AC52" i="15"/>
  <c r="AB52" i="15"/>
  <c r="AG51" i="15"/>
  <c r="AF51" i="15"/>
  <c r="AE51" i="15"/>
  <c r="AD51" i="15"/>
  <c r="AC51" i="15"/>
  <c r="AB51" i="15"/>
  <c r="AG50" i="15"/>
  <c r="AF50" i="15"/>
  <c r="AE50" i="15"/>
  <c r="AD50" i="15"/>
  <c r="AC50" i="15"/>
  <c r="AB50" i="15"/>
  <c r="AG49" i="15"/>
  <c r="AF49" i="15"/>
  <c r="AE49" i="15"/>
  <c r="AD49" i="15"/>
  <c r="AC49" i="15"/>
  <c r="AB49" i="15"/>
  <c r="AG48" i="15"/>
  <c r="AF48" i="15"/>
  <c r="AE48" i="15"/>
  <c r="AD48" i="15"/>
  <c r="AC48" i="15"/>
  <c r="AB48" i="15"/>
  <c r="AG47" i="15"/>
  <c r="AF47" i="15"/>
  <c r="AE47" i="15"/>
  <c r="AD47" i="15"/>
  <c r="AC47" i="15"/>
  <c r="AB47" i="15"/>
  <c r="AG46" i="15"/>
  <c r="AF46" i="15"/>
  <c r="AE46" i="15"/>
  <c r="AD46" i="15"/>
  <c r="AC46" i="15"/>
  <c r="AB46" i="15"/>
  <c r="AG45" i="15"/>
  <c r="AF45" i="15"/>
  <c r="AE45" i="15"/>
  <c r="AD45" i="15"/>
  <c r="AC45" i="15"/>
  <c r="AB45" i="15"/>
  <c r="AG44" i="15"/>
  <c r="AF44" i="15"/>
  <c r="AE44" i="15"/>
  <c r="AD44" i="15"/>
  <c r="AC44" i="15"/>
  <c r="AB44" i="15"/>
  <c r="AG43" i="15"/>
  <c r="AF43" i="15"/>
  <c r="AE43" i="15"/>
  <c r="AD43" i="15"/>
  <c r="AC43" i="15"/>
  <c r="AB43" i="15"/>
  <c r="AG42" i="15"/>
  <c r="AF42" i="15"/>
  <c r="AE42" i="15"/>
  <c r="AD42" i="15"/>
  <c r="AC42" i="15"/>
  <c r="AB42" i="15"/>
  <c r="AG41" i="15"/>
  <c r="AF41" i="15"/>
  <c r="AE41" i="15"/>
  <c r="AD41" i="15"/>
  <c r="AC41" i="15"/>
  <c r="AB41" i="15"/>
  <c r="AG40" i="15"/>
  <c r="AF40" i="15"/>
  <c r="AE40" i="15"/>
  <c r="AD40" i="15"/>
  <c r="AC40" i="15"/>
  <c r="AB40" i="15"/>
  <c r="AG39" i="15"/>
  <c r="AF39" i="15"/>
  <c r="AE39" i="15"/>
  <c r="AD39" i="15"/>
  <c r="AC39" i="15"/>
  <c r="AB39" i="15"/>
  <c r="AG37" i="15"/>
  <c r="AF37" i="15"/>
  <c r="AE37" i="15"/>
  <c r="AD37" i="15"/>
  <c r="AC37" i="15"/>
  <c r="AB37" i="15"/>
  <c r="AG36" i="15"/>
  <c r="AF36" i="15"/>
  <c r="AE36" i="15"/>
  <c r="AD36" i="15"/>
  <c r="AC36" i="15"/>
  <c r="AB36" i="15"/>
  <c r="AG35" i="15"/>
  <c r="AF35" i="15"/>
  <c r="AE35" i="15"/>
  <c r="AD35" i="15"/>
  <c r="AC35" i="15"/>
  <c r="AB35" i="15"/>
  <c r="AG34" i="15"/>
  <c r="AF34" i="15"/>
  <c r="AE34" i="15"/>
  <c r="AD34" i="15"/>
  <c r="AC34" i="15"/>
  <c r="AB34" i="15"/>
  <c r="AG33" i="15"/>
  <c r="AF33" i="15"/>
  <c r="AE33" i="15"/>
  <c r="AD33" i="15"/>
  <c r="AC33" i="15"/>
  <c r="AB33" i="15"/>
  <c r="AG32" i="15"/>
  <c r="AF32" i="15"/>
  <c r="AE32" i="15"/>
  <c r="AD32" i="15"/>
  <c r="AC32" i="15"/>
  <c r="AB32" i="15"/>
  <c r="AG31" i="15"/>
  <c r="AF31" i="15"/>
  <c r="AE31" i="15"/>
  <c r="AD31" i="15"/>
  <c r="AC31" i="15"/>
  <c r="AB31" i="15"/>
  <c r="AG30" i="15"/>
  <c r="AF30" i="15"/>
  <c r="AE30" i="15"/>
  <c r="AD30" i="15"/>
  <c r="AC30" i="15"/>
  <c r="AB30" i="15"/>
  <c r="AG29" i="15"/>
  <c r="AF29" i="15"/>
  <c r="AE29" i="15"/>
  <c r="AD29" i="15"/>
  <c r="AC29" i="15"/>
  <c r="AB29" i="15"/>
  <c r="AG28" i="15"/>
  <c r="AF28" i="15"/>
  <c r="AE28" i="15"/>
  <c r="AD28" i="15"/>
  <c r="AC28" i="15"/>
  <c r="AB28" i="15"/>
  <c r="AG27" i="15"/>
  <c r="AF27" i="15"/>
  <c r="AE27" i="15"/>
  <c r="AD27" i="15"/>
  <c r="AC27" i="15"/>
  <c r="AB27" i="15"/>
  <c r="AG26" i="15"/>
  <c r="AF26" i="15"/>
  <c r="AE26" i="15"/>
  <c r="AD26" i="15"/>
  <c r="AC26" i="15"/>
  <c r="AB26" i="15"/>
  <c r="AG25" i="15"/>
  <c r="AF25" i="15"/>
  <c r="AE25" i="15"/>
  <c r="AD25" i="15"/>
  <c r="AC25" i="15"/>
  <c r="AB25" i="15"/>
  <c r="AG24" i="15"/>
  <c r="AF24" i="15"/>
  <c r="AE24" i="15"/>
  <c r="AD24" i="15"/>
  <c r="AC24" i="15"/>
  <c r="AB24" i="15"/>
  <c r="AG23" i="15"/>
  <c r="AF23" i="15"/>
  <c r="AE23" i="15"/>
  <c r="AD23" i="15"/>
  <c r="AC23" i="15"/>
  <c r="AB23" i="15"/>
  <c r="AG22" i="15"/>
  <c r="AF22" i="15"/>
  <c r="AE22" i="15"/>
  <c r="AD22" i="15"/>
  <c r="AC22" i="15"/>
  <c r="AB22" i="15"/>
  <c r="AG20" i="15"/>
  <c r="AF20" i="15"/>
  <c r="AE20" i="15"/>
  <c r="AD20" i="15"/>
  <c r="AC20" i="15"/>
  <c r="AB20" i="15"/>
  <c r="AG19" i="15"/>
  <c r="AF19" i="15"/>
  <c r="AE19" i="15"/>
  <c r="AD19" i="15"/>
  <c r="AC19" i="15"/>
  <c r="AB19" i="15"/>
  <c r="AG18" i="15"/>
  <c r="AF18" i="15"/>
  <c r="AE18" i="15"/>
  <c r="AD18" i="15"/>
  <c r="AC18" i="15"/>
  <c r="AB18" i="15"/>
  <c r="AG17" i="15"/>
  <c r="AF17" i="15"/>
  <c r="AE17" i="15"/>
  <c r="AD17" i="15"/>
  <c r="AC17" i="15"/>
  <c r="AB17" i="15"/>
  <c r="AG16" i="15"/>
  <c r="AF16" i="15"/>
  <c r="AE16" i="15"/>
  <c r="AD16" i="15"/>
  <c r="AC16" i="15"/>
  <c r="AB16" i="15"/>
  <c r="AG15" i="15"/>
  <c r="AF15" i="15"/>
  <c r="AE15" i="15"/>
  <c r="AD15" i="15"/>
  <c r="AC15" i="15"/>
  <c r="AB15" i="15"/>
  <c r="AG14" i="15"/>
  <c r="AF14" i="15"/>
  <c r="AE14" i="15"/>
  <c r="AD14" i="15"/>
  <c r="AC14" i="15"/>
  <c r="AB14" i="15"/>
  <c r="AG13" i="15"/>
  <c r="AF13" i="15"/>
  <c r="AE13" i="15"/>
  <c r="AD13" i="15"/>
  <c r="AC13" i="15"/>
  <c r="AB13" i="15"/>
  <c r="AG12" i="15"/>
  <c r="AF12" i="15"/>
  <c r="AE12" i="15"/>
  <c r="AD12" i="15"/>
  <c r="AC12" i="15"/>
  <c r="AB12" i="15"/>
  <c r="AG11" i="15"/>
  <c r="AF11" i="15"/>
  <c r="AE11" i="15"/>
  <c r="AD11" i="15"/>
  <c r="AC11" i="15"/>
  <c r="AB11" i="15"/>
  <c r="AG10" i="15"/>
  <c r="AF10" i="15"/>
  <c r="AE10" i="15"/>
  <c r="AD10" i="15"/>
  <c r="AC10" i="15"/>
  <c r="AB10" i="15"/>
  <c r="AG9" i="15"/>
  <c r="AF9" i="15"/>
  <c r="AE9" i="15"/>
  <c r="AD9" i="15"/>
  <c r="AC9" i="15"/>
  <c r="AB9" i="15"/>
  <c r="AG8" i="15"/>
  <c r="AF8" i="15"/>
  <c r="AE8" i="15"/>
  <c r="AD8" i="15"/>
  <c r="AC8" i="15"/>
  <c r="AB8" i="15"/>
  <c r="AG7" i="15"/>
  <c r="AF7" i="15"/>
  <c r="AE7" i="15"/>
  <c r="AD7" i="15"/>
  <c r="AC7" i="15"/>
  <c r="AB7" i="15"/>
  <c r="AG6" i="15"/>
  <c r="AF6" i="15"/>
  <c r="AE6" i="15"/>
  <c r="AD6" i="15"/>
  <c r="AC6" i="15"/>
  <c r="AB6" i="15"/>
  <c r="AG5" i="15"/>
  <c r="AF5" i="15"/>
  <c r="AE5" i="15"/>
  <c r="AD5" i="15"/>
  <c r="AC5" i="15"/>
  <c r="AY41" i="16" l="1"/>
  <c r="AX41" i="16"/>
  <c r="AW41" i="16"/>
  <c r="AY40" i="16"/>
  <c r="AX40" i="16"/>
  <c r="AW40" i="16"/>
  <c r="AY39" i="16"/>
  <c r="AX39" i="16"/>
  <c r="AW39" i="16"/>
  <c r="AV41" i="16"/>
  <c r="AV40" i="16"/>
  <c r="AY48" i="16"/>
  <c r="AX48" i="16"/>
  <c r="AW48" i="16"/>
  <c r="AV48" i="16"/>
  <c r="AY47" i="16"/>
  <c r="AX47" i="16"/>
  <c r="AW47" i="16"/>
  <c r="AV47" i="16"/>
  <c r="AY51" i="16"/>
  <c r="AX51" i="16"/>
  <c r="AW51" i="16"/>
  <c r="AV51" i="16"/>
  <c r="AY50" i="16"/>
  <c r="AX50" i="16"/>
  <c r="AW50" i="16"/>
  <c r="AV50" i="16"/>
  <c r="AY46" i="16"/>
  <c r="AY45" i="16"/>
  <c r="AX46" i="16"/>
  <c r="AX45" i="16"/>
  <c r="AX35" i="16"/>
  <c r="AX33" i="16"/>
  <c r="AY33" i="16"/>
  <c r="AW46" i="16"/>
  <c r="AW45" i="16"/>
  <c r="AW34" i="16"/>
  <c r="AW33" i="16"/>
  <c r="AW35" i="16"/>
  <c r="AV46" i="16"/>
  <c r="AV45" i="16"/>
  <c r="AV35" i="16"/>
  <c r="AV34" i="16"/>
  <c r="AV33" i="16"/>
  <c r="AU45" i="16"/>
  <c r="AU35" i="16"/>
  <c r="AU34" i="16"/>
  <c r="AU46" i="16"/>
  <c r="AA15" i="16" l="1"/>
  <c r="AB15" i="16"/>
  <c r="AB11"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B4" i="16"/>
  <c r="AA4" i="16"/>
  <c r="AB5" i="16"/>
  <c r="AA5" i="16"/>
  <c r="AB10"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AB12" i="16"/>
  <c r="AB16" i="16"/>
  <c r="O11" i="16"/>
  <c r="O15" i="16"/>
  <c r="P11" i="16"/>
  <c r="P15" i="16"/>
  <c r="N11" i="16"/>
  <c r="N15" i="16"/>
  <c r="Q11" i="16"/>
  <c r="Q15" i="16"/>
  <c r="Q4" i="16"/>
  <c r="P4" i="16"/>
  <c r="Z10" i="16"/>
  <c r="Y10" i="16"/>
  <c r="W10" i="16"/>
  <c r="X10" i="16"/>
  <c r="Z3" i="16"/>
  <c r="W3" i="16"/>
  <c r="Y3" i="16"/>
  <c r="X3" i="16"/>
  <c r="V3" i="16"/>
  <c r="R3" i="16"/>
  <c r="U3" i="16"/>
  <c r="S3" i="16"/>
  <c r="T3" i="16"/>
  <c r="AA3" i="16"/>
  <c r="AB3" i="16"/>
  <c r="AU101" i="16"/>
  <c r="AU43" i="16"/>
  <c r="AU102" i="16"/>
  <c r="AU44" i="16"/>
  <c r="AV101" i="16"/>
  <c r="AV43" i="16"/>
  <c r="AV102" i="16"/>
  <c r="AV44" i="16"/>
  <c r="AW101" i="16"/>
  <c r="AW43" i="16"/>
  <c r="AW44" i="16"/>
  <c r="AW102" i="16"/>
  <c r="AX101" i="16"/>
  <c r="AX43" i="16"/>
  <c r="AX44" i="16"/>
  <c r="AX102" i="16"/>
  <c r="AY101" i="16"/>
  <c r="AY43" i="16"/>
  <c r="AY44" i="16"/>
  <c r="AY102" i="16"/>
  <c r="P5" i="13"/>
  <c r="DH5" i="16" s="1"/>
  <c r="P15" i="13"/>
  <c r="DH15" i="16" s="1"/>
  <c r="S20" i="13"/>
  <c r="DK20" i="16" s="1"/>
  <c r="R22" i="13"/>
  <c r="DJ22" i="16" s="1"/>
  <c r="S22" i="13"/>
  <c r="DK22" i="16" s="1"/>
  <c r="Q19" i="13"/>
  <c r="DI19" i="16" s="1"/>
  <c r="S17" i="13"/>
  <c r="DK17" i="16" s="1"/>
  <c r="Q21" i="13"/>
  <c r="DI21" i="16" s="1"/>
  <c r="Q18" i="13"/>
  <c r="DI18" i="16" s="1"/>
  <c r="S18" i="13"/>
  <c r="DK18" i="16" s="1"/>
  <c r="R21" i="13"/>
  <c r="DJ21" i="16" s="1"/>
  <c r="R15" i="13"/>
  <c r="DJ15" i="16" s="1"/>
  <c r="V21" i="13"/>
  <c r="DN21" i="16" s="1"/>
  <c r="S15" i="13"/>
  <c r="DK15" i="16" s="1"/>
  <c r="S19" i="13"/>
  <c r="DK19" i="16" s="1"/>
  <c r="V22" i="13"/>
  <c r="DN22" i="16" s="1"/>
  <c r="Q15" i="13"/>
  <c r="DI15" i="16" s="1"/>
  <c r="S21" i="13"/>
  <c r="DK21" i="16" s="1"/>
  <c r="Q17" i="13"/>
  <c r="DI17" i="16" s="1"/>
  <c r="V18" i="13"/>
  <c r="DN18" i="16" s="1"/>
  <c r="R17" i="13"/>
  <c r="DJ17" i="16" s="1"/>
  <c r="V15" i="13"/>
  <c r="R19" i="13"/>
  <c r="DJ19" i="16" s="1"/>
  <c r="P24" i="13"/>
  <c r="DH24" i="16" s="1"/>
  <c r="V19" i="13"/>
  <c r="DN19" i="16" s="1"/>
  <c r="R20" i="13"/>
  <c r="DJ20" i="16" s="1"/>
  <c r="Q20" i="13"/>
  <c r="DI20" i="16" s="1"/>
  <c r="V20" i="13"/>
  <c r="DN20" i="16" s="1"/>
  <c r="V17" i="13"/>
  <c r="DN17" i="16" s="1"/>
  <c r="R18" i="13"/>
  <c r="DJ18" i="16" s="1"/>
  <c r="Q22" i="13"/>
  <c r="DI22" i="16" s="1"/>
  <c r="T19" i="13"/>
  <c r="DL19" i="16" s="1"/>
  <c r="T15" i="13"/>
  <c r="DL15" i="16" s="1"/>
  <c r="T18" i="13"/>
  <c r="DL18" i="16" s="1"/>
  <c r="T17" i="13"/>
  <c r="DL17" i="16" s="1"/>
  <c r="U15" i="13"/>
  <c r="DM15" i="16" s="1"/>
  <c r="U18" i="13"/>
  <c r="DM18" i="16" s="1"/>
  <c r="U17" i="13"/>
  <c r="DM17" i="16" s="1"/>
  <c r="U19" i="13"/>
  <c r="DM19" i="16" s="1"/>
  <c r="T20" i="13"/>
  <c r="DL20" i="16" s="1"/>
  <c r="V11" i="13"/>
  <c r="DN11" i="16" s="1"/>
  <c r="Q5" i="13"/>
  <c r="DI5" i="16" s="1"/>
  <c r="R12" i="13"/>
  <c r="DJ12" i="16" s="1"/>
  <c r="P9" i="13"/>
  <c r="DH9" i="16" s="1"/>
  <c r="R11" i="13"/>
  <c r="DJ11" i="16" s="1"/>
  <c r="R7" i="13"/>
  <c r="DJ7" i="16" s="1"/>
  <c r="S5" i="13"/>
  <c r="DK5" i="16" s="1"/>
  <c r="R10" i="13"/>
  <c r="DJ10" i="16" s="1"/>
  <c r="S10" i="13"/>
  <c r="DK10" i="16" s="1"/>
  <c r="T21" i="13"/>
  <c r="DL21" i="16" s="1"/>
  <c r="S14" i="13"/>
  <c r="DK14" i="16" s="1"/>
  <c r="V10" i="13"/>
  <c r="DN10" i="16" s="1"/>
  <c r="P19" i="13"/>
  <c r="DH19" i="16" s="1"/>
  <c r="T22" i="13"/>
  <c r="DL22" i="16" s="1"/>
  <c r="Q12" i="13"/>
  <c r="DI12" i="16" s="1"/>
  <c r="P10" i="13"/>
  <c r="DH10" i="16" s="1"/>
  <c r="Q4" i="13"/>
  <c r="DI4" i="16" s="1"/>
  <c r="Q11" i="13"/>
  <c r="DI11" i="16" s="1"/>
  <c r="Q14" i="13"/>
  <c r="DI14" i="16" s="1"/>
  <c r="P4" i="13"/>
  <c r="DH4" i="16" s="1"/>
  <c r="R9" i="13"/>
  <c r="DJ9" i="16" s="1"/>
  <c r="U14" i="13"/>
  <c r="DM14" i="16" s="1"/>
  <c r="P17" i="13"/>
  <c r="DH17" i="16" s="1"/>
  <c r="R5" i="13"/>
  <c r="DJ5" i="16" s="1"/>
  <c r="R4" i="13"/>
  <c r="DJ4" i="16" s="1"/>
  <c r="V14" i="13"/>
  <c r="DN14" i="16" s="1"/>
  <c r="P7" i="13"/>
  <c r="DH7" i="16" s="1"/>
  <c r="S9" i="13"/>
  <c r="DK9" i="16" s="1"/>
  <c r="R8" i="13"/>
  <c r="DJ8" i="16" s="1"/>
  <c r="S12" i="13"/>
  <c r="DK12" i="16" s="1"/>
  <c r="P12" i="13"/>
  <c r="DH12" i="16" s="1"/>
  <c r="S7" i="13"/>
  <c r="DK7" i="16" s="1"/>
  <c r="U20" i="13"/>
  <c r="DM20" i="16" s="1"/>
  <c r="P11" i="13"/>
  <c r="DH11" i="16" s="1"/>
  <c r="S11" i="13"/>
  <c r="DK11" i="16" s="1"/>
  <c r="S6" i="13"/>
  <c r="DK6" i="16" s="1"/>
  <c r="V12" i="13"/>
  <c r="DN12" i="16" s="1"/>
  <c r="V8" i="13"/>
  <c r="DN8" i="16" s="1"/>
  <c r="V7" i="13"/>
  <c r="DN7" i="16" s="1"/>
  <c r="T14" i="13"/>
  <c r="DL14" i="16" s="1"/>
  <c r="Q8" i="13"/>
  <c r="DI8" i="16" s="1"/>
  <c r="S4" i="13"/>
  <c r="DK4" i="16" s="1"/>
  <c r="V4" i="13"/>
  <c r="DN4" i="16" s="1"/>
  <c r="P14" i="13"/>
  <c r="DH14" i="16" s="1"/>
  <c r="R14" i="13"/>
  <c r="DJ14" i="16" s="1"/>
  <c r="S8" i="13"/>
  <c r="DK8" i="16" s="1"/>
  <c r="P21" i="13"/>
  <c r="DH21" i="16" s="1"/>
  <c r="V9" i="13"/>
  <c r="DN9" i="16" s="1"/>
  <c r="P22" i="13"/>
  <c r="DH22" i="16" s="1"/>
  <c r="V6" i="13"/>
  <c r="DN6" i="16" s="1"/>
  <c r="U4" i="13"/>
  <c r="DM4" i="16" s="1"/>
  <c r="Q7" i="13"/>
  <c r="DI7" i="16" s="1"/>
  <c r="P20" i="13"/>
  <c r="DH20" i="16" s="1"/>
  <c r="Q10" i="13"/>
  <c r="DI10" i="16" s="1"/>
  <c r="V5" i="13"/>
  <c r="Q9" i="13"/>
  <c r="DI9" i="16" s="1"/>
  <c r="Q16" i="13"/>
  <c r="DI16" i="16" s="1"/>
  <c r="T8" i="13"/>
  <c r="DL8" i="16" s="1"/>
  <c r="T10" i="13"/>
  <c r="DL10" i="16" s="1"/>
  <c r="T11" i="13"/>
  <c r="DL11" i="16" s="1"/>
  <c r="P16" i="13"/>
  <c r="DH16" i="16" s="1"/>
  <c r="U5" i="13"/>
  <c r="DM5" i="16" s="1"/>
  <c r="U12" i="13"/>
  <c r="DM12" i="16" s="1"/>
  <c r="U16" i="13"/>
  <c r="DM16" i="16" s="1"/>
  <c r="U7" i="13"/>
  <c r="DM7" i="16" s="1"/>
  <c r="U10" i="13"/>
  <c r="DM10" i="16" s="1"/>
  <c r="U9" i="13"/>
  <c r="DM9" i="16" s="1"/>
  <c r="U8" i="13"/>
  <c r="DM8" i="16" s="1"/>
  <c r="U11" i="13"/>
  <c r="DM11" i="16" s="1"/>
  <c r="T9" i="13"/>
  <c r="DL9" i="16" s="1"/>
  <c r="T12" i="13"/>
  <c r="DL12" i="16" s="1"/>
  <c r="P6" i="13"/>
  <c r="DH6" i="16" s="1"/>
  <c r="T7" i="13"/>
  <c r="DL7" i="16" s="1"/>
  <c r="T6" i="13"/>
  <c r="DL6" i="16" s="1"/>
  <c r="T16" i="13"/>
  <c r="DL16" i="16" s="1"/>
  <c r="V16" i="13"/>
  <c r="DN16" i="16" s="1"/>
  <c r="R6" i="13"/>
  <c r="DJ6" i="16" s="1"/>
  <c r="T4" i="13"/>
  <c r="DL4" i="16" s="1"/>
  <c r="U6" i="13"/>
  <c r="DM6" i="16" s="1"/>
  <c r="P8" i="13"/>
  <c r="DH8" i="16" s="1"/>
  <c r="Q6" i="13"/>
  <c r="DI6" i="16" s="1"/>
  <c r="S16" i="13"/>
  <c r="DK16" i="16" s="1"/>
  <c r="U21" i="13"/>
  <c r="DM21" i="16" s="1"/>
  <c r="P18" i="13"/>
  <c r="DH18" i="16" s="1"/>
  <c r="U22" i="13"/>
  <c r="DM22" i="16" s="1"/>
  <c r="R16" i="13"/>
  <c r="DJ16" i="16" s="1"/>
  <c r="T5" i="13"/>
  <c r="DL5"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P50" i="24" l="1"/>
  <c r="AO50" i="24"/>
  <c r="AO45" i="24"/>
  <c r="AP45" i="24"/>
  <c r="AP42" i="24" s="1"/>
  <c r="AP52" i="24"/>
  <c r="AP51" i="24" s="1"/>
  <c r="AO52" i="24"/>
  <c r="AO51" i="24" s="1"/>
  <c r="AO49" i="24"/>
  <c r="AP49" i="24"/>
  <c r="AY48" i="24"/>
  <c r="AP48" i="24"/>
  <c r="AO48" i="24"/>
  <c r="AP47" i="24"/>
  <c r="AP46" i="24" s="1"/>
  <c r="AO47" i="24"/>
  <c r="AO46" i="24" s="1"/>
  <c r="AP44" i="24"/>
  <c r="AO44" i="24"/>
  <c r="AP43" i="24"/>
  <c r="AO43" i="24"/>
  <c r="AO42" i="24" s="1"/>
  <c r="AA14" i="16"/>
  <c r="AB9" i="16"/>
  <c r="AB14" i="16"/>
  <c r="AA9" i="16"/>
  <c r="AI62" i="16"/>
  <c r="AI63" i="16" s="1"/>
  <c r="AH62" i="16"/>
  <c r="AH63" i="16" s="1"/>
  <c r="AG62" i="16"/>
  <c r="AG63" i="16" s="1"/>
  <c r="AF62" i="16"/>
  <c r="AF63" i="16" s="1"/>
  <c r="AE62" i="16"/>
  <c r="AE63" i="16" s="1"/>
  <c r="AD62" i="16"/>
  <c r="AD63" i="16" s="1"/>
  <c r="AC62" i="16"/>
  <c r="AC63" i="16" s="1"/>
  <c r="AA13" i="16"/>
  <c r="AA8" i="16"/>
  <c r="AB13" i="16"/>
  <c r="AB8" i="16"/>
  <c r="AI50" i="16"/>
  <c r="AI51" i="16" s="1"/>
  <c r="AH50" i="16"/>
  <c r="AH51" i="16" s="1"/>
  <c r="AG50" i="16"/>
  <c r="AG51" i="16" s="1"/>
  <c r="AF50" i="16"/>
  <c r="AF51" i="16" s="1"/>
  <c r="AE50" i="16"/>
  <c r="AE51" i="16" s="1"/>
  <c r="AD50" i="16"/>
  <c r="AD51" i="16" s="1"/>
  <c r="AC50" i="16"/>
  <c r="AC51" i="16"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AF52" i="16"/>
  <c r="AE52" i="16"/>
  <c r="AD52" i="16"/>
  <c r="AC52" i="16"/>
  <c r="AI52" i="16"/>
  <c r="AH52" i="16"/>
  <c r="AG52" i="16"/>
  <c r="Q13" i="16"/>
  <c r="N13" i="16"/>
  <c r="N8" i="16"/>
  <c r="O8" i="16"/>
  <c r="P8" i="16"/>
  <c r="O13" i="16"/>
  <c r="Q8" i="16"/>
  <c r="P13" i="16"/>
  <c r="AI40" i="16"/>
  <c r="AH40" i="16"/>
  <c r="AG40" i="16"/>
  <c r="AF40" i="16"/>
  <c r="AE40" i="16"/>
  <c r="AD40" i="16"/>
  <c r="AC40" i="16"/>
  <c r="AI34" i="16"/>
  <c r="AH34" i="16"/>
  <c r="AG34" i="16"/>
  <c r="AF34" i="16"/>
  <c r="AE34" i="16"/>
  <c r="AD34" i="16"/>
  <c r="AC34" i="16"/>
  <c r="AC35" i="16"/>
  <c r="AF35" i="16"/>
  <c r="AE35" i="16"/>
  <c r="AD35" i="16"/>
  <c r="AH35" i="16"/>
  <c r="AI35" i="16"/>
  <c r="AG35" i="16"/>
  <c r="AG49" i="16"/>
  <c r="AF49" i="16"/>
  <c r="AE49" i="16"/>
  <c r="AD49" i="16"/>
  <c r="AC49" i="16"/>
  <c r="AI49" i="16"/>
  <c r="AH49" i="16"/>
  <c r="AC61" i="16"/>
  <c r="AI61" i="16"/>
  <c r="AH61" i="16"/>
  <c r="AG61" i="16"/>
  <c r="AF61" i="16"/>
  <c r="AE61" i="16"/>
  <c r="AD61" i="16"/>
  <c r="DO24" i="16"/>
  <c r="AJ101" i="16"/>
  <c r="DO6" i="16"/>
  <c r="DO16" i="16"/>
  <c r="DO20" i="16"/>
  <c r="AY108" i="16"/>
  <c r="AY104" i="16"/>
  <c r="AY112" i="16"/>
  <c r="AY111" i="16"/>
  <c r="AY107" i="16"/>
  <c r="AY103" i="16"/>
  <c r="AX112" i="16"/>
  <c r="AX108" i="16"/>
  <c r="AX104" i="16"/>
  <c r="AX107" i="16"/>
  <c r="AX111" i="16"/>
  <c r="AX103" i="16"/>
  <c r="AW108" i="16"/>
  <c r="AW112" i="16"/>
  <c r="AW104" i="16"/>
  <c r="AW103" i="16"/>
  <c r="AW111" i="16"/>
  <c r="AW107" i="16"/>
  <c r="AV112" i="16"/>
  <c r="AV104" i="16"/>
  <c r="AV108" i="16"/>
  <c r="AV103" i="16"/>
  <c r="AV111" i="16"/>
  <c r="AV107" i="16"/>
  <c r="AU108" i="16"/>
  <c r="AU104" i="16"/>
  <c r="AU112" i="16"/>
  <c r="AU107" i="16"/>
  <c r="AU111" i="16"/>
  <c r="AU103" i="16"/>
  <c r="DO18" i="16"/>
  <c r="DO17" i="16"/>
  <c r="DO9" i="16"/>
  <c r="DO14" i="16"/>
  <c r="DO7" i="16"/>
  <c r="DO8" i="16"/>
  <c r="DO12" i="16"/>
  <c r="DO22" i="16"/>
  <c r="DO21" i="16"/>
  <c r="DO10" i="16"/>
  <c r="DO19" i="16"/>
  <c r="DO4" i="16"/>
  <c r="DO11" i="16"/>
  <c r="AR90" i="15"/>
  <c r="AO191" i="15"/>
  <c r="AQ225" i="15"/>
  <c r="AQ175" i="15"/>
  <c r="AQ21" i="15"/>
  <c r="AK4" i="15"/>
  <c r="AQ260" i="15"/>
  <c r="AM158" i="15"/>
  <c r="AP225" i="15"/>
  <c r="AM226" i="15"/>
  <c r="AV43" i="24"/>
  <c r="AU43" i="24"/>
  <c r="AS43" i="24"/>
  <c r="AT43" i="24"/>
  <c r="AR43" i="24"/>
  <c r="AQ43" i="24"/>
  <c r="BB43" i="24"/>
  <c r="BC43" i="24"/>
  <c r="BA43" i="24"/>
  <c r="AZ43" i="24"/>
  <c r="AX43" i="24"/>
  <c r="AW43" i="24"/>
  <c r="AY43" i="24"/>
  <c r="DN5" i="16"/>
  <c r="DO5" i="16" s="1"/>
  <c r="W7" i="13"/>
  <c r="AW50" i="24"/>
  <c r="AV50" i="24"/>
  <c r="AU50" i="24"/>
  <c r="AT50" i="24"/>
  <c r="AS50" i="24"/>
  <c r="AR50" i="24"/>
  <c r="AQ50" i="24"/>
  <c r="BC50" i="24"/>
  <c r="AZ50" i="24"/>
  <c r="BB50" i="24"/>
  <c r="BA50" i="24"/>
  <c r="AY50" i="24"/>
  <c r="AX50" i="24"/>
  <c r="AW45" i="24"/>
  <c r="AV45" i="24"/>
  <c r="AX45" i="24"/>
  <c r="BB45" i="24"/>
  <c r="BA45" i="24"/>
  <c r="AZ45" i="24"/>
  <c r="AY45" i="24"/>
  <c r="AU45" i="24"/>
  <c r="BC45" i="24"/>
  <c r="AT45" i="24"/>
  <c r="AS45" i="24"/>
  <c r="AR45" i="24"/>
  <c r="AQ45" i="24"/>
  <c r="BC49" i="24"/>
  <c r="AY49" i="24"/>
  <c r="AW49" i="24"/>
  <c r="BB49" i="24"/>
  <c r="AX49" i="24"/>
  <c r="AV49" i="24"/>
  <c r="BA49" i="24"/>
  <c r="AZ49" i="24"/>
  <c r="AU49" i="24"/>
  <c r="AT49" i="24"/>
  <c r="AS49" i="24"/>
  <c r="AR49" i="24"/>
  <c r="AQ49" i="24"/>
  <c r="W17" i="13"/>
  <c r="DN15" i="16"/>
  <c r="DO15" i="16" s="1"/>
  <c r="BB48" i="24"/>
  <c r="AZ48" i="24"/>
  <c r="BA48" i="24"/>
  <c r="AX48" i="24"/>
  <c r="AW48" i="24"/>
  <c r="AV48" i="24"/>
  <c r="AU48" i="24"/>
  <c r="AR48" i="24"/>
  <c r="BC48" i="24"/>
  <c r="AT48" i="24"/>
  <c r="AS48" i="24"/>
  <c r="AQ48" i="24"/>
  <c r="AV47" i="24"/>
  <c r="AU47" i="24"/>
  <c r="AT47" i="24"/>
  <c r="AS47" i="24"/>
  <c r="BB47" i="24"/>
  <c r="AR47" i="24"/>
  <c r="AQ47" i="24"/>
  <c r="BC47" i="24"/>
  <c r="BA47" i="24"/>
  <c r="AZ47" i="24"/>
  <c r="AY47" i="24"/>
  <c r="AX47" i="24"/>
  <c r="AW47" i="24"/>
  <c r="BC44" i="24"/>
  <c r="AR44" i="24"/>
  <c r="BB44" i="24"/>
  <c r="BA44" i="24"/>
  <c r="AZ44" i="24"/>
  <c r="AY44" i="24"/>
  <c r="AX44" i="24"/>
  <c r="AW44" i="24"/>
  <c r="AV44" i="24"/>
  <c r="AU44" i="24"/>
  <c r="AQ44" i="24"/>
  <c r="AT44" i="24"/>
  <c r="AS44" i="24"/>
  <c r="AO175" i="15"/>
  <c r="AP22" i="15"/>
  <c r="AT174" i="15"/>
  <c r="AO260" i="15"/>
  <c r="AN192" i="15"/>
  <c r="AQ157" i="15"/>
  <c r="AQ192" i="15"/>
  <c r="AQ39" i="15"/>
  <c r="AL90" i="15"/>
  <c r="AR56" i="15"/>
  <c r="AR260" i="15"/>
  <c r="AL4" i="15"/>
  <c r="AM38" i="15"/>
  <c r="AP38" i="15"/>
  <c r="AS5" i="15"/>
  <c r="AP226" i="15"/>
  <c r="AK157" i="15"/>
  <c r="AT55" i="15"/>
  <c r="AP158" i="15"/>
  <c r="AS174" i="15"/>
  <c r="AL226" i="15"/>
  <c r="AT226" i="15"/>
  <c r="AQ4" i="15"/>
  <c r="AR73" i="15"/>
  <c r="AL175" i="15"/>
  <c r="AP174" i="15"/>
  <c r="AS72" i="15"/>
  <c r="AO158" i="15"/>
  <c r="AM123" i="15"/>
  <c r="AN21" i="15"/>
  <c r="AK158" i="15"/>
  <c r="AK39" i="15"/>
  <c r="AN259" i="15"/>
  <c r="AP21" i="15"/>
  <c r="AS21" i="15"/>
  <c r="AN226" i="15"/>
  <c r="AO22" i="15"/>
  <c r="AL73" i="15"/>
  <c r="AT225" i="15"/>
  <c r="AK174" i="15"/>
  <c r="AQ191" i="15"/>
  <c r="AQ226" i="15"/>
  <c r="AM4" i="15"/>
  <c r="AK38" i="15"/>
  <c r="AL22" i="15"/>
  <c r="AK175" i="15"/>
  <c r="AQ123" i="15"/>
  <c r="AQ158" i="15"/>
  <c r="AR158" i="15"/>
  <c r="AO21" i="15"/>
  <c r="AK55" i="15"/>
  <c r="AS123" i="15"/>
  <c r="AP192" i="15"/>
  <c r="AN55" i="15"/>
  <c r="AS259" i="15"/>
  <c r="AT260" i="15"/>
  <c r="AR5" i="15"/>
  <c r="AM175" i="15"/>
  <c r="AO174" i="15"/>
  <c r="AO157" i="15"/>
  <c r="AT72" i="15"/>
  <c r="AM260" i="15"/>
  <c r="AT38" i="15"/>
  <c r="AK5" i="15"/>
  <c r="AT56" i="15"/>
  <c r="AO124" i="15"/>
  <c r="AR123" i="15"/>
  <c r="AO73" i="15"/>
  <c r="AR259" i="15"/>
  <c r="AK225" i="15"/>
  <c r="AO5" i="15"/>
  <c r="AS22" i="15"/>
  <c r="AL89" i="15"/>
  <c r="AL56" i="15"/>
  <c r="AN225" i="15"/>
  <c r="AN158" i="15"/>
  <c r="AT21" i="15"/>
  <c r="AK56" i="15"/>
  <c r="AM22" i="15"/>
  <c r="AP4" i="15"/>
  <c r="AO72" i="15"/>
  <c r="AL192" i="15"/>
  <c r="AQ22" i="15"/>
  <c r="AT39" i="15"/>
  <c r="AM5" i="15"/>
  <c r="AT157" i="15"/>
  <c r="AM73" i="15"/>
  <c r="AP175" i="15"/>
  <c r="AN4" i="15"/>
  <c r="AL38" i="15"/>
  <c r="AK192" i="15"/>
  <c r="AK90" i="15"/>
  <c r="AR192" i="15"/>
  <c r="AL55" i="15"/>
  <c r="AO225" i="15"/>
  <c r="AP124" i="15"/>
  <c r="AR4" i="15"/>
  <c r="AS39" i="15"/>
  <c r="AR226" i="15"/>
  <c r="AR225" i="15"/>
  <c r="AM174" i="15"/>
  <c r="AN56" i="15"/>
  <c r="AM21" i="15"/>
  <c r="AS175" i="15"/>
  <c r="AQ56" i="15"/>
  <c r="AR55" i="15"/>
  <c r="AN38" i="15"/>
  <c r="AS56" i="15"/>
  <c r="AS191" i="15"/>
  <c r="AM89" i="15"/>
  <c r="AM56" i="15"/>
  <c r="AM124" i="15"/>
  <c r="AO192" i="15"/>
  <c r="AK72" i="15"/>
  <c r="AO39" i="15"/>
  <c r="AL124" i="15"/>
  <c r="AT175" i="15"/>
  <c r="AS55" i="15"/>
  <c r="AK124" i="15"/>
  <c r="AS73" i="15"/>
  <c r="AL259" i="15"/>
  <c r="AP123" i="15"/>
  <c r="AK89" i="15"/>
  <c r="AN191" i="15"/>
  <c r="AT73" i="15"/>
  <c r="AP5" i="15"/>
  <c r="AS157" i="15"/>
  <c r="AR191" i="15"/>
  <c r="AN174" i="15"/>
  <c r="AT89" i="15"/>
  <c r="AP72" i="15"/>
  <c r="AP260" i="15"/>
  <c r="AN175" i="15"/>
  <c r="AK260" i="15"/>
  <c r="AM192" i="15"/>
  <c r="AM39" i="15"/>
  <c r="AM191" i="15"/>
  <c r="AT90" i="15"/>
  <c r="AP55" i="15"/>
  <c r="AK226" i="15"/>
  <c r="AN89" i="15"/>
  <c r="AO55" i="15"/>
  <c r="AK73" i="15"/>
  <c r="AL225" i="15"/>
  <c r="AP89" i="15"/>
  <c r="AT5" i="15"/>
  <c r="AK259" i="15"/>
  <c r="AN157" i="15"/>
  <c r="AR89" i="15"/>
  <c r="AQ124" i="15"/>
  <c r="AQ259" i="15"/>
  <c r="AQ174" i="15"/>
  <c r="AS4" i="15"/>
  <c r="AL21" i="15"/>
  <c r="AP39" i="15"/>
  <c r="AO226" i="15"/>
  <c r="AM90" i="15"/>
  <c r="AR21" i="15"/>
  <c r="AT22" i="15"/>
  <c r="AQ55" i="15"/>
  <c r="AP73" i="15"/>
  <c r="AN39" i="15"/>
  <c r="AT4" i="15"/>
  <c r="AR38" i="15"/>
  <c r="AQ73" i="15"/>
  <c r="AS158" i="15"/>
  <c r="AM55" i="15"/>
  <c r="AT158" i="15"/>
  <c r="AK191" i="15"/>
  <c r="AQ38" i="15"/>
  <c r="AN73" i="15"/>
  <c r="AQ90" i="15"/>
  <c r="AS89" i="15"/>
  <c r="AK21" i="15"/>
  <c r="AL174" i="15"/>
  <c r="AO38" i="15"/>
  <c r="AS226" i="15"/>
  <c r="AR175" i="15"/>
  <c r="AL191" i="15"/>
  <c r="AT124" i="15"/>
  <c r="AT192" i="15"/>
  <c r="AM259" i="15"/>
  <c r="AO4" i="15"/>
  <c r="AR157" i="15"/>
  <c r="AL123" i="15"/>
  <c r="AO56" i="15"/>
  <c r="AL158" i="15"/>
  <c r="AL157" i="15"/>
  <c r="AT191" i="15"/>
  <c r="AP259" i="15"/>
  <c r="AT259" i="15"/>
  <c r="AS124" i="15"/>
  <c r="AS90" i="15"/>
  <c r="AL72" i="15"/>
  <c r="AP56" i="15"/>
  <c r="AQ72" i="15"/>
  <c r="AN260" i="15"/>
  <c r="AO259" i="15"/>
  <c r="AM72" i="15"/>
  <c r="AL39" i="15"/>
  <c r="AP157" i="15"/>
  <c r="AS192" i="15"/>
  <c r="AQ89" i="15"/>
  <c r="AR72" i="15"/>
  <c r="AL260" i="15"/>
  <c r="AN123" i="15"/>
  <c r="AN22" i="15"/>
  <c r="AO89" i="15"/>
  <c r="AP191" i="15"/>
  <c r="AN72" i="15"/>
  <c r="AS260" i="15"/>
  <c r="AT123" i="15"/>
  <c r="AS225" i="15"/>
  <c r="AR174" i="15"/>
  <c r="AP90" i="15"/>
  <c r="AS38" i="15"/>
  <c r="AL5" i="15"/>
  <c r="AN124" i="15"/>
  <c r="AK22" i="15"/>
  <c r="AN90" i="15"/>
  <c r="AK123" i="15"/>
  <c r="AM225" i="15"/>
  <c r="AO90" i="15"/>
  <c r="AR22" i="15"/>
  <c r="AN5" i="15"/>
  <c r="AR124" i="15"/>
  <c r="AQ5" i="15"/>
  <c r="AM157" i="15"/>
  <c r="AO123" i="15"/>
  <c r="AR39" i="15"/>
  <c r="F33" i="7"/>
  <c r="F32" i="7"/>
  <c r="F31" i="7"/>
  <c r="F30" i="7"/>
  <c r="F20" i="7"/>
  <c r="F19" i="7"/>
  <c r="F18" i="7"/>
  <c r="F17" i="7"/>
  <c r="F16" i="7"/>
  <c r="F15" i="7"/>
  <c r="F14" i="7"/>
  <c r="F13" i="7"/>
  <c r="F12" i="7"/>
  <c r="F11" i="7"/>
  <c r="F10" i="7"/>
  <c r="F9" i="7"/>
  <c r="F8" i="7"/>
  <c r="F7" i="7"/>
  <c r="F6" i="7"/>
  <c r="F5" i="7"/>
  <c r="F4" i="7"/>
  <c r="F3" i="7"/>
  <c r="AC36" i="16" l="1"/>
  <c r="AC45" i="16"/>
  <c r="AC44" i="16"/>
  <c r="AG46" i="16"/>
  <c r="AF46" i="16"/>
  <c r="AE46" i="16"/>
  <c r="AD46" i="16"/>
  <c r="AC46" i="16"/>
  <c r="AI46" i="16"/>
  <c r="AH46" i="16"/>
  <c r="AD43" i="16"/>
  <c r="AD42" i="16"/>
  <c r="AD41" i="16"/>
  <c r="AD45" i="16"/>
  <c r="AD36" i="16"/>
  <c r="AD44" i="16"/>
  <c r="AC58" i="16"/>
  <c r="AC64" i="16" s="1"/>
  <c r="AI58" i="16"/>
  <c r="AH58" i="16"/>
  <c r="AG58" i="16"/>
  <c r="AF58" i="16"/>
  <c r="AE58" i="16"/>
  <c r="AD58" i="16"/>
  <c r="AG54" i="16"/>
  <c r="AG53" i="16"/>
  <c r="AG55" i="16"/>
  <c r="AH54" i="16"/>
  <c r="AH53" i="16"/>
  <c r="AH55" i="16"/>
  <c r="AI54" i="16"/>
  <c r="AI53" i="16"/>
  <c r="AI55" i="16"/>
  <c r="AE45" i="16"/>
  <c r="AE36" i="16"/>
  <c r="AE44" i="16"/>
  <c r="AF45" i="16"/>
  <c r="AF36" i="16"/>
  <c r="AF44" i="16"/>
  <c r="AG45" i="16"/>
  <c r="AG36" i="16"/>
  <c r="AG44" i="16"/>
  <c r="AH45" i="16"/>
  <c r="AH36" i="16"/>
  <c r="AH44" i="16"/>
  <c r="AC55" i="16"/>
  <c r="AC54" i="16"/>
  <c r="AC53" i="16"/>
  <c r="AI45" i="16"/>
  <c r="AI36" i="16"/>
  <c r="AI44" i="16"/>
  <c r="AD55" i="16"/>
  <c r="AD54" i="16"/>
  <c r="AD53" i="16"/>
  <c r="AC41" i="16"/>
  <c r="AC43" i="16"/>
  <c r="AC42" i="16"/>
  <c r="AE55" i="16"/>
  <c r="AE54" i="16"/>
  <c r="AE53" i="16"/>
  <c r="AF54" i="16"/>
  <c r="AF53" i="16"/>
  <c r="AF55" i="16"/>
  <c r="AE43" i="16"/>
  <c r="AE42" i="16"/>
  <c r="AE41" i="16"/>
  <c r="AF43" i="16"/>
  <c r="AF42" i="16"/>
  <c r="AF41" i="16"/>
  <c r="AG43" i="16"/>
  <c r="AG42" i="16"/>
  <c r="AG41" i="16"/>
  <c r="AH43" i="16"/>
  <c r="AH42" i="16"/>
  <c r="AH41" i="16"/>
  <c r="AC59" i="16"/>
  <c r="AI59" i="16"/>
  <c r="AH59" i="16"/>
  <c r="AG59" i="16"/>
  <c r="AF59" i="16"/>
  <c r="AE59" i="16"/>
  <c r="AD59" i="16"/>
  <c r="AI43" i="16"/>
  <c r="AI42" i="16"/>
  <c r="AI41" i="16"/>
  <c r="AC47" i="16"/>
  <c r="AI47" i="16"/>
  <c r="AH47" i="16"/>
  <c r="AG47" i="16"/>
  <c r="AF47" i="16"/>
  <c r="AE47" i="16"/>
  <c r="AD47" i="16"/>
  <c r="AE33" i="3"/>
  <c r="AJ31" i="3"/>
  <c r="AJ30" i="3"/>
  <c r="AJ29" i="3"/>
  <c r="AJ28" i="3"/>
  <c r="AJ27" i="3"/>
  <c r="AJ26" i="3"/>
  <c r="AJ25" i="3"/>
  <c r="AJ24" i="3"/>
  <c r="AJ23" i="3"/>
  <c r="AD60" i="16" l="1"/>
  <c r="AD69" i="16"/>
  <c r="AD68" i="16"/>
  <c r="AD64" i="16"/>
  <c r="AE60" i="16"/>
  <c r="AE69" i="16"/>
  <c r="AE68" i="16"/>
  <c r="AE64" i="16"/>
  <c r="AF60" i="16"/>
  <c r="AF69" i="16"/>
  <c r="AF68" i="16"/>
  <c r="AF64" i="16"/>
  <c r="AG60" i="16"/>
  <c r="AG69" i="16"/>
  <c r="AG68" i="16"/>
  <c r="AG64" i="16"/>
  <c r="AH60" i="16"/>
  <c r="AH68" i="16"/>
  <c r="AH64" i="16"/>
  <c r="AH69" i="16"/>
  <c r="AI60" i="16"/>
  <c r="AI68" i="16"/>
  <c r="AI64" i="16"/>
  <c r="AI69" i="16"/>
  <c r="AC60" i="16"/>
  <c r="AC69" i="16"/>
  <c r="AC68" i="16"/>
  <c r="AH57" i="16"/>
  <c r="AH48" i="16"/>
  <c r="AH56" i="16"/>
  <c r="AI57" i="16"/>
  <c r="AI48" i="16"/>
  <c r="AI56" i="16"/>
  <c r="AC57" i="16"/>
  <c r="AC48" i="16"/>
  <c r="AC56" i="16"/>
  <c r="AD57" i="16"/>
  <c r="AD48" i="16"/>
  <c r="AD56" i="16"/>
  <c r="AE57" i="16"/>
  <c r="AE48" i="16"/>
  <c r="AE56" i="16"/>
  <c r="AF57" i="16"/>
  <c r="AF48" i="16"/>
  <c r="AF56" i="16"/>
  <c r="AG57" i="16"/>
  <c r="AG48" i="16"/>
  <c r="AG56" i="16"/>
  <c r="BI5" i="24"/>
  <c r="BJ6" i="24" s="1"/>
  <c r="BH5" i="24"/>
  <c r="BI6" i="24" s="1"/>
  <c r="BG5" i="24"/>
  <c r="BH6" i="24" s="1"/>
  <c r="BQ5" i="24"/>
  <c r="BR6" i="24" s="1"/>
  <c r="BP5" i="24"/>
  <c r="BQ6" i="24" s="1"/>
  <c r="BO5" i="24"/>
  <c r="BP6" i="24" s="1"/>
  <c r="BN5" i="24"/>
  <c r="BO6" i="24" s="1"/>
  <c r="BM5" i="24"/>
  <c r="BN6" i="24" s="1"/>
  <c r="BJ5" i="24"/>
  <c r="BK6" i="24" s="1"/>
  <c r="BK5" i="24"/>
  <c r="BL6" i="24" s="1"/>
  <c r="BL5" i="24"/>
  <c r="BM6" i="24" s="1"/>
  <c r="BV5" i="24"/>
  <c r="BW6" i="24" s="1"/>
  <c r="Y20" i="24" s="1"/>
  <c r="BW5" i="24"/>
  <c r="BX6" i="24" s="1"/>
  <c r="Z20" i="24" s="1"/>
  <c r="BR5" i="24"/>
  <c r="BS6" i="24" s="1"/>
  <c r="BS5" i="24"/>
  <c r="BT6" i="24" s="1"/>
  <c r="V20" i="24" s="1"/>
  <c r="BT5" i="24"/>
  <c r="BU6" i="24" s="1"/>
  <c r="W20" i="24" s="1"/>
  <c r="BU5" i="24"/>
  <c r="BV6" i="24" s="1"/>
  <c r="X20" i="24" s="1"/>
  <c r="BX5" i="24"/>
  <c r="BX28" i="24"/>
  <c r="BY29" i="24" s="1"/>
  <c r="BW28" i="24"/>
  <c r="BX29" i="24" s="1"/>
  <c r="BV28" i="24"/>
  <c r="BW29" i="24" s="1"/>
  <c r="BU28" i="24"/>
  <c r="BV29" i="24" s="1"/>
  <c r="BT28" i="24"/>
  <c r="BU29" i="24" s="1"/>
  <c r="BP28" i="24"/>
  <c r="BQ29" i="24" s="1"/>
  <c r="BN28" i="24"/>
  <c r="BO29" i="24" s="1"/>
  <c r="BH28" i="24"/>
  <c r="BI29" i="24" s="1"/>
  <c r="BR28" i="24"/>
  <c r="BS29" i="24" s="1"/>
  <c r="BO28" i="24"/>
  <c r="BP29" i="24" s="1"/>
  <c r="BZ28" i="24"/>
  <c r="CA29" i="24" s="1"/>
  <c r="BL28" i="24"/>
  <c r="BM29" i="24" s="1"/>
  <c r="BS28" i="24"/>
  <c r="BT29" i="24" s="1"/>
  <c r="BI28" i="24"/>
  <c r="BJ29" i="24" s="1"/>
  <c r="BQ28" i="24"/>
  <c r="BR29" i="24" s="1"/>
  <c r="CA28" i="24"/>
  <c r="BJ28" i="24"/>
  <c r="BK29" i="24" s="1"/>
  <c r="BM28" i="24"/>
  <c r="BN29" i="24" s="1"/>
  <c r="BK28" i="24"/>
  <c r="BL29" i="24" s="1"/>
  <c r="BY28" i="24"/>
  <c r="BZ29" i="24" s="1"/>
  <c r="BT24" i="24"/>
  <c r="BU25" i="24" s="1"/>
  <c r="BP24" i="24"/>
  <c r="BQ25" i="24" s="1"/>
  <c r="BV24" i="24"/>
  <c r="BW25" i="24" s="1"/>
  <c r="BQ24" i="24"/>
  <c r="BR25" i="24" s="1"/>
  <c r="BR24" i="24"/>
  <c r="BS25" i="24" s="1"/>
  <c r="BJ24" i="24"/>
  <c r="BK25" i="24" s="1"/>
  <c r="BM24" i="24"/>
  <c r="BN25" i="24" s="1"/>
  <c r="BU24" i="24"/>
  <c r="BV25" i="24" s="1"/>
  <c r="BG28" i="24"/>
  <c r="BH29" i="24" s="1"/>
  <c r="BN24" i="24"/>
  <c r="BO25" i="24" s="1"/>
  <c r="BX24" i="24"/>
  <c r="BY25" i="24" s="1"/>
  <c r="BW24" i="24"/>
  <c r="BX25" i="24" s="1"/>
  <c r="BY24" i="24"/>
  <c r="BZ25" i="24" s="1"/>
  <c r="CA24" i="24"/>
  <c r="BO24" i="24"/>
  <c r="BP25" i="24" s="1"/>
  <c r="BZ24" i="24"/>
  <c r="CA25" i="24" s="1"/>
  <c r="BG24" i="24"/>
  <c r="BH25" i="24" s="1"/>
  <c r="BH24" i="24"/>
  <c r="BI25" i="24" s="1"/>
  <c r="BI24" i="24"/>
  <c r="BJ25" i="24" s="1"/>
  <c r="BK24" i="24"/>
  <c r="BL25" i="24" s="1"/>
  <c r="BS24" i="24"/>
  <c r="BT25" i="24" s="1"/>
  <c r="BL24" i="24"/>
  <c r="BM25" i="24" s="1"/>
  <c r="BX32" i="24"/>
  <c r="BY33" i="24" s="1"/>
  <c r="BW32" i="24"/>
  <c r="BX33" i="24" s="1"/>
  <c r="BV32" i="24"/>
  <c r="BW33" i="24" s="1"/>
  <c r="BU32" i="24"/>
  <c r="BV33" i="24" s="1"/>
  <c r="BT32" i="24"/>
  <c r="BU33" i="24" s="1"/>
  <c r="BX36" i="24"/>
  <c r="BY37" i="24" s="1"/>
  <c r="BW36" i="24"/>
  <c r="BX37" i="24" s="1"/>
  <c r="BV36" i="24"/>
  <c r="BW37" i="24" s="1"/>
  <c r="BT36" i="24"/>
  <c r="BU37" i="24" s="1"/>
  <c r="BU36" i="24"/>
  <c r="BV37" i="24" s="1"/>
  <c r="CA32" i="24"/>
  <c r="BY32" i="24"/>
  <c r="BZ33" i="24" s="1"/>
  <c r="BK36" i="24"/>
  <c r="BL37" i="24" s="1"/>
  <c r="BY36" i="24"/>
  <c r="BZ37" i="24" s="1"/>
  <c r="BH32" i="24"/>
  <c r="BI33" i="24" s="1"/>
  <c r="BP36" i="24"/>
  <c r="BQ37" i="24" s="1"/>
  <c r="BP32" i="24"/>
  <c r="BQ33" i="24" s="1"/>
  <c r="BZ32" i="24"/>
  <c r="CA33" i="24" s="1"/>
  <c r="Z32" i="24" s="1"/>
  <c r="BI36" i="24"/>
  <c r="BJ37" i="24" s="1"/>
  <c r="BM32" i="24"/>
  <c r="BN33" i="24" s="1"/>
  <c r="BS32" i="24"/>
  <c r="BT33" i="24" s="1"/>
  <c r="BH36" i="24"/>
  <c r="BI37" i="24" s="1"/>
  <c r="BO32" i="24"/>
  <c r="BP33" i="24" s="1"/>
  <c r="BR32" i="24"/>
  <c r="BS33" i="24" s="1"/>
  <c r="BR36" i="24"/>
  <c r="BS37" i="24" s="1"/>
  <c r="BZ36" i="24"/>
  <c r="CA37" i="24" s="1"/>
  <c r="Z33" i="24" s="1"/>
  <c r="BI32" i="24"/>
  <c r="BJ33" i="24" s="1"/>
  <c r="BQ32" i="24"/>
  <c r="BR33" i="24" s="1"/>
  <c r="BL32" i="24"/>
  <c r="BM33" i="24" s="1"/>
  <c r="BQ36" i="24"/>
  <c r="BR37" i="24" s="1"/>
  <c r="BL36" i="24"/>
  <c r="BM37" i="24" s="1"/>
  <c r="CA36" i="24"/>
  <c r="BJ32" i="24"/>
  <c r="BK33" i="24" s="1"/>
  <c r="BN32" i="24"/>
  <c r="BO33" i="24" s="1"/>
  <c r="BJ36" i="24"/>
  <c r="BK37" i="24" s="1"/>
  <c r="BO36" i="24"/>
  <c r="BP37" i="24" s="1"/>
  <c r="BM36" i="24"/>
  <c r="BN37" i="24" s="1"/>
  <c r="BN36" i="24"/>
  <c r="BO37" i="24" s="1"/>
  <c r="BG36" i="24"/>
  <c r="BH37" i="24" s="1"/>
  <c r="BS36" i="24"/>
  <c r="BT37" i="24" s="1"/>
  <c r="BK32" i="24"/>
  <c r="BL33" i="24" s="1"/>
  <c r="BG32" i="24"/>
  <c r="BH33" i="24" s="1"/>
  <c r="AI65" i="16" l="1"/>
  <c r="AI67" i="16"/>
  <c r="AI66" i="16"/>
  <c r="AF66" i="16"/>
  <c r="AF65" i="16"/>
  <c r="AF67" i="16"/>
  <c r="AC67" i="16"/>
  <c r="AC66" i="16"/>
  <c r="AC65" i="16"/>
  <c r="AE66" i="16"/>
  <c r="AE65" i="16"/>
  <c r="AE67" i="16"/>
  <c r="AD66" i="16"/>
  <c r="AD65" i="16"/>
  <c r="AD67" i="16"/>
  <c r="AH65" i="16"/>
  <c r="AH67" i="16"/>
  <c r="AH66" i="16"/>
  <c r="AG66" i="16"/>
  <c r="AG65" i="16"/>
  <c r="AG67" i="16"/>
  <c r="AA17" i="24"/>
  <c r="AA13" i="24"/>
  <c r="AA19" i="24"/>
  <c r="AA30" i="24"/>
  <c r="CB25" i="24"/>
  <c r="AA3" i="24"/>
  <c r="CB29" i="24"/>
  <c r="AA31" i="24"/>
  <c r="AA8" i="24"/>
  <c r="AA20" i="24"/>
  <c r="CB33" i="24"/>
  <c r="AA33" i="24"/>
  <c r="CB37" i="24"/>
  <c r="AE28" i="3"/>
  <c r="AE27" i="3"/>
  <c r="AE24" i="3"/>
  <c r="AD23" i="3"/>
  <c r="F89" i="7" l="1"/>
  <c r="F88" i="7"/>
  <c r="F105" i="7"/>
  <c r="F86" i="7"/>
  <c r="F85" i="7"/>
  <c r="F103" i="7"/>
  <c r="F100" i="7"/>
  <c r="F96" i="7"/>
  <c r="F93" i="7"/>
  <c r="F91" i="7"/>
  <c r="F102" i="7"/>
  <c r="F101" i="7"/>
  <c r="F94" i="7"/>
  <c r="F92" i="7"/>
  <c r="F97" i="7"/>
  <c r="F99" i="7"/>
  <c r="AA32" i="24"/>
  <c r="F21" i="7"/>
  <c r="F28" i="7"/>
  <c r="F22" i="7"/>
  <c r="F25" i="7"/>
  <c r="F29" i="7"/>
  <c r="F24" i="7"/>
  <c r="AE23" i="3"/>
  <c r="F26" i="7"/>
  <c r="F23" i="7"/>
  <c r="AE26" i="3"/>
  <c r="F27" i="7"/>
  <c r="AE25"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6" i="16" l="1"/>
  <c r="AX36" i="16"/>
  <c r="AW36" i="16"/>
  <c r="AW38" i="16"/>
  <c r="AY37" i="16"/>
  <c r="AX37" i="16"/>
  <c r="AW37" i="16"/>
  <c r="AU36" i="16"/>
  <c r="AV38" i="16"/>
  <c r="AV37" i="16"/>
  <c r="AV36" i="16"/>
  <c r="AY38" i="16"/>
  <c r="AX38" i="16"/>
  <c r="U6" i="16" l="1"/>
  <c r="R6" i="16"/>
  <c r="S6" i="16"/>
  <c r="T6" i="16"/>
  <c r="V6" i="16"/>
  <c r="Q6" i="16"/>
  <c r="P6" i="16"/>
  <c r="AA6" i="16"/>
  <c r="AB6" i="16"/>
  <c r="R7" i="16"/>
  <c r="V7" i="16"/>
  <c r="T7" i="16"/>
  <c r="P7" i="16"/>
  <c r="S7" i="16"/>
  <c r="U7" i="16"/>
  <c r="Q7" i="16"/>
  <c r="Z7" i="16"/>
  <c r="Y7" i="16"/>
  <c r="X7" i="16"/>
  <c r="W7" i="16"/>
  <c r="AB7" i="16"/>
  <c r="AA7" i="16"/>
  <c r="X6" i="16"/>
  <c r="Z6" i="16"/>
  <c r="Y6" i="16"/>
  <c r="W6" i="16"/>
  <c r="AZ52" i="24"/>
  <c r="AX52" i="24"/>
  <c r="AY52" i="24"/>
  <c r="BB52" i="24"/>
  <c r="AW52" i="24"/>
  <c r="AU52" i="24"/>
  <c r="AT52" i="24"/>
  <c r="AV52" i="24"/>
  <c r="AS52" i="24"/>
  <c r="BC52" i="24"/>
  <c r="BA52" i="24"/>
  <c r="AR52" i="24"/>
  <c r="AQ52" i="24"/>
  <c r="AW53" i="24"/>
  <c r="AV53" i="24"/>
  <c r="AZ53" i="24"/>
  <c r="AY53" i="24"/>
  <c r="AX53" i="24"/>
  <c r="AU53" i="24"/>
  <c r="AT53" i="24"/>
  <c r="BC53" i="24"/>
  <c r="BA53" i="24"/>
  <c r="BB53" i="24"/>
  <c r="AS53" i="24"/>
  <c r="AR53" i="24"/>
  <c r="AQ53" i="24"/>
  <c r="AB18" i="16"/>
  <c r="O18" i="16"/>
  <c r="S18" i="16"/>
  <c r="P18" i="16"/>
  <c r="U18" i="16"/>
  <c r="X18" i="16"/>
  <c r="T18" i="16"/>
  <c r="V18" i="16"/>
  <c r="AA18" i="16"/>
  <c r="R18" i="16"/>
  <c r="Q18" i="16"/>
  <c r="W18" i="16"/>
  <c r="N18" i="16"/>
  <c r="Z18" i="16"/>
  <c r="Y18" i="16"/>
  <c r="AI71" i="16" l="1"/>
  <c r="AH71" i="16"/>
  <c r="AG71" i="16"/>
  <c r="AF71" i="16"/>
  <c r="AE71" i="16"/>
  <c r="AD71" i="16"/>
  <c r="AC71" i="16"/>
  <c r="AI37" i="16"/>
  <c r="AH37" i="16"/>
  <c r="AG37" i="16"/>
  <c r="AF37" i="16"/>
  <c r="AE37" i="16"/>
  <c r="AD37" i="16"/>
  <c r="AC37" i="16"/>
  <c r="AD38" i="16"/>
  <c r="AD39" i="16" s="1"/>
  <c r="AC38" i="16"/>
  <c r="AC39" i="16" s="1"/>
  <c r="AI38" i="16"/>
  <c r="AI39" i="16" s="1"/>
  <c r="AH38" i="16"/>
  <c r="AH39" i="16" s="1"/>
  <c r="AG38" i="16"/>
  <c r="AG39" i="16" s="1"/>
  <c r="AF38" i="16"/>
  <c r="AF39" i="16" s="1"/>
  <c r="AE38" i="16"/>
  <c r="AE39" i="16" s="1"/>
  <c r="BH82" i="16"/>
  <c r="BE82" i="16"/>
  <c r="BB82" i="16"/>
  <c r="BH81" i="16"/>
  <c r="BB81" i="16"/>
  <c r="BE81" i="16"/>
  <c r="AJ77" i="16"/>
  <c r="AW46" i="24"/>
  <c r="AQ42" i="24"/>
  <c r="AX51" i="24"/>
  <c r="AX46" i="24"/>
  <c r="AR42" i="24"/>
  <c r="AZ51" i="24"/>
  <c r="AU46" i="24"/>
  <c r="AS42" i="24"/>
  <c r="AZ46" i="24"/>
  <c r="N17" i="16"/>
  <c r="AY46" i="24"/>
  <c r="AR46" i="24"/>
  <c r="AS46" i="24"/>
  <c r="BA46" i="24"/>
  <c r="R17" i="16"/>
  <c r="BB46" i="24"/>
  <c r="BC46" i="24"/>
  <c r="AQ51" i="24"/>
  <c r="AA17" i="16"/>
  <c r="V17" i="16"/>
  <c r="AZ42" i="24"/>
  <c r="AR51" i="24"/>
  <c r="BA42" i="24"/>
  <c r="BA51" i="24"/>
  <c r="AY42" i="24"/>
  <c r="BC51" i="24"/>
  <c r="Q17" i="16"/>
  <c r="Z17" i="16"/>
  <c r="Y17" i="16"/>
  <c r="T17" i="16"/>
  <c r="X17" i="16"/>
  <c r="W17" i="16"/>
  <c r="U17" i="16"/>
  <c r="AT42" i="24"/>
  <c r="AS51" i="24"/>
  <c r="S17" i="16"/>
  <c r="P17" i="16"/>
  <c r="AW42" i="24"/>
  <c r="AV51" i="24"/>
  <c r="AV42" i="24"/>
  <c r="AT51" i="24"/>
  <c r="O17" i="16"/>
  <c r="AX42" i="24"/>
  <c r="AU51" i="24"/>
  <c r="AB17" i="16"/>
  <c r="AQ46" i="24"/>
  <c r="AU42" i="24"/>
  <c r="AW51" i="24"/>
  <c r="AT46" i="24"/>
  <c r="Q35" i="24" s="1"/>
  <c r="BB42" i="24"/>
  <c r="BB51" i="24"/>
  <c r="Y28" i="24" s="1"/>
  <c r="AV46" i="24"/>
  <c r="BC42" i="24"/>
  <c r="Z21" i="24" s="1"/>
  <c r="AY51" i="24"/>
  <c r="BN81" i="16" l="1"/>
  <c r="AF83" i="16" s="1"/>
  <c r="BQ81" i="16"/>
  <c r="AI83" i="16" s="1"/>
  <c r="BN82" i="16"/>
  <c r="BQ82" i="16"/>
  <c r="AC76" i="16"/>
  <c r="AC74" i="16"/>
  <c r="AC73" i="16"/>
  <c r="AC72" i="16"/>
  <c r="AC75" i="16"/>
  <c r="AD73" i="16"/>
  <c r="AD76" i="16"/>
  <c r="AD72" i="16"/>
  <c r="AD74" i="16"/>
  <c r="AD75" i="16"/>
  <c r="AE74" i="16"/>
  <c r="AE73" i="16"/>
  <c r="AE76" i="16"/>
  <c r="AE72" i="16"/>
  <c r="AE75" i="16"/>
  <c r="AF74" i="16"/>
  <c r="AF76" i="16"/>
  <c r="AF75" i="16"/>
  <c r="AF73" i="16"/>
  <c r="AF72" i="16"/>
  <c r="AG74" i="16"/>
  <c r="AG76" i="16"/>
  <c r="AG75" i="16"/>
  <c r="AG73" i="16"/>
  <c r="AG72" i="16"/>
  <c r="AH75" i="16"/>
  <c r="AH74" i="16"/>
  <c r="AH76" i="16"/>
  <c r="AH72" i="16"/>
  <c r="AH73" i="16"/>
  <c r="AI75" i="16"/>
  <c r="AI74" i="16"/>
  <c r="AI76" i="16"/>
  <c r="AI73" i="16"/>
  <c r="AI72" i="16"/>
  <c r="BC82" i="16"/>
  <c r="BF82" i="16"/>
  <c r="BC81" i="16"/>
  <c r="BL81" i="16" s="1"/>
  <c r="BF81" i="16"/>
  <c r="BO81" i="16" s="1"/>
  <c r="AG83" i="16" s="1"/>
  <c r="AJ50" i="16"/>
  <c r="AJ46" i="16"/>
  <c r="AJ49" i="16"/>
  <c r="AJ47" i="16"/>
  <c r="AJ52" i="16"/>
  <c r="AD70" i="16"/>
  <c r="AI70" i="16"/>
  <c r="AF70" i="16"/>
  <c r="AE70" i="16"/>
  <c r="AG70" i="16"/>
  <c r="AH70" i="16"/>
  <c r="Y29" i="24"/>
  <c r="P35" i="24"/>
  <c r="O35" i="24"/>
  <c r="Z26" i="24"/>
  <c r="Z24" i="24"/>
  <c r="Z25" i="24"/>
  <c r="Z27" i="24"/>
  <c r="Z35" i="24" s="1"/>
  <c r="U35" i="24"/>
  <c r="Y35" i="24"/>
  <c r="V35" i="24"/>
  <c r="S35" i="24"/>
  <c r="T35" i="24"/>
  <c r="W35" i="24"/>
  <c r="Z22" i="24"/>
  <c r="Z23" i="24"/>
  <c r="R35" i="24"/>
  <c r="X35" i="24"/>
  <c r="Q34" i="24"/>
  <c r="T34" i="24"/>
  <c r="S34" i="24"/>
  <c r="X34" i="24"/>
  <c r="V34" i="24"/>
  <c r="W34" i="24"/>
  <c r="Z34" i="24"/>
  <c r="Y34" i="24"/>
  <c r="R34" i="24"/>
  <c r="U34" i="24"/>
  <c r="P34" i="24"/>
  <c r="AA24" i="24" l="1"/>
  <c r="AF84" i="16"/>
  <c r="AI84" i="16"/>
  <c r="BL82" i="16"/>
  <c r="BK82" i="16" s="1"/>
  <c r="BK81" i="16"/>
  <c r="AC83" i="16" s="1"/>
  <c r="AD83" i="16"/>
  <c r="BO82" i="16"/>
  <c r="AG84" i="16" s="1"/>
  <c r="BG81" i="16"/>
  <c r="BP81" i="16" s="1"/>
  <c r="AH83" i="16" s="1"/>
  <c r="BD82" i="16"/>
  <c r="BD81" i="16"/>
  <c r="BM81" i="16" s="1"/>
  <c r="AE83" i="16" s="1"/>
  <c r="BG82" i="16"/>
  <c r="AJ71" i="16"/>
  <c r="AC70" i="16"/>
  <c r="AJ70" i="16" s="1"/>
  <c r="AJ62" i="16"/>
  <c r="AJ58" i="16"/>
  <c r="AJ61" i="16"/>
  <c r="AJ59" i="16"/>
  <c r="AJ37" i="16"/>
  <c r="AJ34" i="16"/>
  <c r="AJ38" i="16"/>
  <c r="AJ40" i="16"/>
  <c r="AJ35" i="16"/>
  <c r="AA28" i="24"/>
  <c r="AA21" i="24"/>
  <c r="AD84" i="16" l="1"/>
  <c r="AJ83" i="16"/>
  <c r="AC84" i="16"/>
  <c r="BM82" i="16"/>
  <c r="AE84" i="16" s="1"/>
  <c r="BP82" i="16"/>
  <c r="AH84" i="1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<sst xmlns="http://schemas.openxmlformats.org/spreadsheetml/2006/main" count="20455" uniqueCount="2344">
  <si>
    <t>Database Name</t>
  </si>
  <si>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</si>
  <si>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</si>
  <si>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</si>
  <si>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</si>
  <si>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</si>
  <si>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</si>
  <si>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</si>
  <si>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</si>
  <si>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ethos</t>
  </si>
  <si>
    <t>T_DSL</t>
  </si>
  <si>
    <t>T_CNG</t>
  </si>
  <si>
    <t>Compressed natural gas (transportation sector)</t>
  </si>
  <si>
    <t>T_JTF</t>
  </si>
  <si>
    <t>D_TKM_MDV_T</t>
  </si>
  <si>
    <t>D_TKM_HDV_T</t>
  </si>
  <si>
    <t>CO2e</t>
  </si>
  <si>
    <t>Carbon dioxide equivalent</t>
  </si>
  <si>
    <t>CO2</t>
  </si>
  <si>
    <t>Carbon dioxide</t>
  </si>
  <si>
    <t>N2O</t>
  </si>
  <si>
    <t>Nitrous oxide</t>
  </si>
  <si>
    <t>NOX</t>
  </si>
  <si>
    <t>Nitrogen oxides</t>
  </si>
  <si>
    <t>PM25</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</si>
  <si>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</si>
  <si>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</si>
  <si>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</si>
  <si>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</si>
  <si>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</si>
  <si>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</si>
  <si>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</si>
  <si>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</si>
  <si>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</si>
  <si>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</si>
  <si>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</si>
  <si>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</si>
  <si>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</si>
  <si>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</si>
  <si>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</si>
  <si>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</si>
  <si>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</si>
  <si>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</si>
  <si>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</si>
  <si>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</si>
  <si>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</si>
  <si>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</si>
  <si>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</si>
  <si>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</si>
  <si>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</si>
  <si>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</si>
  <si>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</si>
  <si>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</si>
  <si>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</si>
  <si>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</si>
  <si>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</si>
  <si>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</si>
  <si>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</si>
  <si>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</si>
  <si>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</si>
  <si>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</si>
  <si>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</si>
  <si>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</si>
  <si>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</si>
  <si>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</si>
  <si>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</si>
  <si>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</si>
  <si>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</si>
  <si>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</si>
  <si>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</si>
  <si>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</si>
  <si>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</si>
  <si>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</si>
  <si>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</si>
  <si>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</si>
  <si>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</si>
  <si>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</si>
  <si>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</si>
  <si>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</si>
  <si>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</si>
  <si>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</si>
  <si>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</si>
  <si>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</si>
  <si>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</si>
  <si>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</si>
  <si>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Other</t>
  </si>
  <si>
    <t>Avg. Distance Travelled (km)</t>
  </si>
  <si>
    <t>Freight Air Transport (M Tonne-km)</t>
  </si>
  <si>
    <t>Passenger Air Transport</t>
  </si>
  <si>
    <t>Freight Air Transport</t>
  </si>
  <si>
    <t>Passenger Rail (M Passenger-km)</t>
  </si>
  <si>
    <t>Freight Rail (M Tonne-km)</t>
  </si>
  <si>
    <t>Marine Freight (M Tonne-km)</t>
  </si>
  <si>
    <t>Notes</t>
  </si>
  <si>
    <t>Technology</t>
  </si>
  <si>
    <t>Region</t>
  </si>
  <si>
    <t>Unit</t>
  </si>
  <si>
    <t>ON</t>
  </si>
  <si>
    <t>Off-road Energy Use (PJ)*</t>
  </si>
  <si>
    <t>*“Off Road” includes vehicles not registered for on-road travel such as ATVs, snowmobiles, golf carts and some military vehicles.</t>
  </si>
  <si>
    <t>Diesel buses</t>
  </si>
  <si>
    <t>Bio-diesel buses</t>
  </si>
  <si>
    <t>Electric buses</t>
  </si>
  <si>
    <t>Natural gas buses</t>
  </si>
  <si>
    <t>Hybrid buses (includes diesel, biodiesel and natural gas)</t>
  </si>
  <si>
    <t>Streetcars</t>
  </si>
  <si>
    <t>Years</t>
  </si>
  <si>
    <t>Mode of transport</t>
  </si>
  <si>
    <t>CAN</t>
  </si>
  <si>
    <t>Diesel</t>
  </si>
  <si>
    <t>Gasoline</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</si>
  <si>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</si>
  <si>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</si>
  <si>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</si>
  <si>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</si>
  <si>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</si>
  <si>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</si>
  <si>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</si>
  <si>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</si>
  <si>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</si>
  <si>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</si>
  <si>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</si>
  <si>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</si>
  <si>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</si>
  <si>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</si>
  <si>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</si>
  <si>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</si>
  <si>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</si>
  <si>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</si>
  <si>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</si>
  <si>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</si>
  <si>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</si>
  <si>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</si>
  <si>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</si>
  <si>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</si>
  <si>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</si>
  <si>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</si>
  <si>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</si>
  <si>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</si>
  <si>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</si>
  <si>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</si>
  <si>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</si>
  <si>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</si>
  <si>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</si>
  <si>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Vehicle Lifetime</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</si>
  <si>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</si>
  <si>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</si>
  <si>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</si>
  <si>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</si>
  <si>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</si>
  <si>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</si>
  <si>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</si>
  <si>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</si>
  <si>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</si>
  <si>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</si>
  <si>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</si>
  <si>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</si>
  <si>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</si>
  <si>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</si>
  <si>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</si>
  <si>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</si>
  <si>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</si>
  <si>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</si>
  <si>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</si>
  <si>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</si>
  <si>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</si>
  <si>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</si>
  <si>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</si>
  <si>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</si>
  <si>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</si>
  <si>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</si>
  <si>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</si>
  <si>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</si>
  <si>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</si>
  <si>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</si>
  <si>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</si>
  <si>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</si>
  <si>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</si>
  <si>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</si>
  <si>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</si>
  <si>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</si>
  <si>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</si>
  <si>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</si>
  <si>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</si>
  <si>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</si>
  <si>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</si>
  <si>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</si>
  <si>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</si>
  <si>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</si>
  <si>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</si>
  <si>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</si>
  <si>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</si>
  <si>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</si>
  <si>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</si>
  <si>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</si>
  <si>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</si>
  <si>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</si>
  <si>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</si>
  <si>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</si>
  <si>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</si>
  <si>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</si>
  <si>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</si>
  <si>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</si>
  <si>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</si>
  <si>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</si>
  <si>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</si>
  <si>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</si>
  <si>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</si>
  <si>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</si>
  <si>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</si>
  <si>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</si>
  <si>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</si>
  <si>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</si>
  <si>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</si>
  <si>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</si>
  <si>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</si>
  <si>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</si>
  <si>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</si>
  <si>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</si>
  <si>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</si>
  <si>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</si>
  <si>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</si>
  <si>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</si>
  <si>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</si>
  <si>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</si>
  <si>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</si>
  <si>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</si>
  <si>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</si>
  <si>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</si>
  <si>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</si>
  <si>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</si>
  <si>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</si>
  <si>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</si>
  <si>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</si>
  <si>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</si>
  <si>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</si>
  <si>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</si>
  <si>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</si>
  <si>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</si>
  <si>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</si>
  <si>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</si>
  <si>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</si>
  <si>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</si>
  <si>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</si>
  <si>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</si>
  <si>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</si>
  <si>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</si>
  <si>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</si>
  <si>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</si>
  <si>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</si>
  <si>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</si>
  <si>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</si>
  <si>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</si>
  <si>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</si>
  <si>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</si>
  <si>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</si>
  <si>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</si>
  <si>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</si>
  <si>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</si>
  <si>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</si>
  <si>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</si>
  <si>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PJ/MBtu</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</si>
  <si>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</si>
  <si>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</si>
  <si>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</si>
  <si>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</si>
  <si>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</si>
  <si>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</si>
  <si>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</si>
  <si>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</si>
  <si>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</si>
  <si>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</si>
  <si>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</si>
  <si>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</si>
  <si>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commuter rails and subways.</t>
  </si>
  <si>
    <t>GSL, DSL, CNG</t>
  </si>
  <si>
    <t>Downscaling Source</t>
  </si>
  <si>
    <t>Canada transport fleet activity - NRCan Comprehensive Energy Use Database</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</si>
  <si>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</si>
  <si>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</si>
  <si>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</si>
  <si>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</si>
  <si>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</si>
  <si>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</si>
  <si>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</si>
  <si>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</si>
  <si>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</si>
  <si>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</si>
  <si>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</si>
  <si>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</si>
  <si>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</si>
  <si>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</si>
  <si>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</si>
  <si>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</si>
  <si>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</si>
  <si>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</si>
  <si>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</si>
  <si>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</si>
  <si>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</si>
  <si>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</si>
  <si>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</si>
  <si>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</si>
  <si>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</si>
  <si>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</si>
  <si>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</si>
  <si>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</si>
  <si>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</si>
  <si>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</si>
  <si>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</si>
  <si>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</si>
  <si>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</si>
  <si>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</si>
  <si>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</si>
  <si>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</si>
  <si>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</si>
  <si>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</si>
  <si>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</si>
  <si>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</si>
  <si>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</si>
  <si>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</si>
  <si>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</si>
  <si>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</si>
  <si>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</si>
  <si>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</si>
  <si>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</si>
  <si>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</si>
  <si>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</si>
  <si>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</si>
  <si>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</si>
  <si>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</si>
  <si>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</si>
  <si>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</si>
  <si>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</si>
  <si>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</si>
  <si>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</si>
  <si>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</si>
  <si>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</si>
  <si>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</si>
  <si>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</si>
  <si>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</si>
  <si>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</si>
  <si>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</si>
  <si>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</si>
  <si>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</si>
  <si>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</si>
  <si>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</si>
  <si>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</si>
  <si>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</si>
  <si>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</si>
  <si>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</si>
  <si>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</si>
  <si>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</si>
  <si>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</si>
  <si>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</si>
  <si>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</si>
  <si>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</si>
  <si>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</si>
  <si>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</si>
  <si>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</si>
  <si>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</si>
  <si>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</si>
  <si>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</si>
  <si>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</si>
  <si>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</si>
  <si>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</si>
  <si>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</si>
  <si>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</si>
  <si>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</si>
  <si>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</si>
  <si>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</si>
  <si>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</si>
  <si>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</si>
  <si>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</si>
  <si>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</si>
  <si>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</si>
  <si>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</si>
  <si>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</si>
  <si>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</si>
  <si>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</si>
  <si>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</si>
  <si>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</si>
  <si>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</si>
  <si>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</si>
  <si>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</si>
  <si>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</si>
  <si>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</si>
  <si>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</si>
  <si>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</si>
  <si>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</si>
  <si>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</si>
  <si>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</si>
  <si>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</si>
  <si>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</si>
  <si>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</si>
  <si>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</si>
  <si>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General cargo</t>
  </si>
  <si>
    <t>Avg. annual fleet retirement</t>
  </si>
  <si>
    <t>(NHTA, 2022) - CAFE model survival rates</t>
  </si>
  <si>
    <t>Note: 50% survival rate (median vehicle age, after retirement) has been used in several studies and models.</t>
  </si>
  <si>
    <t>Completeness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</si>
  <si>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</si>
  <si>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</si>
  <si>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</si>
  <si>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</si>
  <si>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</si>
  <si>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</si>
  <si>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</si>
  <si>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</si>
  <si>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</si>
  <si>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</si>
  <si>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</si>
  <si>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</si>
  <si>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</si>
  <si>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</si>
  <si>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</si>
  <si>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</si>
  <si>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</si>
  <si>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</si>
  <si>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</si>
  <si>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</si>
  <si>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</si>
  <si>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</si>
  <si>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</si>
  <si>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</si>
  <si>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</si>
  <si>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</si>
  <si>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</si>
  <si>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</si>
  <si>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</si>
  <si>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</si>
  <si>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</si>
  <si>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</si>
  <si>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</si>
  <si>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</si>
  <si>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</si>
  <si>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</si>
  <si>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</si>
  <si>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</si>
  <si>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</si>
  <si>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</si>
  <si>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</si>
  <si>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</si>
  <si>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</si>
  <si>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</si>
  <si>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</si>
  <si>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</si>
  <si>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</si>
  <si>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T_MDO</t>
  </si>
  <si>
    <t>T_HFO</t>
  </si>
  <si>
    <t>Marine diesel oil (transportation sector)</t>
  </si>
  <si>
    <t>Heavy fuel oil (transportation sector)</t>
  </si>
  <si>
    <t>D_PKM_LDV_C</t>
  </si>
  <si>
    <t>D_PKM_LDV_T</t>
  </si>
  <si>
    <t>D_TKM_LDV_T</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</si>
  <si>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</si>
  <si>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</si>
  <si>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</si>
  <si>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</si>
  <si>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</si>
  <si>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</si>
  <si>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the commodity/process pathways</t>
  </si>
  <si>
    <t>Non-physical technology used as a starting point for transportation pathways</t>
  </si>
  <si>
    <t>D_PKM_LDV_M</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</si>
  <si>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</si>
  <si>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</si>
  <si>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</si>
  <si>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</si>
  <si>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D_PKM_HDV_BS</t>
  </si>
  <si>
    <t>D_PKM_HDV_BT</t>
  </si>
  <si>
    <t>D_PKM_HDV_BIC</t>
  </si>
  <si>
    <t>D_TKM_HDV_AJ</t>
  </si>
  <si>
    <t>D_PKM_HDV_AJ</t>
  </si>
  <si>
    <t>Demand for total passenger-kilometers by jet aircrafts</t>
  </si>
  <si>
    <t>Demand for total tonne-kilometers by jet aircrafts</t>
  </si>
  <si>
    <t>D_PKM_HDV_R</t>
  </si>
  <si>
    <t>D_TKM_HDV_R</t>
  </si>
  <si>
    <t>Demand for total passenger-kilometers by inter-city rails</t>
  </si>
  <si>
    <t>Demand for total tonne-kilometers by freight rails</t>
  </si>
  <si>
    <t>Demand for total tonne-kilometers by marine vessels</t>
  </si>
  <si>
    <t>Flag</t>
  </si>
  <si>
    <t>p</t>
  </si>
  <si>
    <t>d</t>
  </si>
  <si>
    <t>e</t>
  </si>
  <si>
    <t>PJ</t>
  </si>
  <si>
    <t>billion passenger-km</t>
  </si>
  <si>
    <t>billion tonne-km</t>
  </si>
  <si>
    <t>kt</t>
  </si>
  <si>
    <t>SOX</t>
  </si>
  <si>
    <t>Sulfur oxides</t>
  </si>
  <si>
    <t>Carbon monoxide</t>
  </si>
  <si>
    <t>Atmospheric particulate matter (10 micrometers)</t>
  </si>
  <si>
    <t>Atmospheric particulate matter (2.5 micrometers)</t>
  </si>
  <si>
    <t>Volatile organic compounds</t>
  </si>
  <si>
    <t>T_ELC</t>
  </si>
  <si>
    <t>Diesel, 4% renewable diesel (transportation sector)</t>
  </si>
  <si>
    <t>Electricity from light-duty EV charger</t>
  </si>
  <si>
    <t>Electricity from heavy-duty EV charger</t>
  </si>
  <si>
    <t>H2_100</t>
  </si>
  <si>
    <t>H2_700</t>
  </si>
  <si>
    <t>LH2</t>
  </si>
  <si>
    <t>Liquid hydrogen</t>
  </si>
  <si>
    <t>JTF</t>
  </si>
  <si>
    <t>Gasoline with 85% renewable ethanol</t>
  </si>
  <si>
    <t>T_DSL_ELC</t>
  </si>
  <si>
    <t>Diesel and electricity for dual-mode and hybrid vehicles</t>
  </si>
  <si>
    <t>D_TKM_HDV_WT</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</si>
  <si>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</si>
  <si>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</si>
  <si>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</si>
  <si>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</si>
  <si>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</si>
  <si>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</si>
  <si>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</si>
  <si>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</si>
  <si>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</si>
  <si>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</si>
  <si>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</si>
  <si>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</si>
  <si>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</si>
  <si>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</si>
  <si>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</si>
  <si>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</si>
  <si>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</si>
  <si>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</si>
  <si>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</si>
  <si>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</si>
  <si>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Open Government - Fuel Consumption Ratings Datasets</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</si>
  <si>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</si>
  <si>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</si>
  <si>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</si>
  <si>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</si>
  <si>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</si>
  <si>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</si>
  <si>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</si>
  <si>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</si>
  <si>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</si>
  <si>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</si>
  <si>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</si>
  <si>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</si>
  <si>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</si>
  <si>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</si>
  <si>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</si>
  <si>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</si>
  <si>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</si>
  <si>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</si>
  <si>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 The combined rating is a weighted sum of 55% city and 45% highway 
fuel consumptions.</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</si>
  <si>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</si>
  <si>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</si>
  <si>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</si>
  <si>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</si>
  <si>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</si>
  <si>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</si>
  <si>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</si>
  <si>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</si>
  <si>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</si>
  <si>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</si>
  <si>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</si>
  <si>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</si>
  <si>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</si>
  <si>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</si>
  <si>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</si>
  <si>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</si>
  <si>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</si>
  <si>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</si>
  <si>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</si>
  <si>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</si>
  <si>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</si>
  <si>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r>
      <t>Combined Consumptionª (L</t>
    </r>
    <r>
      <rPr>
        <b/>
        <vertAlign val="subscript"/>
        <sz val="11"/>
        <color theme="1"/>
        <rFont val="Calibri"/>
        <family val="2"/>
        <scheme val="minor"/>
      </rPr>
      <t>e</t>
    </r>
    <r>
      <rPr>
        <b/>
        <sz val="11"/>
        <color theme="1"/>
        <rFont val="Calibri"/>
        <family val="2"/>
        <scheme val="minor"/>
      </rPr>
      <t>/100km)</t>
    </r>
  </si>
  <si>
    <t xml:space="preserve">ª For most rating testings, the vehicle models did not use any gasoline during electric mode operation, thus, the energy consumption comes primarily from electricity. Almost all the models that used fuel during testing where those with battery range below 35 km.
All models use gasoline only. </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</si>
  <si>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</si>
  <si>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</si>
  <si>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</si>
  <si>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</si>
  <si>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</si>
  <si>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</si>
  <si>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</si>
  <si>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</si>
  <si>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</si>
  <si>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</si>
  <si>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</si>
  <si>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</si>
  <si>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</si>
  <si>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</si>
  <si>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</si>
  <si>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</si>
  <si>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</si>
  <si>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</si>
  <si>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</si>
  <si>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</si>
  <si>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</si>
  <si>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</si>
  <si>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</si>
  <si>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</si>
  <si>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</si>
  <si>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</si>
  <si>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</si>
  <si>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</si>
  <si>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</si>
  <si>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</si>
  <si>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</si>
  <si>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</si>
  <si>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</si>
  <si>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</si>
  <si>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</si>
  <si>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</si>
  <si>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</si>
  <si>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</si>
  <si>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</si>
  <si>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</si>
  <si>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</si>
  <si>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</si>
  <si>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</si>
  <si>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</si>
  <si>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</si>
  <si>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</si>
  <si>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</si>
  <si>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</si>
  <si>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</si>
  <si>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</si>
  <si>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https://www.eia.gov/outlooks/aeo/tables_ref.php</t>
  </si>
  <si>
    <t>AEO2021</t>
  </si>
  <si>
    <t>Table 51.  New Light-Duty Vehicle Fuel Economy (2020 change rate)</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</si>
  <si>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</si>
  <si>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</si>
  <si>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</si>
  <si>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</si>
  <si>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</si>
  <si>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</si>
  <si>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</si>
  <si>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</si>
  <si>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</si>
  <si>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</si>
  <si>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</si>
  <si>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</si>
  <si>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</si>
  <si>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</si>
  <si>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https://greet.es.anl.gov/greet_1_series</t>
  </si>
  <si>
    <t>https://greet.es.anl.gov/afleet</t>
  </si>
  <si>
    <t>Class/Technology</t>
  </si>
  <si>
    <t>GREET1_2022</t>
  </si>
  <si>
    <t>AFLEET2023</t>
  </si>
  <si>
    <t>HEV (diesel)</t>
  </si>
  <si>
    <t>Charging Efficiency</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</si>
  <si>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</si>
  <si>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</si>
  <si>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</si>
  <si>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</si>
  <si>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</si>
  <si>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</si>
  <si>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</si>
  <si>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</si>
  <si>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</si>
  <si>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</si>
  <si>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</si>
  <si>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</si>
  <si>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</si>
  <si>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</si>
  <si>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</si>
  <si>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</si>
  <si>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</si>
  <si>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</si>
  <si>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</si>
  <si>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</si>
  <si>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</si>
  <si>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</si>
  <si>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</si>
  <si>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</si>
  <si>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</si>
  <si>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</si>
  <si>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</si>
  <si>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</si>
  <si>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</si>
  <si>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</si>
  <si>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Gasoline, 10% renewable ethanol (transportation sector)</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</si>
  <si>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</si>
  <si>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</si>
  <si>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</si>
  <si>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</si>
  <si>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</si>
  <si>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</si>
  <si>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</si>
  <si>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</si>
  <si>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</si>
  <si>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</si>
  <si>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</si>
  <si>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</si>
  <si>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</si>
  <si>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</si>
  <si>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</si>
  <si>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</si>
  <si>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</si>
  <si>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</si>
  <si>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</si>
  <si>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</si>
  <si>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</si>
  <si>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</si>
  <si>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</si>
  <si>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</si>
  <si>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</si>
  <si>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</si>
  <si>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</si>
  <si>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</si>
  <si>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</si>
  <si>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</si>
  <si>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</si>
  <si>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</si>
  <si>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</si>
  <si>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</si>
  <si>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</si>
  <si>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</si>
  <si>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</si>
  <si>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</si>
  <si>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</si>
  <si>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GSL, DSL, HEV (GSL), E85, LPG, CNG, FCEV,
 PHEV (GSL - 20, 50 miles), BEV (100, 200, 300 miles)</t>
  </si>
  <si>
    <t>GSL, DSL, HEV (GSL), E85, FCEV,
 PHEV (GSL - 20, 50 miles), BEV (200, 300 miles)</t>
  </si>
  <si>
    <t>GSL, DSL, HEV (GSL), E85, LPG, CNG,
 PHEV (GSL - 50 miles), BEV (200, 300 miles)</t>
  </si>
  <si>
    <t>GSL, DSL, E85, LPG, CNG, FCEV
 PHEV (GSL, DSL), BEV</t>
  </si>
  <si>
    <t>GSL, DSL, LPG, CNG, FCEV
 PHEV (GSL, DSL), BEV</t>
  </si>
  <si>
    <t>GSL, BEV</t>
  </si>
  <si>
    <t>GSL, DSL, HEV (DSL), E85, LPG, CNG, 
 FCEV, BEV</t>
  </si>
  <si>
    <t>Jetfuel, SPK*</t>
  </si>
  <si>
    <t>DSL, H2</t>
  </si>
  <si>
    <t>HFO, MDO</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</si>
  <si>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</si>
  <si>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</si>
  <si>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</si>
  <si>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</si>
  <si>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</si>
  <si>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</si>
  <si>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</si>
  <si>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</si>
  <si>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</si>
  <si>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</si>
  <si>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</si>
  <si>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</si>
  <si>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</si>
  <si>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</si>
  <si>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</si>
  <si>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</si>
  <si>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</si>
  <si>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</si>
  <si>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</si>
  <si>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</si>
  <si>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</si>
  <si>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</si>
  <si>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</si>
  <si>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</si>
  <si>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</si>
  <si>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</si>
  <si>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</si>
  <si>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</si>
  <si>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</si>
  <si>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</si>
  <si>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</si>
  <si>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</si>
  <si>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</si>
  <si>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</si>
  <si>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</si>
  <si>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</si>
  <si>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</si>
  <si>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</si>
  <si>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</si>
  <si>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Registration shares
(NRCan EUD)</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</si>
  <si>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</si>
  <si>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</si>
  <si>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</si>
  <si>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</si>
  <si>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</si>
  <si>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</si>
  <si>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</si>
  <si>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</si>
  <si>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</si>
  <si>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</si>
  <si>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</si>
  <si>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</si>
  <si>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</si>
  <si>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</si>
  <si>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</si>
  <si>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</si>
  <si>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</si>
  <si>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</si>
  <si>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</si>
  <si>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</si>
  <si>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</si>
  <si>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</si>
  <si>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</si>
  <si>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</si>
  <si>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*Suppressed to meet the confidentiality requirements of the Statistics Act.</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</si>
  <si>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</si>
  <si>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</si>
  <si>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</si>
  <si>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</si>
  <si>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</si>
  <si>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</si>
  <si>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</si>
  <si>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Vehicle class corresponds to “Medium Trucks” from NRCan Comprehensive Energy Use Database 2022; a truck with a gross weight from 8,501 to 33,000 lb (classes 2 to 7), including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</si>
  <si>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</si>
  <si>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</si>
  <si>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</si>
  <si>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</si>
  <si>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</si>
  <si>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</si>
  <si>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</si>
  <si>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</si>
  <si>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</si>
  <si>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</si>
  <si>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</si>
  <si>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</si>
  <si>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</si>
  <si>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</si>
  <si>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</si>
  <si>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</si>
  <si>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</si>
  <si>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</si>
  <si>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</si>
  <si>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</si>
  <si>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</si>
  <si>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</si>
  <si>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</si>
  <si>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</si>
  <si>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</si>
  <si>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</si>
  <si>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</si>
  <si>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</si>
  <si>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</si>
  <si>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</si>
  <si>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</si>
  <si>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</si>
  <si>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</si>
  <si>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</si>
  <si>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</si>
  <si>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</si>
  <si>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</si>
  <si>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</si>
  <si>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</si>
  <si>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</si>
  <si>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</si>
  <si>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</si>
  <si>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</si>
  <si>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</si>
  <si>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</si>
  <si>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</si>
  <si>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</si>
  <si>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</si>
  <si>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</si>
  <si>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</si>
  <si>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</si>
  <si>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</si>
  <si>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</si>
  <si>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</si>
  <si>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</si>
  <si>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</si>
  <si>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</si>
  <si>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</si>
  <si>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</si>
  <si>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</si>
  <si>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</si>
  <si>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</si>
  <si>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</si>
  <si>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</si>
  <si>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</si>
  <si>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</si>
  <si>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</si>
  <si>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</si>
  <si>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</si>
  <si>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</si>
  <si>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</si>
  <si>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</si>
  <si>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</si>
  <si>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</si>
  <si>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</si>
  <si>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</si>
  <si>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</si>
  <si>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</si>
  <si>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</si>
  <si>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</si>
  <si>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</si>
  <si>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</si>
  <si>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</si>
  <si>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</si>
  <si>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</si>
  <si>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</si>
  <si>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</si>
  <si>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</si>
  <si>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</si>
  <si>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</si>
  <si>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</si>
  <si>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</si>
  <si>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</si>
  <si>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</si>
  <si>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</si>
  <si>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</si>
  <si>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</si>
  <si>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</si>
  <si>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</si>
  <si>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</si>
  <si>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</si>
  <si>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</si>
  <si>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</si>
  <si>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</si>
  <si>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RAMP-Mobility LDV charging profile data requirements &amp; available sources for the CANOE model</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</si>
  <si>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</si>
  <si>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</si>
  <si>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</si>
  <si>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</si>
  <si>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Fuel Specifications - GREET 2022</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</si>
  <si>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</si>
  <si>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</si>
  <si>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</si>
  <si>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</si>
  <si>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</si>
  <si>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</si>
  <si>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</si>
  <si>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</si>
  <si>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</si>
  <si>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</si>
  <si>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</si>
  <si>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</si>
  <si>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</si>
  <si>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</si>
  <si>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</si>
  <si>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</si>
  <si>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</si>
  <si>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</si>
  <si>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</si>
  <si>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</si>
  <si>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</si>
  <si>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</si>
  <si>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</si>
  <si>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</si>
  <si>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</si>
  <si>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</si>
  <si>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</si>
  <si>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</si>
  <si>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</si>
  <si>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</si>
  <si>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</si>
  <si>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</si>
  <si>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</si>
  <si>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</si>
  <si>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</si>
  <si>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</si>
  <si>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</si>
  <si>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</si>
  <si>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</si>
  <si>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</si>
  <si>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</si>
  <si>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</si>
  <si>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</si>
  <si>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</si>
  <si>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</si>
  <si>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GREET 2022</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</si>
  <si>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</si>
  <si>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</si>
  <si>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</si>
  <si>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</si>
  <si>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</si>
  <si>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</si>
  <si>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</si>
  <si>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</si>
  <si>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</si>
  <si>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</si>
  <si>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</si>
  <si>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</si>
  <si>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</si>
  <si>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</si>
  <si>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</si>
  <si>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</si>
  <si>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</si>
  <si>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</si>
  <si>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</si>
  <si>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</si>
  <si>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</si>
  <si>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</si>
  <si>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</si>
  <si>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</si>
  <si>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</si>
  <si>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</si>
  <si>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</si>
  <si>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</si>
  <si>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</si>
  <si>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</si>
  <si>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</si>
  <si>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</si>
  <si>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</si>
  <si>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</si>
  <si>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</si>
  <si>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</si>
  <si>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</si>
  <si>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</si>
  <si>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</si>
  <si>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</si>
  <si>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</si>
  <si>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</si>
  <si>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</si>
  <si>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</si>
  <si>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</si>
  <si>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</si>
  <si>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</si>
  <si>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</si>
  <si>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</si>
  <si>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</si>
  <si>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</si>
  <si>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</si>
  <si>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</si>
  <si>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</si>
  <si>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</si>
  <si>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</si>
  <si>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</si>
  <si>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</si>
  <si>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</si>
  <si>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</si>
  <si>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</si>
  <si>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</si>
  <si>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</si>
  <si>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</si>
  <si>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</si>
  <si>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</si>
  <si>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</si>
  <si>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</si>
  <si>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</si>
  <si>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</si>
  <si>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</si>
  <si>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</si>
  <si>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</si>
  <si>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</si>
  <si>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</si>
  <si>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</si>
  <si>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</si>
  <si>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</si>
  <si>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</si>
  <si>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</si>
  <si>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</si>
  <si>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</si>
  <si>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</si>
  <si>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</si>
  <si>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The description and sources in it are limited, thus, it will be replaced in future versions.</t>
    </r>
  </si>
  <si>
    <t>2022 DOE VTO/HFTO Transportation Decarbonization Analysis - Light-duty vehicles</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</si>
  <si>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</si>
  <si>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</si>
  <si>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</si>
  <si>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</si>
  <si>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</si>
  <si>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</si>
  <si>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</si>
  <si>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</si>
  <si>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</si>
  <si>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</si>
  <si>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</si>
  <si>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</si>
  <si>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</si>
  <si>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</si>
  <si>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</si>
  <si>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</si>
  <si>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</si>
  <si>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</si>
  <si>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</si>
  <si>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</si>
  <si>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</si>
  <si>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2022 DOE VTO/HFTO Transportation Decarbonization Analysis - Medium- and heavy-duty vehicles</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</si>
  <si>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</si>
  <si>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</si>
  <si>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</si>
  <si>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</si>
  <si>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</si>
  <si>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</si>
  <si>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</si>
  <si>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</si>
  <si>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</si>
  <si>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</si>
  <si>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</si>
  <si>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</si>
  <si>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</si>
  <si>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</si>
  <si>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</si>
  <si>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</si>
  <si>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</si>
  <si>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</si>
  <si>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</si>
  <si>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Note: combined consumption is only representative of charge-depleting mode.</t>
  </si>
  <si>
    <t>Charge-sustaining Consumption* (L/100km)</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</si>
  <si>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</si>
  <si>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</si>
  <si>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</si>
  <si>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</si>
  <si>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</si>
  <si>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</si>
  <si>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</si>
  <si>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</si>
  <si>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</si>
  <si>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</si>
  <si>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</si>
  <si>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</si>
  <si>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</si>
  <si>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T_GSL</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</si>
  <si>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</si>
  <si>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</si>
  <si>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</si>
  <si>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</si>
  <si>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</si>
  <si>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</si>
  <si>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</si>
  <si>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</si>
  <si>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</si>
  <si>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</si>
  <si>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</si>
  <si>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</si>
  <si>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</si>
  <si>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</si>
  <si>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</si>
  <si>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</si>
  <si>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</si>
  <si>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</si>
  <si>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</si>
  <si>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</si>
  <si>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</si>
  <si>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</si>
  <si>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</si>
  <si>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</si>
  <si>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</si>
  <si>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</si>
  <si>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</si>
  <si>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</si>
  <si>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</si>
  <si>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</si>
  <si>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</si>
  <si>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</si>
  <si>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</si>
  <si>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</si>
  <si>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</si>
  <si>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</si>
  <si>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</si>
  <si>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</si>
  <si>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</si>
  <si>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</si>
  <si>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</si>
  <si>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</si>
  <si>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</si>
  <si>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</si>
  <si>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</si>
  <si>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EPAUS9rT database - https://cfpub.epa.gov/si/si_public_record_report.cfm?Lab=NRMRL&amp;dirEntryId=346478</t>
  </si>
  <si>
    <t>Open Energy Outlook 2022 - Marine freight energy intensities (btm/PJ)</t>
  </si>
  <si>
    <t>Vessel type</t>
  </si>
  <si>
    <t>Container</t>
  </si>
  <si>
    <t>MGO</t>
  </si>
  <si>
    <t>RFO</t>
  </si>
  <si>
    <t>Liquid bulk (tanker)</t>
  </si>
  <si>
    <t>OEO database - https://github.com/TemoaProject/oeo/blob/master/database_documentation/TransportationSector.ipynb</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</si>
  <si>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</si>
  <si>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</si>
  <si>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</si>
  <si>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</si>
  <si>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</si>
  <si>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</si>
  <si>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</si>
  <si>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</si>
  <si>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</si>
  <si>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*97% of marine freight energy use comes from HFO in 2019.</t>
  </si>
  <si>
    <t>HHV/LHV ratio</t>
  </si>
  <si>
    <t>Fleet stock and flow estimation (demand units)</t>
  </si>
  <si>
    <t>% of 2020 Stock or 2019 demand</t>
  </si>
  <si>
    <t>Vintages</t>
  </si>
  <si>
    <t>Capacity Unit</t>
  </si>
  <si>
    <t>Activity Unit</t>
  </si>
  <si>
    <t>Capacity to Activity</t>
  </si>
  <si>
    <t>Max weight per trip</t>
  </si>
  <si>
    <t>Ratio of the 2019 vehicle class reported activity over the activity the 2019 stock can deliver based on the CapacityToActivity factors.</t>
  </si>
  <si>
    <t>Existing technology vintages</t>
  </si>
  <si>
    <t>New technology vintages</t>
  </si>
  <si>
    <t>HFO/MDO ratio (GREET2022)</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</si>
  <si>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</si>
  <si>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</si>
  <si>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</si>
  <si>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</si>
  <si>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</si>
  <si>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</si>
  <si>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</si>
  <si>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</si>
  <si>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</si>
  <si>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</si>
  <si>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</si>
  <si>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</si>
  <si>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</si>
  <si>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</si>
  <si>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</si>
  <si>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</si>
  <si>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</si>
  <si>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</si>
  <si>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</si>
  <si>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</si>
  <si>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</si>
  <si>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</si>
  <si>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</si>
  <si>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</si>
  <si>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</si>
  <si>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</si>
  <si>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</si>
  <si>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</si>
  <si>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</si>
  <si>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</si>
  <si>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</si>
  <si>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</si>
  <si>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</si>
  <si>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</si>
  <si>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</si>
  <si>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</si>
  <si>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</si>
  <si>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</si>
  <si>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</si>
  <si>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</si>
  <si>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</si>
  <si>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</si>
  <si>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</si>
  <si>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T_LDV_LTF_FCHEV300_N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</si>
  <si>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</si>
  <si>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</si>
  <si>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</si>
  <si>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</si>
  <si>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</si>
  <si>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</si>
  <si>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</si>
  <si>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</si>
  <si>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</si>
  <si>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</si>
  <si>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</si>
  <si>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</si>
  <si>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</si>
  <si>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</si>
  <si>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</si>
  <si>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</si>
  <si>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</si>
  <si>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</si>
  <si>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</si>
  <si>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</si>
  <si>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</si>
  <si>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</si>
  <si>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</si>
  <si>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</si>
  <si>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</si>
  <si>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</si>
  <si>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</si>
  <si>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</si>
  <si>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</si>
  <si>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</si>
  <si>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</si>
  <si>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</si>
  <si>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</si>
  <si>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</si>
  <si>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ratio of (CapToAct * Stock) over real activity in 2019</t>
  </si>
  <si>
    <t>T_HDV_T_DSL_N</t>
  </si>
  <si>
    <t>T_HDV_T_DSL_HEV_N</t>
  </si>
  <si>
    <t>T_HDV_T_DSL_PHEV_N</t>
  </si>
  <si>
    <t>T_HDV_T_BEV_N</t>
  </si>
  <si>
    <t>T_HDV_T_FCEV_N</t>
  </si>
  <si>
    <t>T_HDV_T_FCHEV_N</t>
  </si>
  <si>
    <t>Medium-duty Trucks (Classes 3-7)</t>
  </si>
  <si>
    <t>Heavy-duty Trucks (Class 8)</t>
  </si>
  <si>
    <t>T_LDV_M_GSL_N</t>
  </si>
  <si>
    <t>T_LDV_M_BEV_N</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</si>
  <si>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</si>
  <si>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</si>
  <si>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</si>
  <si>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</si>
  <si>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</si>
  <si>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</si>
  <si>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</si>
  <si>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</si>
  <si>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</si>
  <si>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</si>
  <si>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</si>
  <si>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</si>
  <si>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</si>
  <si>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</si>
  <si>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</si>
  <si>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</si>
  <si>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</si>
  <si>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</si>
  <si>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</si>
  <si>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</si>
  <si>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</si>
  <si>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</si>
  <si>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</si>
  <si>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</si>
  <si>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</si>
  <si>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</si>
  <si>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</si>
  <si>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</si>
  <si>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</si>
  <si>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</si>
  <si>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</si>
  <si>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</si>
  <si>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</si>
  <si>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</si>
  <si>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</si>
  <si>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</si>
  <si>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</si>
  <si>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</si>
  <si>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</si>
  <si>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</si>
  <si>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</si>
  <si>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</si>
  <si>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T_SPK</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</si>
  <si>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</si>
  <si>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</si>
  <si>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</si>
  <si>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</si>
  <si>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</si>
  <si>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</si>
  <si>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</si>
  <si>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</si>
  <si>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</si>
  <si>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T_LNG</t>
  </si>
  <si>
    <t>Liquified natural gas (transportation sector)</t>
  </si>
  <si>
    <t>NRCan 2023 EUD - Avg. National Energy Intensities (bpkm or btkm/PJ)</t>
  </si>
  <si>
    <t>EPAUS9rT - Avg. Energy Intensities (bpkm/PJ)</t>
  </si>
  <si>
    <t>Tug Boat</t>
  </si>
  <si>
    <t>Great Lakes St. Lawrence Seaway Development Corporation. (2013). Environmental and Social Impacts of Marine Transport. Prepared by: Research and Traffic Group. https://greatlakes-seaway.com/wp-content/uploads/2019/10/Impacts-Full_En.pdf</t>
  </si>
  <si>
    <t>MJ/L of HFO (HHV, GREET2022)</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</si>
  <si>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</si>
  <si>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</si>
  <si>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</si>
  <si>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</si>
  <si>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MGO/MDO ratio (GREET2022)</t>
  </si>
  <si>
    <t>Tug boat</t>
  </si>
  <si>
    <t>Marine freight</t>
  </si>
  <si>
    <t>Bulk</t>
  </si>
  <si>
    <t>Tanker</t>
  </si>
  <si>
    <t>MJ/L of MDO (HHV, GREET2022)</t>
  </si>
  <si>
    <t>Activity from HFO use
(bn tonne-km)</t>
  </si>
  <si>
    <t>Activity from MDO use
(bn tonne-km)</t>
  </si>
  <si>
    <t>Distillate fuel use from Canadian vessels (PJ)</t>
  </si>
  <si>
    <t>Residual fuel use from Canadian vessels (PJ)</t>
  </si>
  <si>
    <t>Share of activity</t>
  </si>
  <si>
    <t>Estimation of marine freight activity by Canadian vessel type in Great Lakes, 2019</t>
  </si>
  <si>
    <t>https://esmia.ca/en/projet/development-of-an-open-source-optimization-energy-electricity-model-for-the-city-of-toronto/</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</si>
  <si>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</si>
  <si>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</si>
  <si>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</si>
  <si>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</si>
  <si>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</si>
  <si>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</si>
  <si>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</si>
  <si>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</si>
  <si>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</si>
  <si>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</si>
  <si>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</si>
  <si>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</si>
  <si>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</si>
  <si>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</si>
  <si>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</si>
  <si>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</si>
  <si>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</si>
  <si>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</si>
  <si>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</si>
  <si>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</si>
  <si>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</si>
  <si>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</si>
  <si>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</si>
  <si>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</si>
  <si>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</si>
  <si>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</si>
  <si>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</si>
  <si>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</si>
  <si>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</si>
  <si>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</si>
  <si>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</si>
  <si>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</si>
  <si>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</si>
  <si>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</si>
  <si>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</si>
  <si>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</si>
  <si>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</si>
  <si>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</si>
  <si>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</si>
  <si>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</si>
  <si>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</si>
  <si>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</si>
  <si>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</si>
  <si>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</si>
  <si>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</si>
  <si>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</si>
  <si>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</si>
  <si>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</si>
  <si>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</si>
  <si>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</si>
  <si>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</si>
  <si>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</si>
  <si>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</si>
  <si>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</si>
  <si>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</si>
  <si>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</si>
  <si>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</si>
  <si>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</si>
  <si>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</si>
  <si>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</si>
  <si>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</si>
  <si>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</si>
  <si>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</si>
  <si>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</si>
  <si>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</si>
  <si>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</si>
  <si>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</si>
  <si>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</si>
  <si>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</si>
  <si>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</si>
  <si>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</si>
  <si>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</si>
  <si>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</si>
  <si>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</si>
  <si>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</si>
  <si>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</si>
  <si>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</si>
  <si>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</si>
  <si>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</si>
  <si>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</si>
  <si>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</si>
  <si>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</si>
  <si>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</si>
  <si>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</si>
  <si>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</si>
  <si>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</si>
  <si>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</si>
  <si>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</si>
  <si>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</si>
  <si>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</si>
  <si>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</si>
  <si>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</si>
  <si>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</si>
  <si>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</si>
  <si>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</si>
  <si>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</si>
  <si>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</si>
  <si>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</si>
  <si>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Demand</t>
  </si>
  <si>
    <t>Demand projections</t>
  </si>
  <si>
    <t>Size class</t>
  </si>
  <si>
    <t>Share (%)</t>
  </si>
  <si>
    <t>Small</t>
  </si>
  <si>
    <t>Medium</t>
  </si>
  <si>
    <t>Large</t>
  </si>
  <si>
    <t>Occupation class</t>
  </si>
  <si>
    <t>Worker (employed, including self-employed)</t>
  </si>
  <si>
    <t>Student (enrolled in postsecondary inst.)</t>
  </si>
  <si>
    <t>Inactive (everyone else in Ontario)</t>
  </si>
  <si>
    <t>Total population in Ontario</t>
  </si>
  <si>
    <t xml:space="preserve">Count </t>
  </si>
  <si>
    <t>Census 2021 - population and dwelling counts</t>
  </si>
  <si>
    <t>Calculated</t>
  </si>
  <si>
    <t>Statista, 2023</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</si>
  <si>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</si>
  <si>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</si>
  <si>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</si>
  <si>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</si>
  <si>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</si>
  <si>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</si>
  <si>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</si>
  <si>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</si>
  <si>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</si>
  <si>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</si>
  <si>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</si>
  <si>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</si>
  <si>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</si>
  <si>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</si>
  <si>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</si>
  <si>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</si>
  <si>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</si>
  <si>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</si>
  <si>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</si>
  <si>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</si>
  <si>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</si>
  <si>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</si>
  <si>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</si>
  <si>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</si>
  <si>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</si>
  <si>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</si>
  <si>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</si>
  <si>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</si>
  <si>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</si>
  <si>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</si>
  <si>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</si>
  <si>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</si>
  <si>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</si>
  <si>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</si>
  <si>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</si>
  <si>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</si>
  <si>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</si>
  <si>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</si>
  <si>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</si>
  <si>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</si>
  <si>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</si>
  <si>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</si>
  <si>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</si>
  <si>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</si>
  <si>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</si>
  <si>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</si>
  <si>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</si>
  <si>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</si>
  <si>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</si>
  <si>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Occupation demographics and source in Ontario - drivers and non-drivers</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</si>
  <si>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</si>
  <si>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</si>
  <si>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</si>
  <si>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</si>
  <si>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</si>
  <si>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TTS 2016 driver occupation demographics - only drivers (after processing)</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</si>
  <si>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</si>
  <si>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</si>
  <si>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</si>
  <si>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</si>
  <si>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</si>
  <si>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</si>
  <si>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</si>
  <si>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</si>
  <si>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</si>
  <si>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</si>
  <si>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</si>
  <si>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</si>
  <si>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</si>
  <si>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</si>
  <si>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</si>
  <si>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</si>
  <si>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</si>
  <si>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</si>
  <si>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</si>
  <si>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TBD - most likely from normal dist.</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</si>
  <si>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</si>
  <si>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</si>
  <si>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</si>
  <si>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</si>
  <si>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</si>
  <si>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</si>
  <si>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</si>
  <si>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Vehicle registrations in Ontario</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</si>
  <si>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</si>
  <si>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</si>
  <si>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</si>
  <si>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</si>
  <si>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</si>
  <si>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</si>
  <si>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</si>
  <si>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</si>
  <si>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</si>
  <si>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</si>
  <si>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</si>
  <si>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</si>
  <si>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</si>
  <si>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</si>
  <si>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</si>
  <si>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</si>
  <si>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</si>
  <si>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</si>
  <si>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</si>
  <si>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</si>
  <si>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</si>
  <si>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</si>
  <si>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</si>
  <si>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</si>
  <si>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</si>
  <si>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</si>
  <si>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</si>
  <si>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</si>
  <si>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</si>
  <si>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</si>
  <si>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</si>
  <si>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</si>
  <si>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Total public ports</t>
  </si>
  <si>
    <t>Public L2</t>
  </si>
  <si>
    <t>Port type</t>
  </si>
  <si>
    <t>High access to home charging Scenario</t>
  </si>
  <si>
    <t>Low access to home charging Scenario</t>
  </si>
  <si>
    <t>Level 2 (7.2 kW)</t>
  </si>
  <si>
    <t>Level 2 (14 kW)</t>
  </si>
  <si>
    <t>DCFC (50 kW)</t>
  </si>
  <si>
    <t>DCFC (150 kW)</t>
  </si>
  <si>
    <t>ICCT - EVCharge v1.1 Default modelling assumptions, evolution of new installed charger capacity in public destinations</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</si>
  <si>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</si>
  <si>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</si>
  <si>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</si>
  <si>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</si>
  <si>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</si>
  <si>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</si>
  <si>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</si>
  <si>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</si>
  <si>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</si>
  <si>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</si>
  <si>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</si>
  <si>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</si>
  <si>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</si>
  <si>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</si>
  <si>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</si>
  <si>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</si>
  <si>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</si>
  <si>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</si>
  <si>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</si>
  <si>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</si>
  <si>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</si>
  <si>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</si>
  <si>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</si>
  <si>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</si>
  <si>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</si>
  <si>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</si>
  <si>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</si>
  <si>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</si>
  <si>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</si>
  <si>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</si>
  <si>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</si>
  <si>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</si>
  <si>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Small (200-mile range)</t>
  </si>
  <si>
    <t>Medium (300-mile range)</t>
  </si>
  <si>
    <t>Islam et al. 2022 - Battery capacity (kWh) by PEV aggregated size class, base performance - low uncertainty scenario*</t>
  </si>
  <si>
    <t>Large (400-mile range)</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</si>
  <si>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</si>
  <si>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</si>
  <si>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</si>
  <si>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</si>
  <si>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</si>
  <si>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</si>
  <si>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</si>
  <si>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velocity-power coefficients to match empirical power and EPA range curves using Islam et al. 2022 battery capacities - based on Belman M. et al. 2024*</t>
  </si>
  <si>
    <t>*2025-2045 coefficients were interpolated through 2050.</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</si>
  <si>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</si>
  <si>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</si>
  <si>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</si>
  <si>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BEV Mid-size efficiency projection comparison</t>
  </si>
  <si>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</si>
  <si>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</si>
  <si>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</si>
  <si>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</si>
  <si>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</si>
  <si>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</si>
  <si>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</si>
  <si>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</si>
  <si>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</si>
  <si>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</si>
  <si>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</si>
  <si>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</si>
  <si>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</si>
  <si>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</si>
  <si>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</si>
  <si>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</si>
  <si>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</si>
  <si>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</si>
  <si>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</si>
  <si>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</si>
  <si>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Burnham et al. 2021 - Annual vehicle-miles travelled (VMT) by year of operation, vehicle class, source, and model</t>
  </si>
  <si>
    <t>Cum. VMT</t>
  </si>
  <si>
    <t>Compact - basic</t>
  </si>
  <si>
    <t>Midsize - basic</t>
  </si>
  <si>
    <t>Small SUV - basic</t>
  </si>
  <si>
    <t>Burnham et al. 2021 - LDV Maintainance and repair costs by vehicle class, technology and year of operation ($ USD2019)</t>
  </si>
  <si>
    <t>Midsize SUV - basic</t>
  </si>
  <si>
    <t>Pickup - basic</t>
  </si>
  <si>
    <t>Burnham et al. 2021 - MHDV Maintainance and repair costs by vehicle class, technology and year of operation ($ USD2019)</t>
  </si>
  <si>
    <t>Class 8 Vocational</t>
  </si>
  <si>
    <t>Class 6 Delivery</t>
  </si>
  <si>
    <t>Class 4 Delivery</t>
  </si>
  <si>
    <t>Class 8 Sleeper Cab</t>
  </si>
  <si>
    <t>Class 8 Day Cab</t>
  </si>
  <si>
    <t>Class 8 Longhaul</t>
  </si>
  <si>
    <t>Class 8 Regional</t>
  </si>
  <si>
    <t>Class 8 Local</t>
  </si>
  <si>
    <t>Bus</t>
  </si>
  <si>
    <t>Burnham et al. 2021 - MHDV annual vehicle-miles travelled (VMT) by year of operation, truck class and model</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</si>
  <si>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</si>
  <si>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</si>
  <si>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</si>
  <si>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</si>
  <si>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</si>
  <si>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</si>
  <si>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</si>
  <si>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</si>
  <si>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</si>
  <si>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</si>
  <si>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</si>
  <si>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</si>
  <si>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</si>
  <si>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</si>
  <si>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</si>
  <si>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</si>
  <si>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</si>
  <si>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</si>
  <si>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</si>
  <si>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</si>
  <si>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</si>
  <si>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</si>
  <si>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</si>
  <si>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</si>
  <si>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</si>
  <si>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</si>
  <si>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</si>
  <si>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</si>
  <si>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</si>
  <si>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</si>
  <si>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</si>
  <si>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</si>
  <si>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</si>
  <si>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</si>
  <si>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</si>
  <si>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</si>
  <si>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</si>
  <si>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</si>
  <si>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</si>
  <si>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</si>
  <si>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</si>
  <si>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</si>
  <si>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</si>
  <si>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</si>
  <si>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</si>
  <si>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</si>
  <si>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</si>
  <si>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</si>
  <si>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</si>
  <si>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</si>
  <si>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</si>
  <si>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</si>
  <si>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</si>
  <si>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</si>
  <si>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</si>
  <si>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</si>
  <si>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</si>
  <si>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</si>
  <si>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</si>
  <si>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</si>
  <si>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</si>
  <si>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</si>
  <si>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</si>
  <si>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</si>
  <si>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</si>
  <si>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</si>
  <si>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</si>
  <si>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</si>
  <si>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</si>
  <si>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</si>
  <si>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</si>
  <si>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</si>
  <si>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</si>
  <si>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</si>
  <si>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</si>
  <si>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</si>
  <si>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</si>
  <si>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</si>
  <si>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</si>
  <si>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</si>
  <si>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</si>
  <si>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</si>
  <si>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</si>
  <si>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</si>
  <si>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</si>
  <si>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</si>
  <si>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</si>
  <si>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</si>
  <si>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</si>
  <si>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</si>
  <si>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</si>
  <si>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</si>
  <si>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</si>
  <si>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</si>
  <si>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</si>
  <si>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</si>
  <si>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</si>
  <si>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</si>
  <si>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</si>
  <si>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</si>
  <si>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</si>
  <si>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</si>
  <si>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</si>
  <si>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</si>
  <si>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</si>
  <si>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</si>
  <si>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</si>
  <si>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</si>
  <si>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</si>
  <si>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</si>
  <si>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</si>
  <si>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OEO - Technology investment costs (M 2020CAD/bpkm or btkm)</t>
  </si>
  <si>
    <t>EPAUS9rT - Technology investment costs (M 2020CAD/bpkm)</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</si>
  <si>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</si>
  <si>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</si>
  <si>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</si>
  <si>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</si>
  <si>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</si>
  <si>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</si>
  <si>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</si>
  <si>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</si>
  <si>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</si>
  <si>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</si>
  <si>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</si>
  <si>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</si>
  <si>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</si>
  <si>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</si>
  <si>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</si>
  <si>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</si>
  <si>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</si>
  <si>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</si>
  <si>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</si>
  <si>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</si>
  <si>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</si>
  <si>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</si>
  <si>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</si>
  <si>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</si>
  <si>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</si>
  <si>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</si>
  <si>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</si>
  <si>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</si>
  <si>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</si>
  <si>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</si>
  <si>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</si>
  <si>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</si>
  <si>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</si>
  <si>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</si>
  <si>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</si>
  <si>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</si>
  <si>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</si>
  <si>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</si>
  <si>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</si>
  <si>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</si>
  <si>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</si>
  <si>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</si>
  <si>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</si>
  <si>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</si>
  <si>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</si>
  <si>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</si>
  <si>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</si>
  <si>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</si>
  <si>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</si>
  <si>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</si>
  <si>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</si>
  <si>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</si>
  <si>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</si>
  <si>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</si>
  <si>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</si>
  <si>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</si>
  <si>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</si>
  <si>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</si>
  <si>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DSL Class 4 truck efficiency projection comparison</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</si>
  <si>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</si>
  <si>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</si>
  <si>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</si>
  <si>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</si>
  <si>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</si>
  <si>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</si>
  <si>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</si>
  <si>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</si>
  <si>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</si>
  <si>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</si>
  <si>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</si>
  <si>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</si>
  <si>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</si>
  <si>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</si>
  <si>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</si>
  <si>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</si>
  <si>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</si>
  <si>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</si>
  <si>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</si>
  <si>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</si>
  <si>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</si>
  <si>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</si>
  <si>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</si>
  <si>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</si>
  <si>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</si>
  <si>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</si>
  <si>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</si>
  <si>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</si>
  <si>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</si>
  <si>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</si>
  <si>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</si>
  <si>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</si>
  <si>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</si>
  <si>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</si>
  <si>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</si>
  <si>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</si>
  <si>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</si>
  <si>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</si>
  <si>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</si>
  <si>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</si>
  <si>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</si>
  <si>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</si>
  <si>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</si>
  <si>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</si>
  <si>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</si>
  <si>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</si>
  <si>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</si>
  <si>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</si>
  <si>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</si>
  <si>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</si>
  <si>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</si>
  <si>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</si>
  <si>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</si>
  <si>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</si>
  <si>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</si>
  <si>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</si>
  <si>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</si>
  <si>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</si>
  <si>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</si>
  <si>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</si>
  <si>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</si>
  <si>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</si>
  <si>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</si>
  <si>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</si>
  <si>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</si>
  <si>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</si>
  <si>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</si>
  <si>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</si>
  <si>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</si>
  <si>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</si>
  <si>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</si>
  <si>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</si>
  <si>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</si>
  <si>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</si>
  <si>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</si>
  <si>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</si>
  <si>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</si>
  <si>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</si>
  <si>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</si>
  <si>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</si>
  <si>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</si>
  <si>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</si>
  <si>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</si>
  <si>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</si>
  <si>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</si>
  <si>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</si>
  <si>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</si>
  <si>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</si>
  <si>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</si>
  <si>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Dummy technology, to pass off-road demand directly in PJ.</t>
  </si>
  <si>
    <t>D_PJ_OFF</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</si>
  <si>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</si>
  <si>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</si>
  <si>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</si>
  <si>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</si>
  <si>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</si>
  <si>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</si>
  <si>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Vehicle class manufacturing cost aggregated from Islam et al. 2022 low uncertainty projections by size class; only base performance vehicle costs were used. Aggregation was done with Wards 2022 national size-class shares derived from vehicle sales by model in 2021.</t>
  </si>
  <si>
    <t>Gasoline fuel type costs were derived using AFLEET2023 MDVs diesel-to-gasoline cost ratio on the diesel values of this class. 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</si>
  <si>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</si>
  <si>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</si>
  <si>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</si>
  <si>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</si>
  <si>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2022 low uncertainty projections of School Buses.</t>
  </si>
  <si>
    <t>Vehicle class manufacturing cost averaged from Islam et al. 2022 low uncertainty projections of School Buses.</t>
  </si>
  <si>
    <t>CNG fuel type costs were derived using AFLEET2023 MDVs diesel-to-CNG cost ratio on the diesel values of this class. Vehicle class manufacturing cost averaged from Islam et al. 2022 low uncertainty projections of School Buses.</t>
  </si>
  <si>
    <t>Gasoline fuel type costs were derived using AFLEET2023 MDVs diesel-to-gasoline cost ratio on the diesel values of this class. Vehicle class manufacturing cost derived from Islam et al. 2022 low uncertainty projections of Transit Buses.</t>
  </si>
  <si>
    <t>CNG fuel type costs were derived using AFLEET2023 MDVs diesel-to-CNG cost ratio on the diesel values of this class. Vehicle class manufacturing cost derived from Islam et al. 2022 low uncertainty projections of Transit Buses.</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</si>
  <si>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</si>
  <si>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</si>
  <si>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</si>
  <si>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</si>
  <si>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</si>
  <si>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</si>
  <si>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</si>
  <si>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</si>
  <si>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</si>
  <si>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</si>
  <si>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</si>
  <si>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</si>
  <si>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</si>
  <si>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</si>
  <si>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</si>
  <si>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</si>
  <si>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</si>
  <si>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</si>
  <si>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</si>
  <si>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</si>
  <si>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</si>
  <si>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</si>
  <si>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</si>
  <si>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</si>
  <si>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</si>
  <si>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</si>
  <si>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</si>
  <si>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</si>
  <si>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</si>
  <si>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*OEO assumes a baseline OPEX of 5% CAPEX + additional expenses from scrubbers/SCR systems</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</si>
  <si>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</si>
  <si>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</si>
  <si>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</si>
  <si>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</si>
  <si>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</si>
  <si>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</si>
  <si>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</si>
  <si>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</si>
  <si>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</si>
  <si>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</si>
  <si>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</si>
  <si>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</si>
  <si>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</si>
  <si>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NHTS (calibrated with 2021 Census)/TTS 2016 (only weekdays)</t>
  </si>
  <si>
    <t>IMP_DSL_T</t>
  </si>
  <si>
    <t>Technology that imports diesel into the transportation sector</t>
  </si>
  <si>
    <t>IMP_CNG_T</t>
  </si>
  <si>
    <t>Technology that imports compressed natural gas into the transportation sector</t>
  </si>
  <si>
    <t>IMP_LNG_T</t>
  </si>
  <si>
    <t>Technology that imports liquefied natural gas into the transportation sector</t>
  </si>
  <si>
    <t>Technology that imports marine gas oil into the transportation sector</t>
  </si>
  <si>
    <t>Technology that imports residual fuel oil into the transportation sector</t>
  </si>
  <si>
    <t>IMP_JTF_T</t>
  </si>
  <si>
    <t>Technology that imports jet fuel into the transportation sector</t>
  </si>
  <si>
    <t>T_LDV_CHRG</t>
  </si>
  <si>
    <t>T_HDV_CHRG</t>
  </si>
  <si>
    <t>Hydrogen refuelling station for light-duty vehicles</t>
  </si>
  <si>
    <t>Hydrogen refuelling station for on-road heavy-duty vehicles</t>
  </si>
  <si>
    <t>IMP_GSL_T</t>
  </si>
  <si>
    <t>IMP_MDO_T</t>
  </si>
  <si>
    <t>IMP_HFO_T</t>
  </si>
  <si>
    <t>T_BLND_DSL_ELC</t>
  </si>
  <si>
    <t>T_BLND_ETH_GSL</t>
  </si>
  <si>
    <t>Blending technology for ethanol and gasoline</t>
  </si>
  <si>
    <t>T_MDV_CHRG</t>
  </si>
  <si>
    <t>Charging infrastructure for medium-duty vehicles</t>
  </si>
  <si>
    <t>Charging infrastructure for light-duty vehicles and motorcycles</t>
  </si>
  <si>
    <t>T_ELC_LDV_CHRG</t>
  </si>
  <si>
    <t>T_ELC_MDV_CHRG</t>
  </si>
  <si>
    <t>T_ELC_HDV_CHRG</t>
  </si>
  <si>
    <t>ETH</t>
  </si>
  <si>
    <t>BDSL</t>
  </si>
  <si>
    <t>Renewable jetfuel</t>
  </si>
  <si>
    <t>Synthetic paraffinic kerosene, blended up to 50% FT/HEFA SPK (transportation sector)</t>
  </si>
  <si>
    <t>PJ; blend limit in compliance with ASTM D7566 standards.</t>
  </si>
  <si>
    <t>SPK</t>
  </si>
  <si>
    <t>Jet fuel, prior to any potential blending with renewable jetfuel</t>
  </si>
  <si>
    <t>Jet fuel, after potential blending with renewable jetfuel (transportation sector)</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</si>
  <si>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</si>
  <si>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</si>
  <si>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</si>
  <si>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</si>
  <si>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</si>
  <si>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</si>
  <si>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</si>
  <si>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ICCT charging infrastructure assessment in Quebec - modelling assumptions: public and residential charging availability at the Quebec province level</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</si>
  <si>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</si>
  <si>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</si>
  <si>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</si>
  <si>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</si>
  <si>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</si>
  <si>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</si>
  <si>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</si>
  <si>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New L2 ports</t>
  </si>
  <si>
    <t>7.2 kW</t>
  </si>
  <si>
    <t>14 kW</t>
  </si>
  <si>
    <t>Total L2 ports</t>
  </si>
  <si>
    <t>Adjusted charger type shares in Ontario*</t>
  </si>
  <si>
    <t>Home L2 share</t>
  </si>
  <si>
    <t>Public + workplace + depot L2 share</t>
  </si>
  <si>
    <t>Public DCFC share</t>
  </si>
  <si>
    <t>Public + workplace charger stock and flow estimation*</t>
  </si>
  <si>
    <t>*2020 data are reference values. Average rate of power drawn by normal L2 chargers is 6 kW.</t>
  </si>
  <si>
    <t>Public + workplace + depot L2 total</t>
  </si>
  <si>
    <t>*Based on two main assumptions: (i) 14kW L2 chargers have a 0% share in 2020 as the average nominal power drawn by L2 chargers in Quebec is 6 kW, and (ii) home charging only uses 7kW L2.</t>
  </si>
  <si>
    <t>L2 (7.2 kW)</t>
  </si>
  <si>
    <t>Home charger stock</t>
  </si>
  <si>
    <t>Total chargers</t>
  </si>
  <si>
    <t>ICCT charging infrast. assessment in Quebec</t>
  </si>
  <si>
    <t>Piecewise function (residential vs public+work)</t>
  </si>
  <si>
    <t xml:space="preserve">A flat efficiency is assumed, based on ICCT EV charging infrastructure assessments and EV CHARGE v1.1 model assumptions. </t>
  </si>
  <si>
    <t>Lifetime obtained from the Open Energy Outlook 2022.</t>
  </si>
  <si>
    <t>M$/PJ</t>
  </si>
  <si>
    <t>Charger type</t>
  </si>
  <si>
    <t>Open Energy Outlook 2022 - LDV and MHDV EV charger investment costs (M 2018 USD/PJ)*</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</si>
  <si>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</si>
  <si>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</si>
  <si>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</si>
  <si>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</si>
  <si>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OEO2022 - LDV and MHDV EV charger investment costs (M 2020 CAD/PJ)</t>
  </si>
  <si>
    <t>Weighted average of L2 home, L2 public and DCFC installation and capital costs in the US as per Bourlag et al. 2020.</t>
  </si>
  <si>
    <t>Weighted average of 50 kW, 150 kW, and 250 kW DCFC plus extra transmission system upgrades as per Bourlag et al. 2021.</t>
  </si>
  <si>
    <t>Open Energy Outlook 2022 - LDV and MHDV EV charger fixed costs (M 2018 USD/PJ)*</t>
  </si>
  <si>
    <t>OEO2022 - LDV and MHDV EV charger fixed costs (M 2020 CAD/PJ)*</t>
  </si>
  <si>
    <t>Obtained directly from OEO estimates, assuming 1% of capital costs as per Bourlag et al. 2020.</t>
  </si>
  <si>
    <t>Obtained directly from OEO estimates, assuming 1% of capital costs as per Bourlag et al. 2021.</t>
  </si>
  <si>
    <t>T_BLND_GSL_ELC_PHEV50</t>
  </si>
  <si>
    <t>T_BLND_GSL_ELC_PHEV20</t>
  </si>
  <si>
    <t>T_GSL_ELC_PHEV20</t>
  </si>
  <si>
    <t>T_GSL_ELC_PHEV50</t>
  </si>
  <si>
    <t>Gasoline and electricity for plug-in hybrid vehicles (20-mile CD range ratio)</t>
  </si>
  <si>
    <t>Gasoline and electricity for plug-in hybrid vehicles (50-mile CD range ratio)</t>
  </si>
  <si>
    <t>T_BLND_GAS_ELC_PHEV20</t>
  </si>
  <si>
    <t>Environment and Climate Change Canada. (2020, December 18). Clean Fuel Regulations. Environment and Natural Resources. https://www.canada.ca/en/environment-climate-change/services/managing-pollution/energy-production/fuel-regulations/clean-fuel-regulations/about.html</t>
  </si>
  <si>
    <t>T_BNLD_BDSL_DSL</t>
  </si>
  <si>
    <t>Blending technology for biodiesel and fossil diesel</t>
  </si>
  <si>
    <t>Bioethanol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</si>
  <si>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</si>
  <si>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</si>
  <si>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</si>
  <si>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</si>
  <si>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</si>
  <si>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</si>
  <si>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</si>
  <si>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Technology that imports gasoline into the transportation sector</t>
  </si>
  <si>
    <t>H2_COMP_100_700</t>
  </si>
  <si>
    <t>T_H2_LDV_REFUEL</t>
  </si>
  <si>
    <t>T_H2_MDV_REFUEL</t>
  </si>
  <si>
    <t>T_H2_HDV_REFUEL</t>
  </si>
  <si>
    <t>Technology that accounts energy use from hydrogen compression (100 bar to 700 bar)</t>
  </si>
  <si>
    <t>T_H2_LDV</t>
  </si>
  <si>
    <t>T_H2_MDV</t>
  </si>
  <si>
    <t>T_H2_HDV</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</si>
  <si>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</si>
  <si>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</si>
  <si>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</si>
  <si>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</si>
  <si>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</si>
  <si>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</si>
  <si>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</si>
  <si>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</si>
  <si>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</si>
  <si>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</si>
  <si>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</si>
  <si>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300-mile range)</t>
  </si>
  <si>
    <t>New light-duty car (fuel cell electric, gaseous H2 @ 700 bar, 400-mile range)</t>
  </si>
  <si>
    <t>New light-duty passenger truck (fuel cell electric, gaseous H2 @ 700 bar, 300-mile range)</t>
  </si>
  <si>
    <t>New light-duty passenger truck (fuel cell electric, gaseous H2 @ 700 bar, 400-mile range)</t>
  </si>
  <si>
    <t>New light-duty freight truck (fuel cell electric, gaseous H2 @ 700 bar, 300-mile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</si>
  <si>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</si>
  <si>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</si>
  <si>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</si>
  <si>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</si>
  <si>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</si>
  <si>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</si>
  <si>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ELC</t>
  </si>
  <si>
    <t xml:space="preserve">Electricity (transportation sector); including that used by plug-in hybrid </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</si>
  <si>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</si>
  <si>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</si>
  <si>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</si>
  <si>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</si>
  <si>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</si>
  <si>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</si>
  <si>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</si>
  <si>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</si>
  <si>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</si>
  <si>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arbitrarily set to 50.</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</si>
  <si>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</si>
  <si>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</si>
  <si>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</si>
  <si>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</si>
  <si>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</si>
  <si>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</si>
  <si>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H2 compression (100 to 700 bar)</t>
  </si>
  <si>
    <t>IEA. (2019). The Future of Hydrogen. https://www.iea.org/reports/the-future-of-hydrogen</t>
  </si>
  <si>
    <t>H2 LDV refuelling station</t>
  </si>
  <si>
    <t>H2 HDV refuelling station</t>
  </si>
  <si>
    <t>Open Energy Outlook 2022 - H2 delivery investment costs (M 2018 USD/PJ)*</t>
  </si>
  <si>
    <t>*Costs derived from the IEA Future of Hydrogen 2019 report, Annex table: distribution</t>
  </si>
  <si>
    <t>Open Energy Outlook 2022 - H2 delivery fixed costs (M 2018 USD/PJ)*</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</si>
  <si>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</si>
  <si>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</si>
  <si>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 xml:space="preserve">Avg. % of gasoline consumption calculated from Islam et al. 2022 PHEV (20-mile CD range) energy use ratio for all vehicle classes and model years. </t>
  </si>
  <si>
    <t xml:space="preserve">Avg. % of electricity consumption calculated from Islam et al. 2022 PHEV (20-mile CD range) energy use ratio for all vehicle classes and model years. </t>
  </si>
  <si>
    <t xml:space="preserve">Avg. % of electricity consumption calculated from Islam et al. 2022 PHEV (50-mile CD range) energy use ratio for all vehicle classes and model years. </t>
  </si>
  <si>
    <t xml:space="preserve">Avg. % of diesel consumption calculated from Islam et al. 2022 PHEV energy use ratio for all truck classes and model years. </t>
  </si>
  <si>
    <t xml:space="preserve">Avg. % of electricity consumption calculated from Islam et al. 2022 PHEV energy use ratio for all truck classes and model years. </t>
  </si>
  <si>
    <t xml:space="preserve">Avg. % of gasoline consumption calculated from Islam et al. 2022 PHEV (50-mile CD range) energy use ratio for all vehicle classes and model years. </t>
  </si>
  <si>
    <t>*Gasoline-electricity input commodities based on these shares.</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</si>
  <si>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</si>
  <si>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</si>
  <si>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</si>
  <si>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</si>
  <si>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</si>
  <si>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</si>
  <si>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</si>
  <si>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</si>
  <si>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</si>
  <si>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</si>
  <si>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</si>
  <si>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</si>
  <si>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</si>
  <si>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</si>
  <si>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</si>
  <si>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</si>
  <si>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</si>
  <si>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</si>
  <si>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</si>
  <si>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</si>
  <si>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</si>
  <si>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</si>
  <si>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</si>
  <si>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</si>
  <si>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</si>
  <si>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</si>
  <si>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</si>
  <si>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</si>
  <si>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</si>
  <si>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</si>
  <si>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</si>
  <si>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</si>
  <si>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</si>
  <si>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</si>
  <si>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</si>
  <si>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</si>
  <si>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</si>
  <si>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</si>
  <si>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</si>
  <si>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Fuel consumption is not reported in liters of gasoline equivalent and there is no indication of such in Fuel Consumption guides and databases. After rigorous analysis of conversion factors, it was identified that units are indeed in Lge.</t>
  </si>
  <si>
    <t>**Name of the class represents the majority of the models, only a few ones exceed the actual class limit.</t>
  </si>
  <si>
    <t>Wards (2022) share</t>
  </si>
  <si>
    <t>NRCan Fuel Consumption Guide - LDV Avg. Fuel Economy Ratings, aggregated by size-class market shares (Lge/100km)</t>
  </si>
  <si>
    <t>†Charge-depletion combined fuel consumption in Lge. For most rating testings, the vehicles did not use any gasoline during electric mode operation. *Combined consumption in kWh.</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</si>
  <si>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</si>
  <si>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</si>
  <si>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</si>
  <si>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</si>
  <si>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</si>
  <si>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</si>
  <si>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</si>
  <si>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</si>
  <si>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</si>
  <si>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</si>
  <si>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</si>
  <si>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</si>
  <si>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</si>
  <si>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</si>
  <si>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</si>
  <si>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</si>
  <si>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</si>
  <si>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</si>
  <si>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</si>
  <si>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New/old (2021/2020)</t>
  </si>
  <si>
    <t>AEO2023 T49 - Gasoline-to-diesel fuel efficiency index (2022 = 1)</t>
  </si>
  <si>
    <t>Motorcycle fuel efficiency index by fuel type (2020 = 1)</t>
  </si>
  <si>
    <t>HDV modes energy intensity index by fuel type (2020 = 1)</t>
  </si>
  <si>
    <t>Hydrogen†</t>
  </si>
  <si>
    <t>LNG†</t>
  </si>
  <si>
    <t>Transit bus</t>
  </si>
  <si>
    <t>2050/2030</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</si>
  <si>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</si>
  <si>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</si>
  <si>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</si>
  <si>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</si>
  <si>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</si>
  <si>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</si>
  <si>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</si>
  <si>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Fuel efficiency derived from GCAM v7.0 Canada input data; only motorcycles (engines &gt; 250cc) were considered. Values were harmonized using provincial load factors.</t>
  </si>
  <si>
    <t>Fuel efficiency derived from GCAM v7.0 Canada input data; only motorcycles were considered. Values were harmonized using provincial load factors.</t>
  </si>
  <si>
    <t>Gasoline fuel type efficiency was derived from GREET 2023 gasoline to diesel conversion factor (HHV). Vehicle class fuel efficiency averaged from Islam et al. 2022 low uncertainty projections of School Buses. Values were harmonized using provincial load factors.</t>
  </si>
  <si>
    <t>Vehicle class fuel efficiency averaged from Islam et al. 2022 low uncertainty projections of School Buses. Values were harmonized using provincial load factors.</t>
  </si>
  <si>
    <t>CNG fuel type efficiency was derived from GREET 2023 CNG to diesel conversion factor (HHV). Vehicle class fuel efficiency averaged from Islam et al. 2022 low uncertainty projections of School Buses. Values were harmonized using provincial load factors.</t>
  </si>
  <si>
    <t>Gasoline fuel type efficiency was derived from GREET 2023 gasoline to diesel conversion factor (HHV). Vehicle class fuel efficiency derived from Islam et al. 2022 low uncertainty projections of Transit Buses. Values were harmonized using provincial load factors.</t>
  </si>
  <si>
    <t>Vehicle class fuel efficiency derived from Islam et al. 2022 low uncertainty projections of Transit Buses. Values were harmonized using provincial load factors.</t>
  </si>
  <si>
    <t>CNG fuel type efficiency was derived from GREET 2023 CNG to diesel conversion factor (HHV). Vehicle class fuel efficiency derived from Islam et al. 2022 low uncertainty projections of Transit Buses. Values were harmonized using provincial load factors.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</si>
  <si>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</si>
  <si>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</si>
  <si>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aggregated from NRCan Fuel Economy Guide ratings by size class; PHEV CD mode ratings were grouped into range classes, 20-mile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</si>
  <si>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</si>
  <si>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</si>
  <si>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estimated from diesel technology energy intensity and multiplied by conversion factor used for gasoline technologies in GREET2022 fuel-cycle model. Fuel HHVs were used for unit conversion.</t>
  </si>
  <si>
    <t>Vehicle class fuel efficiency obtained directly from provincial fleet energy intensity, as the dominant share of fuel use corresponds to this technology.</t>
  </si>
  <si>
    <t>Vehicle class fuel efficiency estimated from diesel technology energy intensity and multiplied by conversion factor used for CNG technologies in GREET2022 fuel-cycle model. Fuel HHVs were used for unit conversion.</t>
  </si>
  <si>
    <t>Vehicle class fuel efficiency estimated from diesel technology energy intensity and multiplied by conversion factor used for BEV technologies in GREET2022 fuel-cycle model. Fuel HHVs were used for unit conversion.</t>
  </si>
  <si>
    <t>Transport mode fuel efficiency obtained directly from national fleet intensity, as the dominant share of fuel use corresponds to this technology.</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</si>
  <si>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</si>
  <si>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</si>
  <si>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</si>
  <si>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</si>
  <si>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</si>
  <si>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</si>
  <si>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</si>
  <si>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</si>
  <si>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</si>
  <si>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</si>
  <si>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</si>
  <si>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</si>
  <si>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</si>
  <si>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AB</t>
  </si>
  <si>
    <t>Alberta transport fleet sales, stock and activity - NRCan Comprehensive Energy Use Database</t>
  </si>
  <si>
    <t>Alberta transport fleet energy use - NRCan Comprehensive Energy Use Database</t>
  </si>
  <si>
    <t>Alberta transport fleet energy intensities - NRCan Comprehensive Energy Use Database</t>
  </si>
  <si>
    <t>Average expected useful life of new publicly owned public transit assets in Alberta - StatCan Table: 34-10-0254-01</t>
  </si>
  <si>
    <t>Other buses [1]</t>
  </si>
  <si>
    <t>Ferries [2]</t>
  </si>
  <si>
    <t>Heavy railcars (subway) [3]</t>
  </si>
  <si>
    <t>Commuter railcars (locomotives and passenger) [4]</t>
  </si>
  <si>
    <t>Light railcars [5]</t>
  </si>
  <si>
    <t>NRCan Comprehensive EUD - Energy use by transportation mode and province in 2019 (PJ)</t>
  </si>
  <si>
    <t>Transportation mode</t>
  </si>
  <si>
    <t>CA</t>
  </si>
  <si>
    <t>QC</t>
  </si>
  <si>
    <t>SK</t>
  </si>
  <si>
    <t>MB</t>
  </si>
  <si>
    <t>NS</t>
  </si>
  <si>
    <t>NL</t>
  </si>
  <si>
    <t>NB</t>
  </si>
  <si>
    <t>PEI</t>
  </si>
  <si>
    <t>Energy use (PJ)</t>
  </si>
  <si>
    <t>Off-Road*</t>
  </si>
  <si>
    <t>Vehicle class and energy source</t>
  </si>
  <si>
    <t>NRCan Comprehensive EUD - Light-duty energy use share comparison by source and class in 2019 (%)</t>
  </si>
  <si>
    <t>Light truck energy use share (%)</t>
  </si>
  <si>
    <t>Car energy use share (%)</t>
  </si>
  <si>
    <t>BC &amp; T</t>
  </si>
  <si>
    <t>New motor vehicle registrations by vehicle and fuel type in Saskatchewan - StatCan Table: 20-10-0021-01†</t>
  </si>
  <si>
    <t>†Saskatchewan was chosen as proxy state to represent LDV fuel type shares due to the following similarities - geographical proximity, no access to major ports, resource extraction as main economic activity, energy use shares by vehicle class, and energy use shares by transportation mode.</t>
  </si>
  <si>
    <t>x</t>
  </si>
  <si>
    <t>Vehicle registrations by vehicle and fuel type in Alberta - StatCan Table: 23-10-0308-01</t>
  </si>
  <si>
    <t>Alberta doesn't have any major ports.</t>
  </si>
  <si>
    <t>Based on the findings from Sonia Yet et al. 2022, demand projections are indexed through projected GDP growth in Alberta (2020=100), using estimates from the Evolving Policies Scenario of the Canada's Energy Future 2021. Initial demand is obtained from 2019 subsector activity.</t>
  </si>
  <si>
    <t>Based on the findings from Sonia Yet et al. 2022, demand projections are indexed through projected GDP growth in Alberta (2020=100), using estimates from the Evolving Policies Scenario of the Canada's Energy Future 2021. Initial demand is obtained from 2019 subsector energy use in the province, divided by the national fleet's energy intensity.</t>
  </si>
  <si>
    <t>Dummy technology, to pass off-road demand directly in PJ. Off-road vehicles are assumed to consume diesel only. Based on the findings from Sonia Yet et al. 2022, demand projections are indexed through projected GDP growth in Alberta (2020=100), using estimates from the Evolving Policies Scenario of the Canada's Energy Future 2021. Initial demand is obtained from 2019 subsector energy use.</t>
  </si>
  <si>
    <t>LDV market share by vehicle class and technology type in Alberta</t>
  </si>
  <si>
    <t>Bus vehicle class activity estimation in Alberta (bkm)</t>
  </si>
  <si>
    <t>Estimated Load Factors by vehicle mode in Alberta (passengers carried/tonnes carried) - based on NRCan fleet activity, stock and avg. distance travelled*</t>
  </si>
  <si>
    <t>Fuel blending ratio from the Renewable Fuels Standard in Alberta.</t>
  </si>
  <si>
    <t>(GREET2022)
Fuel Economy input data
Fuel type distribution estimation is based on the activity per year, calculated with the energy use and efficiencies.</t>
  </si>
  <si>
    <t>Vehicle class sales were distributed across fuel types by technology market share to meet 2020 stock with 5% tolerance, based on (StatCan, 2023) Table: 20-10-0021-01. An avg. annual retirement factor is used to match older units with 2020 stock.</t>
  </si>
  <si>
    <t>Vehicle class sales were distributed across fuel types by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</si>
  <si>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by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</si>
  <si>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by technology registration shares to meet 2020 stock with 5% tolerance, based on (StatCan, 2023) Table: 23-10-0308-01. Table class includes vehicles from 10,000 to 26,000 lbs GVWR.  An avg. annual retirement factor is used to match older units with 2020 stock.</t>
  </si>
  <si>
    <t>All vehicle class sales were assigned to diesel units, as it is the only fleet type reported for this class, to meet 2020 stock with 5% tolerance. An avg. annual retirement factor is used to match older units with 2020 stock.</t>
  </si>
  <si>
    <t>Vehicle class fuel efficiency derived from Islam et al. 2022 low uncertainty projections of Class 7 Box freight vehicles. Values were harmonized using provincial load factors.</t>
  </si>
  <si>
    <t>Gasoline fuel type efficiency was derived from GREET 2023 gasoline to diesel conversion factor (HHV). Vehicle class fuel efficiency derived from Islam et al. 2022 low uncertainty projections of Class 7 Box freight vehicles. Values were harmonized using provincial load factors.</t>
  </si>
  <si>
    <t>Vehicle class fuel efficiency derived from Burhe &amp; Sinha 2020 intercity-to-transit bus energy consumption ratios of BEV technologies. Values were harmonized using provincial load factors.</t>
  </si>
  <si>
    <t>Vehicle cost ($ 2020USD)</t>
  </si>
  <si>
    <t>Energy consumption (kWh or kgH2/mile)</t>
  </si>
  <si>
    <t>*BEV model years 2021-2030 and 2035-2050 use 2030 and 2050 ratios, respectively. DSL, HEV, and FCEV are indexed to HDV Class 7 (Box) projections from Islam et al. 2022.</t>
  </si>
  <si>
    <t>Vehicle class fuel efficiency derived from Burhe &amp; Sinha 2020 intercity-to-transit bus energy consumption ratios of BEV technologies, and Islam et al. 2022 BEV-to-FCEV technology ratios. Values were harmonized using provincial load factors.</t>
  </si>
  <si>
    <t>Activity by model vintage was estimated by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</si>
  <si>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All estimated vehicle class sales were assigned to gasoline units, as it is the only fleet type reported for this class, to meet 2020 stock with 5% tolerance. An avg. annual retirement factor is used to match older units with 2020 stock.</t>
  </si>
  <si>
    <t>Activity by model vintage was estimated by a flow and stock analysis using an avg. annual fleet retirement factor from expected lifetime, meeting 2019 downscaled demand with 10% tolerance. Rails reportedly only consume diesel.</t>
  </si>
  <si>
    <t>Vehicle class sales were estimated by a flow and stock analysis using an avg. annual fleet retirement factor from expected lifetime, based on (StatCan, 2023) Table 34-10-0254-01, meeting 2020 stock with 5% tolerance. Sales were distributed across fuel types by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</si>
  <si>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by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</si>
  <si>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by estimated activity shares, based on GREET2022 fuel economy inputs of inter-city buses.</t>
  </si>
  <si>
    <t>Activity by model vintage was estimated by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</si>
  <si>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StatCan Table: 23-10-0308-01 - BEV size class shares in Alberta</t>
  </si>
  <si>
    <t>Alberta, weighted by population density</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</si>
  <si>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</si>
  <si>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</si>
  <si>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</si>
  <si>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</si>
  <si>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</si>
  <si>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</si>
  <si>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</si>
  <si>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 xml:space="preserve">PJ; blend mandates as per the Renewable Fuels Standard. </t>
  </si>
  <si>
    <t>Canada Energy Regulator - Canada's Energy Future 2021 Data Appendices, Macro Indicators from AB, Current Policies Scenario</t>
  </si>
  <si>
    <t>Canada Energy Regulator - Canada's Energy Future 2021 Data Appendices, Macro Indicators from AB, Evolving Policies Scenario</t>
  </si>
  <si>
    <t>M$/GW</t>
  </si>
  <si>
    <t>GW</t>
  </si>
  <si>
    <t>1 GW x 8,760 hours = 8,760 GWh = 34.54 PJ</t>
  </si>
  <si>
    <t>Vehicle class corresponds to “Passenger Rail Transportation” from NRCan Comprehensive Energy Use Database 2022; including intercity rail and urban rail transit.</t>
  </si>
  <si>
    <t>Vehicle class corresponds to “Urban Transit” from NRCan Comprehensive Energy Use Database 2022; excluding commuter rails, subways, streetcars. Electricity consumption of this technology is assumed to come exclusively from battery electric powertrains.</t>
  </si>
  <si>
    <t>Category</t>
  </si>
  <si>
    <t>Air travel</t>
  </si>
  <si>
    <t>Rail travel</t>
  </si>
  <si>
    <t>Rail freight</t>
  </si>
  <si>
    <t>Charging</t>
  </si>
  <si>
    <t>H2 refuelling</t>
  </si>
  <si>
    <t>Blending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</si>
</sst>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s>
  <fonts count="31"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strike/>
      <sz val="11"/>
      <color theme="1"/>
      <name val="Calibri"/>
      <family val="2"/>
      <scheme val="minor"/>
    </font>
  </fonts>
  <fills count="14">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9" tint="0.39997558519241921"/>
        <bgColor indexed="64"/>
      </patternFill>
    </fill>
  </fills>
  <borders count="48">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right style="medium">
        <color indexed="64"/>
      </right>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top style="medium">
        <color indexed="64"/>
      </top>
      <bottom style="double">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44" fontId="1" fillId="0" borderId="0" applyFont="0" applyFill="0" applyBorder="0" applyAlignment="0" applyProtection="0"/>
  </cellStyleXfs>
  <cellXfs count="571">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6" fillId="0" borderId="0" xfId="1" applyFont="1"/>
    <xf numFmtId="43" fontId="1" fillId="0" borderId="0" xfId="1" applyFont="1"/>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1" xfId="0" applyFont="1" applyBorder="1" applyAlignment="1">
      <alignment horizontal="center"/>
    </xf>
    <xf numFmtId="43" fontId="7" fillId="0" borderId="0" xfId="1" applyFont="1"/>
    <xf numFmtId="0" fontId="2" fillId="0" borderId="1" xfId="0" applyFont="1" applyBorder="1"/>
    <xf numFmtId="43" fontId="0" fillId="0" borderId="2" xfId="1"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0" borderId="0" xfId="1" applyFont="1" applyFill="1" applyAlignment="1">
      <alignment horizontal="left" indent="2"/>
    </xf>
    <xf numFmtId="164" fontId="0" fillId="0" borderId="0" xfId="1" applyNumberFormat="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43" fontId="0" fillId="4" borderId="0" xfId="1" applyFont="1" applyFill="1" applyAlignment="1">
      <alignment horizontal="left" indent="2"/>
    </xf>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0" fontId="0" fillId="0" borderId="7" xfId="0" applyBorder="1"/>
    <xf numFmtId="10" fontId="10" fillId="4" borderId="10" xfId="3" applyNumberFormat="1" applyFont="1" applyFill="1" applyBorder="1"/>
    <xf numFmtId="10" fontId="10" fillId="4" borderId="0" xfId="3" applyNumberFormat="1" applyFont="1" applyFill="1" applyBorder="1"/>
    <xf numFmtId="43" fontId="2" fillId="0" borderId="0" xfId="1" applyFont="1" applyFill="1"/>
    <xf numFmtId="164" fontId="2" fillId="0" borderId="0" xfId="1" applyNumberFormat="1" applyFont="1" applyFill="1"/>
    <xf numFmtId="43" fontId="0" fillId="0" borderId="2" xfId="1" applyFont="1" applyFill="1" applyBorder="1" applyAlignment="1">
      <alignment horizontal="left" indent="2"/>
    </xf>
    <xf numFmtId="164" fontId="0" fillId="0" borderId="2" xfId="1" applyNumberFormat="1" applyFont="1" applyFill="1" applyBorder="1"/>
    <xf numFmtId="10" fontId="10" fillId="0" borderId="10" xfId="3" applyNumberFormat="1" applyFont="1" applyFill="1" applyBorder="1"/>
    <xf numFmtId="10" fontId="10" fillId="0" borderId="0" xfId="3" applyNumberFormat="1" applyFont="1" applyFill="1" applyBorder="1"/>
    <xf numFmtId="10" fontId="10" fillId="0" borderId="13" xfId="3" applyNumberFormat="1" applyFont="1" applyFill="1" applyBorder="1"/>
    <xf numFmtId="10" fontId="10"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10" fontId="0" fillId="4" borderId="0" xfId="3" applyNumberFormat="1" applyFont="1" applyFill="1"/>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2" fillId="0" borderId="18"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0" fillId="0" borderId="0" xfId="3" applyNumberFormat="1" applyFont="1"/>
    <xf numFmtId="10" fontId="10"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0" fontId="2" fillId="0" borderId="26" xfId="0" applyFont="1" applyBorder="1"/>
    <xf numFmtId="168" fontId="0" fillId="0" borderId="24" xfId="0" applyNumberFormat="1" applyBorder="1"/>
    <xf numFmtId="0" fontId="0" fillId="0" borderId="27" xfId="0" applyBorder="1"/>
    <xf numFmtId="0" fontId="0" fillId="0" borderId="28" xfId="0" applyBorder="1"/>
    <xf numFmtId="168" fontId="0" fillId="0" borderId="28" xfId="0" applyNumberFormat="1" applyBorder="1"/>
    <xf numFmtId="168" fontId="0" fillId="0" borderId="29"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4" borderId="0" xfId="1" applyNumberFormat="1" applyFont="1" applyFill="1" applyAlignment="1">
      <alignment horizontal="center"/>
    </xf>
    <xf numFmtId="164" fontId="0" fillId="0" borderId="0" xfId="1" applyNumberFormat="1" applyFont="1" applyFill="1" applyAlignment="1">
      <alignment horizontal="center"/>
    </xf>
    <xf numFmtId="164" fontId="2" fillId="4" borderId="0" xfId="1" applyNumberFormat="1" applyFont="1" applyFill="1"/>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1" xfId="3" applyNumberFormat="1" applyFont="1" applyFill="1" applyBorder="1"/>
    <xf numFmtId="0" fontId="4" fillId="0" borderId="0" xfId="2"/>
    <xf numFmtId="0" fontId="2" fillId="0" borderId="5" xfId="0" applyFont="1" applyBorder="1"/>
    <xf numFmtId="2" fontId="2" fillId="0" borderId="0" xfId="0" applyNumberFormat="1" applyFont="1"/>
    <xf numFmtId="0" fontId="2" fillId="0" borderId="1" xfId="1" applyNumberFormat="1" applyFont="1" applyBorder="1"/>
    <xf numFmtId="43" fontId="4" fillId="4" borderId="0" xfId="2" applyNumberFormat="1" applyFill="1"/>
    <xf numFmtId="43" fontId="4" fillId="4" borderId="0" xfId="2" applyNumberFormat="1" applyFill="1" applyAlignment="1">
      <alignment wrapText="1"/>
    </xf>
    <xf numFmtId="43" fontId="0" fillId="4" borderId="2" xfId="1" applyFont="1" applyFill="1" applyBorder="1"/>
    <xf numFmtId="164" fontId="0" fillId="4" borderId="2" xfId="1" applyNumberFormat="1" applyFont="1" applyFill="1" applyBorder="1"/>
    <xf numFmtId="43" fontId="4" fillId="4" borderId="2" xfId="2" applyNumberFormat="1" applyFill="1" applyBorder="1"/>
    <xf numFmtId="43" fontId="4" fillId="0" borderId="0" xfId="2" applyNumberFormat="1" applyFill="1"/>
    <xf numFmtId="43" fontId="21" fillId="0" borderId="37" xfId="1" applyFont="1" applyBorder="1"/>
    <xf numFmtId="10" fontId="0" fillId="4" borderId="30" xfId="3" applyNumberFormat="1" applyFont="1" applyFill="1" applyBorder="1"/>
    <xf numFmtId="10" fontId="0" fillId="0" borderId="30" xfId="3" applyNumberFormat="1" applyFont="1" applyBorder="1"/>
    <xf numFmtId="43" fontId="0" fillId="0" borderId="30" xfId="1" applyFont="1" applyBorder="1"/>
    <xf numFmtId="10" fontId="0" fillId="0" borderId="31" xfId="3" applyNumberFormat="1" applyFont="1" applyBorder="1"/>
    <xf numFmtId="10" fontId="0" fillId="0" borderId="30"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172" fontId="2" fillId="0" borderId="0" xfId="0" applyNumberFormat="1" applyFont="1"/>
    <xf numFmtId="173"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8"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4" fillId="0" borderId="20" xfId="2" applyBorder="1"/>
    <xf numFmtId="0" fontId="15" fillId="0" borderId="33"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66" fontId="17" fillId="0" borderId="0" xfId="0" applyNumberFormat="1" applyFont="1"/>
    <xf numFmtId="2" fontId="17" fillId="0" borderId="0" xfId="0" applyNumberFormat="1" applyFont="1"/>
    <xf numFmtId="167"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67" fontId="17" fillId="0" borderId="0" xfId="0" applyNumberFormat="1" applyFont="1" applyAlignment="1">
      <alignment horizontal="right"/>
    </xf>
    <xf numFmtId="168" fontId="17" fillId="0" borderId="0" xfId="0" applyNumberFormat="1" applyFont="1"/>
    <xf numFmtId="169"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1" fontId="17" fillId="0" borderId="24" xfId="0" applyNumberFormat="1" applyFont="1" applyBorder="1"/>
    <xf numFmtId="0" fontId="19" fillId="0" borderId="0" xfId="0" applyFont="1"/>
    <xf numFmtId="0" fontId="17" fillId="0" borderId="0" xfId="0" applyFont="1" applyAlignment="1" applyProtection="1">
      <alignment horizontal="center" wrapText="1"/>
      <protection locked="0"/>
    </xf>
    <xf numFmtId="168" fontId="17" fillId="0" borderId="24" xfId="0" applyNumberFormat="1" applyFont="1" applyBorder="1"/>
    <xf numFmtId="167" fontId="23"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4" fillId="0" borderId="0" xfId="0" applyFont="1" applyAlignment="1">
      <alignment horizontal="left" wrapText="1"/>
    </xf>
    <xf numFmtId="0" fontId="24" fillId="0" borderId="0" xfId="0" applyFont="1"/>
    <xf numFmtId="0" fontId="17" fillId="0" borderId="0" xfId="0" quotePrefix="1" applyFont="1" applyAlignment="1">
      <alignment horizontal="center"/>
    </xf>
    <xf numFmtId="0" fontId="24" fillId="0" borderId="0" xfId="0" applyFont="1" applyAlignment="1">
      <alignment horizontal="left" vertical="center" wrapText="1"/>
    </xf>
    <xf numFmtId="0" fontId="11" fillId="0" borderId="24" xfId="0" applyFont="1" applyBorder="1"/>
    <xf numFmtId="0" fontId="25" fillId="0" borderId="0" xfId="0" applyFont="1"/>
    <xf numFmtId="0" fontId="26" fillId="0" borderId="0" xfId="0" applyFont="1"/>
    <xf numFmtId="0" fontId="11" fillId="0" borderId="28" xfId="0" applyFont="1" applyBorder="1"/>
    <xf numFmtId="0" fontId="11" fillId="0" borderId="28" xfId="0" applyFont="1" applyBorder="1" applyAlignment="1">
      <alignment horizontal="right"/>
    </xf>
    <xf numFmtId="0" fontId="26" fillId="0" borderId="28" xfId="0" applyFont="1" applyBorder="1"/>
    <xf numFmtId="0" fontId="11" fillId="0" borderId="29" xfId="0" applyFont="1" applyBorder="1"/>
    <xf numFmtId="0" fontId="0" fillId="6" borderId="0" xfId="0" applyFill="1" applyAlignment="1">
      <alignment horizontal="center" vertical="center" wrapText="1"/>
    </xf>
    <xf numFmtId="0" fontId="2" fillId="0" borderId="40" xfId="0" applyFont="1" applyBorder="1"/>
    <xf numFmtId="43" fontId="0" fillId="0" borderId="30" xfId="0" applyNumberFormat="1" applyBorder="1"/>
    <xf numFmtId="43" fontId="0" fillId="0" borderId="31" xfId="0" applyNumberForma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wrapText="1"/>
    </xf>
    <xf numFmtId="43" fontId="0" fillId="0" borderId="0" xfId="1" applyFont="1" applyAlignment="1">
      <alignment vertical="center"/>
    </xf>
    <xf numFmtId="43" fontId="0" fillId="0" borderId="0" xfId="1" applyFont="1" applyBorder="1" applyAlignment="1">
      <alignment vertical="center"/>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6"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164" fontId="0" fillId="0" borderId="2" xfId="1" applyNumberFormat="1" applyFont="1" applyBorder="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9" fillId="0" borderId="0" xfId="2" applyNumberFormat="1" applyFont="1" applyAlignment="1">
      <alignment vertical="center"/>
    </xf>
    <xf numFmtId="43" fontId="7" fillId="0" borderId="0"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7" xfId="0" applyFill="1" applyBorder="1" applyAlignment="1">
      <alignment horizontal="center" vertical="center"/>
    </xf>
    <xf numFmtId="0" fontId="0" fillId="6" borderId="30" xfId="0" applyFill="1" applyBorder="1" applyAlignment="1">
      <alignment horizontal="center" vertical="center"/>
    </xf>
    <xf numFmtId="0" fontId="0" fillId="7" borderId="31" xfId="0" applyFill="1" applyBorder="1" applyAlignment="1">
      <alignment horizontal="center" vertical="center"/>
    </xf>
    <xf numFmtId="43" fontId="13" fillId="0" borderId="0" xfId="2" applyNumberFormat="1" applyFont="1" applyAlignment="1"/>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0" fontId="2" fillId="0" borderId="9"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0" xfId="1" applyNumberFormat="1" applyFont="1" applyAlignment="1">
      <alignment horizontal="right"/>
    </xf>
    <xf numFmtId="164" fontId="0" fillId="0" borderId="2" xfId="1" applyNumberFormat="1" applyFont="1" applyBorder="1" applyAlignment="1">
      <alignment horizontal="right"/>
    </xf>
    <xf numFmtId="164" fontId="2" fillId="0" borderId="41" xfId="1" applyNumberFormat="1" applyFont="1" applyFill="1" applyBorder="1"/>
    <xf numFmtId="164" fontId="2" fillId="0" borderId="41" xfId="0" applyNumberFormat="1" applyFont="1" applyBorder="1"/>
    <xf numFmtId="164" fontId="2" fillId="0" borderId="14" xfId="0" applyNumberFormat="1" applyFont="1" applyBorder="1"/>
    <xf numFmtId="43" fontId="8" fillId="0" borderId="0" xfId="2" applyNumberFormat="1" applyFont="1"/>
    <xf numFmtId="43" fontId="4" fillId="0" borderId="0" xfId="2" applyNumberFormat="1"/>
    <xf numFmtId="0" fontId="0" fillId="0" borderId="0" xfId="0" applyAlignment="1">
      <alignment horizontal="left" vertical="center" wrapText="1"/>
    </xf>
    <xf numFmtId="43" fontId="0" fillId="0" borderId="0" xfId="1" applyFont="1" applyAlignment="1">
      <alignment horizontal="left" vertical="center"/>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43" fontId="0" fillId="0" borderId="0" xfId="1" applyFont="1" applyAlignment="1">
      <alignment wrapText="1"/>
    </xf>
    <xf numFmtId="0" fontId="0" fillId="0" borderId="0" xfId="0" applyAlignment="1">
      <alignment wrapText="1"/>
    </xf>
    <xf numFmtId="43" fontId="0" fillId="0" borderId="0" xfId="1" applyFont="1" applyAlignment="1">
      <alignment horizontal="left" vertical="center" wrapText="1"/>
    </xf>
    <xf numFmtId="43" fontId="0" fillId="0" borderId="0" xfId="1" applyFont="1" applyFill="1" applyBorder="1" applyAlignment="1">
      <alignment horizontal="left" vertical="center"/>
    </xf>
    <xf numFmtId="43" fontId="2" fillId="0" borderId="0" xfId="1" applyFont="1" applyAlignment="1">
      <alignment horizontal="left" vertical="center"/>
    </xf>
    <xf numFmtId="0" fontId="0" fillId="0" borderId="0" xfId="1" applyNumberFormat="1" applyFont="1" applyAlignment="1">
      <alignment horizontal="left" vertical="center" wrapText="1"/>
    </xf>
    <xf numFmtId="43" fontId="2" fillId="0" borderId="5" xfId="1" applyFont="1" applyFill="1" applyBorder="1" applyAlignment="1">
      <alignment horizontal="center" vertical="center" wrapText="1"/>
    </xf>
    <xf numFmtId="43" fontId="2" fillId="0" borderId="0" xfId="1" applyFont="1" applyAlignment="1">
      <alignment horizontal="left" vertical="center" wrapText="1"/>
    </xf>
    <xf numFmtId="0" fontId="2" fillId="4" borderId="1" xfId="0" applyFont="1" applyFill="1" applyBorder="1"/>
    <xf numFmtId="164" fontId="0" fillId="4" borderId="0" xfId="1" applyNumberFormat="1" applyFont="1" applyFill="1" applyBorder="1"/>
    <xf numFmtId="0" fontId="0" fillId="0" borderId="2" xfId="0" applyBorder="1"/>
    <xf numFmtId="0" fontId="0" fillId="0" borderId="12" xfId="0" applyBorder="1"/>
    <xf numFmtId="0" fontId="2" fillId="0" borderId="17" xfId="0" applyFont="1" applyBorder="1"/>
    <xf numFmtId="0" fontId="2" fillId="0" borderId="43" xfId="0" applyFont="1" applyBorder="1"/>
    <xf numFmtId="0" fontId="2" fillId="0" borderId="42" xfId="0" applyFont="1" applyBorder="1"/>
    <xf numFmtId="0" fontId="2" fillId="0" borderId="19" xfId="0" applyFont="1" applyBorder="1"/>
    <xf numFmtId="0" fontId="2" fillId="0" borderId="44" xfId="0" applyFont="1" applyBorder="1"/>
    <xf numFmtId="0" fontId="2" fillId="0" borderId="2" xfId="0" applyFont="1" applyBorder="1"/>
    <xf numFmtId="0" fontId="2" fillId="0" borderId="1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172" fontId="1" fillId="0" borderId="0" xfId="1" applyNumberFormat="1" applyFont="1"/>
    <xf numFmtId="0" fontId="7" fillId="0" borderId="0" xfId="0" applyFont="1" applyAlignment="1">
      <alignment wrapText="1"/>
    </xf>
    <xf numFmtId="2" fontId="0" fillId="10" borderId="0" xfId="0" applyNumberFormat="1" applyFill="1"/>
    <xf numFmtId="0" fontId="2" fillId="0" borderId="37" xfId="0" applyFont="1" applyBorder="1" applyAlignment="1">
      <alignment horizontal="left" vertical="center" wrapText="1"/>
    </xf>
    <xf numFmtId="170" fontId="0" fillId="0" borderId="31"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1" fillId="0" borderId="0" xfId="0" applyFont="1"/>
    <xf numFmtId="0" fontId="2" fillId="0" borderId="0" xfId="0" applyFont="1" applyAlignment="1">
      <alignment horizontal="center" wrapText="1"/>
    </xf>
    <xf numFmtId="0" fontId="2" fillId="4" borderId="0" xfId="0" applyFont="1" applyFill="1" applyAlignment="1">
      <alignment horizontal="center" vertical="center"/>
    </xf>
    <xf numFmtId="2" fontId="2" fillId="4" borderId="0" xfId="0" applyNumberFormat="1" applyFont="1" applyFill="1"/>
    <xf numFmtId="2" fontId="0" fillId="4" borderId="0" xfId="0" applyNumberFormat="1" applyFill="1" applyAlignment="1">
      <alignment horizontal="center" vertical="center"/>
    </xf>
    <xf numFmtId="0" fontId="4" fillId="0" borderId="0" xfId="2" applyFill="1"/>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9" xfId="0" applyFont="1" applyBorder="1"/>
    <xf numFmtId="0" fontId="2" fillId="0" borderId="24" xfId="0" applyFont="1" applyBorder="1"/>
    <xf numFmtId="0" fontId="0" fillId="0" borderId="14" xfId="0" applyBorder="1"/>
    <xf numFmtId="0" fontId="0" fillId="0" borderId="8" xfId="0" applyBorder="1"/>
    <xf numFmtId="43" fontId="0" fillId="0" borderId="46" xfId="0" applyNumberFormat="1" applyBorder="1"/>
    <xf numFmtId="43" fontId="0" fillId="0" borderId="17" xfId="0" applyNumberFormat="1" applyBorder="1"/>
    <xf numFmtId="43" fontId="0" fillId="0" borderId="43" xfId="0" applyNumberFormat="1" applyBorder="1"/>
    <xf numFmtId="0" fontId="0" fillId="0" borderId="46" xfId="0" applyBorder="1"/>
    <xf numFmtId="0" fontId="0" fillId="0" borderId="43"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0" fontId="2" fillId="0" borderId="9" xfId="0" applyFont="1" applyBorder="1" applyAlignment="1">
      <alignment horizontal="center"/>
    </xf>
    <xf numFmtId="165" fontId="0" fillId="0" borderId="10" xfId="0" applyNumberFormat="1" applyBorder="1"/>
    <xf numFmtId="168" fontId="0" fillId="0" borderId="0" xfId="0" applyNumberFormat="1" applyAlignment="1">
      <alignment horizontal="left" indent="2"/>
    </xf>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6"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0" fillId="0" borderId="0" xfId="1" applyNumberFormat="1" applyFont="1"/>
    <xf numFmtId="0" fontId="2" fillId="0" borderId="0" xfId="1" applyNumberFormat="1" applyFont="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0" fontId="2" fillId="4" borderId="0" xfId="0" applyFont="1" applyFill="1"/>
    <xf numFmtId="0" fontId="7" fillId="0" borderId="0" xfId="1" applyNumberFormat="1" applyFont="1"/>
    <xf numFmtId="1" fontId="0"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40" xfId="0" applyFont="1" applyBorder="1" applyAlignment="1">
      <alignment horizontal="center" vertical="center" wrapText="1"/>
    </xf>
    <xf numFmtId="170" fontId="0" fillId="0" borderId="30" xfId="3" applyNumberFormat="1" applyFont="1" applyBorder="1"/>
    <xf numFmtId="49" fontId="0" fillId="0" borderId="0" xfId="0" applyNumberFormat="1"/>
    <xf numFmtId="172" fontId="0" fillId="0" borderId="0" xfId="1" applyNumberFormat="1" applyFont="1" applyAlignment="1">
      <alignment vertical="center"/>
    </xf>
    <xf numFmtId="175" fontId="0" fillId="0" borderId="0" xfId="5" applyNumberFormat="1" applyFont="1" applyAlignment="1">
      <alignment vertical="center"/>
    </xf>
    <xf numFmtId="0" fontId="2" fillId="0" borderId="5" xfId="0" applyFont="1" applyBorder="1" applyAlignment="1">
      <alignment vertical="center"/>
    </xf>
    <xf numFmtId="43" fontId="7" fillId="0" borderId="0" xfId="1" applyFont="1" applyAlignment="1">
      <alignment horizontal="left" wrapText="1"/>
    </xf>
    <xf numFmtId="43" fontId="0" fillId="0" borderId="16" xfId="1" applyFont="1" applyBorder="1" applyAlignment="1">
      <alignment horizontal="left" vertical="center"/>
    </xf>
    <xf numFmtId="170" fontId="0" fillId="0" borderId="0" xfId="0" applyNumberFormat="1"/>
    <xf numFmtId="20" fontId="0" fillId="0" borderId="0" xfId="0" applyNumberFormat="1"/>
    <xf numFmtId="49" fontId="7" fillId="0" borderId="0" xfId="0" applyNumberFormat="1" applyFont="1"/>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4" borderId="0" xfId="0" applyNumberFormat="1" applyFont="1" applyFill="1"/>
    <xf numFmtId="9" fontId="2" fillId="4" borderId="0" xfId="3" applyFont="1" applyFill="1"/>
    <xf numFmtId="0" fontId="0" fillId="4" borderId="0" xfId="0" applyFill="1" applyAlignment="1">
      <alignment horizontal="left" indent="1"/>
    </xf>
    <xf numFmtId="0" fontId="0" fillId="4" borderId="2" xfId="0" applyFill="1" applyBorder="1" applyAlignment="1">
      <alignment horizontal="left" indent="1"/>
    </xf>
    <xf numFmtId="0" fontId="2" fillId="11" borderId="17" xfId="0" applyFont="1" applyFill="1" applyBorder="1" applyAlignment="1">
      <alignment horizontal="left" vertical="center" wrapText="1"/>
    </xf>
    <xf numFmtId="172" fontId="0" fillId="0" borderId="17" xfId="1" applyNumberFormat="1" applyFont="1" applyBorder="1"/>
    <xf numFmtId="43" fontId="7" fillId="0" borderId="0" xfId="1" applyFont="1" applyAlignment="1">
      <alignment horizontal="left"/>
    </xf>
    <xf numFmtId="43" fontId="8" fillId="0" borderId="0" xfId="2" applyNumberFormat="1" applyFont="1" applyAlignment="1"/>
    <xf numFmtId="9" fontId="2" fillId="0" borderId="14" xfId="3" applyFont="1" applyBorder="1"/>
    <xf numFmtId="170" fontId="0" fillId="0" borderId="4" xfId="3" applyNumberFormat="1" applyFont="1" applyBorder="1"/>
    <xf numFmtId="0" fontId="0" fillId="4" borderId="4" xfId="0" applyFill="1" applyBorder="1"/>
    <xf numFmtId="43" fontId="2" fillId="4" borderId="0" xfId="0" applyNumberFormat="1" applyFont="1" applyFill="1"/>
    <xf numFmtId="170" fontId="0" fillId="4" borderId="4" xfId="3" applyNumberFormat="1" applyFont="1" applyFill="1" applyBorder="1"/>
    <xf numFmtId="0" fontId="2" fillId="0" borderId="20" xfId="0" applyFont="1" applyBorder="1"/>
    <xf numFmtId="0" fontId="0" fillId="0" borderId="22" xfId="0" applyBorder="1"/>
    <xf numFmtId="0" fontId="0" fillId="0" borderId="29"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7" xfId="0" applyFont="1" applyBorder="1"/>
    <xf numFmtId="1" fontId="0" fillId="0" borderId="0" xfId="0" applyNumberFormat="1"/>
    <xf numFmtId="2" fontId="0" fillId="0" borderId="0" xfId="1" applyNumberFormat="1" applyFont="1"/>
    <xf numFmtId="44" fontId="0" fillId="0" borderId="0" xfId="5" applyFont="1" applyFill="1"/>
    <xf numFmtId="175" fontId="0" fillId="0" borderId="0" xfId="5" applyNumberFormat="1" applyFont="1" applyFill="1"/>
    <xf numFmtId="176" fontId="0" fillId="0" borderId="0" xfId="5" applyNumberFormat="1" applyFont="1" applyFill="1"/>
    <xf numFmtId="0" fontId="2" fillId="0" borderId="10" xfId="0" applyFont="1" applyBorder="1" applyAlignment="1">
      <alignment horizontal="center"/>
    </xf>
    <xf numFmtId="0" fontId="0" fillId="0" borderId="37"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7" xfId="3" applyNumberFormat="1" applyFont="1" applyBorder="1"/>
    <xf numFmtId="178" fontId="0" fillId="0" borderId="31" xfId="3" applyNumberFormat="1" applyFont="1" applyBorder="1"/>
    <xf numFmtId="176" fontId="0" fillId="0" borderId="0" xfId="0" applyNumberFormat="1"/>
    <xf numFmtId="0" fontId="0" fillId="0" borderId="0" xfId="1" applyNumberFormat="1" applyFont="1" applyAlignment="1">
      <alignment horizontal="left" indent="2"/>
    </xf>
    <xf numFmtId="0" fontId="3" fillId="0" borderId="0" xfId="1" applyNumberFormat="1" applyFont="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41" xfId="1" applyNumberFormat="1" applyFont="1" applyBorder="1"/>
    <xf numFmtId="43" fontId="2" fillId="0" borderId="37" xfId="1" applyFont="1" applyBorder="1"/>
    <xf numFmtId="0" fontId="7" fillId="0" borderId="0" xfId="0" applyFont="1" applyAlignment="1">
      <alignment vertical="center"/>
    </xf>
    <xf numFmtId="0" fontId="2" fillId="0" borderId="5" xfId="5" applyNumberFormat="1" applyFont="1" applyBorder="1"/>
    <xf numFmtId="0" fontId="0" fillId="0" borderId="2" xfId="0" applyBorder="1" applyAlignment="1">
      <alignment vertical="center"/>
    </xf>
    <xf numFmtId="44" fontId="0" fillId="0" borderId="2" xfId="5" applyFont="1" applyBorder="1"/>
    <xf numFmtId="0" fontId="2" fillId="0" borderId="0" xfId="0" applyFont="1" applyAlignment="1">
      <alignment vertical="center"/>
    </xf>
    <xf numFmtId="43" fontId="0" fillId="0" borderId="4" xfId="0" applyNumberFormat="1" applyBorder="1"/>
    <xf numFmtId="43" fontId="0" fillId="0" borderId="10" xfId="0" applyNumberFormat="1" applyBorder="1"/>
    <xf numFmtId="10" fontId="0" fillId="0" borderId="30" xfId="0" applyNumberFormat="1" applyBorder="1"/>
    <xf numFmtId="10" fontId="0" fillId="0" borderId="31" xfId="0" applyNumberFormat="1" applyBorder="1"/>
    <xf numFmtId="0" fontId="13" fillId="0" borderId="0" xfId="2" applyFont="1" applyAlignment="1">
      <alignment horizontal="left"/>
    </xf>
    <xf numFmtId="177" fontId="0" fillId="0" borderId="0" xfId="5" applyNumberFormat="1" applyFont="1"/>
    <xf numFmtId="0" fontId="0" fillId="0" borderId="41"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0" fillId="0" borderId="0" xfId="3" applyNumberFormat="1" applyFont="1" applyFill="1"/>
    <xf numFmtId="178" fontId="0" fillId="4" borderId="2" xfId="3" applyNumberFormat="1" applyFont="1" applyFill="1" applyBorder="1"/>
    <xf numFmtId="43" fontId="0" fillId="0" borderId="3" xfId="0" applyNumberFormat="1" applyBorder="1"/>
    <xf numFmtId="167" fontId="0" fillId="0" borderId="4" xfId="0" applyNumberFormat="1" applyBorder="1"/>
    <xf numFmtId="10" fontId="10" fillId="4" borderId="4" xfId="3" applyNumberFormat="1" applyFont="1" applyFill="1" applyBorder="1"/>
    <xf numFmtId="10" fontId="10" fillId="4" borderId="0" xfId="0" applyNumberFormat="1" applyFont="1" applyFill="1"/>
    <xf numFmtId="10" fontId="10" fillId="4" borderId="4" xfId="0" applyNumberFormat="1" applyFont="1" applyFill="1" applyBorder="1"/>
    <xf numFmtId="0" fontId="0" fillId="3" borderId="10" xfId="0" applyFill="1" applyBorder="1"/>
    <xf numFmtId="0" fontId="0" fillId="3" borderId="4" xfId="0" applyFill="1" applyBorder="1"/>
    <xf numFmtId="0" fontId="3" fillId="0" borderId="28" xfId="0" applyFont="1" applyBorder="1" applyAlignment="1">
      <alignment horizontal="left" vertical="top"/>
    </xf>
    <xf numFmtId="0" fontId="0" fillId="4" borderId="27" xfId="0" applyFill="1" applyBorder="1" applyAlignment="1">
      <alignment horizontal="center"/>
    </xf>
    <xf numFmtId="0" fontId="0" fillId="4" borderId="29" xfId="0" applyFill="1" applyBorder="1" applyAlignment="1">
      <alignment horizontal="center"/>
    </xf>
    <xf numFmtId="0" fontId="7" fillId="0" borderId="0" xfId="0" applyFont="1" applyAlignment="1">
      <alignment horizontal="left" wrapText="1"/>
    </xf>
    <xf numFmtId="0" fontId="2" fillId="0" borderId="47" xfId="0" applyFont="1" applyBorder="1"/>
    <xf numFmtId="0" fontId="2" fillId="0" borderId="47" xfId="0" applyFont="1" applyBorder="1" applyAlignment="1">
      <alignment horizontal="right"/>
    </xf>
    <xf numFmtId="165" fontId="0" fillId="0" borderId="47"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0" fillId="12" borderId="0" xfId="0" applyFill="1" applyAlignment="1">
      <alignment horizontal="left" indent="2"/>
    </xf>
    <xf numFmtId="168" fontId="0" fillId="12" borderId="0" xfId="0" applyNumberFormat="1" applyFill="1"/>
    <xf numFmtId="0" fontId="0" fillId="12" borderId="0" xfId="0" applyFill="1"/>
    <xf numFmtId="0" fontId="2" fillId="0" borderId="5" xfId="0" applyFont="1" applyBorder="1" applyAlignment="1">
      <alignment horizontal="right" vertical="center" wrapText="1"/>
    </xf>
    <xf numFmtId="0" fontId="0" fillId="0" borderId="0" xfId="1" applyNumberFormat="1" applyFont="1" applyFill="1"/>
    <xf numFmtId="43" fontId="1" fillId="0" borderId="0" xfId="1" applyFont="1" applyFill="1"/>
    <xf numFmtId="43" fontId="0" fillId="0" borderId="0" xfId="1" applyFont="1" applyBorder="1"/>
    <xf numFmtId="43" fontId="0" fillId="0" borderId="0" xfId="1" applyFont="1" applyBorder="1" applyAlignment="1">
      <alignment horizontal="left" vertical="center" indent="2"/>
    </xf>
    <xf numFmtId="43" fontId="1" fillId="0" borderId="0" xfId="1" applyFont="1" applyFill="1" applyBorder="1"/>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164" fontId="0" fillId="0" borderId="2" xfId="1" applyNumberFormat="1" applyFont="1" applyFill="1" applyBorder="1" applyAlignment="1">
      <alignment horizontal="center"/>
    </xf>
    <xf numFmtId="164" fontId="0" fillId="0" borderId="30" xfId="1" applyNumberFormat="1" applyFont="1" applyBorder="1"/>
    <xf numFmtId="164" fontId="2" fillId="0" borderId="5" xfId="1" applyNumberFormat="1" applyFont="1" applyBorder="1"/>
    <xf numFmtId="164" fontId="2" fillId="0" borderId="40" xfId="1" applyNumberFormat="1" applyFont="1" applyBorder="1"/>
    <xf numFmtId="43" fontId="2" fillId="0" borderId="30" xfId="1" applyFont="1" applyBorder="1"/>
    <xf numFmtId="10" fontId="0" fillId="13" borderId="0" xfId="3" applyNumberFormat="1" applyFont="1" applyFill="1"/>
    <xf numFmtId="43" fontId="0" fillId="13" borderId="0" xfId="1" applyFont="1" applyFill="1"/>
    <xf numFmtId="43" fontId="30" fillId="0" borderId="4" xfId="1" applyFont="1" applyBorder="1" applyAlignment="1">
      <alignment vertical="center"/>
    </xf>
    <xf numFmtId="43" fontId="30" fillId="0" borderId="0" xfId="1" applyFont="1" applyBorder="1" applyAlignment="1">
      <alignment vertical="center"/>
    </xf>
    <xf numFmtId="0" fontId="30" fillId="6" borderId="0" xfId="0" applyFont="1" applyFill="1" applyAlignment="1">
      <alignment horizontal="center" vertical="center" wrapText="1"/>
    </xf>
    <xf numFmtId="0" fontId="30" fillId="7" borderId="0" xfId="0" applyFont="1" applyFill="1" applyAlignment="1">
      <alignment horizontal="center" vertical="center" wrapText="1"/>
    </xf>
    <xf numFmtId="0" fontId="3" fillId="0" borderId="2" xfId="0" applyFont="1" applyBorder="1" applyAlignment="1">
      <alignment horizontal="center"/>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2" fillId="0" borderId="10" xfId="0"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170" fontId="7" fillId="0" borderId="17" xfId="3" applyNumberFormat="1" applyFont="1" applyBorder="1" applyAlignment="1">
      <alignment horizontal="center" vertical="center"/>
    </xf>
    <xf numFmtId="170" fontId="7" fillId="0" borderId="45" xfId="3" applyNumberFormat="1" applyFont="1" applyBorder="1" applyAlignment="1">
      <alignment horizontal="center" vertical="center"/>
    </xf>
    <xf numFmtId="0" fontId="0" fillId="0" borderId="14" xfId="0" applyBorder="1"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0" fontId="21" fillId="0" borderId="17" xfId="0" applyFont="1" applyBorder="1" applyAlignment="1">
      <alignment horizontal="center" wrapText="1"/>
    </xf>
    <xf numFmtId="0" fontId="21" fillId="0" borderId="18" xfId="0" applyFont="1" applyBorder="1" applyAlignment="1">
      <alignment horizontal="center" wrapText="1"/>
    </xf>
    <xf numFmtId="169" fontId="7" fillId="0" borderId="17" xfId="3" applyNumberFormat="1" applyFont="1" applyBorder="1" applyAlignment="1">
      <alignment horizontal="center" vertical="center"/>
    </xf>
    <xf numFmtId="169" fontId="7" fillId="0" borderId="43" xfId="3" applyNumberFormat="1" applyFont="1" applyBorder="1" applyAlignment="1">
      <alignment horizontal="center" vertical="center"/>
    </xf>
    <xf numFmtId="169" fontId="7" fillId="0" borderId="45" xfId="3" applyNumberFormat="1" applyFont="1" applyBorder="1" applyAlignment="1">
      <alignment horizontal="center" vertical="center"/>
    </xf>
    <xf numFmtId="169" fontId="7" fillId="0" borderId="46"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17" xfId="0" applyFont="1" applyBorder="1" applyAlignment="1">
      <alignment horizontal="center" wrapText="1"/>
    </xf>
    <xf numFmtId="0" fontId="2" fillId="0" borderId="18" xfId="0" applyFont="1" applyBorder="1" applyAlignment="1">
      <alignment horizontal="center" wrapText="1"/>
    </xf>
    <xf numFmtId="0" fontId="7" fillId="0" borderId="0" xfId="0" applyFont="1" applyAlignment="1">
      <alignment horizontal="left" vertical="center" wrapText="1"/>
    </xf>
    <xf numFmtId="0" fontId="3" fillId="0" borderId="2" xfId="0" applyFont="1" applyBorder="1" applyAlignment="1">
      <alignment horizontal="center" wrapText="1"/>
    </xf>
    <xf numFmtId="0" fontId="7" fillId="0" borderId="0" xfId="0" applyFont="1" applyAlignment="1">
      <alignment horizontal="left" wrapText="1"/>
    </xf>
    <xf numFmtId="0" fontId="21" fillId="0" borderId="20" xfId="0" applyFont="1" applyBorder="1" applyAlignment="1">
      <alignment horizontal="left" wrapText="1"/>
    </xf>
    <xf numFmtId="0" fontId="21" fillId="0" borderId="21" xfId="0" applyFont="1" applyBorder="1" applyAlignment="1">
      <alignment horizontal="left" wrapText="1"/>
    </xf>
    <xf numFmtId="0" fontId="21" fillId="0" borderId="22" xfId="0" applyFont="1" applyBorder="1" applyAlignment="1">
      <alignment horizontal="left" wrapText="1"/>
    </xf>
    <xf numFmtId="0" fontId="21" fillId="0" borderId="25" xfId="0" applyFont="1" applyBorder="1" applyAlignment="1">
      <alignment horizontal="left" wrapText="1"/>
    </xf>
    <xf numFmtId="0" fontId="21" fillId="0" borderId="0" xfId="0" applyFont="1" applyAlignment="1">
      <alignment horizontal="left" wrapText="1"/>
    </xf>
    <xf numFmtId="0" fontId="21" fillId="0" borderId="24" xfId="0" applyFont="1" applyBorder="1" applyAlignment="1">
      <alignment horizontal="left" wrapText="1"/>
    </xf>
    <xf numFmtId="0" fontId="7" fillId="0" borderId="25" xfId="0" applyFont="1" applyBorder="1" applyAlignment="1">
      <alignment horizontal="left" vertical="center" wrapText="1"/>
    </xf>
    <xf numFmtId="0" fontId="7" fillId="0" borderId="24"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7" fillId="0" borderId="29" xfId="0" applyFont="1" applyBorder="1" applyAlignment="1">
      <alignment horizontal="left" vertical="center" wrapText="1"/>
    </xf>
    <xf numFmtId="0" fontId="7" fillId="0" borderId="0" xfId="0" applyFont="1" applyAlignment="1">
      <alignment horizontal="center" vertical="center" wrapText="1"/>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41"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7" fillId="0" borderId="0" xfId="1" applyFont="1" applyAlignment="1">
      <alignment horizontal="left" wrapText="1"/>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8" fillId="0" borderId="2" xfId="2" applyNumberFormat="1" applyFont="1" applyBorder="1" applyAlignment="1">
      <alignment horizontal="center"/>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0" fontId="0" fillId="0" borderId="37" xfId="1" applyNumberFormat="1" applyFont="1" applyBorder="1" applyAlignment="1">
      <alignment horizontal="left" vertical="center" wrapText="1"/>
    </xf>
    <xf numFmtId="0" fontId="0" fillId="0" borderId="30" xfId="1" applyNumberFormat="1" applyFont="1" applyBorder="1" applyAlignment="1">
      <alignment horizontal="left" vertical="center" wrapText="1"/>
    </xf>
    <xf numFmtId="0" fontId="0" fillId="0" borderId="31" xfId="1" applyNumberFormat="1" applyFont="1" applyBorder="1" applyAlignment="1">
      <alignment horizontal="left" vertical="center" wrapText="1"/>
    </xf>
    <xf numFmtId="0" fontId="0" fillId="0" borderId="0" xfId="0" applyAlignment="1">
      <alignment horizontal="right" vertical="center"/>
    </xf>
    <xf numFmtId="0" fontId="7" fillId="0" borderId="21" xfId="0" applyFont="1" applyBorder="1" applyAlignment="1">
      <alignment horizontal="left" wrapText="1"/>
    </xf>
    <xf numFmtId="0" fontId="2" fillId="0" borderId="2" xfId="0" applyFont="1" applyBorder="1" applyAlignment="1">
      <alignment horizontal="center"/>
    </xf>
    <xf numFmtId="0" fontId="2" fillId="0" borderId="0" xfId="0" applyFont="1" applyAlignment="1">
      <alignment horizontal="center" vertical="center"/>
    </xf>
    <xf numFmtId="0" fontId="2" fillId="0" borderId="1" xfId="0" applyFont="1" applyBorder="1" applyAlignment="1">
      <alignment horizontal="center" vertical="center"/>
    </xf>
    <xf numFmtId="0" fontId="13" fillId="0" borderId="2" xfId="2" applyFont="1" applyBorder="1" applyAlignment="1">
      <alignment horizontal="center"/>
    </xf>
    <xf numFmtId="0" fontId="3" fillId="0" borderId="28" xfId="0" applyFont="1" applyBorder="1" applyAlignment="1">
      <alignment horizontal="center"/>
    </xf>
    <xf numFmtId="49" fontId="2" fillId="0" borderId="0" xfId="0" applyNumberFormat="1" applyFont="1" applyAlignment="1">
      <alignment horizontal="center"/>
    </xf>
    <xf numFmtId="0" fontId="0" fillId="0" borderId="0" xfId="0" applyAlignment="1">
      <alignment horizontal="left" wrapText="1"/>
    </xf>
    <xf numFmtId="0" fontId="7" fillId="0" borderId="25" xfId="0" applyFont="1" applyBorder="1" applyAlignment="1">
      <alignment horizontal="left" wrapText="1"/>
    </xf>
    <xf numFmtId="0" fontId="7" fillId="0" borderId="24"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0" fontId="7" fillId="0" borderId="29"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2" fillId="0" borderId="20" xfId="0" applyFont="1" applyBorder="1" applyAlignment="1">
      <alignment horizontal="center" wrapText="1"/>
    </xf>
    <xf numFmtId="0" fontId="2" fillId="0" borderId="27" xfId="0" applyFont="1" applyBorder="1" applyAlignment="1">
      <alignment horizontal="center" wrapText="1"/>
    </xf>
    <xf numFmtId="0" fontId="0" fillId="0" borderId="22" xfId="0" applyBorder="1" applyAlignment="1">
      <alignment horizontal="center" vertical="center"/>
    </xf>
    <xf numFmtId="0" fontId="0" fillId="0" borderId="29" xfId="0" applyBorder="1" applyAlignment="1">
      <alignment horizontal="center" vertical="center"/>
    </xf>
    <xf numFmtId="0" fontId="21" fillId="4" borderId="20" xfId="0" applyFont="1" applyFill="1" applyBorder="1" applyAlignment="1">
      <alignment horizontal="center"/>
    </xf>
    <xf numFmtId="0" fontId="21" fillId="4" borderId="22" xfId="0" applyFont="1" applyFill="1" applyBorder="1" applyAlignment="1">
      <alignment horizontal="center"/>
    </xf>
    <xf numFmtId="0" fontId="3" fillId="0" borderId="0" xfId="0" applyFont="1" applyAlignment="1">
      <alignment horizontal="center" wrapText="1"/>
    </xf>
    <xf numFmtId="0" fontId="5" fillId="0" borderId="39"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2"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2" fillId="0" borderId="2" xfId="0" applyFont="1" applyBorder="1" applyAlignment="1">
      <alignment horizontal="center"/>
    </xf>
    <xf numFmtId="0" fontId="12" fillId="0" borderId="0" xfId="0" applyFont="1" applyAlignment="1">
      <alignment horizontal="center"/>
    </xf>
    <xf numFmtId="0" fontId="3" fillId="0" borderId="34" xfId="0" applyFont="1" applyBorder="1" applyAlignment="1">
      <alignment horizontal="center"/>
    </xf>
    <xf numFmtId="0" fontId="3" fillId="0" borderId="35" xfId="0" applyFont="1" applyBorder="1" applyAlignment="1">
      <alignment horizontal="center"/>
    </xf>
    <xf numFmtId="0" fontId="3" fillId="0" borderId="36" xfId="0" applyFont="1" applyBorder="1" applyAlignment="1">
      <alignment horizontal="center"/>
    </xf>
    <xf numFmtId="0" fontId="3" fillId="0" borderId="1"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8">
    <dxf>
      <font>
        <color rgb="FF9C0006"/>
      </font>
      <fill>
        <patternFill>
          <bgColor rgb="FFFFC7CE"/>
        </patternFill>
      </fill>
    </dxf>
    <dxf>
      <font>
        <strike val="0"/>
      </font>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9999"/>
        </patternFill>
      </fill>
    </dxf>
    <dxf>
      <fill>
        <patternFill>
          <bgColor rgb="FFFF9999"/>
        </patternFill>
      </fill>
    </dxf>
    <dxf>
      <font>
        <strike val="0"/>
      </font>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Calcs'!$AT$107</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Calcs'!$AU$107:$AY$107</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 Calcs'!$AT$108</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Calcs'!$AU$108:$AY$108</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Calcs'!$AT$103</c:f>
              <c:strCache>
                <c:ptCount val="1"/>
                <c:pt idx="0">
                  <c:v>Light Truck - gasoline (km/L)</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Calcs'!$AU$103:$AY$103</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 Calcs'!$AT$104</c:f>
              <c:strCache>
                <c:ptCount val="1"/>
                <c:pt idx="0">
                  <c:v>Light Truck - diesel (km/L)</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Calcs'!$AU$104:$AY$104</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Calcs'!$AT$111</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Calcs'!$AU$111:$AY$111</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 Calcs'!$AT$112</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Calcs'!$AU$112:$AY$112</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Mid-size BEV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Calcs'!$DG$63</c:f>
              <c:strCache>
                <c:ptCount val="1"/>
                <c:pt idx="0">
                  <c:v>ANL Autonomie 2022 (low uncertainty)</c:v>
                </c:pt>
              </c:strCache>
            </c:strRef>
          </c:tx>
          <c:spPr>
            <a:ln w="28575" cap="rnd">
              <a:solidFill>
                <a:schemeClr val="accent1"/>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Calcs'!$DH$63:$DO$63</c:f>
              <c:numCache>
                <c:formatCode>General</c:formatCode>
                <c:ptCount val="8"/>
                <c:pt idx="0">
                  <c:v>0.23654570009372447</c:v>
                </c:pt>
                <c:pt idx="1">
                  <c:v>0.23132959240087553</c:v>
                </c:pt>
                <c:pt idx="2">
                  <c:v>0.22611348470802656</c:v>
                </c:pt>
                <c:pt idx="3">
                  <c:v>0.21935820039424811</c:v>
                </c:pt>
                <c:pt idx="4">
                  <c:v>0.19876363309082443</c:v>
                </c:pt>
                <c:pt idx="5">
                  <c:v>0.19221367598526079</c:v>
                </c:pt>
                <c:pt idx="6">
                  <c:v>0.18566371887969715</c:v>
                </c:pt>
                <c:pt idx="7">
                  <c:v>0.17911376177413352</c:v>
                </c:pt>
              </c:numCache>
            </c:numRef>
          </c:val>
          <c:smooth val="0"/>
          <c:extLst>
            <c:ext xmlns:c16="http://schemas.microsoft.com/office/drawing/2014/chart" uri="{C3380CC4-5D6E-409C-BE32-E72D297353CC}">
              <c16:uniqueId val="{00000000-FFCE-40E5-B743-0E85E47CE4FF}"/>
            </c:ext>
          </c:extLst>
        </c:ser>
        <c:ser>
          <c:idx val="1"/>
          <c:order val="1"/>
          <c:tx>
            <c:strRef>
              <c:f>'Eff Calcs'!$DG$64</c:f>
              <c:strCache>
                <c:ptCount val="1"/>
                <c:pt idx="0">
                  <c:v>NREL ADOPT 2022 (mid-transition)</c:v>
                </c:pt>
              </c:strCache>
            </c:strRef>
          </c:tx>
          <c:spPr>
            <a:ln w="28575" cap="rnd">
              <a:solidFill>
                <a:schemeClr val="accent2"/>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Calcs'!$DH$64:$DO$64</c:f>
              <c:numCache>
                <c:formatCode>General</c:formatCode>
                <c:ptCount val="8"/>
                <c:pt idx="0">
                  <c:v>0.32</c:v>
                </c:pt>
                <c:pt idx="1">
                  <c:v>0.32</c:v>
                </c:pt>
                <c:pt idx="2">
                  <c:v>0.32</c:v>
                </c:pt>
                <c:pt idx="3">
                  <c:v>0.32</c:v>
                </c:pt>
                <c:pt idx="4">
                  <c:v>0.32</c:v>
                </c:pt>
              </c:numCache>
            </c:numRef>
          </c:val>
          <c:smooth val="0"/>
          <c:extLst>
            <c:ext xmlns:c16="http://schemas.microsoft.com/office/drawing/2014/chart" uri="{C3380CC4-5D6E-409C-BE32-E72D297353CC}">
              <c16:uniqueId val="{00000001-FFCE-40E5-B743-0E85E47CE4FF}"/>
            </c:ext>
          </c:extLst>
        </c:ser>
        <c:ser>
          <c:idx val="2"/>
          <c:order val="2"/>
          <c:tx>
            <c:strRef>
              <c:f>'Eff Calcs'!$DG$65</c:f>
              <c:strCache>
                <c:ptCount val="1"/>
                <c:pt idx="0">
                  <c:v>EIA AEO 2023 (reference)</c:v>
                </c:pt>
              </c:strCache>
            </c:strRef>
          </c:tx>
          <c:spPr>
            <a:ln w="28575" cap="rnd">
              <a:solidFill>
                <a:schemeClr val="accent3"/>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Calcs'!$DH$65:$DO$65</c:f>
              <c:numCache>
                <c:formatCode>General</c:formatCode>
                <c:ptCount val="8"/>
                <c:pt idx="1">
                  <c:v>0.29156536860957066</c:v>
                </c:pt>
                <c:pt idx="2">
                  <c:v>0.28645845840213047</c:v>
                </c:pt>
                <c:pt idx="3">
                  <c:v>0.28328650475713701</c:v>
                </c:pt>
                <c:pt idx="4">
                  <c:v>0.282905393733204</c:v>
                </c:pt>
                <c:pt idx="5">
                  <c:v>0.28234444551145138</c:v>
                </c:pt>
                <c:pt idx="6">
                  <c:v>0.28214662240687582</c:v>
                </c:pt>
                <c:pt idx="7">
                  <c:v>0.28196172536077885</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0.35000000000000003"/>
          <c:min val="0.1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(kWh/mile)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DSL Class 4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Calcs'!$DG$69</c:f>
              <c:strCache>
                <c:ptCount val="1"/>
                <c:pt idx="0">
                  <c:v>ANL Autonomie 2022 - Box (low uncertainty)</c:v>
                </c:pt>
              </c:strCache>
            </c:strRef>
          </c:tx>
          <c:spPr>
            <a:ln w="28575" cap="rnd">
              <a:solidFill>
                <a:schemeClr val="accent1"/>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Calcs'!$DH$69:$DP$69</c:f>
              <c:numCache>
                <c:formatCode>General</c:formatCode>
                <c:ptCount val="9"/>
                <c:pt idx="1">
                  <c:v>20.000721955964547</c:v>
                </c:pt>
                <c:pt idx="2">
                  <c:v>19.36619075178757</c:v>
                </c:pt>
                <c:pt idx="3">
                  <c:v>18.731659547610597</c:v>
                </c:pt>
                <c:pt idx="4">
                  <c:v>17.653181833685419</c:v>
                </c:pt>
                <c:pt idx="5">
                  <c:v>16.902469505731968</c:v>
                </c:pt>
                <c:pt idx="6">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 Calcs'!$DG$70</c:f>
              <c:strCache>
                <c:ptCount val="1"/>
                <c:pt idx="0">
                  <c:v>ANL Autonomie 2022 - Step Van (low uncertainty)</c:v>
                </c:pt>
              </c:strCache>
            </c:strRef>
          </c:tx>
          <c:spPr>
            <a:ln w="28575" cap="rnd">
              <a:solidFill>
                <a:schemeClr val="accent2"/>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Calcs'!$DH$70:$DP$70</c:f>
              <c:numCache>
                <c:formatCode>General</c:formatCode>
                <c:ptCount val="9"/>
                <c:pt idx="1">
                  <c:v>19.239945071804911</c:v>
                </c:pt>
                <c:pt idx="2">
                  <c:v>18.572849776093054</c:v>
                </c:pt>
                <c:pt idx="3">
                  <c:v>17.905754480381198</c:v>
                </c:pt>
                <c:pt idx="4">
                  <c:v>16.528541358628413</c:v>
                </c:pt>
                <c:pt idx="5">
                  <c:v>15.77857531689115</c:v>
                </c:pt>
                <c:pt idx="6">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 Calcs'!$DG$71</c:f>
              <c:strCache>
                <c:ptCount val="1"/>
                <c:pt idx="0">
                  <c:v>ANL Autonomie 2022 - Service (low uncertainty)</c:v>
                </c:pt>
              </c:strCache>
            </c:strRef>
          </c:tx>
          <c:spPr>
            <a:ln w="28575" cap="rnd">
              <a:solidFill>
                <a:schemeClr val="accent3"/>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Calcs'!$DH$71:$DP$71</c:f>
              <c:numCache>
                <c:formatCode>General</c:formatCode>
                <c:ptCount val="9"/>
                <c:pt idx="1">
                  <c:v>23.314367568538266</c:v>
                </c:pt>
                <c:pt idx="2">
                  <c:v>22.582352584691805</c:v>
                </c:pt>
                <c:pt idx="3">
                  <c:v>21.850337600845343</c:v>
                </c:pt>
                <c:pt idx="4">
                  <c:v>20.603794817858521</c:v>
                </c:pt>
                <c:pt idx="5">
                  <c:v>19.73831254809431</c:v>
                </c:pt>
                <c:pt idx="6">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 Calcs'!$DG$72</c:f>
              <c:strCache>
                <c:ptCount val="1"/>
                <c:pt idx="0">
                  <c:v>NREL FASTSim 2022 (reference)</c:v>
                </c:pt>
              </c:strCache>
            </c:strRef>
          </c:tx>
          <c:spPr>
            <a:ln w="28575" cap="rnd">
              <a:solidFill>
                <a:schemeClr val="accent4"/>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Calcs'!$DH$72:$DP$72</c:f>
              <c:numCache>
                <c:formatCode>General</c:formatCode>
                <c:ptCount val="9"/>
                <c:pt idx="0">
                  <c:v>23.288625667468132</c:v>
                </c:pt>
                <c:pt idx="1">
                  <c:v>20.859426618253771</c:v>
                </c:pt>
                <c:pt idx="2">
                  <c:v>18.43022756903941</c:v>
                </c:pt>
                <c:pt idx="3">
                  <c:v>16.001028519825045</c:v>
                </c:pt>
                <c:pt idx="4">
                  <c:v>15.473721898148993</c:v>
                </c:pt>
                <c:pt idx="5">
                  <c:v>14.946415276472941</c:v>
                </c:pt>
                <c:pt idx="6">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 Calcs'!$DG$73</c:f>
              <c:strCache>
                <c:ptCount val="1"/>
                <c:pt idx="0">
                  <c:v>EIA AEO 2023 (reference)</c:v>
                </c:pt>
              </c:strCache>
            </c:strRef>
          </c:tx>
          <c:spPr>
            <a:ln w="28575" cap="rnd">
              <a:solidFill>
                <a:schemeClr val="accent5"/>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Calcs'!$DH$73:$DP$73</c:f>
              <c:numCache>
                <c:formatCode>General</c:formatCode>
                <c:ptCount val="9"/>
                <c:pt idx="2">
                  <c:v>25.584400005680866</c:v>
                </c:pt>
                <c:pt idx="3">
                  <c:v>24.10473564496705</c:v>
                </c:pt>
                <c:pt idx="4">
                  <c:v>21.522299103709507</c:v>
                </c:pt>
                <c:pt idx="5">
                  <c:v>19.579648899313064</c:v>
                </c:pt>
                <c:pt idx="6">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Fuel economy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Calcs'!$AU$130</c:f>
              <c:strCache>
                <c:ptCount val="1"/>
                <c:pt idx="0">
                  <c:v>Car (battery electric, 200-mile range)</c:v>
                </c:pt>
              </c:strCache>
            </c:strRef>
          </c:tx>
          <c:spPr>
            <a:ln w="28575" cap="rnd">
              <a:solidFill>
                <a:schemeClr val="accent1"/>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Calcs'!$AV$130:$BE$130</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 Calcs'!$AU$131</c:f>
              <c:strCache>
                <c:ptCount val="1"/>
                <c:pt idx="0">
                  <c:v>Car (battery electric, 300-mile range)</c:v>
                </c:pt>
              </c:strCache>
            </c:strRef>
          </c:tx>
          <c:spPr>
            <a:ln w="28575" cap="rnd">
              <a:solidFill>
                <a:schemeClr val="accent2"/>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Calcs'!$AV$131:$BE$131</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 Calcs'!$AU$132</c:f>
              <c:strCache>
                <c:ptCount val="1"/>
                <c:pt idx="0">
                  <c:v>Car (gasoline, plug-in hybrid, 20-mile range)</c:v>
                </c:pt>
              </c:strCache>
            </c:strRef>
          </c:tx>
          <c:spPr>
            <a:ln w="28575" cap="rnd">
              <a:solidFill>
                <a:schemeClr val="accent3"/>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Calcs'!$AV$132:$BE$132</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 Calcs'!$AU$133</c:f>
              <c:strCache>
                <c:ptCount val="1"/>
                <c:pt idx="0">
                  <c:v>Car (H2 @ 700 bar, fuel cell electric, 300-mile range)</c:v>
                </c:pt>
              </c:strCache>
            </c:strRef>
          </c:tx>
          <c:spPr>
            <a:ln w="28575" cap="rnd">
              <a:solidFill>
                <a:schemeClr val="accent4"/>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Calcs'!$AV$133:$BE$133</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 Calcs'!$AU$134</c:f>
              <c:strCache>
                <c:ptCount val="1"/>
                <c:pt idx="0">
                  <c:v>Car (gasoline, hybrid)</c:v>
                </c:pt>
              </c:strCache>
            </c:strRef>
          </c:tx>
          <c:spPr>
            <a:ln w="28575" cap="rnd">
              <a:solidFill>
                <a:schemeClr val="accent5"/>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Calcs'!$AV$134:$BE$134</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 Calcs'!$AU$135</c:f>
              <c:strCache>
                <c:ptCount val="1"/>
                <c:pt idx="0">
                  <c:v>Car (gasoline)</c:v>
                </c:pt>
              </c:strCache>
            </c:strRef>
          </c:tx>
          <c:spPr>
            <a:ln w="28575" cap="rnd">
              <a:solidFill>
                <a:schemeClr val="accent6"/>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Calcs'!$AV$135:$BE$135</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Calcs'!$AU$138</c:f>
              <c:strCache>
                <c:ptCount val="1"/>
                <c:pt idx="0">
                  <c:v>Light truck (battery electric, 200-mile range)</c:v>
                </c:pt>
              </c:strCache>
            </c:strRef>
          </c:tx>
          <c:spPr>
            <a:ln w="28575" cap="rnd">
              <a:solidFill>
                <a:schemeClr val="accent1"/>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Calcs'!$AV$138:$BF$138</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 Calcs'!$AU$139</c:f>
              <c:strCache>
                <c:ptCount val="1"/>
                <c:pt idx="0">
                  <c:v>Light truck (battery electric, 300-mile range)</c:v>
                </c:pt>
              </c:strCache>
            </c:strRef>
          </c:tx>
          <c:spPr>
            <a:ln w="28575" cap="rnd">
              <a:solidFill>
                <a:schemeClr val="accent2"/>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Calcs'!$AV$139:$BF$139</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 Calcs'!$AU$140</c:f>
              <c:strCache>
                <c:ptCount val="1"/>
                <c:pt idx="0">
                  <c:v>Light truck (gasoline, plug-in hybrid, 20-mile range)</c:v>
                </c:pt>
              </c:strCache>
            </c:strRef>
          </c:tx>
          <c:spPr>
            <a:ln w="28575" cap="rnd">
              <a:solidFill>
                <a:schemeClr val="accent3"/>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Calcs'!$AV$140:$BF$140</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 Calcs'!$AU$141</c:f>
              <c:strCache>
                <c:ptCount val="1"/>
                <c:pt idx="0">
                  <c:v>Light truck (H2 @ 700 bar, fuel cell electric, 300-mile range)</c:v>
                </c:pt>
              </c:strCache>
            </c:strRef>
          </c:tx>
          <c:spPr>
            <a:ln w="28575" cap="rnd">
              <a:solidFill>
                <a:schemeClr val="accent4"/>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Calcs'!$AV$141:$BF$141</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 Calcs'!$AU$142</c:f>
              <c:strCache>
                <c:ptCount val="1"/>
                <c:pt idx="0">
                  <c:v>Light truck (gasoline, hybrid)</c:v>
                </c:pt>
              </c:strCache>
            </c:strRef>
          </c:tx>
          <c:spPr>
            <a:ln w="28575" cap="rnd">
              <a:solidFill>
                <a:schemeClr val="accent5"/>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Calcs'!$AV$142:$BF$142</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 Calcs'!$AU$143</c:f>
              <c:strCache>
                <c:ptCount val="1"/>
                <c:pt idx="0">
                  <c:v>Light truck (diesel)</c:v>
                </c:pt>
              </c:strCache>
            </c:strRef>
          </c:tx>
          <c:spPr>
            <a:ln w="28575" cap="rnd">
              <a:solidFill>
                <a:schemeClr val="accent6"/>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Calcs'!$AV$143:$BF$143</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 Calcs'!$AU$144</c:f>
              <c:strCache>
                <c:ptCount val="1"/>
                <c:pt idx="0">
                  <c:v>Light truck (gasoline)</c:v>
                </c:pt>
              </c:strCache>
            </c:strRef>
          </c:tx>
          <c:spPr>
            <a:ln w="28575" cap="rnd">
              <a:solidFill>
                <a:schemeClr val="accent1">
                  <a:lumMod val="60000"/>
                </a:schemeClr>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Calcs'!$AV$144:$BF$144</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'VarCosts Calcs'!$AG$21</c:f>
              <c:strCache>
                <c:ptCount val="1"/>
                <c:pt idx="0">
                  <c:v>Cars</c:v>
                </c:pt>
              </c:strCache>
            </c:strRef>
          </c:tx>
          <c:spPr>
            <a:ln w="28575" cap="rnd">
              <a:solidFill>
                <a:schemeClr val="accent1"/>
              </a:solidFill>
              <a:round/>
            </a:ln>
            <a:effectLst/>
          </c:spPr>
          <c:marker>
            <c:symbol val="none"/>
          </c:marker>
          <c:cat>
            <c:numRef>
              <c:f>'VarCosts Calcs'!$AF$22:$AF$37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Calcs'!$AG$22:$AG$37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'VarCosts Calcs'!$AH$21</c:f>
              <c:strCache>
                <c:ptCount val="1"/>
                <c:pt idx="0">
                  <c:v>Light-trucks</c:v>
                </c:pt>
              </c:strCache>
            </c:strRef>
          </c:tx>
          <c:spPr>
            <a:ln w="28575" cap="rnd">
              <a:solidFill>
                <a:schemeClr val="accent2"/>
              </a:solidFill>
              <a:round/>
            </a:ln>
            <a:effectLst/>
          </c:spPr>
          <c:marker>
            <c:symbol val="none"/>
          </c:marker>
          <c:cat>
            <c:numRef>
              <c:f>'VarCosts Calcs'!$AF$22:$AF$37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Calcs'!$AH$22:$AH$37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'VarCosts Calcs'!$AG$41</c:f>
              <c:strCache>
                <c:ptCount val="1"/>
                <c:pt idx="0">
                  <c:v>Class 8 Vocational</c:v>
                </c:pt>
              </c:strCache>
            </c:strRef>
          </c:tx>
          <c:spPr>
            <a:ln w="28575" cap="rnd">
              <a:solidFill>
                <a:schemeClr val="accent2"/>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Calcs'!$AG$42:$AG$61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'VarCosts Calcs'!$AH$41</c:f>
              <c:strCache>
                <c:ptCount val="1"/>
                <c:pt idx="0">
                  <c:v>Class 6 Delivery</c:v>
                </c:pt>
              </c:strCache>
            </c:strRef>
          </c:tx>
          <c:spPr>
            <a:ln w="28575" cap="rnd">
              <a:solidFill>
                <a:schemeClr val="accent3"/>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Calcs'!$AH$42:$AH$61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'VarCosts Calcs'!$AI$41</c:f>
              <c:strCache>
                <c:ptCount val="1"/>
                <c:pt idx="0">
                  <c:v>Class 4 Delivery</c:v>
                </c:pt>
              </c:strCache>
            </c:strRef>
          </c:tx>
          <c:spPr>
            <a:ln w="28575" cap="rnd">
              <a:solidFill>
                <a:schemeClr val="accent4"/>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Calcs'!$AI$42:$AI$61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'VarCosts Calcs'!$AJ$41</c:f>
              <c:strCache>
                <c:ptCount val="1"/>
                <c:pt idx="0">
                  <c:v>Class 8 Sleeper Cab</c:v>
                </c:pt>
              </c:strCache>
            </c:strRef>
          </c:tx>
          <c:spPr>
            <a:ln w="28575" cap="rnd">
              <a:solidFill>
                <a:schemeClr val="accent5"/>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Calcs'!$AJ$42:$AJ$61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'VarCosts Calcs'!$AK$41</c:f>
              <c:strCache>
                <c:ptCount val="1"/>
                <c:pt idx="0">
                  <c:v>Class 8 Day Cab</c:v>
                </c:pt>
              </c:strCache>
            </c:strRef>
          </c:tx>
          <c:spPr>
            <a:ln w="28575" cap="rnd">
              <a:solidFill>
                <a:schemeClr val="accent6"/>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Calcs'!$AK$42:$AK$61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'VarCosts Calcs'!$AL$41</c:f>
              <c:strCache>
                <c:ptCount val="1"/>
                <c:pt idx="0">
                  <c:v>Class 8 Longhaul</c:v>
                </c:pt>
              </c:strCache>
            </c:strRef>
          </c:tx>
          <c:spPr>
            <a:ln w="28575" cap="rnd">
              <a:solidFill>
                <a:schemeClr val="accent1">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Calcs'!$AL$42:$AL$61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'VarCosts Calcs'!$AM$41</c:f>
              <c:strCache>
                <c:ptCount val="1"/>
                <c:pt idx="0">
                  <c:v>Class 8 Regional</c:v>
                </c:pt>
              </c:strCache>
            </c:strRef>
          </c:tx>
          <c:spPr>
            <a:ln w="28575" cap="rnd">
              <a:solidFill>
                <a:schemeClr val="accent2">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Calcs'!$AM$42:$AM$61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'VarCosts Calcs'!$AN$41</c:f>
              <c:strCache>
                <c:ptCount val="1"/>
                <c:pt idx="0">
                  <c:v>Class 8 Local</c:v>
                </c:pt>
              </c:strCache>
            </c:strRef>
          </c:tx>
          <c:spPr>
            <a:ln w="28575" cap="rnd">
              <a:solidFill>
                <a:schemeClr val="accent3">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Calcs'!$AN$42:$AN$61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'VarCosts Calcs'!$AO$41</c:f>
              <c:strCache>
                <c:ptCount val="1"/>
                <c:pt idx="0">
                  <c:v>Bus</c:v>
                </c:pt>
              </c:strCache>
            </c:strRef>
          </c:tx>
          <c:spPr>
            <a:ln w="28575" cap="rnd">
              <a:solidFill>
                <a:schemeClr val="accent4">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Calcs'!$AO$42:$AO$61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61</xdr:col>
      <xdr:colOff>439738</xdr:colOff>
      <xdr:row>110</xdr:row>
      <xdr:rowOff>9525</xdr:rowOff>
    </xdr:from>
    <xdr:to>
      <xdr:col>67</xdr:col>
      <xdr:colOff>320675</xdr:colOff>
      <xdr:row>127</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377825</xdr:colOff>
      <xdr:row>101</xdr:row>
      <xdr:rowOff>152400</xdr:rowOff>
    </xdr:from>
    <xdr:to>
      <xdr:col>61</xdr:col>
      <xdr:colOff>406400</xdr:colOff>
      <xdr:row>116</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447675</xdr:colOff>
      <xdr:row>94</xdr:row>
      <xdr:rowOff>131762</xdr:rowOff>
    </xdr:from>
    <xdr:to>
      <xdr:col>67</xdr:col>
      <xdr:colOff>304800</xdr:colOff>
      <xdr:row>109</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114</xdr:col>
      <xdr:colOff>82551</xdr:colOff>
      <xdr:row>73</xdr:row>
      <xdr:rowOff>155799</xdr:rowOff>
    </xdr:from>
    <xdr:to>
      <xdr:col>119</xdr:col>
      <xdr:colOff>399144</xdr:colOff>
      <xdr:row>100</xdr:row>
      <xdr:rowOff>163286</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110</xdr:col>
      <xdr:colOff>1038678</xdr:colOff>
      <xdr:row>73</xdr:row>
      <xdr:rowOff>165553</xdr:rowOff>
    </xdr:from>
    <xdr:to>
      <xdr:col>113</xdr:col>
      <xdr:colOff>2256972</xdr:colOff>
      <xdr:row>101</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145</xdr:row>
      <xdr:rowOff>22226</xdr:rowOff>
    </xdr:from>
    <xdr:to>
      <xdr:col>49</xdr:col>
      <xdr:colOff>254000</xdr:colOff>
      <xdr:row>172</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145</xdr:row>
      <xdr:rowOff>38100</xdr:rowOff>
    </xdr:from>
    <xdr:to>
      <xdr:col>58</xdr:col>
      <xdr:colOff>419100</xdr:colOff>
      <xdr:row>172</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34</xdr:col>
      <xdr:colOff>139700</xdr:colOff>
      <xdr:row>20</xdr:row>
      <xdr:rowOff>68262</xdr:rowOff>
    </xdr:from>
    <xdr:to>
      <xdr:col>37</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406401</xdr:colOff>
      <xdr:row>61</xdr:row>
      <xdr:rowOff>46036</xdr:rowOff>
    </xdr:from>
    <xdr:to>
      <xdr:col>38</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85725</xdr:colOff>
      <xdr:row>70</xdr:row>
      <xdr:rowOff>103319</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hyperlink" Target="https://github.com/JGCRI/gcam-cor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cfpub.epa.gov/si/si_public_record_report.cfm?Lab=NRMRL&amp;dirEntryId=346478" TargetMode="External"/><Relationship Id="rId13" Type="http://schemas.openxmlformats.org/officeDocument/2006/relationships/hyperlink" Target="https://www.nrel.gov/docs/fy21osti/71796.pdf." TargetMode="External"/><Relationship Id="rId18" Type="http://schemas.openxmlformats.org/officeDocument/2006/relationships/hyperlink" Target="https://www.nrel.gov/docs/fy21osti/71796.pdf" TargetMode="External"/><Relationship Id="rId26" Type="http://schemas.openxmlformats.org/officeDocument/2006/relationships/hyperlink" Target="mailto:nemsmodel@eia.gov" TargetMode="External"/><Relationship Id="rId3" Type="http://schemas.openxmlformats.org/officeDocument/2006/relationships/hyperlink" Target="https://docs.energypolicy.solutions/models/canada" TargetMode="External"/><Relationship Id="rId21" Type="http://schemas.openxmlformats.org/officeDocument/2006/relationships/hyperlink" Target="https://anl.box.com/s/o4qd76cx7atadx03tzw9ddgo1m6yanek" TargetMode="External"/><Relationship Id="rId7" Type="http://schemas.openxmlformats.org/officeDocument/2006/relationships/hyperlink" Target="https://cfpub.epa.gov/si/si_public_record_report.cfm?Lab=NRMRL&amp;dirEntryId=346478" TargetMode="External"/><Relationship Id="rId12" Type="http://schemas.openxmlformats.org/officeDocument/2006/relationships/hyperlink" Target="https://doi.org/10.25318/2310030801-eng" TargetMode="External"/><Relationship Id="rId17" Type="http://schemas.openxmlformats.org/officeDocument/2006/relationships/hyperlink" Target="https://www.nrel.gov/docs/fy21osti/71796.pdf" TargetMode="External"/><Relationship Id="rId25" Type="http://schemas.openxmlformats.org/officeDocument/2006/relationships/hyperlink" Target="https://www.nrel.gov/docs/fy21osti/71796.pdf" TargetMode="External"/><Relationship Id="rId2" Type="http://schemas.openxmlformats.org/officeDocument/2006/relationships/hyperlink" Target="https://doi.org/10.25318/3410025401-eng" TargetMode="External"/><Relationship Id="rId16" Type="http://schemas.openxmlformats.org/officeDocument/2006/relationships/hyperlink" Target="https://www.nhtsa.gov/file-downloads?p=nhtsa/downloads/CAFE/2022-FR-LD-2024-2026/" TargetMode="External"/><Relationship Id="rId20" Type="http://schemas.openxmlformats.org/officeDocument/2006/relationships/hyperlink" Target="https://vms.taps.anl.gov/research-highlights/u-s-doe-vto-hfto-r-d-benefits/" TargetMode="External"/><Relationship Id="rId29" Type="http://schemas.openxmlformats.org/officeDocument/2006/relationships/hyperlink" Target="https://doi.org/10.35002/zjr8-8x75"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file-downloads?p=nhtsa/downloads/CAFE/2022-FR-LD-2024-2026/" TargetMode="External"/><Relationship Id="rId11" Type="http://schemas.openxmlformats.org/officeDocument/2006/relationships/hyperlink" Target="https://doi.org/10.25318/2310021901-eng" TargetMode="External"/><Relationship Id="rId24" Type="http://schemas.openxmlformats.org/officeDocument/2006/relationships/hyperlink" Target="https://www.nrel.gov/docs/fy21osti/71796.pdf" TargetMode="External"/><Relationship Id="rId32" Type="http://schemas.openxmlformats.org/officeDocument/2006/relationships/printerSettings" Target="../printerSettings/printerSettings5.bin"/><Relationship Id="rId5" Type="http://schemas.openxmlformats.org/officeDocument/2006/relationships/hyperlink" Target="https://www.boeing.com/assets/pdf/commercial/aircraft_economic_life_whitepaper.pdf" TargetMode="External"/><Relationship Id="rId15" Type="http://schemas.openxmlformats.org/officeDocument/2006/relationships/hyperlink" Target="https://www.nhtsa.gov/file-downloads?p=nhtsa/downloads/CAFE/2022-FR-LD-2024-2026/" TargetMode="External"/><Relationship Id="rId23" Type="http://schemas.openxmlformats.org/officeDocument/2006/relationships/hyperlink" Target="https://www.nrel.gov/docs/fy21osti/71796.pdf" TargetMode="External"/><Relationship Id="rId28" Type="http://schemas.openxmlformats.org/officeDocument/2006/relationships/hyperlink" Target="https://doi.org/10.35002/zjr8-8x75" TargetMode="External"/><Relationship Id="rId10" Type="http://schemas.openxmlformats.org/officeDocument/2006/relationships/hyperlink" Target="https://www.nhtsa.gov/file-downloads?p=nhtsa/downloads/CAFE/2022-FR-LD-2024-2026/" TargetMode="External"/><Relationship Id="rId19" Type="http://schemas.openxmlformats.org/officeDocument/2006/relationships/hyperlink" Target="https://greet.es.anl.gov/afleet" TargetMode="External"/><Relationship Id="rId31" Type="http://schemas.openxmlformats.org/officeDocument/2006/relationships/hyperlink" Target="https://nepis.epa.gov/Exe/ZyPDF.cgi?Dockey=P101867U.pdf"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www.nhtsa.gov/file-downloads?p=nhtsa/downloads/CAFE/2022-FR-LD-2024-2026/"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anl.box.com/s/o4qd76cx7atadx03tzw9ddgo1m6yanek" TargetMode="External"/><Relationship Id="rId27" Type="http://schemas.openxmlformats.org/officeDocument/2006/relationships/hyperlink" Target="https://nhts.ornl.gov/" TargetMode="External"/><Relationship Id="rId30" Type="http://schemas.openxmlformats.org/officeDocument/2006/relationships/hyperlink" Target="https://doi.org/10.7922/G2H993FJ"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theicct.org/publication/lvs-ci-quebec-can-en-feb22/" TargetMode="External"/><Relationship Id="rId3" Type="http://schemas.openxmlformats.org/officeDocument/2006/relationships/hyperlink" Target="https://www.statista.com/statistics/447802/enrollment-of-postsecondary-students-in-canada-by-province/" TargetMode="External"/><Relationship Id="rId7" Type="http://schemas.openxmlformats.org/officeDocument/2006/relationships/hyperlink" Target="https://theicct.github.io/EVCHARGE-doc/versions/v1.1/" TargetMode="External"/><Relationship Id="rId2" Type="http://schemas.openxmlformats.org/officeDocument/2006/relationships/hyperlink" Target="https://doi.org/10.25318/9810000201-eng" TargetMode="External"/><Relationship Id="rId1" Type="http://schemas.openxmlformats.org/officeDocument/2006/relationships/hyperlink" Target="https://doi.org/10.25318/9810059301-eng" TargetMode="External"/><Relationship Id="rId6" Type="http://schemas.openxmlformats.org/officeDocument/2006/relationships/hyperlink" Target="https://natural-resources.canada.ca/energy-efficiency/transportation-alternative-fuels/resource-library/updated-projections-canadas-public-charging-infrastructure-needs/24504" TargetMode="External"/><Relationship Id="rId5" Type="http://schemas.openxmlformats.org/officeDocument/2006/relationships/hyperlink" Target="https://natural-resources.canada.ca/energy-efficiency/transportation-alternative-fuels/resource-library/3489" TargetMode="External"/><Relationship Id="rId10" Type="http://schemas.openxmlformats.org/officeDocument/2006/relationships/printerSettings" Target="../printerSettings/printerSettings6.bin"/><Relationship Id="rId4" Type="http://schemas.openxmlformats.org/officeDocument/2006/relationships/hyperlink" Target="https://www.renewables.ninja/" TargetMode="External"/><Relationship Id="rId9" Type="http://schemas.openxmlformats.org/officeDocument/2006/relationships/hyperlink" Target="https://theicct.org/publication/lvs-ci-quebec-can-en-feb22/"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open.canada.ca/data/en/dataset/98f1a129-f628-4ce4-b24d-6f16bf24dd64"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26" Type="http://schemas.openxmlformats.org/officeDocument/2006/relationships/hyperlink" Target="https://www150.statcan.gc.ca/t1/tbl1/en/tv.action?pid=2310030801" TargetMode="External"/><Relationship Id="rId39" Type="http://schemas.openxmlformats.org/officeDocument/2006/relationships/hyperlink" Target="https://doi.org/10.11578/GREET-Excel-2022/dc.20220908.1" TargetMode="External"/><Relationship Id="rId21" Type="http://schemas.openxmlformats.org/officeDocument/2006/relationships/hyperlink" Target="https://doi.org/10.1016/j.seta.2023.103070" TargetMode="External"/><Relationship Id="rId34" Type="http://schemas.openxmlformats.org/officeDocument/2006/relationships/hyperlink" Target="https://vms.taps.anl.gov/research-highlights/u-s-doe-vto-hfto-r-d-benefits/"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tabColor theme="0"/>
  </sheetPr>
  <dimension ref="A1:E141"/>
  <sheetViews>
    <sheetView tabSelected="1" topLeftCell="D1" workbookViewId="0">
      <selection activeCell="I12" sqref="I12"/>
    </sheetView>
  </sheetViews>
  <sheetFormatPr defaultRowHeight="14.5" x14ac:dyDescent="0.35"/>
  <cols>
    <col min="1" max="1" width="23.54296875" bestFit="1" customWidth="1"/>
    <col min="2" max="2" width="4.453125" bestFit="1" customWidth="1"/>
    <col min="3" max="3" width="87.1796875" customWidth="1"/>
    <col min="4" max="4" width="218.7265625" bestFit="1" customWidth="1"/>
    <col min="5" max="5" width="13.36328125" bestFit="1" customWidth="1"/>
  </cols>
  <sheetData>
    <row r="1" spans="1:5" ht="16" thickBot="1" x14ac:dyDescent="0.4">
      <c r="A1" s="2" t="s">
        <v>0</v>
      </c>
      <c r="B1" s="2" t="s">
        <v>479</v>
      </c>
      <c r="C1" s="2" t="s">
        <v>1</v>
      </c>
      <c r="D1" s="2" t="s">
        <v>2</v>
      </c>
      <c r="E1" s="2" t="s">
        <v>2337</v>
      </c>
    </row>
    <row r="2" spans="1:5" ht="15" thickTop="1" x14ac:dyDescent="0.35">
      <c r="A2" t="s">
        <v>1083</v>
      </c>
      <c r="B2" t="s">
        <v>480</v>
      </c>
      <c r="C2" t="s">
        <v>3</v>
      </c>
      <c r="D2" t="s">
        <v>186</v>
      </c>
      <c r="E2" t="s">
        <v>32</v>
      </c>
    </row>
    <row r="3" spans="1:5" x14ac:dyDescent="0.35">
      <c r="A3" t="s">
        <v>28</v>
      </c>
      <c r="B3" t="s">
        <v>480</v>
      </c>
      <c r="C3" t="s">
        <v>4</v>
      </c>
      <c r="D3" t="s">
        <v>186</v>
      </c>
      <c r="E3" t="s">
        <v>32</v>
      </c>
    </row>
    <row r="4" spans="1:5" x14ac:dyDescent="0.35">
      <c r="A4" t="s">
        <v>2197</v>
      </c>
      <c r="B4" t="s">
        <v>480</v>
      </c>
      <c r="C4" t="s">
        <v>2199</v>
      </c>
      <c r="D4" t="s">
        <v>186</v>
      </c>
      <c r="E4" t="s">
        <v>32</v>
      </c>
    </row>
    <row r="5" spans="1:5" x14ac:dyDescent="0.35">
      <c r="A5" t="s">
        <v>1084</v>
      </c>
      <c r="B5" t="s">
        <v>480</v>
      </c>
      <c r="C5" t="s">
        <v>552</v>
      </c>
      <c r="D5" t="s">
        <v>554</v>
      </c>
      <c r="E5" t="s">
        <v>32</v>
      </c>
    </row>
    <row r="6" spans="1:5" x14ac:dyDescent="0.35">
      <c r="A6" t="s">
        <v>1095</v>
      </c>
      <c r="B6" t="s">
        <v>480</v>
      </c>
      <c r="C6" t="s">
        <v>553</v>
      </c>
      <c r="D6" t="s">
        <v>554</v>
      </c>
      <c r="E6" t="s">
        <v>32</v>
      </c>
    </row>
    <row r="7" spans="1:5" x14ac:dyDescent="0.35">
      <c r="A7" t="s">
        <v>1085</v>
      </c>
      <c r="B7" t="s">
        <v>480</v>
      </c>
      <c r="C7" t="s">
        <v>5</v>
      </c>
      <c r="D7" t="s">
        <v>791</v>
      </c>
      <c r="E7" t="s">
        <v>1597</v>
      </c>
    </row>
    <row r="8" spans="1:5" x14ac:dyDescent="0.35">
      <c r="A8" t="s">
        <v>408</v>
      </c>
      <c r="B8" t="s">
        <v>480</v>
      </c>
      <c r="C8" t="s">
        <v>6</v>
      </c>
      <c r="D8" t="s">
        <v>791</v>
      </c>
      <c r="E8" t="s">
        <v>1597</v>
      </c>
    </row>
    <row r="9" spans="1:5" x14ac:dyDescent="0.35">
      <c r="A9" t="s">
        <v>2198</v>
      </c>
      <c r="B9" t="s">
        <v>480</v>
      </c>
      <c r="C9" t="s">
        <v>2200</v>
      </c>
      <c r="D9" t="s">
        <v>791</v>
      </c>
      <c r="E9" t="s">
        <v>1597</v>
      </c>
    </row>
    <row r="10" spans="1:5" x14ac:dyDescent="0.35">
      <c r="A10" t="s">
        <v>1086</v>
      </c>
      <c r="B10" t="s">
        <v>480</v>
      </c>
      <c r="C10" t="s">
        <v>551</v>
      </c>
      <c r="D10" t="s">
        <v>792</v>
      </c>
      <c r="E10" t="s">
        <v>1597</v>
      </c>
    </row>
    <row r="11" spans="1:5" x14ac:dyDescent="0.35">
      <c r="A11" t="s">
        <v>1096</v>
      </c>
      <c r="B11" t="s">
        <v>480</v>
      </c>
      <c r="C11" t="s">
        <v>550</v>
      </c>
      <c r="D11" t="s">
        <v>792</v>
      </c>
      <c r="E11" t="s">
        <v>1597</v>
      </c>
    </row>
    <row r="12" spans="1:5" x14ac:dyDescent="0.35">
      <c r="A12" t="s">
        <v>1087</v>
      </c>
      <c r="B12" t="s">
        <v>480</v>
      </c>
      <c r="C12" t="s">
        <v>7</v>
      </c>
      <c r="D12" t="s">
        <v>793</v>
      </c>
      <c r="E12" t="s">
        <v>1597</v>
      </c>
    </row>
    <row r="13" spans="1:5" x14ac:dyDescent="0.35">
      <c r="A13" t="s">
        <v>409</v>
      </c>
      <c r="B13" t="s">
        <v>480</v>
      </c>
      <c r="C13" t="s">
        <v>8</v>
      </c>
      <c r="D13" t="s">
        <v>793</v>
      </c>
      <c r="E13" t="s">
        <v>1597</v>
      </c>
    </row>
    <row r="14" spans="1:5" x14ac:dyDescent="0.35">
      <c r="A14" t="s">
        <v>1088</v>
      </c>
      <c r="B14" t="s">
        <v>480</v>
      </c>
      <c r="C14" t="s">
        <v>549</v>
      </c>
      <c r="D14" t="s">
        <v>794</v>
      </c>
      <c r="E14" t="s">
        <v>1597</v>
      </c>
    </row>
    <row r="15" spans="1:5" x14ac:dyDescent="0.35">
      <c r="A15" t="s">
        <v>1097</v>
      </c>
      <c r="B15" t="s">
        <v>480</v>
      </c>
      <c r="C15" t="s">
        <v>548</v>
      </c>
      <c r="D15" t="s">
        <v>794</v>
      </c>
      <c r="E15" t="s">
        <v>1597</v>
      </c>
    </row>
    <row r="16" spans="1:5" x14ac:dyDescent="0.35">
      <c r="A16" t="s">
        <v>1089</v>
      </c>
      <c r="B16" t="s">
        <v>480</v>
      </c>
      <c r="C16" t="s">
        <v>183</v>
      </c>
      <c r="D16" t="s">
        <v>795</v>
      </c>
      <c r="E16" t="s">
        <v>1604</v>
      </c>
    </row>
    <row r="17" spans="1:5" x14ac:dyDescent="0.35">
      <c r="A17" t="s">
        <v>29</v>
      </c>
      <c r="B17" t="s">
        <v>480</v>
      </c>
      <c r="C17" t="s">
        <v>184</v>
      </c>
      <c r="D17" t="s">
        <v>795</v>
      </c>
      <c r="E17" t="s">
        <v>1604</v>
      </c>
    </row>
    <row r="18" spans="1:5" x14ac:dyDescent="0.35">
      <c r="A18" t="s">
        <v>30</v>
      </c>
      <c r="B18" t="s">
        <v>480</v>
      </c>
      <c r="C18" t="s">
        <v>185</v>
      </c>
      <c r="D18" t="s">
        <v>194</v>
      </c>
      <c r="E18" t="s">
        <v>56</v>
      </c>
    </row>
    <row r="19" spans="1:5" x14ac:dyDescent="0.35">
      <c r="A19" t="s">
        <v>1090</v>
      </c>
      <c r="B19" t="s">
        <v>480</v>
      </c>
      <c r="C19" t="s">
        <v>195</v>
      </c>
      <c r="D19" t="s">
        <v>1850</v>
      </c>
      <c r="E19" t="s">
        <v>61</v>
      </c>
    </row>
    <row r="20" spans="1:5" x14ac:dyDescent="0.35">
      <c r="A20" t="s">
        <v>1091</v>
      </c>
      <c r="B20" t="s">
        <v>480</v>
      </c>
      <c r="C20" t="s">
        <v>410</v>
      </c>
      <c r="D20" t="s">
        <v>424</v>
      </c>
      <c r="E20" t="s">
        <v>1661</v>
      </c>
    </row>
    <row r="21" spans="1:5" x14ac:dyDescent="0.35">
      <c r="A21" t="s">
        <v>403</v>
      </c>
      <c r="B21" t="s">
        <v>480</v>
      </c>
      <c r="C21" t="s">
        <v>411</v>
      </c>
      <c r="D21" t="s">
        <v>424</v>
      </c>
      <c r="E21" t="s">
        <v>1661</v>
      </c>
    </row>
    <row r="22" spans="1:5" x14ac:dyDescent="0.35">
      <c r="A22" t="s">
        <v>404</v>
      </c>
      <c r="B22" t="s">
        <v>480</v>
      </c>
      <c r="C22" t="s">
        <v>412</v>
      </c>
      <c r="D22" t="s">
        <v>424</v>
      </c>
      <c r="E22" t="s">
        <v>1661</v>
      </c>
    </row>
    <row r="23" spans="1:5" x14ac:dyDescent="0.35">
      <c r="A23" t="s">
        <v>1092</v>
      </c>
      <c r="B23" t="s">
        <v>480</v>
      </c>
      <c r="C23" t="s">
        <v>413</v>
      </c>
      <c r="D23" t="s">
        <v>425</v>
      </c>
      <c r="E23" t="s">
        <v>1661</v>
      </c>
    </row>
    <row r="24" spans="1:5" x14ac:dyDescent="0.35">
      <c r="A24" t="s">
        <v>405</v>
      </c>
      <c r="B24" t="s">
        <v>480</v>
      </c>
      <c r="C24" t="s">
        <v>414</v>
      </c>
      <c r="D24" t="s">
        <v>425</v>
      </c>
      <c r="E24" t="s">
        <v>1661</v>
      </c>
    </row>
    <row r="25" spans="1:5" x14ac:dyDescent="0.35">
      <c r="A25" t="s">
        <v>406</v>
      </c>
      <c r="B25" t="s">
        <v>480</v>
      </c>
      <c r="C25" t="s">
        <v>415</v>
      </c>
      <c r="D25" t="s">
        <v>425</v>
      </c>
      <c r="E25" t="s">
        <v>1661</v>
      </c>
    </row>
    <row r="26" spans="1:5" x14ac:dyDescent="0.35">
      <c r="A26" t="s">
        <v>1963</v>
      </c>
      <c r="B26" t="s">
        <v>480</v>
      </c>
      <c r="C26" t="s">
        <v>1964</v>
      </c>
      <c r="D26" t="s">
        <v>2336</v>
      </c>
      <c r="E26" t="s">
        <v>1661</v>
      </c>
    </row>
    <row r="27" spans="1:5" x14ac:dyDescent="0.35">
      <c r="A27" t="s">
        <v>1093</v>
      </c>
      <c r="B27" t="s">
        <v>480</v>
      </c>
      <c r="C27" t="s">
        <v>416</v>
      </c>
      <c r="D27" t="s">
        <v>426</v>
      </c>
      <c r="E27" t="s">
        <v>1661</v>
      </c>
    </row>
    <row r="28" spans="1:5" x14ac:dyDescent="0.35">
      <c r="A28" t="s">
        <v>407</v>
      </c>
      <c r="B28" t="s">
        <v>480</v>
      </c>
      <c r="C28" t="s">
        <v>417</v>
      </c>
      <c r="D28" t="s">
        <v>426</v>
      </c>
      <c r="E28" t="s">
        <v>1661</v>
      </c>
    </row>
    <row r="29" spans="1:5" x14ac:dyDescent="0.35">
      <c r="A29" t="s">
        <v>288</v>
      </c>
      <c r="B29" t="s">
        <v>480</v>
      </c>
      <c r="C29" t="s">
        <v>418</v>
      </c>
      <c r="D29" t="s">
        <v>427</v>
      </c>
      <c r="E29" t="s">
        <v>2338</v>
      </c>
    </row>
    <row r="30" spans="1:5" x14ac:dyDescent="0.35">
      <c r="A30" t="s">
        <v>289</v>
      </c>
      <c r="B30" t="s">
        <v>480</v>
      </c>
      <c r="C30" t="s">
        <v>419</v>
      </c>
      <c r="D30" t="s">
        <v>428</v>
      </c>
      <c r="E30" t="s">
        <v>1815</v>
      </c>
    </row>
    <row r="31" spans="1:5" x14ac:dyDescent="0.35">
      <c r="A31" t="s">
        <v>400</v>
      </c>
      <c r="B31" t="s">
        <v>480</v>
      </c>
      <c r="C31" t="s">
        <v>420</v>
      </c>
      <c r="D31" t="s">
        <v>2335</v>
      </c>
      <c r="E31" t="s">
        <v>2339</v>
      </c>
    </row>
    <row r="32" spans="1:5" x14ac:dyDescent="0.35">
      <c r="A32" t="s">
        <v>290</v>
      </c>
      <c r="B32" t="s">
        <v>480</v>
      </c>
      <c r="C32" t="s">
        <v>421</v>
      </c>
      <c r="D32" t="s">
        <v>429</v>
      </c>
      <c r="E32" t="s">
        <v>2340</v>
      </c>
    </row>
    <row r="33" spans="1:5" x14ac:dyDescent="0.35">
      <c r="A33" t="s">
        <v>401</v>
      </c>
      <c r="B33" t="s">
        <v>480</v>
      </c>
      <c r="C33" t="s">
        <v>423</v>
      </c>
      <c r="D33" t="s">
        <v>430</v>
      </c>
      <c r="E33" t="s">
        <v>1324</v>
      </c>
    </row>
    <row r="34" spans="1:5" x14ac:dyDescent="0.35">
      <c r="A34" s="249" t="s">
        <v>402</v>
      </c>
      <c r="B34" s="249" t="s">
        <v>480</v>
      </c>
      <c r="C34" s="249" t="s">
        <v>422</v>
      </c>
      <c r="D34" s="249" t="s">
        <v>430</v>
      </c>
      <c r="E34" t="s">
        <v>1324</v>
      </c>
    </row>
    <row r="35" spans="1:5" x14ac:dyDescent="0.35">
      <c r="A35" t="s">
        <v>1170</v>
      </c>
      <c r="B35" t="s">
        <v>480</v>
      </c>
      <c r="C35" t="s">
        <v>1851</v>
      </c>
      <c r="D35" t="s">
        <v>186</v>
      </c>
      <c r="E35" t="s">
        <v>32</v>
      </c>
    </row>
    <row r="36" spans="1:5" x14ac:dyDescent="0.35">
      <c r="A36" t="s">
        <v>1171</v>
      </c>
      <c r="B36" t="s">
        <v>480</v>
      </c>
      <c r="C36" t="s">
        <v>1865</v>
      </c>
      <c r="D36" t="s">
        <v>186</v>
      </c>
      <c r="E36" t="s">
        <v>32</v>
      </c>
    </row>
    <row r="37" spans="1:5" x14ac:dyDescent="0.35">
      <c r="A37" t="s">
        <v>1172</v>
      </c>
      <c r="B37" t="s">
        <v>480</v>
      </c>
      <c r="C37" t="s">
        <v>1872</v>
      </c>
      <c r="D37" t="s">
        <v>186</v>
      </c>
      <c r="E37" t="s">
        <v>32</v>
      </c>
    </row>
    <row r="38" spans="1:5" x14ac:dyDescent="0.35">
      <c r="A38" t="s">
        <v>1173</v>
      </c>
      <c r="B38" t="s">
        <v>480</v>
      </c>
      <c r="C38" t="s">
        <v>1877</v>
      </c>
      <c r="D38" t="s">
        <v>186</v>
      </c>
      <c r="E38" t="s">
        <v>32</v>
      </c>
    </row>
    <row r="39" spans="1:5" x14ac:dyDescent="0.35">
      <c r="A39" t="s">
        <v>1174</v>
      </c>
      <c r="B39" t="s">
        <v>480</v>
      </c>
      <c r="C39" t="s">
        <v>1885</v>
      </c>
      <c r="D39" t="s">
        <v>186</v>
      </c>
      <c r="E39" t="s">
        <v>32</v>
      </c>
    </row>
    <row r="40" spans="1:5" x14ac:dyDescent="0.35">
      <c r="A40" t="s">
        <v>1175</v>
      </c>
      <c r="B40" t="s">
        <v>480</v>
      </c>
      <c r="C40" t="s">
        <v>1888</v>
      </c>
      <c r="D40" t="s">
        <v>186</v>
      </c>
      <c r="E40" t="s">
        <v>32</v>
      </c>
    </row>
    <row r="41" spans="1:5" x14ac:dyDescent="0.35">
      <c r="A41" t="s">
        <v>1176</v>
      </c>
      <c r="B41" t="s">
        <v>480</v>
      </c>
      <c r="C41" t="s">
        <v>1896</v>
      </c>
      <c r="D41" t="s">
        <v>186</v>
      </c>
      <c r="E41" t="s">
        <v>32</v>
      </c>
    </row>
    <row r="42" spans="1:5" x14ac:dyDescent="0.35">
      <c r="A42" t="s">
        <v>1177</v>
      </c>
      <c r="B42" t="s">
        <v>480</v>
      </c>
      <c r="C42" t="s">
        <v>1897</v>
      </c>
      <c r="D42" t="s">
        <v>186</v>
      </c>
      <c r="E42" t="s">
        <v>32</v>
      </c>
    </row>
    <row r="43" spans="1:5" x14ac:dyDescent="0.35">
      <c r="A43" t="s">
        <v>1178</v>
      </c>
      <c r="B43" t="s">
        <v>480</v>
      </c>
      <c r="C43" t="s">
        <v>1900</v>
      </c>
      <c r="D43" t="s">
        <v>186</v>
      </c>
      <c r="E43" t="s">
        <v>32</v>
      </c>
    </row>
    <row r="44" spans="1:5" x14ac:dyDescent="0.35">
      <c r="A44" t="s">
        <v>1179</v>
      </c>
      <c r="B44" t="s">
        <v>480</v>
      </c>
      <c r="C44" t="s">
        <v>1903</v>
      </c>
      <c r="D44" t="s">
        <v>186</v>
      </c>
      <c r="E44" t="s">
        <v>32</v>
      </c>
    </row>
    <row r="45" spans="1:5" x14ac:dyDescent="0.35">
      <c r="A45" t="s">
        <v>1180</v>
      </c>
      <c r="B45" t="s">
        <v>480</v>
      </c>
      <c r="C45" t="s">
        <v>2107</v>
      </c>
      <c r="D45" t="s">
        <v>186</v>
      </c>
      <c r="E45" t="s">
        <v>32</v>
      </c>
    </row>
    <row r="46" spans="1:5" x14ac:dyDescent="0.35">
      <c r="A46" t="s">
        <v>1181</v>
      </c>
      <c r="B46" t="s">
        <v>480</v>
      </c>
      <c r="C46" t="s">
        <v>2108</v>
      </c>
      <c r="D46" t="s">
        <v>186</v>
      </c>
      <c r="E46" t="s">
        <v>32</v>
      </c>
    </row>
    <row r="47" spans="1:5" x14ac:dyDescent="0.35">
      <c r="A47" t="s">
        <v>1182</v>
      </c>
      <c r="B47" t="s">
        <v>480</v>
      </c>
      <c r="C47" t="s">
        <v>1852</v>
      </c>
      <c r="D47" t="s">
        <v>791</v>
      </c>
      <c r="E47" t="s">
        <v>1597</v>
      </c>
    </row>
    <row r="48" spans="1:5" x14ac:dyDescent="0.35">
      <c r="A48" t="s">
        <v>1183</v>
      </c>
      <c r="B48" t="s">
        <v>480</v>
      </c>
      <c r="C48" t="s">
        <v>1866</v>
      </c>
      <c r="D48" t="s">
        <v>791</v>
      </c>
      <c r="E48" t="s">
        <v>1597</v>
      </c>
    </row>
    <row r="49" spans="1:5" x14ac:dyDescent="0.35">
      <c r="A49" t="s">
        <v>1184</v>
      </c>
      <c r="B49" t="s">
        <v>480</v>
      </c>
      <c r="C49" t="s">
        <v>1873</v>
      </c>
      <c r="D49" t="s">
        <v>791</v>
      </c>
      <c r="E49" t="s">
        <v>1597</v>
      </c>
    </row>
    <row r="50" spans="1:5" x14ac:dyDescent="0.35">
      <c r="A50" t="s">
        <v>1185</v>
      </c>
      <c r="B50" t="s">
        <v>480</v>
      </c>
      <c r="C50" t="s">
        <v>1878</v>
      </c>
      <c r="D50" t="s">
        <v>791</v>
      </c>
      <c r="E50" t="s">
        <v>1597</v>
      </c>
    </row>
    <row r="51" spans="1:5" x14ac:dyDescent="0.35">
      <c r="A51" t="s">
        <v>1186</v>
      </c>
      <c r="B51" t="s">
        <v>480</v>
      </c>
      <c r="C51" t="s">
        <v>1886</v>
      </c>
      <c r="D51" t="s">
        <v>791</v>
      </c>
      <c r="E51" t="s">
        <v>1597</v>
      </c>
    </row>
    <row r="52" spans="1:5" x14ac:dyDescent="0.35">
      <c r="A52" t="s">
        <v>1187</v>
      </c>
      <c r="B52" t="s">
        <v>480</v>
      </c>
      <c r="C52" t="s">
        <v>1889</v>
      </c>
      <c r="D52" t="s">
        <v>791</v>
      </c>
      <c r="E52" t="s">
        <v>1597</v>
      </c>
    </row>
    <row r="53" spans="1:5" x14ac:dyDescent="0.35">
      <c r="A53" t="s">
        <v>1188</v>
      </c>
      <c r="B53" t="s">
        <v>480</v>
      </c>
      <c r="C53" t="s">
        <v>1894</v>
      </c>
      <c r="D53" t="s">
        <v>791</v>
      </c>
      <c r="E53" t="s">
        <v>1597</v>
      </c>
    </row>
    <row r="54" spans="1:5" x14ac:dyDescent="0.35">
      <c r="A54" t="s">
        <v>1189</v>
      </c>
      <c r="B54" t="s">
        <v>480</v>
      </c>
      <c r="C54" t="s">
        <v>1898</v>
      </c>
      <c r="D54" t="s">
        <v>791</v>
      </c>
      <c r="E54" t="s">
        <v>1597</v>
      </c>
    </row>
    <row r="55" spans="1:5" x14ac:dyDescent="0.35">
      <c r="A55" t="s">
        <v>1190</v>
      </c>
      <c r="B55" t="s">
        <v>480</v>
      </c>
      <c r="C55" t="s">
        <v>1901</v>
      </c>
      <c r="D55" t="s">
        <v>791</v>
      </c>
      <c r="E55" t="s">
        <v>1597</v>
      </c>
    </row>
    <row r="56" spans="1:5" x14ac:dyDescent="0.35">
      <c r="A56" t="s">
        <v>1191</v>
      </c>
      <c r="B56" t="s">
        <v>480</v>
      </c>
      <c r="C56" t="s">
        <v>1904</v>
      </c>
      <c r="D56" t="s">
        <v>791</v>
      </c>
      <c r="E56" t="s">
        <v>1597</v>
      </c>
    </row>
    <row r="57" spans="1:5" x14ac:dyDescent="0.35">
      <c r="A57" t="s">
        <v>1192</v>
      </c>
      <c r="B57" t="s">
        <v>480</v>
      </c>
      <c r="C57" t="s">
        <v>2109</v>
      </c>
      <c r="D57" t="s">
        <v>791</v>
      </c>
      <c r="E57" t="s">
        <v>1597</v>
      </c>
    </row>
    <row r="58" spans="1:5" x14ac:dyDescent="0.35">
      <c r="A58" t="s">
        <v>1193</v>
      </c>
      <c r="B58" t="s">
        <v>480</v>
      </c>
      <c r="C58" t="s">
        <v>2110</v>
      </c>
      <c r="D58" t="s">
        <v>791</v>
      </c>
      <c r="E58" t="s">
        <v>1597</v>
      </c>
    </row>
    <row r="59" spans="1:5" x14ac:dyDescent="0.35">
      <c r="A59" t="s">
        <v>1203</v>
      </c>
      <c r="B59" t="s">
        <v>480</v>
      </c>
      <c r="C59" t="s">
        <v>1853</v>
      </c>
      <c r="D59" t="s">
        <v>793</v>
      </c>
      <c r="E59" t="s">
        <v>1597</v>
      </c>
    </row>
    <row r="60" spans="1:5" x14ac:dyDescent="0.35">
      <c r="A60" t="s">
        <v>1204</v>
      </c>
      <c r="B60" t="s">
        <v>480</v>
      </c>
      <c r="C60" t="s">
        <v>1867</v>
      </c>
      <c r="D60" t="s">
        <v>793</v>
      </c>
      <c r="E60" t="s">
        <v>1597</v>
      </c>
    </row>
    <row r="61" spans="1:5" x14ac:dyDescent="0.35">
      <c r="A61" t="s">
        <v>1205</v>
      </c>
      <c r="B61" t="s">
        <v>480</v>
      </c>
      <c r="C61" t="s">
        <v>1874</v>
      </c>
      <c r="D61" t="s">
        <v>793</v>
      </c>
      <c r="E61" t="s">
        <v>1597</v>
      </c>
    </row>
    <row r="62" spans="1:5" x14ac:dyDescent="0.35">
      <c r="A62" t="s">
        <v>1206</v>
      </c>
      <c r="B62" t="s">
        <v>480</v>
      </c>
      <c r="C62" t="s">
        <v>1879</v>
      </c>
      <c r="D62" t="s">
        <v>793</v>
      </c>
      <c r="E62" t="s">
        <v>1597</v>
      </c>
    </row>
    <row r="63" spans="1:5" x14ac:dyDescent="0.35">
      <c r="A63" t="s">
        <v>1207</v>
      </c>
      <c r="B63" t="s">
        <v>480</v>
      </c>
      <c r="C63" t="s">
        <v>1887</v>
      </c>
      <c r="D63" t="s">
        <v>793</v>
      </c>
      <c r="E63" t="s">
        <v>1597</v>
      </c>
    </row>
    <row r="64" spans="1:5" x14ac:dyDescent="0.35">
      <c r="A64" t="s">
        <v>1208</v>
      </c>
      <c r="B64" t="s">
        <v>480</v>
      </c>
      <c r="C64" t="s">
        <v>1890</v>
      </c>
      <c r="D64" t="s">
        <v>793</v>
      </c>
      <c r="E64" t="s">
        <v>1597</v>
      </c>
    </row>
    <row r="65" spans="1:5" x14ac:dyDescent="0.35">
      <c r="A65" t="s">
        <v>1209</v>
      </c>
      <c r="B65" t="s">
        <v>480</v>
      </c>
      <c r="C65" t="s">
        <v>1895</v>
      </c>
      <c r="D65" t="s">
        <v>793</v>
      </c>
      <c r="E65" t="s">
        <v>1597</v>
      </c>
    </row>
    <row r="66" spans="1:5" x14ac:dyDescent="0.35">
      <c r="A66" t="s">
        <v>1210</v>
      </c>
      <c r="B66" t="s">
        <v>480</v>
      </c>
      <c r="C66" t="s">
        <v>1899</v>
      </c>
      <c r="D66" t="s">
        <v>793</v>
      </c>
      <c r="E66" t="s">
        <v>1597</v>
      </c>
    </row>
    <row r="67" spans="1:5" x14ac:dyDescent="0.35">
      <c r="A67" t="s">
        <v>1211</v>
      </c>
      <c r="B67" t="s">
        <v>480</v>
      </c>
      <c r="C67" t="s">
        <v>1902</v>
      </c>
      <c r="D67" t="s">
        <v>793</v>
      </c>
      <c r="E67" t="s">
        <v>1597</v>
      </c>
    </row>
    <row r="68" spans="1:5" x14ac:dyDescent="0.35">
      <c r="A68" t="s">
        <v>1212</v>
      </c>
      <c r="B68" t="s">
        <v>480</v>
      </c>
      <c r="C68" t="s">
        <v>1905</v>
      </c>
      <c r="D68" t="s">
        <v>793</v>
      </c>
      <c r="E68" t="s">
        <v>1597</v>
      </c>
    </row>
    <row r="69" spans="1:5" x14ac:dyDescent="0.35">
      <c r="A69" t="s">
        <v>1213</v>
      </c>
      <c r="B69" t="s">
        <v>480</v>
      </c>
      <c r="C69" t="s">
        <v>2111</v>
      </c>
      <c r="D69" t="s">
        <v>793</v>
      </c>
      <c r="E69" t="s">
        <v>1597</v>
      </c>
    </row>
    <row r="70" spans="1:5" x14ac:dyDescent="0.35">
      <c r="A70" t="s">
        <v>1214</v>
      </c>
      <c r="B70" t="s">
        <v>480</v>
      </c>
      <c r="C70" t="s">
        <v>2112</v>
      </c>
      <c r="D70" t="s">
        <v>793</v>
      </c>
      <c r="E70" t="s">
        <v>1597</v>
      </c>
    </row>
    <row r="71" spans="1:5" x14ac:dyDescent="0.35">
      <c r="A71" t="s">
        <v>1194</v>
      </c>
      <c r="B71" t="s">
        <v>480</v>
      </c>
      <c r="C71" t="s">
        <v>1854</v>
      </c>
      <c r="D71" t="s">
        <v>795</v>
      </c>
      <c r="E71" t="s">
        <v>1604</v>
      </c>
    </row>
    <row r="72" spans="1:5" x14ac:dyDescent="0.35">
      <c r="A72" t="s">
        <v>1215</v>
      </c>
      <c r="B72" t="s">
        <v>480</v>
      </c>
      <c r="C72" t="s">
        <v>1868</v>
      </c>
      <c r="D72" t="s">
        <v>795</v>
      </c>
      <c r="E72" t="s">
        <v>1604</v>
      </c>
    </row>
    <row r="73" spans="1:5" x14ac:dyDescent="0.35">
      <c r="A73" t="s">
        <v>1217</v>
      </c>
      <c r="B73" t="s">
        <v>480</v>
      </c>
      <c r="C73" t="s">
        <v>1880</v>
      </c>
      <c r="D73" t="s">
        <v>795</v>
      </c>
      <c r="E73" t="s">
        <v>1604</v>
      </c>
    </row>
    <row r="74" spans="1:5" x14ac:dyDescent="0.35">
      <c r="A74" t="s">
        <v>1218</v>
      </c>
      <c r="B74" t="s">
        <v>480</v>
      </c>
      <c r="C74" t="s">
        <v>1891</v>
      </c>
      <c r="D74" t="s">
        <v>795</v>
      </c>
      <c r="E74" t="s">
        <v>1604</v>
      </c>
    </row>
    <row r="75" spans="1:5" x14ac:dyDescent="0.35">
      <c r="A75" t="s">
        <v>1245</v>
      </c>
      <c r="B75" t="s">
        <v>480</v>
      </c>
      <c r="C75" t="s">
        <v>1906</v>
      </c>
      <c r="D75" t="s">
        <v>795</v>
      </c>
      <c r="E75" t="s">
        <v>1604</v>
      </c>
    </row>
    <row r="76" spans="1:5" x14ac:dyDescent="0.35">
      <c r="A76" t="s">
        <v>1246</v>
      </c>
      <c r="B76" t="s">
        <v>480</v>
      </c>
      <c r="C76" t="s">
        <v>2102</v>
      </c>
      <c r="D76" t="s">
        <v>795</v>
      </c>
      <c r="E76" t="s">
        <v>1604</v>
      </c>
    </row>
    <row r="77" spans="1:5" x14ac:dyDescent="0.35">
      <c r="A77" t="s">
        <v>1247</v>
      </c>
      <c r="B77" t="s">
        <v>480</v>
      </c>
      <c r="C77" t="s">
        <v>1913</v>
      </c>
      <c r="D77" t="s">
        <v>795</v>
      </c>
      <c r="E77" t="s">
        <v>1604</v>
      </c>
    </row>
    <row r="78" spans="1:5" x14ac:dyDescent="0.35">
      <c r="A78" t="s">
        <v>1249</v>
      </c>
      <c r="B78" t="s">
        <v>480</v>
      </c>
      <c r="C78" t="s">
        <v>1855</v>
      </c>
      <c r="D78" t="s">
        <v>194</v>
      </c>
      <c r="E78" t="s">
        <v>56</v>
      </c>
    </row>
    <row r="79" spans="1:5" x14ac:dyDescent="0.35">
      <c r="A79" t="s">
        <v>1250</v>
      </c>
      <c r="B79" t="s">
        <v>480</v>
      </c>
      <c r="C79" t="s">
        <v>1910</v>
      </c>
      <c r="D79" t="s">
        <v>194</v>
      </c>
      <c r="E79" t="s">
        <v>56</v>
      </c>
    </row>
    <row r="80" spans="1:5" x14ac:dyDescent="0.35">
      <c r="A80" t="s">
        <v>1251</v>
      </c>
      <c r="B80" t="s">
        <v>480</v>
      </c>
      <c r="C80" t="s">
        <v>1911</v>
      </c>
      <c r="D80" t="s">
        <v>194</v>
      </c>
      <c r="E80" t="s">
        <v>56</v>
      </c>
    </row>
    <row r="81" spans="1:5" x14ac:dyDescent="0.35">
      <c r="A81" t="s">
        <v>1252</v>
      </c>
      <c r="B81" t="s">
        <v>480</v>
      </c>
      <c r="C81" t="s">
        <v>1912</v>
      </c>
      <c r="D81" t="s">
        <v>194</v>
      </c>
      <c r="E81" t="s">
        <v>56</v>
      </c>
    </row>
    <row r="82" spans="1:5" x14ac:dyDescent="0.35">
      <c r="A82" t="s">
        <v>1253</v>
      </c>
      <c r="B82" t="s">
        <v>480</v>
      </c>
      <c r="C82" t="s">
        <v>2103</v>
      </c>
      <c r="D82" t="s">
        <v>194</v>
      </c>
      <c r="E82" t="s">
        <v>56</v>
      </c>
    </row>
    <row r="83" spans="1:5" x14ac:dyDescent="0.35">
      <c r="A83" t="s">
        <v>1254</v>
      </c>
      <c r="B83" t="s">
        <v>480</v>
      </c>
      <c r="C83" t="s">
        <v>1914</v>
      </c>
      <c r="D83" t="s">
        <v>194</v>
      </c>
      <c r="E83" t="s">
        <v>56</v>
      </c>
    </row>
    <row r="84" spans="1:5" x14ac:dyDescent="0.35">
      <c r="A84" t="s">
        <v>1257</v>
      </c>
      <c r="B84" t="s">
        <v>480</v>
      </c>
      <c r="C84" t="s">
        <v>1856</v>
      </c>
      <c r="D84" t="s">
        <v>1850</v>
      </c>
      <c r="E84" t="s">
        <v>61</v>
      </c>
    </row>
    <row r="85" spans="1:5" x14ac:dyDescent="0.35">
      <c r="A85" t="s">
        <v>1258</v>
      </c>
      <c r="B85" t="s">
        <v>480</v>
      </c>
      <c r="C85" t="s">
        <v>1884</v>
      </c>
      <c r="D85" t="s">
        <v>1850</v>
      </c>
      <c r="E85" t="s">
        <v>61</v>
      </c>
    </row>
    <row r="86" spans="1:5" x14ac:dyDescent="0.35">
      <c r="A86" t="s">
        <v>1273</v>
      </c>
      <c r="B86" t="s">
        <v>480</v>
      </c>
      <c r="C86" t="s">
        <v>1857</v>
      </c>
      <c r="D86" t="s">
        <v>424</v>
      </c>
      <c r="E86" t="s">
        <v>1661</v>
      </c>
    </row>
    <row r="87" spans="1:5" x14ac:dyDescent="0.35">
      <c r="A87" t="s">
        <v>1274</v>
      </c>
      <c r="B87" t="s">
        <v>480</v>
      </c>
      <c r="C87" t="s">
        <v>1869</v>
      </c>
      <c r="D87" t="s">
        <v>424</v>
      </c>
      <c r="E87" t="s">
        <v>1661</v>
      </c>
    </row>
    <row r="88" spans="1:5" x14ac:dyDescent="0.35">
      <c r="A88" t="s">
        <v>1275</v>
      </c>
      <c r="B88" t="s">
        <v>480</v>
      </c>
      <c r="C88" t="s">
        <v>1875</v>
      </c>
      <c r="D88" t="s">
        <v>424</v>
      </c>
      <c r="E88" t="s">
        <v>1661</v>
      </c>
    </row>
    <row r="89" spans="1:5" x14ac:dyDescent="0.35">
      <c r="A89" t="s">
        <v>1276</v>
      </c>
      <c r="B89" t="s">
        <v>480</v>
      </c>
      <c r="C89" t="s">
        <v>1881</v>
      </c>
      <c r="D89" t="s">
        <v>424</v>
      </c>
      <c r="E89" t="s">
        <v>1661</v>
      </c>
    </row>
    <row r="90" spans="1:5" x14ac:dyDescent="0.35">
      <c r="A90" t="s">
        <v>1277</v>
      </c>
      <c r="B90" t="s">
        <v>480</v>
      </c>
      <c r="C90" t="s">
        <v>1892</v>
      </c>
      <c r="D90" t="s">
        <v>424</v>
      </c>
      <c r="E90" t="s">
        <v>1661</v>
      </c>
    </row>
    <row r="91" spans="1:5" x14ac:dyDescent="0.35">
      <c r="A91" t="s">
        <v>1278</v>
      </c>
      <c r="B91" t="s">
        <v>480</v>
      </c>
      <c r="C91" t="s">
        <v>1907</v>
      </c>
      <c r="D91" t="s">
        <v>424</v>
      </c>
      <c r="E91" t="s">
        <v>1661</v>
      </c>
    </row>
    <row r="92" spans="1:5" x14ac:dyDescent="0.35">
      <c r="A92" t="s">
        <v>1279</v>
      </c>
      <c r="B92" t="s">
        <v>480</v>
      </c>
      <c r="C92" t="s">
        <v>2104</v>
      </c>
      <c r="D92" t="s">
        <v>424</v>
      </c>
      <c r="E92" t="s">
        <v>1661</v>
      </c>
    </row>
    <row r="93" spans="1:5" x14ac:dyDescent="0.35">
      <c r="A93" t="s">
        <v>1280</v>
      </c>
      <c r="B93" t="s">
        <v>480</v>
      </c>
      <c r="C93" t="s">
        <v>1915</v>
      </c>
      <c r="D93" t="s">
        <v>424</v>
      </c>
      <c r="E93" t="s">
        <v>1661</v>
      </c>
    </row>
    <row r="94" spans="1:5" x14ac:dyDescent="0.35">
      <c r="A94" t="s">
        <v>1281</v>
      </c>
      <c r="B94" t="s">
        <v>480</v>
      </c>
      <c r="C94" t="s">
        <v>1858</v>
      </c>
      <c r="D94" t="s">
        <v>425</v>
      </c>
      <c r="E94" t="s">
        <v>1661</v>
      </c>
    </row>
    <row r="95" spans="1:5" x14ac:dyDescent="0.35">
      <c r="A95" t="s">
        <v>1282</v>
      </c>
      <c r="B95" t="s">
        <v>480</v>
      </c>
      <c r="C95" t="s">
        <v>1870</v>
      </c>
      <c r="D95" t="s">
        <v>425</v>
      </c>
      <c r="E95" t="s">
        <v>1661</v>
      </c>
    </row>
    <row r="96" spans="1:5" x14ac:dyDescent="0.35">
      <c r="A96" t="s">
        <v>1283</v>
      </c>
      <c r="B96" t="s">
        <v>480</v>
      </c>
      <c r="C96" t="s">
        <v>1876</v>
      </c>
      <c r="D96" t="s">
        <v>425</v>
      </c>
      <c r="E96" t="s">
        <v>1661</v>
      </c>
    </row>
    <row r="97" spans="1:5" x14ac:dyDescent="0.35">
      <c r="A97" t="s">
        <v>1284</v>
      </c>
      <c r="B97" t="s">
        <v>480</v>
      </c>
      <c r="C97" t="s">
        <v>1882</v>
      </c>
      <c r="D97" t="s">
        <v>425</v>
      </c>
      <c r="E97" t="s">
        <v>1661</v>
      </c>
    </row>
    <row r="98" spans="1:5" x14ac:dyDescent="0.35">
      <c r="A98" t="s">
        <v>1285</v>
      </c>
      <c r="B98" t="s">
        <v>480</v>
      </c>
      <c r="C98" t="s">
        <v>1893</v>
      </c>
      <c r="D98" t="s">
        <v>425</v>
      </c>
      <c r="E98" t="s">
        <v>1661</v>
      </c>
    </row>
    <row r="99" spans="1:5" x14ac:dyDescent="0.35">
      <c r="A99" t="s">
        <v>1286</v>
      </c>
      <c r="B99" t="s">
        <v>480</v>
      </c>
      <c r="C99" t="s">
        <v>1908</v>
      </c>
      <c r="D99" t="s">
        <v>425</v>
      </c>
      <c r="E99" t="s">
        <v>1661</v>
      </c>
    </row>
    <row r="100" spans="1:5" x14ac:dyDescent="0.35">
      <c r="A100" t="s">
        <v>1287</v>
      </c>
      <c r="B100" t="s">
        <v>480</v>
      </c>
      <c r="C100" t="s">
        <v>2105</v>
      </c>
      <c r="D100" t="s">
        <v>425</v>
      </c>
      <c r="E100" t="s">
        <v>1661</v>
      </c>
    </row>
    <row r="101" spans="1:5" x14ac:dyDescent="0.35">
      <c r="A101" t="s">
        <v>1288</v>
      </c>
      <c r="B101" t="s">
        <v>480</v>
      </c>
      <c r="C101" t="s">
        <v>1916</v>
      </c>
      <c r="D101" t="s">
        <v>425</v>
      </c>
      <c r="E101" t="s">
        <v>1661</v>
      </c>
    </row>
    <row r="102" spans="1:5" x14ac:dyDescent="0.35">
      <c r="A102" t="s">
        <v>1289</v>
      </c>
      <c r="B102" t="s">
        <v>480</v>
      </c>
      <c r="C102" t="s">
        <v>1859</v>
      </c>
      <c r="D102" t="s">
        <v>426</v>
      </c>
      <c r="E102" t="s">
        <v>1661</v>
      </c>
    </row>
    <row r="103" spans="1:5" x14ac:dyDescent="0.35">
      <c r="A103" t="s">
        <v>1290</v>
      </c>
      <c r="B103" t="s">
        <v>480</v>
      </c>
      <c r="C103" t="s">
        <v>1871</v>
      </c>
      <c r="D103" t="s">
        <v>426</v>
      </c>
      <c r="E103" t="s">
        <v>1661</v>
      </c>
    </row>
    <row r="104" spans="1:5" x14ac:dyDescent="0.35">
      <c r="A104" t="s">
        <v>1291</v>
      </c>
      <c r="B104" t="s">
        <v>480</v>
      </c>
      <c r="C104" t="s">
        <v>1883</v>
      </c>
      <c r="D104" t="s">
        <v>426</v>
      </c>
      <c r="E104" t="s">
        <v>1661</v>
      </c>
    </row>
    <row r="105" spans="1:5" x14ac:dyDescent="0.35">
      <c r="A105" t="s">
        <v>1292</v>
      </c>
      <c r="B105" t="s">
        <v>480</v>
      </c>
      <c r="C105" t="s">
        <v>1909</v>
      </c>
      <c r="D105" t="s">
        <v>426</v>
      </c>
      <c r="E105" t="s">
        <v>1661</v>
      </c>
    </row>
    <row r="106" spans="1:5" x14ac:dyDescent="0.35">
      <c r="A106" t="s">
        <v>1293</v>
      </c>
      <c r="B106" t="s">
        <v>480</v>
      </c>
      <c r="C106" t="s">
        <v>2106</v>
      </c>
      <c r="D106" t="s">
        <v>426</v>
      </c>
      <c r="E106" t="s">
        <v>1661</v>
      </c>
    </row>
    <row r="107" spans="1:5" x14ac:dyDescent="0.35">
      <c r="A107" t="s">
        <v>1297</v>
      </c>
      <c r="B107" t="s">
        <v>480</v>
      </c>
      <c r="C107" t="s">
        <v>1860</v>
      </c>
      <c r="D107" t="s">
        <v>427</v>
      </c>
      <c r="E107" t="s">
        <v>2338</v>
      </c>
    </row>
    <row r="108" spans="1:5" x14ac:dyDescent="0.35">
      <c r="A108" t="s">
        <v>1298</v>
      </c>
      <c r="B108" t="s">
        <v>480</v>
      </c>
      <c r="C108" t="s">
        <v>1917</v>
      </c>
      <c r="D108" t="s">
        <v>427</v>
      </c>
      <c r="E108" t="s">
        <v>2338</v>
      </c>
    </row>
    <row r="109" spans="1:5" x14ac:dyDescent="0.35">
      <c r="A109" t="s">
        <v>1299</v>
      </c>
      <c r="B109" t="s">
        <v>480</v>
      </c>
      <c r="C109" t="s">
        <v>1861</v>
      </c>
      <c r="D109" t="s">
        <v>428</v>
      </c>
      <c r="E109" t="s">
        <v>1815</v>
      </c>
    </row>
    <row r="110" spans="1:5" x14ac:dyDescent="0.35">
      <c r="A110" t="s">
        <v>1300</v>
      </c>
      <c r="B110" t="s">
        <v>480</v>
      </c>
      <c r="C110" t="s">
        <v>1918</v>
      </c>
      <c r="D110" t="s">
        <v>428</v>
      </c>
      <c r="E110" t="s">
        <v>1815</v>
      </c>
    </row>
    <row r="111" spans="1:5" x14ac:dyDescent="0.35">
      <c r="A111" t="s">
        <v>1302</v>
      </c>
      <c r="B111" t="s">
        <v>480</v>
      </c>
      <c r="C111" t="s">
        <v>1862</v>
      </c>
      <c r="D111" t="s">
        <v>2335</v>
      </c>
      <c r="E111" t="s">
        <v>2339</v>
      </c>
    </row>
    <row r="112" spans="1:5" x14ac:dyDescent="0.35">
      <c r="A112" t="s">
        <v>1303</v>
      </c>
      <c r="B112" t="s">
        <v>480</v>
      </c>
      <c r="C112" t="s">
        <v>2100</v>
      </c>
      <c r="D112" t="s">
        <v>2335</v>
      </c>
      <c r="E112" t="s">
        <v>2339</v>
      </c>
    </row>
    <row r="113" spans="1:5" x14ac:dyDescent="0.35">
      <c r="A113" t="s">
        <v>1304</v>
      </c>
      <c r="B113" t="s">
        <v>480</v>
      </c>
      <c r="C113" t="s">
        <v>1863</v>
      </c>
      <c r="D113" t="s">
        <v>429</v>
      </c>
      <c r="E113" t="s">
        <v>2340</v>
      </c>
    </row>
    <row r="114" spans="1:5" x14ac:dyDescent="0.35">
      <c r="A114" t="s">
        <v>1305</v>
      </c>
      <c r="B114" t="s">
        <v>480</v>
      </c>
      <c r="C114" t="s">
        <v>2101</v>
      </c>
      <c r="D114" t="s">
        <v>429</v>
      </c>
      <c r="E114" t="s">
        <v>2340</v>
      </c>
    </row>
    <row r="115" spans="1:5" x14ac:dyDescent="0.35">
      <c r="A115" t="s">
        <v>1310</v>
      </c>
      <c r="B115" t="s">
        <v>480</v>
      </c>
      <c r="C115" t="s">
        <v>1919</v>
      </c>
      <c r="D115" t="s">
        <v>429</v>
      </c>
      <c r="E115" t="s">
        <v>2340</v>
      </c>
    </row>
    <row r="116" spans="1:5" x14ac:dyDescent="0.35">
      <c r="A116" t="s">
        <v>1403</v>
      </c>
      <c r="B116" t="s">
        <v>480</v>
      </c>
      <c r="C116" t="s">
        <v>1864</v>
      </c>
      <c r="D116" t="s">
        <v>430</v>
      </c>
      <c r="E116" t="s">
        <v>1324</v>
      </c>
    </row>
    <row r="117" spans="1:5" x14ac:dyDescent="0.35">
      <c r="A117" t="s">
        <v>1404</v>
      </c>
      <c r="B117" t="s">
        <v>480</v>
      </c>
      <c r="C117" t="s">
        <v>1920</v>
      </c>
      <c r="D117" t="s">
        <v>430</v>
      </c>
      <c r="E117" t="s">
        <v>1324</v>
      </c>
    </row>
    <row r="118" spans="1:5" x14ac:dyDescent="0.35">
      <c r="A118" t="s">
        <v>1405</v>
      </c>
      <c r="B118" t="s">
        <v>480</v>
      </c>
      <c r="C118" t="s">
        <v>2099</v>
      </c>
      <c r="D118" t="s">
        <v>430</v>
      </c>
      <c r="E118" t="s">
        <v>1324</v>
      </c>
    </row>
    <row r="119" spans="1:5" x14ac:dyDescent="0.35">
      <c r="A119" t="s">
        <v>1922</v>
      </c>
      <c r="B119" t="s">
        <v>480</v>
      </c>
      <c r="C119" t="s">
        <v>1923</v>
      </c>
      <c r="D119" t="s">
        <v>1921</v>
      </c>
    </row>
    <row r="120" spans="1:5" s="89" customFormat="1" x14ac:dyDescent="0.35">
      <c r="A120" s="89" t="s">
        <v>1987</v>
      </c>
      <c r="B120" s="89" t="s">
        <v>480</v>
      </c>
      <c r="C120" s="89" t="s">
        <v>1988</v>
      </c>
    </row>
    <row r="121" spans="1:5" s="89" customFormat="1" x14ac:dyDescent="0.35">
      <c r="A121" s="89" t="s">
        <v>2001</v>
      </c>
      <c r="B121" s="89" t="s">
        <v>480</v>
      </c>
      <c r="C121" s="89" t="s">
        <v>2087</v>
      </c>
    </row>
    <row r="122" spans="1:5" s="89" customFormat="1" x14ac:dyDescent="0.35">
      <c r="A122" s="89" t="s">
        <v>1989</v>
      </c>
      <c r="B122" s="89" t="s">
        <v>480</v>
      </c>
      <c r="C122" s="89" t="s">
        <v>1990</v>
      </c>
    </row>
    <row r="123" spans="1:5" s="89" customFormat="1" x14ac:dyDescent="0.35">
      <c r="A123" s="89" t="s">
        <v>1991</v>
      </c>
      <c r="B123" s="89" t="s">
        <v>480</v>
      </c>
      <c r="C123" s="89" t="s">
        <v>1992</v>
      </c>
    </row>
    <row r="124" spans="1:5" s="89" customFormat="1" x14ac:dyDescent="0.35">
      <c r="A124" s="89" t="s">
        <v>2002</v>
      </c>
      <c r="B124" s="89" t="s">
        <v>480</v>
      </c>
      <c r="C124" s="89" t="s">
        <v>1993</v>
      </c>
    </row>
    <row r="125" spans="1:5" s="89" customFormat="1" x14ac:dyDescent="0.35">
      <c r="A125" s="89" t="s">
        <v>2003</v>
      </c>
      <c r="B125" s="89" t="s">
        <v>480</v>
      </c>
      <c r="C125" s="89" t="s">
        <v>1994</v>
      </c>
    </row>
    <row r="126" spans="1:5" s="89" customFormat="1" x14ac:dyDescent="0.35">
      <c r="A126" s="89" t="s">
        <v>1995</v>
      </c>
      <c r="B126" s="89" t="s">
        <v>480</v>
      </c>
      <c r="C126" s="89" t="s">
        <v>1996</v>
      </c>
    </row>
    <row r="127" spans="1:5" x14ac:dyDescent="0.35">
      <c r="A127" t="s">
        <v>1997</v>
      </c>
      <c r="B127" t="s">
        <v>480</v>
      </c>
      <c r="C127" t="s">
        <v>2009</v>
      </c>
      <c r="E127" t="s">
        <v>2341</v>
      </c>
    </row>
    <row r="128" spans="1:5" x14ac:dyDescent="0.35">
      <c r="A128" t="s">
        <v>2007</v>
      </c>
      <c r="B128" t="s">
        <v>480</v>
      </c>
      <c r="C128" t="s">
        <v>2008</v>
      </c>
      <c r="E128" t="s">
        <v>2341</v>
      </c>
    </row>
    <row r="129" spans="1:5" x14ac:dyDescent="0.35">
      <c r="A129" t="s">
        <v>1998</v>
      </c>
      <c r="B129" t="s">
        <v>480</v>
      </c>
      <c r="C129" t="s">
        <v>2086</v>
      </c>
      <c r="E129" t="s">
        <v>2341</v>
      </c>
    </row>
    <row r="130" spans="1:5" x14ac:dyDescent="0.35">
      <c r="A130" t="s">
        <v>2088</v>
      </c>
      <c r="B130" t="s">
        <v>480</v>
      </c>
      <c r="C130" t="s">
        <v>2092</v>
      </c>
      <c r="E130" t="s">
        <v>2342</v>
      </c>
    </row>
    <row r="131" spans="1:5" x14ac:dyDescent="0.35">
      <c r="A131" t="s">
        <v>2089</v>
      </c>
      <c r="B131" t="s">
        <v>480</v>
      </c>
      <c r="C131" t="s">
        <v>1999</v>
      </c>
      <c r="E131" t="s">
        <v>2342</v>
      </c>
    </row>
    <row r="132" spans="1:5" x14ac:dyDescent="0.35">
      <c r="A132" t="s">
        <v>2090</v>
      </c>
      <c r="B132" t="s">
        <v>480</v>
      </c>
      <c r="C132" t="s">
        <v>2085</v>
      </c>
      <c r="E132" t="s">
        <v>2342</v>
      </c>
    </row>
    <row r="133" spans="1:5" x14ac:dyDescent="0.35">
      <c r="A133" t="s">
        <v>2091</v>
      </c>
      <c r="B133" t="s">
        <v>480</v>
      </c>
      <c r="C133" t="s">
        <v>2000</v>
      </c>
      <c r="E133" t="s">
        <v>2342</v>
      </c>
    </row>
    <row r="134" spans="1:5" x14ac:dyDescent="0.35">
      <c r="A134" t="s">
        <v>2005</v>
      </c>
      <c r="B134" t="s">
        <v>480</v>
      </c>
      <c r="C134" t="s">
        <v>2006</v>
      </c>
      <c r="E134" t="s">
        <v>2343</v>
      </c>
    </row>
    <row r="135" spans="1:5" x14ac:dyDescent="0.35">
      <c r="A135" t="s">
        <v>2077</v>
      </c>
      <c r="B135" t="s">
        <v>480</v>
      </c>
      <c r="C135" t="s">
        <v>2078</v>
      </c>
      <c r="E135" t="s">
        <v>2343</v>
      </c>
    </row>
    <row r="136" spans="1:5" x14ac:dyDescent="0.35">
      <c r="A136" t="s">
        <v>2120</v>
      </c>
      <c r="B136" t="s">
        <v>480</v>
      </c>
      <c r="C136" t="s">
        <v>2124</v>
      </c>
      <c r="E136" t="s">
        <v>2343</v>
      </c>
    </row>
    <row r="137" spans="1:5" x14ac:dyDescent="0.35">
      <c r="A137" t="s">
        <v>2121</v>
      </c>
      <c r="B137" t="s">
        <v>480</v>
      </c>
      <c r="C137" t="s">
        <v>2125</v>
      </c>
      <c r="E137" t="s">
        <v>2343</v>
      </c>
    </row>
    <row r="138" spans="1:5" x14ac:dyDescent="0.35">
      <c r="A138" t="s">
        <v>2070</v>
      </c>
      <c r="B138" t="s">
        <v>480</v>
      </c>
      <c r="C138" t="s">
        <v>2122</v>
      </c>
      <c r="E138" t="s">
        <v>2343</v>
      </c>
    </row>
    <row r="139" spans="1:5" x14ac:dyDescent="0.35">
      <c r="A139" t="s">
        <v>2069</v>
      </c>
      <c r="B139" t="s">
        <v>480</v>
      </c>
      <c r="C139" t="s">
        <v>2123</v>
      </c>
      <c r="E139" t="s">
        <v>2343</v>
      </c>
    </row>
    <row r="140" spans="1:5" x14ac:dyDescent="0.35">
      <c r="A140" t="s">
        <v>2083</v>
      </c>
      <c r="B140" t="s">
        <v>480</v>
      </c>
      <c r="C140" t="s">
        <v>2080</v>
      </c>
      <c r="E140" t="s">
        <v>2343</v>
      </c>
    </row>
    <row r="141" spans="1:5" x14ac:dyDescent="0.35">
      <c r="A141" t="s">
        <v>2084</v>
      </c>
      <c r="B141" t="s">
        <v>480</v>
      </c>
      <c r="C141" t="s">
        <v>2081</v>
      </c>
      <c r="E141" t="s">
        <v>2343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2D0A5-743C-46A2-B070-193F1FFA9498}">
  <sheetPr>
    <tabColor theme="0"/>
  </sheetPr>
  <dimension ref="A1:D57"/>
  <sheetViews>
    <sheetView workbookViewId="0">
      <selection activeCell="C32" sqref="C32"/>
    </sheetView>
  </sheetViews>
  <sheetFormatPr defaultRowHeight="14.5" x14ac:dyDescent="0.35"/>
  <cols>
    <col min="1" max="1" width="17.26953125" bestFit="1" customWidth="1"/>
    <col min="2" max="2" width="4.453125" bestFit="1" customWidth="1"/>
    <col min="3" max="3" width="73.7265625" bestFit="1" customWidth="1"/>
    <col min="4" max="4" width="49.90625" bestFit="1" customWidth="1"/>
  </cols>
  <sheetData>
    <row r="1" spans="1:4" ht="16" thickBot="1" x14ac:dyDescent="0.4">
      <c r="A1" s="2" t="s">
        <v>0</v>
      </c>
      <c r="B1" s="2" t="s">
        <v>479</v>
      </c>
      <c r="C1" s="2" t="s">
        <v>1</v>
      </c>
      <c r="D1" s="2" t="s">
        <v>2</v>
      </c>
    </row>
    <row r="2" spans="1:4" ht="15" thickTop="1" x14ac:dyDescent="0.35">
      <c r="A2" t="s">
        <v>9</v>
      </c>
      <c r="B2" t="s">
        <v>480</v>
      </c>
      <c r="C2" t="s">
        <v>460</v>
      </c>
    </row>
    <row r="3" spans="1:4" x14ac:dyDescent="0.35">
      <c r="A3" t="s">
        <v>459</v>
      </c>
      <c r="B3" t="s">
        <v>480</v>
      </c>
      <c r="C3" t="s">
        <v>461</v>
      </c>
    </row>
    <row r="4" spans="1:4" x14ac:dyDescent="0.35">
      <c r="A4" t="s">
        <v>1833</v>
      </c>
      <c r="B4" t="s">
        <v>480</v>
      </c>
      <c r="C4" t="s">
        <v>110</v>
      </c>
      <c r="D4" t="s">
        <v>483</v>
      </c>
    </row>
    <row r="5" spans="1:4" x14ac:dyDescent="0.35">
      <c r="A5" t="s">
        <v>2013</v>
      </c>
      <c r="B5" t="s">
        <v>480</v>
      </c>
      <c r="C5" t="s">
        <v>2079</v>
      </c>
      <c r="D5" t="s">
        <v>483</v>
      </c>
    </row>
    <row r="6" spans="1:4" x14ac:dyDescent="0.35">
      <c r="A6" t="s">
        <v>1094</v>
      </c>
      <c r="B6" t="s">
        <v>480</v>
      </c>
      <c r="C6" t="s">
        <v>673</v>
      </c>
      <c r="D6" t="s">
        <v>2329</v>
      </c>
    </row>
    <row r="7" spans="1:4" x14ac:dyDescent="0.35">
      <c r="A7" t="s">
        <v>1727</v>
      </c>
      <c r="B7" t="s">
        <v>480</v>
      </c>
      <c r="C7" t="s">
        <v>109</v>
      </c>
      <c r="D7" t="s">
        <v>483</v>
      </c>
    </row>
    <row r="8" spans="1:4" x14ac:dyDescent="0.35">
      <c r="A8" t="s">
        <v>2014</v>
      </c>
      <c r="B8" t="s">
        <v>480</v>
      </c>
      <c r="C8" t="s">
        <v>238</v>
      </c>
      <c r="D8" t="s">
        <v>483</v>
      </c>
    </row>
    <row r="9" spans="1:4" x14ac:dyDescent="0.35">
      <c r="A9" t="s">
        <v>10</v>
      </c>
      <c r="B9" t="s">
        <v>480</v>
      </c>
      <c r="C9" t="s">
        <v>494</v>
      </c>
      <c r="D9" t="s">
        <v>2329</v>
      </c>
    </row>
    <row r="10" spans="1:4" x14ac:dyDescent="0.35">
      <c r="A10" t="s">
        <v>11</v>
      </c>
      <c r="B10" t="s">
        <v>480</v>
      </c>
      <c r="C10" t="s">
        <v>12</v>
      </c>
      <c r="D10" t="s">
        <v>483</v>
      </c>
    </row>
    <row r="11" spans="1:4" x14ac:dyDescent="0.35">
      <c r="A11" t="s">
        <v>501</v>
      </c>
      <c r="B11" t="s">
        <v>480</v>
      </c>
      <c r="C11" t="s">
        <v>2019</v>
      </c>
      <c r="D11" t="s">
        <v>483</v>
      </c>
    </row>
    <row r="12" spans="1:4" x14ac:dyDescent="0.35">
      <c r="A12" t="s">
        <v>2018</v>
      </c>
      <c r="B12" t="s">
        <v>480</v>
      </c>
      <c r="C12" t="s">
        <v>2015</v>
      </c>
      <c r="D12" t="s">
        <v>483</v>
      </c>
    </row>
    <row r="13" spans="1:4" x14ac:dyDescent="0.35">
      <c r="A13" t="s">
        <v>13</v>
      </c>
      <c r="B13" t="s">
        <v>480</v>
      </c>
      <c r="C13" t="s">
        <v>2020</v>
      </c>
      <c r="D13" t="s">
        <v>483</v>
      </c>
    </row>
    <row r="14" spans="1:4" x14ac:dyDescent="0.35">
      <c r="A14" t="s">
        <v>1301</v>
      </c>
      <c r="B14" t="s">
        <v>480</v>
      </c>
      <c r="C14" t="s">
        <v>2016</v>
      </c>
      <c r="D14" t="s">
        <v>2017</v>
      </c>
    </row>
    <row r="15" spans="1:4" x14ac:dyDescent="0.35">
      <c r="A15" t="s">
        <v>447</v>
      </c>
      <c r="B15" t="s">
        <v>480</v>
      </c>
      <c r="C15" t="s">
        <v>449</v>
      </c>
      <c r="D15" t="s">
        <v>483</v>
      </c>
    </row>
    <row r="16" spans="1:4" x14ac:dyDescent="0.35">
      <c r="A16" t="s">
        <v>448</v>
      </c>
      <c r="B16" t="s">
        <v>480</v>
      </c>
      <c r="C16" t="s">
        <v>450</v>
      </c>
      <c r="D16" t="s">
        <v>483</v>
      </c>
    </row>
    <row r="17" spans="1:4" x14ac:dyDescent="0.35">
      <c r="A17" t="s">
        <v>1311</v>
      </c>
      <c r="B17" t="s">
        <v>480</v>
      </c>
      <c r="C17" t="s">
        <v>1312</v>
      </c>
      <c r="D17" t="s">
        <v>483</v>
      </c>
    </row>
    <row r="18" spans="1:4" x14ac:dyDescent="0.35">
      <c r="A18" t="s">
        <v>2118</v>
      </c>
      <c r="B18" t="s">
        <v>480</v>
      </c>
      <c r="C18" t="s">
        <v>68</v>
      </c>
      <c r="D18" t="s">
        <v>483</v>
      </c>
    </row>
    <row r="19" spans="1:4" x14ac:dyDescent="0.35">
      <c r="A19" t="s">
        <v>493</v>
      </c>
      <c r="B19" t="s">
        <v>480</v>
      </c>
      <c r="C19" t="s">
        <v>2119</v>
      </c>
      <c r="D19" t="s">
        <v>483</v>
      </c>
    </row>
    <row r="20" spans="1:4" x14ac:dyDescent="0.35">
      <c r="A20" t="s">
        <v>503</v>
      </c>
      <c r="B20" t="s">
        <v>480</v>
      </c>
      <c r="C20" t="s">
        <v>504</v>
      </c>
      <c r="D20" t="s">
        <v>483</v>
      </c>
    </row>
    <row r="21" spans="1:4" x14ac:dyDescent="0.35">
      <c r="A21" t="s">
        <v>2071</v>
      </c>
      <c r="B21" t="s">
        <v>480</v>
      </c>
      <c r="C21" t="s">
        <v>2073</v>
      </c>
      <c r="D21" t="s">
        <v>483</v>
      </c>
    </row>
    <row r="22" spans="1:4" x14ac:dyDescent="0.35">
      <c r="A22" t="s">
        <v>2072</v>
      </c>
      <c r="B22" t="s">
        <v>480</v>
      </c>
      <c r="C22" t="s">
        <v>2074</v>
      </c>
      <c r="D22" t="s">
        <v>483</v>
      </c>
    </row>
    <row r="23" spans="1:4" x14ac:dyDescent="0.35">
      <c r="A23" s="89" t="s">
        <v>239</v>
      </c>
      <c r="B23" s="89" t="s">
        <v>480</v>
      </c>
      <c r="C23" s="89" t="s">
        <v>502</v>
      </c>
      <c r="D23" s="89" t="s">
        <v>483</v>
      </c>
    </row>
    <row r="24" spans="1:4" x14ac:dyDescent="0.35">
      <c r="A24" t="s">
        <v>2010</v>
      </c>
      <c r="B24" t="s">
        <v>480</v>
      </c>
      <c r="C24" t="s">
        <v>495</v>
      </c>
      <c r="D24" t="s">
        <v>483</v>
      </c>
    </row>
    <row r="25" spans="1:4" x14ac:dyDescent="0.35">
      <c r="A25" t="s">
        <v>2011</v>
      </c>
      <c r="B25" t="s">
        <v>480</v>
      </c>
      <c r="C25" t="s">
        <v>1219</v>
      </c>
      <c r="D25" t="s">
        <v>483</v>
      </c>
    </row>
    <row r="26" spans="1:4" x14ac:dyDescent="0.35">
      <c r="A26" t="s">
        <v>2012</v>
      </c>
      <c r="B26" t="s">
        <v>480</v>
      </c>
      <c r="C26" t="s">
        <v>496</v>
      </c>
      <c r="D26" t="s">
        <v>483</v>
      </c>
    </row>
    <row r="27" spans="1:4" x14ac:dyDescent="0.35">
      <c r="A27" t="s">
        <v>497</v>
      </c>
      <c r="B27" t="s">
        <v>480</v>
      </c>
      <c r="C27" t="s">
        <v>2116</v>
      </c>
      <c r="D27" t="s">
        <v>483</v>
      </c>
    </row>
    <row r="28" spans="1:4" x14ac:dyDescent="0.35">
      <c r="A28" t="s">
        <v>498</v>
      </c>
      <c r="B28" t="s">
        <v>480</v>
      </c>
      <c r="C28" t="s">
        <v>2117</v>
      </c>
      <c r="D28" t="s">
        <v>483</v>
      </c>
    </row>
    <row r="29" spans="1:4" x14ac:dyDescent="0.35">
      <c r="A29" t="s">
        <v>2093</v>
      </c>
      <c r="B29" t="s">
        <v>480</v>
      </c>
      <c r="C29" t="s">
        <v>2113</v>
      </c>
      <c r="D29" t="s">
        <v>483</v>
      </c>
    </row>
    <row r="30" spans="1:4" x14ac:dyDescent="0.35">
      <c r="A30" t="s">
        <v>2094</v>
      </c>
      <c r="B30" t="s">
        <v>480</v>
      </c>
      <c r="C30" t="s">
        <v>2114</v>
      </c>
      <c r="D30" t="s">
        <v>483</v>
      </c>
    </row>
    <row r="31" spans="1:4" x14ac:dyDescent="0.35">
      <c r="A31" t="s">
        <v>2095</v>
      </c>
      <c r="B31" t="s">
        <v>480</v>
      </c>
      <c r="C31" t="s">
        <v>2115</v>
      </c>
      <c r="D31" t="s">
        <v>483</v>
      </c>
    </row>
    <row r="32" spans="1:4" x14ac:dyDescent="0.35">
      <c r="A32" s="89" t="s">
        <v>499</v>
      </c>
      <c r="B32" s="89" t="s">
        <v>480</v>
      </c>
      <c r="C32" s="89" t="s">
        <v>500</v>
      </c>
      <c r="D32" s="89" t="s">
        <v>483</v>
      </c>
    </row>
    <row r="33" spans="1:4" x14ac:dyDescent="0.35">
      <c r="A33" t="s">
        <v>451</v>
      </c>
      <c r="B33" t="s">
        <v>481</v>
      </c>
      <c r="C33" t="s">
        <v>454</v>
      </c>
      <c r="D33" t="s">
        <v>484</v>
      </c>
    </row>
    <row r="34" spans="1:4" x14ac:dyDescent="0.35">
      <c r="A34" t="s">
        <v>452</v>
      </c>
      <c r="B34" t="s">
        <v>481</v>
      </c>
      <c r="C34" t="s">
        <v>455</v>
      </c>
      <c r="D34" t="s">
        <v>484</v>
      </c>
    </row>
    <row r="35" spans="1:4" x14ac:dyDescent="0.35">
      <c r="A35" t="s">
        <v>453</v>
      </c>
      <c r="B35" t="s">
        <v>481</v>
      </c>
      <c r="C35" t="s">
        <v>456</v>
      </c>
      <c r="D35" t="s">
        <v>485</v>
      </c>
    </row>
    <row r="36" spans="1:4" x14ac:dyDescent="0.35">
      <c r="A36" t="s">
        <v>14</v>
      </c>
      <c r="B36" t="s">
        <v>481</v>
      </c>
      <c r="C36" t="s">
        <v>457</v>
      </c>
      <c r="D36" t="s">
        <v>485</v>
      </c>
    </row>
    <row r="37" spans="1:4" x14ac:dyDescent="0.35">
      <c r="A37" t="s">
        <v>15</v>
      </c>
      <c r="B37" t="s">
        <v>481</v>
      </c>
      <c r="C37" t="s">
        <v>458</v>
      </c>
      <c r="D37" t="s">
        <v>485</v>
      </c>
    </row>
    <row r="38" spans="1:4" x14ac:dyDescent="0.35">
      <c r="A38" t="s">
        <v>462</v>
      </c>
      <c r="B38" t="s">
        <v>481</v>
      </c>
      <c r="C38" t="s">
        <v>463</v>
      </c>
      <c r="D38" t="s">
        <v>484</v>
      </c>
    </row>
    <row r="39" spans="1:4" x14ac:dyDescent="0.35">
      <c r="A39" t="s">
        <v>467</v>
      </c>
      <c r="B39" t="s">
        <v>481</v>
      </c>
      <c r="C39" t="s">
        <v>464</v>
      </c>
      <c r="D39" t="s">
        <v>484</v>
      </c>
    </row>
    <row r="40" spans="1:4" x14ac:dyDescent="0.35">
      <c r="A40" t="s">
        <v>468</v>
      </c>
      <c r="B40" t="s">
        <v>481</v>
      </c>
      <c r="C40" t="s">
        <v>465</v>
      </c>
      <c r="D40" t="s">
        <v>484</v>
      </c>
    </row>
    <row r="41" spans="1:4" x14ac:dyDescent="0.35">
      <c r="A41" t="s">
        <v>469</v>
      </c>
      <c r="B41" t="s">
        <v>481</v>
      </c>
      <c r="C41" t="s">
        <v>466</v>
      </c>
      <c r="D41" t="s">
        <v>484</v>
      </c>
    </row>
    <row r="42" spans="1:4" x14ac:dyDescent="0.35">
      <c r="A42" t="s">
        <v>471</v>
      </c>
      <c r="B42" t="s">
        <v>481</v>
      </c>
      <c r="C42" t="s">
        <v>472</v>
      </c>
      <c r="D42" t="s">
        <v>484</v>
      </c>
    </row>
    <row r="43" spans="1:4" x14ac:dyDescent="0.35">
      <c r="A43" t="s">
        <v>470</v>
      </c>
      <c r="B43" t="s">
        <v>481</v>
      </c>
      <c r="C43" t="s">
        <v>473</v>
      </c>
      <c r="D43" t="s">
        <v>485</v>
      </c>
    </row>
    <row r="44" spans="1:4" x14ac:dyDescent="0.35">
      <c r="A44" t="s">
        <v>474</v>
      </c>
      <c r="B44" t="s">
        <v>481</v>
      </c>
      <c r="C44" t="s">
        <v>476</v>
      </c>
      <c r="D44" t="s">
        <v>484</v>
      </c>
    </row>
    <row r="45" spans="1:4" x14ac:dyDescent="0.35">
      <c r="A45" t="s">
        <v>475</v>
      </c>
      <c r="B45" t="s">
        <v>481</v>
      </c>
      <c r="C45" t="s">
        <v>477</v>
      </c>
      <c r="D45" t="s">
        <v>485</v>
      </c>
    </row>
    <row r="46" spans="1:4" x14ac:dyDescent="0.35">
      <c r="A46" t="s">
        <v>505</v>
      </c>
      <c r="B46" t="s">
        <v>481</v>
      </c>
      <c r="C46" t="s">
        <v>478</v>
      </c>
      <c r="D46" t="s">
        <v>485</v>
      </c>
    </row>
    <row r="47" spans="1:4" x14ac:dyDescent="0.35">
      <c r="A47" t="s">
        <v>1925</v>
      </c>
      <c r="B47" t="s">
        <v>481</v>
      </c>
      <c r="C47" t="s">
        <v>1926</v>
      </c>
      <c r="D47" t="s">
        <v>483</v>
      </c>
    </row>
    <row r="48" spans="1:4" x14ac:dyDescent="0.35">
      <c r="A48" s="89" t="s">
        <v>16</v>
      </c>
      <c r="B48" s="89" t="s">
        <v>482</v>
      </c>
      <c r="C48" s="89" t="s">
        <v>17</v>
      </c>
      <c r="D48" s="89" t="s">
        <v>486</v>
      </c>
    </row>
    <row r="49" spans="1:4" x14ac:dyDescent="0.35">
      <c r="A49" s="89" t="s">
        <v>18</v>
      </c>
      <c r="B49" s="89" t="s">
        <v>482</v>
      </c>
      <c r="C49" s="89" t="s">
        <v>19</v>
      </c>
      <c r="D49" s="89" t="s">
        <v>486</v>
      </c>
    </row>
    <row r="50" spans="1:4" x14ac:dyDescent="0.35">
      <c r="A50" s="89" t="s">
        <v>250</v>
      </c>
      <c r="B50" s="89" t="s">
        <v>482</v>
      </c>
      <c r="C50" s="89" t="s">
        <v>489</v>
      </c>
      <c r="D50" s="89" t="s">
        <v>486</v>
      </c>
    </row>
    <row r="51" spans="1:4" x14ac:dyDescent="0.35">
      <c r="A51" s="89" t="s">
        <v>20</v>
      </c>
      <c r="B51" s="89" t="s">
        <v>482</v>
      </c>
      <c r="C51" s="89" t="s">
        <v>21</v>
      </c>
      <c r="D51" s="89" t="s">
        <v>486</v>
      </c>
    </row>
    <row r="52" spans="1:4" x14ac:dyDescent="0.35">
      <c r="A52" s="89" t="s">
        <v>22</v>
      </c>
      <c r="B52" s="89" t="s">
        <v>482</v>
      </c>
      <c r="C52" s="89" t="s">
        <v>23</v>
      </c>
      <c r="D52" s="89" t="s">
        <v>486</v>
      </c>
    </row>
    <row r="53" spans="1:4" x14ac:dyDescent="0.35">
      <c r="A53" s="89" t="s">
        <v>251</v>
      </c>
      <c r="B53" s="89" t="s">
        <v>482</v>
      </c>
      <c r="C53" s="89" t="s">
        <v>490</v>
      </c>
      <c r="D53" s="89" t="s">
        <v>486</v>
      </c>
    </row>
    <row r="54" spans="1:4" x14ac:dyDescent="0.35">
      <c r="A54" s="89" t="s">
        <v>24</v>
      </c>
      <c r="B54" s="89" t="s">
        <v>482</v>
      </c>
      <c r="C54" s="89" t="s">
        <v>491</v>
      </c>
      <c r="D54" s="89" t="s">
        <v>486</v>
      </c>
    </row>
    <row r="55" spans="1:4" x14ac:dyDescent="0.35">
      <c r="A55" s="89" t="s">
        <v>487</v>
      </c>
      <c r="B55" s="89" t="s">
        <v>482</v>
      </c>
      <c r="C55" s="89" t="s">
        <v>488</v>
      </c>
      <c r="D55" s="89" t="s">
        <v>486</v>
      </c>
    </row>
    <row r="56" spans="1:4" x14ac:dyDescent="0.35">
      <c r="A56" s="89" t="s">
        <v>253</v>
      </c>
      <c r="B56" s="89" t="s">
        <v>482</v>
      </c>
      <c r="C56" s="89" t="s">
        <v>492</v>
      </c>
      <c r="D56" s="89" t="s">
        <v>486</v>
      </c>
    </row>
    <row r="57" spans="1:4" x14ac:dyDescent="0.35">
      <c r="A57" s="89" t="s">
        <v>26</v>
      </c>
      <c r="B57" s="89" t="s">
        <v>482</v>
      </c>
      <c r="C57" s="89" t="s">
        <v>27</v>
      </c>
      <c r="D57" s="89" t="s">
        <v>486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tabColor theme="9" tint="0.59999389629810485"/>
  </sheetPr>
  <dimension ref="A1:AC16"/>
  <sheetViews>
    <sheetView workbookViewId="0">
      <selection activeCell="D32" sqref="D32"/>
    </sheetView>
  </sheetViews>
  <sheetFormatPr defaultRowHeight="14.5" x14ac:dyDescent="0.35"/>
  <cols>
    <col min="1" max="1" width="15.453125" bestFit="1" customWidth="1"/>
    <col min="3" max="3" width="21.26953125" customWidth="1"/>
    <col min="4" max="4" width="10.81640625" customWidth="1"/>
    <col min="6" max="6" width="11.1796875" style="87" bestFit="1" customWidth="1"/>
    <col min="12" max="12" width="8.7265625" style="63"/>
    <col min="13" max="13" width="107.1796875" customWidth="1"/>
    <col min="14" max="14" width="8.81640625" style="87" bestFit="1" customWidth="1"/>
    <col min="15" max="15" width="17.453125" bestFit="1" customWidth="1"/>
    <col min="16" max="16" width="8.81640625" bestFit="1" customWidth="1"/>
    <col min="17" max="17" width="11.7265625" bestFit="1" customWidth="1"/>
    <col min="18" max="18" width="12.1796875" bestFit="1" customWidth="1"/>
    <col min="20" max="20" width="1.81640625" style="62" customWidth="1"/>
    <col min="22" max="22" width="16.54296875" customWidth="1"/>
  </cols>
  <sheetData>
    <row r="1" spans="1:29" ht="15.5" x14ac:dyDescent="0.35">
      <c r="F1" s="471" t="s">
        <v>1434</v>
      </c>
      <c r="G1" s="472"/>
      <c r="H1" s="472"/>
      <c r="I1" s="472"/>
      <c r="J1" s="472"/>
      <c r="K1" s="472"/>
      <c r="L1" s="473"/>
      <c r="M1" s="1"/>
      <c r="N1" s="474" t="s">
        <v>146</v>
      </c>
      <c r="O1" s="474"/>
      <c r="P1" s="474"/>
      <c r="Q1" s="474"/>
      <c r="R1" s="474"/>
      <c r="V1" s="189" t="s">
        <v>1631</v>
      </c>
      <c r="W1" s="33"/>
      <c r="X1" s="33"/>
      <c r="Y1" s="33"/>
      <c r="Z1" s="33"/>
      <c r="AA1" s="33"/>
      <c r="AB1" s="33"/>
      <c r="AC1" s="33"/>
    </row>
    <row r="2" spans="1:29" ht="15" thickBot="1" x14ac:dyDescent="0.4">
      <c r="A2" s="12" t="s">
        <v>1433</v>
      </c>
      <c r="B2" s="12" t="s">
        <v>95</v>
      </c>
      <c r="C2" s="12" t="s">
        <v>179</v>
      </c>
      <c r="D2" s="12" t="s">
        <v>140</v>
      </c>
      <c r="E2" s="12" t="s">
        <v>96</v>
      </c>
      <c r="F2" s="304">
        <v>2021</v>
      </c>
      <c r="G2" s="12">
        <v>2025</v>
      </c>
      <c r="H2" s="12">
        <v>2030</v>
      </c>
      <c r="I2" s="12">
        <v>2035</v>
      </c>
      <c r="J2" s="12">
        <v>2040</v>
      </c>
      <c r="K2" s="12">
        <v>2045</v>
      </c>
      <c r="L2" s="13">
        <v>2050</v>
      </c>
      <c r="M2" s="12" t="s">
        <v>93</v>
      </c>
      <c r="N2" s="67" t="s">
        <v>147</v>
      </c>
      <c r="O2" s="15" t="s">
        <v>151</v>
      </c>
      <c r="P2" s="12" t="s">
        <v>148</v>
      </c>
      <c r="Q2" s="12" t="s">
        <v>149</v>
      </c>
      <c r="R2" s="12" t="s">
        <v>150</v>
      </c>
      <c r="V2" s="105" t="s">
        <v>1432</v>
      </c>
      <c r="W2" s="105">
        <v>2021</v>
      </c>
      <c r="X2" s="105">
        <v>2025</v>
      </c>
      <c r="Y2" s="105">
        <v>2030</v>
      </c>
      <c r="Z2" s="105">
        <v>2035</v>
      </c>
      <c r="AA2" s="105">
        <v>2040</v>
      </c>
      <c r="AB2" s="105">
        <v>2045</v>
      </c>
      <c r="AC2" s="105">
        <v>2050</v>
      </c>
    </row>
    <row r="3" spans="1:29" ht="15" thickTop="1" x14ac:dyDescent="0.35">
      <c r="A3" t="s">
        <v>451</v>
      </c>
      <c r="B3" t="s">
        <v>2261</v>
      </c>
      <c r="C3" t="s">
        <v>161</v>
      </c>
      <c r="D3">
        <v>2022</v>
      </c>
      <c r="E3" t="s">
        <v>142</v>
      </c>
      <c r="F3" s="305">
        <f>'Background Data'!$U21*W$3/1000</f>
        <v>24.216570644594018</v>
      </c>
      <c r="G3" s="71">
        <f>'Background Data'!$U21*X$3/1000</f>
        <v>26.558043994305887</v>
      </c>
      <c r="H3" s="71">
        <f>'Background Data'!$U21*Y$3/1000</f>
        <v>29.197502204969826</v>
      </c>
      <c r="I3" s="71">
        <f>'Background Data'!$U21*Z$3/1000</f>
        <v>30.999737565920345</v>
      </c>
      <c r="J3" s="71">
        <f>'Background Data'!$U21*AA$3/1000</f>
        <v>32.699468999942397</v>
      </c>
      <c r="K3" s="71">
        <f>'Background Data'!$U21*AB$3/1000</f>
        <v>34.757713469797416</v>
      </c>
      <c r="L3" s="72">
        <f>'Background Data'!$U21*AC$3/1000</f>
        <v>36.94202845774754</v>
      </c>
      <c r="M3" t="s">
        <v>2293</v>
      </c>
      <c r="N3" s="87">
        <v>2</v>
      </c>
      <c r="O3">
        <v>1</v>
      </c>
      <c r="P3">
        <v>1</v>
      </c>
      <c r="Q3">
        <v>1</v>
      </c>
      <c r="R3">
        <v>1</v>
      </c>
      <c r="V3" t="s">
        <v>1629</v>
      </c>
      <c r="W3" s="73">
        <f>'Background Data'!BJ10/'Background Data'!$BI10</f>
        <v>1.0511107311082437</v>
      </c>
      <c r="X3" s="73">
        <f>'Background Data'!BK10/'Background Data'!$BI10</f>
        <v>1.1527414615946647</v>
      </c>
      <c r="Y3" s="73">
        <f>'Background Data'!BL10/'Background Data'!$BI10</f>
        <v>1.2673061078551775</v>
      </c>
      <c r="Z3" s="73">
        <f>'Background Data'!BM10/'Background Data'!$BI10</f>
        <v>1.3455314253734825</v>
      </c>
      <c r="AA3" s="73">
        <f>'Background Data'!BN10/'Background Data'!$BI10</f>
        <v>1.4193076002300744</v>
      </c>
      <c r="AB3" s="73">
        <f>'Background Data'!BO10/'Background Data'!$BI10</f>
        <v>1.5086448925023708</v>
      </c>
      <c r="AC3" s="73">
        <f>'Background Data'!BP10/'Background Data'!$BI10</f>
        <v>1.6034542260637057</v>
      </c>
    </row>
    <row r="4" spans="1:29" x14ac:dyDescent="0.35">
      <c r="A4" t="s">
        <v>452</v>
      </c>
      <c r="B4" t="s">
        <v>2261</v>
      </c>
      <c r="C4" t="s">
        <v>161</v>
      </c>
      <c r="D4">
        <v>2022</v>
      </c>
      <c r="E4" t="s">
        <v>142</v>
      </c>
      <c r="F4" s="305">
        <f>'Background Data'!$U22*W$3/1000</f>
        <v>34.518899865319405</v>
      </c>
      <c r="G4" s="71">
        <f>'Background Data'!$U22*X$3/1000</f>
        <v>37.856493997957713</v>
      </c>
      <c r="H4" s="71">
        <f>'Background Data'!$U22*Y$3/1000</f>
        <v>41.61884313523916</v>
      </c>
      <c r="I4" s="71">
        <f>'Background Data'!$U22*Z$3/1000</f>
        <v>44.187794076782843</v>
      </c>
      <c r="J4" s="71">
        <f>'Background Data'!$U22*AA$3/1000</f>
        <v>46.610633380912006</v>
      </c>
      <c r="K4" s="71">
        <f>'Background Data'!$U22*AB$3/1000</f>
        <v>49.544506050002468</v>
      </c>
      <c r="L4" s="72">
        <f>'Background Data'!$U22*AC$3/1000</f>
        <v>52.658082759518877</v>
      </c>
      <c r="M4" t="s">
        <v>2293</v>
      </c>
      <c r="N4" s="87">
        <v>2</v>
      </c>
      <c r="O4">
        <v>1</v>
      </c>
      <c r="P4">
        <v>1</v>
      </c>
      <c r="Q4">
        <v>1</v>
      </c>
      <c r="R4">
        <v>1</v>
      </c>
      <c r="V4" t="s">
        <v>1630</v>
      </c>
      <c r="W4" s="73">
        <f>'Background Data'!BJ11/'Background Data'!$BI11</f>
        <v>1.0083013760433115</v>
      </c>
      <c r="X4" s="73">
        <f>'Background Data'!BK11/'Background Data'!$BI11</f>
        <v>1.054477780284232</v>
      </c>
      <c r="Y4" s="73">
        <f>'Background Data'!BL11/'Background Data'!$BI11</f>
        <v>1.1310850439882698</v>
      </c>
      <c r="Z4" s="73">
        <f>'Background Data'!BM11/'Background Data'!$BI11</f>
        <v>1.1960072185878636</v>
      </c>
      <c r="AA4" s="73">
        <f>'Background Data'!BN11/'Background Data'!$BI11</f>
        <v>1.2542521994134899</v>
      </c>
      <c r="AB4" s="73">
        <f>'Background Data'!BO11/'Background Data'!$BI11</f>
        <v>1.3136250845928266</v>
      </c>
      <c r="AC4" s="73">
        <f>'Background Data'!BP11/'Background Data'!$BI11</f>
        <v>1.370877509587187</v>
      </c>
    </row>
    <row r="5" spans="1:29" x14ac:dyDescent="0.35">
      <c r="A5" t="s">
        <v>453</v>
      </c>
      <c r="B5" t="s">
        <v>2261</v>
      </c>
      <c r="C5" t="s">
        <v>161</v>
      </c>
      <c r="D5">
        <v>2022</v>
      </c>
      <c r="E5" t="s">
        <v>143</v>
      </c>
      <c r="F5" s="305">
        <f>'Background Data'!$U23*W$3/1000</f>
        <v>6.2979993030709958</v>
      </c>
      <c r="G5" s="71">
        <f>'Background Data'!$U23*X$3/1000</f>
        <v>6.9069458686713823</v>
      </c>
      <c r="H5" s="71">
        <f>'Background Data'!$U23*Y$3/1000</f>
        <v>7.593389305077495</v>
      </c>
      <c r="I5" s="71">
        <f>'Background Data'!$U23*Z$3/1000</f>
        <v>8.0620963410082869</v>
      </c>
      <c r="J5" s="71">
        <f>'Background Data'!$U23*AA$3/1000</f>
        <v>8.5041451985441245</v>
      </c>
      <c r="K5" s="71">
        <f>'Background Data'!$U23*AB$3/1000</f>
        <v>9.0394324787681075</v>
      </c>
      <c r="L5" s="72">
        <f>'Background Data'!$U23*AC$3/1000</f>
        <v>9.6075068966406629</v>
      </c>
      <c r="M5" t="s">
        <v>2293</v>
      </c>
      <c r="N5" s="87">
        <v>2</v>
      </c>
      <c r="O5">
        <v>1</v>
      </c>
      <c r="P5">
        <v>1</v>
      </c>
      <c r="Q5">
        <v>1</v>
      </c>
      <c r="R5">
        <v>1</v>
      </c>
    </row>
    <row r="6" spans="1:29" x14ac:dyDescent="0.35">
      <c r="A6" t="s">
        <v>14</v>
      </c>
      <c r="B6" t="s">
        <v>2261</v>
      </c>
      <c r="C6" t="s">
        <v>161</v>
      </c>
      <c r="D6">
        <v>2022</v>
      </c>
      <c r="E6" t="s">
        <v>143</v>
      </c>
      <c r="F6" s="305">
        <f>'Background Data'!$U24*W$3/1000</f>
        <v>17.604699024206841</v>
      </c>
      <c r="G6" s="71">
        <f>'Background Data'!$U24*X$3/1000</f>
        <v>19.306877842167626</v>
      </c>
      <c r="H6" s="71">
        <f>'Background Data'!$U24*Y$3/1000</f>
        <v>21.225682451939374</v>
      </c>
      <c r="I6" s="71">
        <f>'Background Data'!$U24*Z$3/1000</f>
        <v>22.535851904334539</v>
      </c>
      <c r="J6" s="71">
        <f>'Background Data'!$U24*AA$3/1000</f>
        <v>23.771504167287041</v>
      </c>
      <c r="K6" s="71">
        <f>'Background Data'!$U24*AB$3/1000</f>
        <v>25.267784336012117</v>
      </c>
      <c r="L6" s="72">
        <f>'Background Data'!$U24*AC$3/1000</f>
        <v>26.855713878195669</v>
      </c>
      <c r="M6" t="s">
        <v>2293</v>
      </c>
      <c r="N6" s="87">
        <v>2</v>
      </c>
      <c r="O6">
        <v>1</v>
      </c>
      <c r="P6">
        <v>1</v>
      </c>
      <c r="Q6">
        <v>1</v>
      </c>
      <c r="R6">
        <v>1</v>
      </c>
    </row>
    <row r="7" spans="1:29" x14ac:dyDescent="0.35">
      <c r="A7" t="s">
        <v>15</v>
      </c>
      <c r="B7" t="s">
        <v>2261</v>
      </c>
      <c r="C7" t="s">
        <v>161</v>
      </c>
      <c r="D7">
        <v>2022</v>
      </c>
      <c r="E7" t="s">
        <v>143</v>
      </c>
      <c r="F7" s="305">
        <f>'Background Data'!$U25*W$3/1000</f>
        <v>73.81209608803772</v>
      </c>
      <c r="G7" s="71">
        <f>'Background Data'!$U25*X$3/1000</f>
        <v>80.948905771496896</v>
      </c>
      <c r="H7" s="71">
        <f>'Background Data'!$U25*Y$3/1000</f>
        <v>88.993973172870611</v>
      </c>
      <c r="I7" s="71">
        <f>'Background Data'!$U25*Z$3/1000</f>
        <v>94.487185716795992</v>
      </c>
      <c r="J7" s="71">
        <f>'Background Data'!$U25*AA$3/1000</f>
        <v>99.667966339006057</v>
      </c>
      <c r="K7" s="71">
        <f>'Background Data'!$U25*AB$3/1000</f>
        <v>105.94149452808206</v>
      </c>
      <c r="L7" s="72">
        <f>'Background Data'!$U25*AC$3/1000</f>
        <v>112.59928559781419</v>
      </c>
      <c r="M7" t="s">
        <v>2293</v>
      </c>
      <c r="N7" s="87">
        <v>2</v>
      </c>
      <c r="O7">
        <v>1</v>
      </c>
      <c r="P7">
        <v>1</v>
      </c>
      <c r="Q7">
        <v>1</v>
      </c>
      <c r="R7">
        <v>1</v>
      </c>
    </row>
    <row r="8" spans="1:29" x14ac:dyDescent="0.35">
      <c r="A8" t="s">
        <v>462</v>
      </c>
      <c r="B8" t="s">
        <v>2261</v>
      </c>
      <c r="C8" t="s">
        <v>161</v>
      </c>
      <c r="D8">
        <v>2022</v>
      </c>
      <c r="E8" t="s">
        <v>142</v>
      </c>
      <c r="F8" s="305">
        <f>'Background Data'!$U26*W$3/1000</f>
        <v>0.60914076722923804</v>
      </c>
      <c r="G8" s="71">
        <f>'Background Data'!$U26*X$3/1000</f>
        <v>0.66803791223059683</v>
      </c>
      <c r="H8" s="71">
        <f>'Background Data'!$U26*Y$3/1000</f>
        <v>0.73443053334568698</v>
      </c>
      <c r="I8" s="71">
        <f>'Background Data'!$U26*Z$3/1000</f>
        <v>0.77976374945662019</v>
      </c>
      <c r="J8" s="71">
        <f>'Background Data'!$U26*AA$3/1000</f>
        <v>0.82251859385631543</v>
      </c>
      <c r="K8" s="71">
        <f>'Background Data'!$U26*AB$3/1000</f>
        <v>0.87429143295534384</v>
      </c>
      <c r="L8" s="72">
        <f>'Background Data'!$U26*AC$3/1000</f>
        <v>0.92923543502556616</v>
      </c>
      <c r="M8" t="s">
        <v>2293</v>
      </c>
      <c r="N8" s="87">
        <v>2</v>
      </c>
      <c r="O8">
        <v>1</v>
      </c>
      <c r="P8">
        <v>1</v>
      </c>
      <c r="Q8">
        <v>1</v>
      </c>
      <c r="R8">
        <v>1</v>
      </c>
    </row>
    <row r="9" spans="1:29" x14ac:dyDescent="0.35">
      <c r="A9" t="s">
        <v>467</v>
      </c>
      <c r="B9" t="s">
        <v>2261</v>
      </c>
      <c r="C9" t="s">
        <v>161</v>
      </c>
      <c r="D9">
        <v>2022</v>
      </c>
      <c r="E9" t="s">
        <v>142</v>
      </c>
      <c r="F9" s="305">
        <f>'Background Data'!$U27*W$3/1000</f>
        <v>6.6304044505737618</v>
      </c>
      <c r="G9" s="71">
        <f>'Background Data'!$U27*X$3/1000</f>
        <v>7.2714909011152269</v>
      </c>
      <c r="H9" s="71">
        <f>'Background Data'!$U27*Y$3/1000</f>
        <v>7.9941644672419976</v>
      </c>
      <c r="I9" s="71">
        <f>'Background Data'!$U27*Z$3/1000</f>
        <v>8.4876096182338987</v>
      </c>
      <c r="J9" s="71">
        <f>'Background Data'!$U27*AA$3/1000</f>
        <v>8.9529895859559492</v>
      </c>
      <c r="K9" s="71">
        <f>'Background Data'!$U27*AB$3/1000</f>
        <v>9.5165290521165726</v>
      </c>
      <c r="L9" s="72">
        <f>'Background Data'!$U27*AC$3/1000</f>
        <v>10.114586144101748</v>
      </c>
      <c r="M9" t="s">
        <v>2293</v>
      </c>
      <c r="N9" s="87">
        <v>2</v>
      </c>
      <c r="O9">
        <v>1</v>
      </c>
      <c r="P9">
        <v>1</v>
      </c>
      <c r="Q9">
        <v>1</v>
      </c>
      <c r="R9">
        <v>1</v>
      </c>
    </row>
    <row r="10" spans="1:29" x14ac:dyDescent="0.35">
      <c r="A10" t="s">
        <v>468</v>
      </c>
      <c r="B10" t="s">
        <v>2261</v>
      </c>
      <c r="C10" t="s">
        <v>161</v>
      </c>
      <c r="D10">
        <v>2022</v>
      </c>
      <c r="E10" t="s">
        <v>142</v>
      </c>
      <c r="F10" s="305">
        <f>'Background Data'!$U28*W$3/1000</f>
        <v>4.2455101665128048</v>
      </c>
      <c r="G10" s="71">
        <f>'Background Data'!$U28*X$3/1000</f>
        <v>4.6560038345351034</v>
      </c>
      <c r="H10" s="71">
        <f>'Background Data'!$U28*Y$3/1000</f>
        <v>5.1187384979983213</v>
      </c>
      <c r="I10" s="71">
        <f>'Background Data'!$U28*Z$3/1000</f>
        <v>5.4346960569631113</v>
      </c>
      <c r="J10" s="71">
        <f>'Background Data'!$U28*AA$3/1000</f>
        <v>5.7326832158134877</v>
      </c>
      <c r="K10" s="71">
        <f>'Background Data'!$U28*AB$3/1000</f>
        <v>6.0935228223037203</v>
      </c>
      <c r="L10" s="72">
        <f>'Background Data'!$U28*AC$3/1000</f>
        <v>6.4764643884035724</v>
      </c>
      <c r="M10" t="s">
        <v>2293</v>
      </c>
      <c r="N10" s="87">
        <v>2</v>
      </c>
      <c r="O10">
        <v>1</v>
      </c>
      <c r="P10">
        <v>1</v>
      </c>
      <c r="Q10">
        <v>1</v>
      </c>
      <c r="R10">
        <v>1</v>
      </c>
    </row>
    <row r="11" spans="1:29" x14ac:dyDescent="0.35">
      <c r="A11" t="s">
        <v>469</v>
      </c>
      <c r="B11" t="s">
        <v>2261</v>
      </c>
      <c r="C11" t="s">
        <v>161</v>
      </c>
      <c r="D11">
        <v>2022</v>
      </c>
      <c r="E11" t="s">
        <v>142</v>
      </c>
      <c r="F11" s="305">
        <f>'Background Data'!$U29*W$3/1000</f>
        <v>0.98698328842303218</v>
      </c>
      <c r="G11" s="71">
        <f>'Background Data'!$U29*X$3/1000</f>
        <v>1.0824136076193385</v>
      </c>
      <c r="H11" s="71">
        <f>'Background Data'!$U29*Y$3/1000</f>
        <v>1.1899887545156156</v>
      </c>
      <c r="I11" s="71">
        <f>'Background Data'!$U29*Z$3/1000</f>
        <v>1.2634416066625525</v>
      </c>
      <c r="J11" s="71">
        <f>'Background Data'!$U29*AA$3/1000</f>
        <v>1.3327167548578884</v>
      </c>
      <c r="K11" s="71">
        <f>'Background Data'!$U29*AB$3/1000</f>
        <v>1.416603648879752</v>
      </c>
      <c r="L11" s="72">
        <f>'Background Data'!$U29*AC$3/1000</f>
        <v>1.505628739236218</v>
      </c>
      <c r="M11" t="s">
        <v>2293</v>
      </c>
      <c r="N11" s="87">
        <v>2</v>
      </c>
      <c r="O11">
        <v>1</v>
      </c>
      <c r="P11">
        <v>1</v>
      </c>
      <c r="Q11">
        <v>1</v>
      </c>
      <c r="R11">
        <v>1</v>
      </c>
    </row>
    <row r="12" spans="1:29" x14ac:dyDescent="0.35">
      <c r="A12" t="s">
        <v>471</v>
      </c>
      <c r="B12" t="s">
        <v>2261</v>
      </c>
      <c r="C12" t="s">
        <v>161</v>
      </c>
      <c r="D12">
        <v>2022</v>
      </c>
      <c r="E12" t="s">
        <v>142</v>
      </c>
      <c r="F12" s="305">
        <f>'Background Data'!$U$93/'Background Data'!$U132 * W$3</f>
        <v>31.532242436148614</v>
      </c>
      <c r="G12" s="71">
        <f>'Background Data'!$U$93/'Background Data'!$U132 * X$3</f>
        <v>34.581059975364369</v>
      </c>
      <c r="H12" s="71">
        <f>'Background Data'!$U$93/'Background Data'!$U132 * Y$3</f>
        <v>38.017881704592895</v>
      </c>
      <c r="I12" s="71">
        <f>'Background Data'!$U$93/'Background Data'!$U132 * Z$3</f>
        <v>40.364560892266304</v>
      </c>
      <c r="J12" s="71">
        <f>'Background Data'!$U$93/'Background Data'!$U132 * AA$3</f>
        <v>42.57777036938483</v>
      </c>
      <c r="K12" s="71">
        <f>'Background Data'!$U$93/'Background Data'!$U132 * AB$3</f>
        <v>45.257797387612484</v>
      </c>
      <c r="L12" s="72">
        <f>'Background Data'!$U$93/'Background Data'!$U132 * AC$3</f>
        <v>48.101980024691684</v>
      </c>
      <c r="M12" t="s">
        <v>2294</v>
      </c>
      <c r="N12" s="87">
        <v>2</v>
      </c>
      <c r="O12">
        <v>1</v>
      </c>
      <c r="P12">
        <v>1</v>
      </c>
      <c r="Q12">
        <v>2</v>
      </c>
      <c r="R12">
        <v>1</v>
      </c>
    </row>
    <row r="13" spans="1:29" x14ac:dyDescent="0.35">
      <c r="A13" t="s">
        <v>470</v>
      </c>
      <c r="B13" t="s">
        <v>2261</v>
      </c>
      <c r="C13" t="s">
        <v>161</v>
      </c>
      <c r="D13">
        <v>2022</v>
      </c>
      <c r="E13" t="s">
        <v>143</v>
      </c>
      <c r="F13" s="305">
        <f>'Background Data'!$U$96/'Background Data'!$U133 * W$3</f>
        <v>0.38594913247111551</v>
      </c>
      <c r="G13" s="71">
        <f>'Background Data'!$U$96/'Background Data'!$U133 * X$3</f>
        <v>0.42326612591697599</v>
      </c>
      <c r="H13" s="71">
        <f>'Background Data'!$U$96/'Background Data'!$U133 * Y$3</f>
        <v>0.46533222278717506</v>
      </c>
      <c r="I13" s="71">
        <f>'Background Data'!$U$96/'Background Data'!$U133 * Z$3</f>
        <v>0.49405516561322282</v>
      </c>
      <c r="J13" s="71">
        <f>'Background Data'!$U$96/'Background Data'!$U133 * AA$3</f>
        <v>0.52114446252575408</v>
      </c>
      <c r="K13" s="71">
        <f>'Background Data'!$U$96/'Background Data'!$U133 * AB$3</f>
        <v>0.55394752449569273</v>
      </c>
      <c r="L13" s="72">
        <f>'Background Data'!$U$96/'Background Data'!$U133 * AC$3</f>
        <v>0.58875982252977455</v>
      </c>
      <c r="M13" t="s">
        <v>2294</v>
      </c>
      <c r="N13" s="87">
        <v>2</v>
      </c>
      <c r="O13">
        <v>1</v>
      </c>
      <c r="P13">
        <v>1</v>
      </c>
      <c r="Q13">
        <v>2</v>
      </c>
      <c r="R13">
        <v>1</v>
      </c>
    </row>
    <row r="14" spans="1:29" x14ac:dyDescent="0.35">
      <c r="A14" t="s">
        <v>474</v>
      </c>
      <c r="B14" t="s">
        <v>2261</v>
      </c>
      <c r="C14" t="s">
        <v>161</v>
      </c>
      <c r="D14">
        <v>2022</v>
      </c>
      <c r="E14" t="s">
        <v>142</v>
      </c>
      <c r="F14" s="305">
        <f>'Background Data'!$U97/'Background Data'!$U134 * W$3</f>
        <v>0.46069249718775568</v>
      </c>
      <c r="G14" s="71">
        <f>'Background Data'!$U97/'Background Data'!$U134 * X$3</f>
        <v>0.50523634364762349</v>
      </c>
      <c r="H14" s="71">
        <f>'Background Data'!$U97/'Background Data'!$U134 * Y$3</f>
        <v>0.55544901050864937</v>
      </c>
      <c r="I14" s="71">
        <f>'Background Data'!$U97/'Background Data'!$U134 * Z$3</f>
        <v>0.58973447235796028</v>
      </c>
      <c r="J14" s="71">
        <f>'Background Data'!$U97/'Background Data'!$U134 * AA$3</f>
        <v>0.6220699144971612</v>
      </c>
      <c r="K14" s="71">
        <f>'Background Data'!$U97/'Background Data'!$U134 * AB$3</f>
        <v>0.66122565618150542</v>
      </c>
      <c r="L14" s="72">
        <f>'Background Data'!$U97/'Background Data'!$U134 * AC$3</f>
        <v>0.70277974495864715</v>
      </c>
      <c r="M14" t="s">
        <v>2294</v>
      </c>
      <c r="N14" s="87">
        <v>2</v>
      </c>
      <c r="O14">
        <v>1</v>
      </c>
      <c r="P14">
        <v>1</v>
      </c>
      <c r="Q14">
        <v>2</v>
      </c>
      <c r="R14">
        <v>1</v>
      </c>
    </row>
    <row r="15" spans="1:29" x14ac:dyDescent="0.35">
      <c r="A15" t="s">
        <v>475</v>
      </c>
      <c r="B15" t="s">
        <v>2261</v>
      </c>
      <c r="C15" t="s">
        <v>161</v>
      </c>
      <c r="D15">
        <v>2022</v>
      </c>
      <c r="E15" t="s">
        <v>143</v>
      </c>
      <c r="F15" s="305">
        <f>'Background Data'!$U98/'Background Data'!$U135 * W$3</f>
        <v>120.2241997793098</v>
      </c>
      <c r="G15" s="71">
        <f>'Background Data'!$U98/'Background Data'!$U135 * X$3</f>
        <v>131.84854427899356</v>
      </c>
      <c r="H15" s="71">
        <f>'Background Data'!$U98/'Background Data'!$U135 * Y$3</f>
        <v>144.95224735426112</v>
      </c>
      <c r="I15" s="71">
        <f>'Background Data'!$U98/'Background Data'!$U135 * Z$3</f>
        <v>153.89952181620566</v>
      </c>
      <c r="J15" s="71">
        <f>'Background Data'!$U98/'Background Data'!$U135 * AA$3</f>
        <v>162.33791115275102</v>
      </c>
      <c r="K15" s="71">
        <f>'Background Data'!$U98/'Background Data'!$U135 * AB$3</f>
        <v>172.55615377554571</v>
      </c>
      <c r="L15" s="72">
        <f>'Background Data'!$U98/'Background Data'!$U135 * AC$3</f>
        <v>183.40027887262585</v>
      </c>
      <c r="M15" t="s">
        <v>2294</v>
      </c>
      <c r="N15" s="87">
        <v>2</v>
      </c>
      <c r="O15">
        <v>1</v>
      </c>
      <c r="P15">
        <v>1</v>
      </c>
      <c r="Q15">
        <v>2</v>
      </c>
      <c r="R15">
        <v>1</v>
      </c>
    </row>
    <row r="16" spans="1:29" x14ac:dyDescent="0.35">
      <c r="A16" t="s">
        <v>1925</v>
      </c>
      <c r="B16" t="s">
        <v>2261</v>
      </c>
      <c r="C16" t="s">
        <v>161</v>
      </c>
      <c r="D16">
        <v>2022</v>
      </c>
      <c r="E16" t="s">
        <v>483</v>
      </c>
      <c r="F16" s="407">
        <f>'Background Data'!$U$102*W3</f>
        <v>14.053350474917218</v>
      </c>
      <c r="G16" s="95">
        <f>'Background Data'!$U$102*X3</f>
        <v>15.412153341520666</v>
      </c>
      <c r="H16" s="95">
        <f>'Background Data'!$U$102*Y3</f>
        <v>16.943882662023722</v>
      </c>
      <c r="I16" s="95">
        <f>'Background Data'!$U$102*Z3</f>
        <v>17.989755157243458</v>
      </c>
      <c r="J16" s="95">
        <f>'Background Data'!$U$102*AA3</f>
        <v>18.976142615076093</v>
      </c>
      <c r="K16" s="95">
        <f>'Background Data'!$U$102*AB3</f>
        <v>20.170582212756695</v>
      </c>
      <c r="L16" s="406">
        <f>'Background Data'!$U$102*AC3</f>
        <v>21.438183002471742</v>
      </c>
      <c r="M16" t="s">
        <v>2295</v>
      </c>
      <c r="N16" s="87">
        <v>2</v>
      </c>
      <c r="O16">
        <v>1</v>
      </c>
      <c r="P16">
        <v>1</v>
      </c>
      <c r="Q16">
        <v>1</v>
      </c>
      <c r="R16">
        <v>1</v>
      </c>
    </row>
  </sheetData>
  <mergeCells count="2">
    <mergeCell ref="F1:L1"/>
    <mergeCell ref="N1:R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tabColor theme="9" tint="0.59999389629810485"/>
  </sheetPr>
  <dimension ref="A1:L130"/>
  <sheetViews>
    <sheetView topLeftCell="A108" workbookViewId="0">
      <selection activeCell="G32" sqref="G32"/>
    </sheetView>
  </sheetViews>
  <sheetFormatPr defaultRowHeight="14.5" x14ac:dyDescent="0.35"/>
  <cols>
    <col min="1" max="1" width="23.54296875" bestFit="1" customWidth="1"/>
    <col min="2" max="2" width="6.453125" bestFit="1" customWidth="1"/>
    <col min="3" max="3" width="35" customWidth="1"/>
    <col min="4" max="4" width="9" bestFit="1" customWidth="1"/>
    <col min="5" max="5" width="5.7265625" bestFit="1" customWidth="1"/>
    <col min="6" max="6" width="15" bestFit="1" customWidth="1"/>
    <col min="7" max="7" width="122.7265625" style="63" customWidth="1"/>
    <col min="8" max="8" width="8.81640625" bestFit="1" customWidth="1"/>
    <col min="9" max="9" width="12.54296875" bestFit="1" customWidth="1"/>
    <col min="10" max="10" width="8.81640625" bestFit="1" customWidth="1"/>
    <col min="11" max="11" width="11.7265625" bestFit="1" customWidth="1"/>
    <col min="12" max="12" width="12.1796875" bestFit="1" customWidth="1"/>
  </cols>
  <sheetData>
    <row r="1" spans="1:12" x14ac:dyDescent="0.35">
      <c r="H1" s="475" t="s">
        <v>146</v>
      </c>
      <c r="I1" s="474"/>
      <c r="J1" s="474"/>
      <c r="K1" s="474"/>
      <c r="L1" s="474"/>
    </row>
    <row r="2" spans="1:12" ht="15" thickBot="1" x14ac:dyDescent="0.4">
      <c r="A2" s="12" t="s">
        <v>94</v>
      </c>
      <c r="B2" s="12" t="s">
        <v>95</v>
      </c>
      <c r="C2" s="12" t="s">
        <v>179</v>
      </c>
      <c r="D2" s="12" t="s">
        <v>140</v>
      </c>
      <c r="E2" s="12" t="s">
        <v>96</v>
      </c>
      <c r="F2" s="12" t="s">
        <v>144</v>
      </c>
      <c r="G2" s="13" t="s">
        <v>93</v>
      </c>
      <c r="H2" s="15" t="s">
        <v>147</v>
      </c>
      <c r="I2" s="15" t="s">
        <v>399</v>
      </c>
      <c r="J2" s="12" t="s">
        <v>148</v>
      </c>
      <c r="K2" s="12" t="s">
        <v>149</v>
      </c>
      <c r="L2" s="12" t="s">
        <v>150</v>
      </c>
    </row>
    <row r="3" spans="1:12" ht="15" thickTop="1" x14ac:dyDescent="0.35">
      <c r="A3" t="s">
        <v>1083</v>
      </c>
      <c r="B3" t="s">
        <v>2261</v>
      </c>
      <c r="C3" t="s">
        <v>431</v>
      </c>
      <c r="D3">
        <v>2022</v>
      </c>
      <c r="E3" t="s">
        <v>106</v>
      </c>
      <c r="F3">
        <f>'Background Data'!$AH$23</f>
        <v>14</v>
      </c>
      <c r="G3" s="63" t="s">
        <v>432</v>
      </c>
      <c r="H3">
        <v>1</v>
      </c>
      <c r="I3">
        <v>1</v>
      </c>
      <c r="J3">
        <v>1</v>
      </c>
      <c r="K3">
        <v>3</v>
      </c>
      <c r="L3">
        <v>1</v>
      </c>
    </row>
    <row r="4" spans="1:12" x14ac:dyDescent="0.35">
      <c r="A4" t="s">
        <v>28</v>
      </c>
      <c r="B4" t="s">
        <v>2261</v>
      </c>
      <c r="C4" t="s">
        <v>431</v>
      </c>
      <c r="D4">
        <v>2022</v>
      </c>
      <c r="E4" t="s">
        <v>106</v>
      </c>
      <c r="F4">
        <f>'Background Data'!$AH$23</f>
        <v>14</v>
      </c>
      <c r="G4" s="63" t="s">
        <v>432</v>
      </c>
      <c r="H4">
        <v>1</v>
      </c>
      <c r="I4">
        <v>1</v>
      </c>
      <c r="J4">
        <v>1</v>
      </c>
      <c r="K4">
        <v>3</v>
      </c>
      <c r="L4">
        <v>1</v>
      </c>
    </row>
    <row r="5" spans="1:12" x14ac:dyDescent="0.35">
      <c r="A5" t="s">
        <v>2197</v>
      </c>
      <c r="B5" t="s">
        <v>2261</v>
      </c>
      <c r="C5" t="s">
        <v>431</v>
      </c>
      <c r="D5">
        <v>2022</v>
      </c>
      <c r="E5" t="s">
        <v>106</v>
      </c>
      <c r="F5">
        <f>'Background Data'!$AH$23</f>
        <v>14</v>
      </c>
      <c r="G5" s="63" t="s">
        <v>432</v>
      </c>
      <c r="H5">
        <v>1</v>
      </c>
      <c r="I5">
        <v>1</v>
      </c>
      <c r="J5">
        <v>1</v>
      </c>
      <c r="K5">
        <v>3</v>
      </c>
      <c r="L5">
        <v>1</v>
      </c>
    </row>
    <row r="6" spans="1:12" x14ac:dyDescent="0.35">
      <c r="A6" t="s">
        <v>1084</v>
      </c>
      <c r="B6" t="s">
        <v>2261</v>
      </c>
      <c r="C6" t="s">
        <v>431</v>
      </c>
      <c r="D6">
        <v>2022</v>
      </c>
      <c r="E6" t="s">
        <v>106</v>
      </c>
      <c r="F6">
        <f>'Background Data'!$AH$23</f>
        <v>14</v>
      </c>
      <c r="G6" s="63" t="s">
        <v>432</v>
      </c>
      <c r="H6">
        <v>1</v>
      </c>
      <c r="I6">
        <v>1</v>
      </c>
      <c r="J6">
        <v>1</v>
      </c>
      <c r="K6">
        <v>3</v>
      </c>
      <c r="L6">
        <v>1</v>
      </c>
    </row>
    <row r="7" spans="1:12" x14ac:dyDescent="0.35">
      <c r="A7" t="s">
        <v>1095</v>
      </c>
      <c r="B7" t="s">
        <v>2261</v>
      </c>
      <c r="C7" t="s">
        <v>431</v>
      </c>
      <c r="D7">
        <v>2022</v>
      </c>
      <c r="E7" t="s">
        <v>106</v>
      </c>
      <c r="F7">
        <f>'Background Data'!$AH$23</f>
        <v>14</v>
      </c>
      <c r="G7" s="63" t="s">
        <v>432</v>
      </c>
      <c r="H7">
        <v>1</v>
      </c>
      <c r="I7">
        <v>1</v>
      </c>
      <c r="J7">
        <v>1</v>
      </c>
      <c r="K7">
        <v>3</v>
      </c>
      <c r="L7">
        <v>1</v>
      </c>
    </row>
    <row r="8" spans="1:12" x14ac:dyDescent="0.35">
      <c r="A8" t="s">
        <v>1085</v>
      </c>
      <c r="B8" t="s">
        <v>2261</v>
      </c>
      <c r="C8" t="s">
        <v>431</v>
      </c>
      <c r="D8">
        <v>2022</v>
      </c>
      <c r="E8" t="s">
        <v>106</v>
      </c>
      <c r="F8">
        <f>'Background Data'!$AH$24</f>
        <v>16</v>
      </c>
      <c r="G8" s="63" t="s">
        <v>433</v>
      </c>
      <c r="H8">
        <v>1</v>
      </c>
      <c r="I8">
        <v>1</v>
      </c>
      <c r="J8">
        <v>1</v>
      </c>
      <c r="K8">
        <v>3</v>
      </c>
      <c r="L8">
        <v>1</v>
      </c>
    </row>
    <row r="9" spans="1:12" x14ac:dyDescent="0.35">
      <c r="A9" t="s">
        <v>408</v>
      </c>
      <c r="B9" t="s">
        <v>2261</v>
      </c>
      <c r="C9" t="s">
        <v>431</v>
      </c>
      <c r="D9">
        <v>2022</v>
      </c>
      <c r="E9" t="s">
        <v>106</v>
      </c>
      <c r="F9">
        <f>'Background Data'!$AH$24</f>
        <v>16</v>
      </c>
      <c r="G9" s="63" t="s">
        <v>433</v>
      </c>
      <c r="H9">
        <v>1</v>
      </c>
      <c r="I9">
        <v>1</v>
      </c>
      <c r="J9">
        <v>1</v>
      </c>
      <c r="K9">
        <v>3</v>
      </c>
      <c r="L9">
        <v>1</v>
      </c>
    </row>
    <row r="10" spans="1:12" x14ac:dyDescent="0.35">
      <c r="A10" t="s">
        <v>2198</v>
      </c>
      <c r="B10" t="s">
        <v>2261</v>
      </c>
      <c r="C10" t="s">
        <v>431</v>
      </c>
      <c r="D10">
        <v>2022</v>
      </c>
      <c r="E10" t="s">
        <v>106</v>
      </c>
      <c r="F10">
        <f>'Background Data'!$AH$24</f>
        <v>16</v>
      </c>
      <c r="G10" s="63" t="s">
        <v>433</v>
      </c>
      <c r="H10">
        <v>1</v>
      </c>
      <c r="I10">
        <v>1</v>
      </c>
      <c r="J10">
        <v>1</v>
      </c>
      <c r="K10">
        <v>3</v>
      </c>
      <c r="L10">
        <v>1</v>
      </c>
    </row>
    <row r="11" spans="1:12" x14ac:dyDescent="0.35">
      <c r="A11" t="s">
        <v>1086</v>
      </c>
      <c r="B11" t="s">
        <v>2261</v>
      </c>
      <c r="C11" t="s">
        <v>431</v>
      </c>
      <c r="D11">
        <v>2022</v>
      </c>
      <c r="E11" t="s">
        <v>106</v>
      </c>
      <c r="F11">
        <f>'Background Data'!$AH$24</f>
        <v>16</v>
      </c>
      <c r="G11" s="63" t="s">
        <v>433</v>
      </c>
      <c r="H11">
        <v>1</v>
      </c>
      <c r="I11">
        <v>1</v>
      </c>
      <c r="J11">
        <v>1</v>
      </c>
      <c r="K11">
        <v>3</v>
      </c>
      <c r="L11">
        <v>1</v>
      </c>
    </row>
    <row r="12" spans="1:12" x14ac:dyDescent="0.35">
      <c r="A12" t="s">
        <v>1096</v>
      </c>
      <c r="B12" t="s">
        <v>2261</v>
      </c>
      <c r="C12" t="s">
        <v>431</v>
      </c>
      <c r="D12">
        <v>2022</v>
      </c>
      <c r="E12" t="s">
        <v>106</v>
      </c>
      <c r="F12">
        <f>'Background Data'!$AH$24</f>
        <v>16</v>
      </c>
      <c r="G12" s="63" t="s">
        <v>433</v>
      </c>
      <c r="H12">
        <v>1</v>
      </c>
      <c r="I12">
        <v>1</v>
      </c>
      <c r="J12">
        <v>1</v>
      </c>
      <c r="K12">
        <v>3</v>
      </c>
      <c r="L12">
        <v>1</v>
      </c>
    </row>
    <row r="13" spans="1:12" x14ac:dyDescent="0.35">
      <c r="A13" t="s">
        <v>1087</v>
      </c>
      <c r="B13" t="s">
        <v>2261</v>
      </c>
      <c r="C13" t="s">
        <v>431</v>
      </c>
      <c r="D13">
        <v>2022</v>
      </c>
      <c r="E13" t="s">
        <v>106</v>
      </c>
      <c r="F13">
        <f>'Background Data'!$AH$24</f>
        <v>16</v>
      </c>
      <c r="G13" s="63" t="s">
        <v>433</v>
      </c>
      <c r="H13">
        <v>1</v>
      </c>
      <c r="I13">
        <v>1</v>
      </c>
      <c r="J13">
        <v>1</v>
      </c>
      <c r="K13">
        <v>3</v>
      </c>
      <c r="L13">
        <v>1</v>
      </c>
    </row>
    <row r="14" spans="1:12" x14ac:dyDescent="0.35">
      <c r="A14" t="s">
        <v>409</v>
      </c>
      <c r="B14" t="s">
        <v>2261</v>
      </c>
      <c r="C14" t="s">
        <v>431</v>
      </c>
      <c r="D14">
        <v>2022</v>
      </c>
      <c r="E14" t="s">
        <v>106</v>
      </c>
      <c r="F14">
        <f>'Background Data'!$AH$24</f>
        <v>16</v>
      </c>
      <c r="G14" s="63" t="s">
        <v>433</v>
      </c>
      <c r="H14">
        <v>1</v>
      </c>
      <c r="I14">
        <v>1</v>
      </c>
      <c r="J14">
        <v>1</v>
      </c>
      <c r="K14">
        <v>3</v>
      </c>
      <c r="L14">
        <v>1</v>
      </c>
    </row>
    <row r="15" spans="1:12" x14ac:dyDescent="0.35">
      <c r="A15" t="s">
        <v>1088</v>
      </c>
      <c r="B15" t="s">
        <v>2261</v>
      </c>
      <c r="C15" t="s">
        <v>431</v>
      </c>
      <c r="D15">
        <v>2022</v>
      </c>
      <c r="E15" t="s">
        <v>106</v>
      </c>
      <c r="F15">
        <f>'Background Data'!$AH$24</f>
        <v>16</v>
      </c>
      <c r="G15" s="63" t="s">
        <v>433</v>
      </c>
      <c r="H15">
        <v>1</v>
      </c>
      <c r="I15">
        <v>1</v>
      </c>
      <c r="J15">
        <v>1</v>
      </c>
      <c r="K15">
        <v>3</v>
      </c>
      <c r="L15">
        <v>1</v>
      </c>
    </row>
    <row r="16" spans="1:12" x14ac:dyDescent="0.35">
      <c r="A16" t="s">
        <v>1097</v>
      </c>
      <c r="B16" t="s">
        <v>2261</v>
      </c>
      <c r="C16" t="s">
        <v>431</v>
      </c>
      <c r="D16">
        <v>2022</v>
      </c>
      <c r="E16" t="s">
        <v>106</v>
      </c>
      <c r="F16">
        <f>'Background Data'!$AH$24</f>
        <v>16</v>
      </c>
      <c r="G16" s="63" t="s">
        <v>433</v>
      </c>
      <c r="H16">
        <v>1</v>
      </c>
      <c r="I16">
        <v>1</v>
      </c>
      <c r="J16">
        <v>1</v>
      </c>
      <c r="K16">
        <v>3</v>
      </c>
      <c r="L16">
        <v>1</v>
      </c>
    </row>
    <row r="17" spans="1:12" x14ac:dyDescent="0.35">
      <c r="A17" t="s">
        <v>1089</v>
      </c>
      <c r="B17" t="s">
        <v>2261</v>
      </c>
      <c r="C17" t="s">
        <v>431</v>
      </c>
      <c r="D17">
        <v>2022</v>
      </c>
      <c r="E17" t="s">
        <v>106</v>
      </c>
      <c r="F17">
        <f>'Background Data'!$AH$25</f>
        <v>16</v>
      </c>
      <c r="G17" s="63" t="s">
        <v>434</v>
      </c>
      <c r="H17">
        <v>1</v>
      </c>
      <c r="I17">
        <v>1</v>
      </c>
      <c r="J17">
        <v>1</v>
      </c>
      <c r="K17">
        <v>3</v>
      </c>
      <c r="L17">
        <v>1</v>
      </c>
    </row>
    <row r="18" spans="1:12" x14ac:dyDescent="0.35">
      <c r="A18" t="s">
        <v>29</v>
      </c>
      <c r="B18" t="s">
        <v>2261</v>
      </c>
      <c r="C18" t="s">
        <v>431</v>
      </c>
      <c r="D18">
        <v>2022</v>
      </c>
      <c r="E18" t="s">
        <v>106</v>
      </c>
      <c r="F18">
        <f>'Background Data'!$AH$25</f>
        <v>16</v>
      </c>
      <c r="G18" s="63" t="s">
        <v>434</v>
      </c>
      <c r="H18">
        <v>1</v>
      </c>
      <c r="I18">
        <v>1</v>
      </c>
      <c r="J18">
        <v>1</v>
      </c>
      <c r="K18">
        <v>3</v>
      </c>
      <c r="L18">
        <v>1</v>
      </c>
    </row>
    <row r="19" spans="1:12" x14ac:dyDescent="0.35">
      <c r="A19" t="s">
        <v>30</v>
      </c>
      <c r="B19" t="s">
        <v>2261</v>
      </c>
      <c r="C19" t="s">
        <v>853</v>
      </c>
      <c r="D19">
        <v>2023</v>
      </c>
      <c r="E19" t="s">
        <v>106</v>
      </c>
      <c r="F19">
        <f>'Background Data'!$AH$26</f>
        <v>19</v>
      </c>
      <c r="G19" s="63" t="s">
        <v>855</v>
      </c>
      <c r="H19">
        <v>1</v>
      </c>
      <c r="I19">
        <v>1</v>
      </c>
      <c r="J19">
        <v>1</v>
      </c>
      <c r="K19">
        <v>3</v>
      </c>
      <c r="L19">
        <v>1</v>
      </c>
    </row>
    <row r="20" spans="1:12" x14ac:dyDescent="0.35">
      <c r="A20" t="s">
        <v>1090</v>
      </c>
      <c r="B20" t="s">
        <v>2261</v>
      </c>
      <c r="C20" t="s">
        <v>435</v>
      </c>
      <c r="D20">
        <v>2009</v>
      </c>
      <c r="E20" t="s">
        <v>106</v>
      </c>
      <c r="F20">
        <f>'Background Data'!$AH$28</f>
        <v>17</v>
      </c>
      <c r="G20" s="63" t="s">
        <v>436</v>
      </c>
      <c r="H20">
        <v>2</v>
      </c>
      <c r="I20">
        <v>1</v>
      </c>
      <c r="J20">
        <v>4</v>
      </c>
      <c r="K20">
        <v>3</v>
      </c>
      <c r="L20">
        <v>1</v>
      </c>
    </row>
    <row r="21" spans="1:12" x14ac:dyDescent="0.35">
      <c r="A21" t="s">
        <v>1091</v>
      </c>
      <c r="B21" t="s">
        <v>2261</v>
      </c>
      <c r="C21" t="s">
        <v>170</v>
      </c>
      <c r="D21">
        <v>2022</v>
      </c>
      <c r="E21" t="s">
        <v>106</v>
      </c>
      <c r="F21">
        <f>'Background Data'!$AD$23</f>
        <v>15</v>
      </c>
      <c r="G21" s="63" t="s">
        <v>445</v>
      </c>
      <c r="H21">
        <v>1</v>
      </c>
      <c r="I21">
        <v>1</v>
      </c>
      <c r="J21">
        <v>1</v>
      </c>
      <c r="K21">
        <v>1</v>
      </c>
      <c r="L21">
        <v>1</v>
      </c>
    </row>
    <row r="22" spans="1:12" x14ac:dyDescent="0.35">
      <c r="A22" t="s">
        <v>403</v>
      </c>
      <c r="B22" t="s">
        <v>2261</v>
      </c>
      <c r="C22" t="s">
        <v>170</v>
      </c>
      <c r="D22">
        <v>2022</v>
      </c>
      <c r="E22" t="s">
        <v>106</v>
      </c>
      <c r="F22">
        <f>'Background Data'!$AD$23</f>
        <v>15</v>
      </c>
      <c r="G22" s="63" t="s">
        <v>444</v>
      </c>
      <c r="H22">
        <v>1</v>
      </c>
      <c r="I22">
        <v>1</v>
      </c>
      <c r="J22">
        <v>1</v>
      </c>
      <c r="K22">
        <v>1</v>
      </c>
      <c r="L22">
        <v>1</v>
      </c>
    </row>
    <row r="23" spans="1:12" x14ac:dyDescent="0.35">
      <c r="A23" t="s">
        <v>404</v>
      </c>
      <c r="B23" t="s">
        <v>2261</v>
      </c>
      <c r="C23" t="s">
        <v>170</v>
      </c>
      <c r="D23">
        <v>2022</v>
      </c>
      <c r="E23" t="s">
        <v>106</v>
      </c>
      <c r="F23">
        <f>'Background Data'!$AD$26</f>
        <v>15</v>
      </c>
      <c r="G23" s="63" t="s">
        <v>444</v>
      </c>
      <c r="H23">
        <v>1</v>
      </c>
      <c r="I23">
        <v>1</v>
      </c>
      <c r="J23">
        <v>1</v>
      </c>
      <c r="K23">
        <v>1</v>
      </c>
      <c r="L23">
        <v>1</v>
      </c>
    </row>
    <row r="24" spans="1:12" x14ac:dyDescent="0.35">
      <c r="A24" t="s">
        <v>1092</v>
      </c>
      <c r="B24" t="s">
        <v>2261</v>
      </c>
      <c r="C24" t="s">
        <v>170</v>
      </c>
      <c r="D24">
        <v>2022</v>
      </c>
      <c r="E24" t="s">
        <v>106</v>
      </c>
      <c r="F24">
        <f>'Background Data'!$AD$23</f>
        <v>15</v>
      </c>
      <c r="G24" s="63" t="s">
        <v>445</v>
      </c>
      <c r="H24">
        <v>1</v>
      </c>
      <c r="I24">
        <v>1</v>
      </c>
      <c r="J24">
        <v>1</v>
      </c>
      <c r="K24">
        <v>1</v>
      </c>
      <c r="L24">
        <v>1</v>
      </c>
    </row>
    <row r="25" spans="1:12" x14ac:dyDescent="0.35">
      <c r="A25" t="s">
        <v>405</v>
      </c>
      <c r="B25" t="s">
        <v>2261</v>
      </c>
      <c r="C25" t="s">
        <v>170</v>
      </c>
      <c r="D25">
        <v>2022</v>
      </c>
      <c r="E25" t="s">
        <v>106</v>
      </c>
      <c r="F25">
        <f>'Background Data'!$AD$23</f>
        <v>15</v>
      </c>
      <c r="G25" s="63" t="s">
        <v>444</v>
      </c>
      <c r="H25">
        <v>1</v>
      </c>
      <c r="I25">
        <v>1</v>
      </c>
      <c r="J25">
        <v>1</v>
      </c>
      <c r="K25">
        <v>1</v>
      </c>
      <c r="L25">
        <v>1</v>
      </c>
    </row>
    <row r="26" spans="1:12" x14ac:dyDescent="0.35">
      <c r="A26" t="s">
        <v>406</v>
      </c>
      <c r="B26" t="s">
        <v>2261</v>
      </c>
      <c r="C26" t="s">
        <v>170</v>
      </c>
      <c r="D26">
        <v>2022</v>
      </c>
      <c r="E26" t="s">
        <v>106</v>
      </c>
      <c r="F26">
        <f>'Background Data'!$AD$26</f>
        <v>15</v>
      </c>
      <c r="G26" s="63" t="s">
        <v>444</v>
      </c>
      <c r="H26">
        <v>1</v>
      </c>
      <c r="I26">
        <v>1</v>
      </c>
      <c r="J26">
        <v>1</v>
      </c>
      <c r="K26">
        <v>1</v>
      </c>
      <c r="L26">
        <v>1</v>
      </c>
    </row>
    <row r="27" spans="1:12" x14ac:dyDescent="0.35">
      <c r="A27" t="s">
        <v>1963</v>
      </c>
      <c r="B27" t="s">
        <v>2261</v>
      </c>
      <c r="C27" t="s">
        <v>170</v>
      </c>
      <c r="D27">
        <v>2022</v>
      </c>
      <c r="E27" t="s">
        <v>106</v>
      </c>
      <c r="F27">
        <f>'Background Data'!$AD$25</f>
        <v>16</v>
      </c>
      <c r="G27" s="63" t="s">
        <v>444</v>
      </c>
      <c r="H27">
        <v>1</v>
      </c>
      <c r="I27">
        <v>1</v>
      </c>
      <c r="J27">
        <v>1</v>
      </c>
      <c r="K27">
        <v>1</v>
      </c>
      <c r="L27">
        <v>1</v>
      </c>
    </row>
    <row r="28" spans="1:12" x14ac:dyDescent="0.35">
      <c r="A28" t="s">
        <v>1093</v>
      </c>
      <c r="B28" t="s">
        <v>2261</v>
      </c>
      <c r="C28" t="s">
        <v>170</v>
      </c>
      <c r="D28">
        <v>2022</v>
      </c>
      <c r="E28" t="s">
        <v>106</v>
      </c>
      <c r="F28">
        <f>'Background Data'!$AD$23</f>
        <v>15</v>
      </c>
      <c r="G28" s="63" t="s">
        <v>445</v>
      </c>
      <c r="H28">
        <v>1</v>
      </c>
      <c r="I28">
        <v>1</v>
      </c>
      <c r="J28">
        <v>1</v>
      </c>
      <c r="K28">
        <v>1</v>
      </c>
      <c r="L28">
        <v>1</v>
      </c>
    </row>
    <row r="29" spans="1:12" x14ac:dyDescent="0.35">
      <c r="A29" t="s">
        <v>407</v>
      </c>
      <c r="B29" t="s">
        <v>2261</v>
      </c>
      <c r="C29" t="s">
        <v>170</v>
      </c>
      <c r="D29">
        <v>2022</v>
      </c>
      <c r="E29" t="s">
        <v>106</v>
      </c>
      <c r="F29">
        <f>'Background Data'!$AD$23</f>
        <v>15</v>
      </c>
      <c r="G29" s="63" t="s">
        <v>444</v>
      </c>
      <c r="H29">
        <v>1</v>
      </c>
      <c r="I29">
        <v>1</v>
      </c>
      <c r="J29">
        <v>1</v>
      </c>
      <c r="K29">
        <v>1</v>
      </c>
      <c r="L29">
        <v>1</v>
      </c>
    </row>
    <row r="30" spans="1:12" x14ac:dyDescent="0.35">
      <c r="A30" t="s">
        <v>288</v>
      </c>
      <c r="B30" t="s">
        <v>2261</v>
      </c>
      <c r="C30" t="s">
        <v>154</v>
      </c>
      <c r="D30">
        <v>2013</v>
      </c>
      <c r="E30" t="s">
        <v>106</v>
      </c>
      <c r="F30">
        <f>'Background Data'!$AH$29</f>
        <v>24</v>
      </c>
      <c r="G30" s="63" t="s">
        <v>446</v>
      </c>
      <c r="H30">
        <v>3</v>
      </c>
      <c r="I30">
        <v>1</v>
      </c>
      <c r="J30">
        <v>3</v>
      </c>
      <c r="K30">
        <v>3</v>
      </c>
      <c r="L30">
        <v>1</v>
      </c>
    </row>
    <row r="31" spans="1:12" x14ac:dyDescent="0.35">
      <c r="A31" t="s">
        <v>289</v>
      </c>
      <c r="B31" t="s">
        <v>2261</v>
      </c>
      <c r="C31" t="s">
        <v>154</v>
      </c>
      <c r="D31">
        <v>2013</v>
      </c>
      <c r="E31" t="s">
        <v>106</v>
      </c>
      <c r="F31">
        <f>'Background Data'!$AH$29</f>
        <v>24</v>
      </c>
      <c r="G31" s="63" t="s">
        <v>446</v>
      </c>
      <c r="H31">
        <v>3</v>
      </c>
      <c r="I31">
        <v>1</v>
      </c>
      <c r="J31">
        <v>3</v>
      </c>
      <c r="K31">
        <v>3</v>
      </c>
      <c r="L31">
        <v>1</v>
      </c>
    </row>
    <row r="32" spans="1:12" x14ac:dyDescent="0.35">
      <c r="A32" t="s">
        <v>400</v>
      </c>
      <c r="B32" t="s">
        <v>2261</v>
      </c>
      <c r="C32" t="s">
        <v>1779</v>
      </c>
      <c r="D32">
        <v>2022</v>
      </c>
      <c r="E32" t="s">
        <v>106</v>
      </c>
      <c r="F32">
        <f>'Background Data'!$AH$30</f>
        <v>30</v>
      </c>
      <c r="G32" s="63" t="s">
        <v>1957</v>
      </c>
      <c r="H32">
        <v>3</v>
      </c>
      <c r="I32">
        <v>1</v>
      </c>
      <c r="J32">
        <v>1</v>
      </c>
      <c r="K32">
        <v>3</v>
      </c>
      <c r="L32">
        <v>1</v>
      </c>
    </row>
    <row r="33" spans="1:12" x14ac:dyDescent="0.35">
      <c r="A33" t="s">
        <v>290</v>
      </c>
      <c r="B33" t="s">
        <v>2261</v>
      </c>
      <c r="C33" t="s">
        <v>1779</v>
      </c>
      <c r="D33">
        <v>2022</v>
      </c>
      <c r="E33" t="s">
        <v>106</v>
      </c>
      <c r="F33">
        <f>'Background Data'!$AH$30</f>
        <v>30</v>
      </c>
      <c r="G33" s="63" t="s">
        <v>1957</v>
      </c>
      <c r="H33">
        <v>3</v>
      </c>
      <c r="I33">
        <v>1</v>
      </c>
      <c r="J33">
        <v>1</v>
      </c>
      <c r="K33">
        <v>3</v>
      </c>
      <c r="L33">
        <v>1</v>
      </c>
    </row>
    <row r="34" spans="1:12" x14ac:dyDescent="0.35">
      <c r="A34" t="s">
        <v>1170</v>
      </c>
      <c r="B34" t="s">
        <v>2261</v>
      </c>
      <c r="C34" t="s">
        <v>431</v>
      </c>
      <c r="D34">
        <v>2022</v>
      </c>
      <c r="E34" t="s">
        <v>106</v>
      </c>
      <c r="F34">
        <f>'Background Data'!$AH$23</f>
        <v>14</v>
      </c>
      <c r="G34" s="63" t="s">
        <v>432</v>
      </c>
      <c r="H34">
        <v>1</v>
      </c>
      <c r="I34">
        <v>1</v>
      </c>
      <c r="J34">
        <v>1</v>
      </c>
      <c r="K34">
        <v>3</v>
      </c>
      <c r="L34">
        <v>1</v>
      </c>
    </row>
    <row r="35" spans="1:12" x14ac:dyDescent="0.35">
      <c r="A35" t="s">
        <v>1171</v>
      </c>
      <c r="B35" t="s">
        <v>2261</v>
      </c>
      <c r="C35" t="s">
        <v>431</v>
      </c>
      <c r="D35">
        <v>2022</v>
      </c>
      <c r="E35" t="s">
        <v>106</v>
      </c>
      <c r="F35">
        <f>'Background Data'!$AH$23</f>
        <v>14</v>
      </c>
      <c r="G35" s="63" t="s">
        <v>432</v>
      </c>
      <c r="H35">
        <v>1</v>
      </c>
      <c r="I35">
        <v>1</v>
      </c>
      <c r="J35">
        <v>1</v>
      </c>
      <c r="K35">
        <v>3</v>
      </c>
      <c r="L35">
        <v>1</v>
      </c>
    </row>
    <row r="36" spans="1:12" x14ac:dyDescent="0.35">
      <c r="A36" t="s">
        <v>1172</v>
      </c>
      <c r="B36" t="s">
        <v>2261</v>
      </c>
      <c r="C36" t="s">
        <v>431</v>
      </c>
      <c r="D36">
        <v>2022</v>
      </c>
      <c r="E36" t="s">
        <v>106</v>
      </c>
      <c r="F36">
        <f>'Background Data'!$AH$23</f>
        <v>14</v>
      </c>
      <c r="G36" s="63" t="s">
        <v>432</v>
      </c>
      <c r="H36">
        <v>1</v>
      </c>
      <c r="I36">
        <v>1</v>
      </c>
      <c r="J36">
        <v>1</v>
      </c>
      <c r="K36">
        <v>3</v>
      </c>
      <c r="L36">
        <v>1</v>
      </c>
    </row>
    <row r="37" spans="1:12" x14ac:dyDescent="0.35">
      <c r="A37" t="s">
        <v>1173</v>
      </c>
      <c r="B37" t="s">
        <v>2261</v>
      </c>
      <c r="C37" t="s">
        <v>431</v>
      </c>
      <c r="D37">
        <v>2022</v>
      </c>
      <c r="E37" t="s">
        <v>106</v>
      </c>
      <c r="F37">
        <f>'Background Data'!$AH$23</f>
        <v>14</v>
      </c>
      <c r="G37" s="63" t="s">
        <v>432</v>
      </c>
      <c r="H37">
        <v>1</v>
      </c>
      <c r="I37">
        <v>1</v>
      </c>
      <c r="J37">
        <v>1</v>
      </c>
      <c r="K37">
        <v>3</v>
      </c>
      <c r="L37">
        <v>1</v>
      </c>
    </row>
    <row r="38" spans="1:12" x14ac:dyDescent="0.35">
      <c r="A38" t="s">
        <v>1174</v>
      </c>
      <c r="B38" t="s">
        <v>2261</v>
      </c>
      <c r="C38" t="s">
        <v>431</v>
      </c>
      <c r="D38">
        <v>2022</v>
      </c>
      <c r="E38" t="s">
        <v>106</v>
      </c>
      <c r="F38">
        <f>'Background Data'!$AH$23</f>
        <v>14</v>
      </c>
      <c r="G38" s="63" t="s">
        <v>432</v>
      </c>
      <c r="H38">
        <v>1</v>
      </c>
      <c r="I38">
        <v>1</v>
      </c>
      <c r="J38">
        <v>1</v>
      </c>
      <c r="K38">
        <v>3</v>
      </c>
      <c r="L38">
        <v>1</v>
      </c>
    </row>
    <row r="39" spans="1:12" x14ac:dyDescent="0.35">
      <c r="A39" t="s">
        <v>1175</v>
      </c>
      <c r="B39" t="s">
        <v>2261</v>
      </c>
      <c r="C39" t="s">
        <v>431</v>
      </c>
      <c r="D39">
        <v>2022</v>
      </c>
      <c r="E39" t="s">
        <v>106</v>
      </c>
      <c r="F39">
        <f>'Background Data'!$AH$23</f>
        <v>14</v>
      </c>
      <c r="G39" s="63" t="s">
        <v>432</v>
      </c>
      <c r="H39">
        <v>1</v>
      </c>
      <c r="I39">
        <v>1</v>
      </c>
      <c r="J39">
        <v>1</v>
      </c>
      <c r="K39">
        <v>3</v>
      </c>
      <c r="L39">
        <v>1</v>
      </c>
    </row>
    <row r="40" spans="1:12" x14ac:dyDescent="0.35">
      <c r="A40" t="s">
        <v>1176</v>
      </c>
      <c r="B40" t="s">
        <v>2261</v>
      </c>
      <c r="C40" t="s">
        <v>431</v>
      </c>
      <c r="D40">
        <v>2022</v>
      </c>
      <c r="E40" t="s">
        <v>106</v>
      </c>
      <c r="F40">
        <f>'Background Data'!$AH$23</f>
        <v>14</v>
      </c>
      <c r="G40" s="63" t="s">
        <v>432</v>
      </c>
      <c r="H40">
        <v>1</v>
      </c>
      <c r="I40">
        <v>1</v>
      </c>
      <c r="J40">
        <v>1</v>
      </c>
      <c r="K40">
        <v>3</v>
      </c>
      <c r="L40">
        <v>1</v>
      </c>
    </row>
    <row r="41" spans="1:12" x14ac:dyDescent="0.35">
      <c r="A41" t="s">
        <v>1177</v>
      </c>
      <c r="B41" t="s">
        <v>2261</v>
      </c>
      <c r="C41" t="s">
        <v>431</v>
      </c>
      <c r="D41">
        <v>2022</v>
      </c>
      <c r="E41" t="s">
        <v>106</v>
      </c>
      <c r="F41">
        <f>'Background Data'!$AH$23</f>
        <v>14</v>
      </c>
      <c r="G41" s="63" t="s">
        <v>432</v>
      </c>
      <c r="H41">
        <v>1</v>
      </c>
      <c r="I41">
        <v>1</v>
      </c>
      <c r="J41">
        <v>1</v>
      </c>
      <c r="K41">
        <v>3</v>
      </c>
      <c r="L41">
        <v>1</v>
      </c>
    </row>
    <row r="42" spans="1:12" x14ac:dyDescent="0.35">
      <c r="A42" t="s">
        <v>1178</v>
      </c>
      <c r="B42" t="s">
        <v>2261</v>
      </c>
      <c r="C42" t="s">
        <v>431</v>
      </c>
      <c r="D42">
        <v>2022</v>
      </c>
      <c r="E42" t="s">
        <v>106</v>
      </c>
      <c r="F42">
        <f>'Background Data'!$AH$23</f>
        <v>14</v>
      </c>
      <c r="G42" s="63" t="s">
        <v>432</v>
      </c>
      <c r="H42">
        <v>1</v>
      </c>
      <c r="I42">
        <v>1</v>
      </c>
      <c r="J42">
        <v>1</v>
      </c>
      <c r="K42">
        <v>3</v>
      </c>
      <c r="L42">
        <v>1</v>
      </c>
    </row>
    <row r="43" spans="1:12" x14ac:dyDescent="0.35">
      <c r="A43" t="s">
        <v>1179</v>
      </c>
      <c r="B43" t="s">
        <v>2261</v>
      </c>
      <c r="C43" t="s">
        <v>431</v>
      </c>
      <c r="D43">
        <v>2022</v>
      </c>
      <c r="E43" t="s">
        <v>106</v>
      </c>
      <c r="F43">
        <f>'Background Data'!$AH$23</f>
        <v>14</v>
      </c>
      <c r="G43" s="63" t="s">
        <v>432</v>
      </c>
      <c r="H43">
        <v>1</v>
      </c>
      <c r="I43">
        <v>1</v>
      </c>
      <c r="J43">
        <v>1</v>
      </c>
      <c r="K43">
        <v>3</v>
      </c>
      <c r="L43">
        <v>1</v>
      </c>
    </row>
    <row r="44" spans="1:12" x14ac:dyDescent="0.35">
      <c r="A44" t="s">
        <v>1180</v>
      </c>
      <c r="B44" t="s">
        <v>2261</v>
      </c>
      <c r="C44" t="s">
        <v>431</v>
      </c>
      <c r="D44">
        <v>2022</v>
      </c>
      <c r="E44" t="s">
        <v>106</v>
      </c>
      <c r="F44">
        <f>'Background Data'!$AH$23</f>
        <v>14</v>
      </c>
      <c r="G44" s="63" t="s">
        <v>432</v>
      </c>
      <c r="H44">
        <v>1</v>
      </c>
      <c r="I44">
        <v>1</v>
      </c>
      <c r="J44">
        <v>1</v>
      </c>
      <c r="K44">
        <v>3</v>
      </c>
      <c r="L44">
        <v>1</v>
      </c>
    </row>
    <row r="45" spans="1:12" x14ac:dyDescent="0.35">
      <c r="A45" t="s">
        <v>1181</v>
      </c>
      <c r="B45" t="s">
        <v>2261</v>
      </c>
      <c r="C45" t="s">
        <v>431</v>
      </c>
      <c r="D45">
        <v>2022</v>
      </c>
      <c r="E45" t="s">
        <v>106</v>
      </c>
      <c r="F45">
        <f>'Background Data'!$AH$23</f>
        <v>14</v>
      </c>
      <c r="G45" s="63" t="s">
        <v>432</v>
      </c>
      <c r="H45">
        <v>1</v>
      </c>
      <c r="I45">
        <v>1</v>
      </c>
      <c r="J45">
        <v>1</v>
      </c>
      <c r="K45">
        <v>3</v>
      </c>
      <c r="L45">
        <v>1</v>
      </c>
    </row>
    <row r="46" spans="1:12" x14ac:dyDescent="0.35">
      <c r="A46" t="s">
        <v>1182</v>
      </c>
      <c r="B46" t="s">
        <v>2261</v>
      </c>
      <c r="C46" t="s">
        <v>431</v>
      </c>
      <c r="D46">
        <v>2022</v>
      </c>
      <c r="E46" t="s">
        <v>106</v>
      </c>
      <c r="F46">
        <f>'Background Data'!$AH$24</f>
        <v>16</v>
      </c>
      <c r="G46" s="63" t="s">
        <v>433</v>
      </c>
      <c r="H46">
        <v>1</v>
      </c>
      <c r="I46">
        <v>1</v>
      </c>
      <c r="J46">
        <v>1</v>
      </c>
      <c r="K46">
        <v>3</v>
      </c>
      <c r="L46">
        <v>1</v>
      </c>
    </row>
    <row r="47" spans="1:12" x14ac:dyDescent="0.35">
      <c r="A47" t="s">
        <v>1183</v>
      </c>
      <c r="B47" t="s">
        <v>2261</v>
      </c>
      <c r="C47" t="s">
        <v>431</v>
      </c>
      <c r="D47">
        <v>2022</v>
      </c>
      <c r="E47" t="s">
        <v>106</v>
      </c>
      <c r="F47">
        <f>'Background Data'!$AH$24</f>
        <v>16</v>
      </c>
      <c r="G47" s="63" t="s">
        <v>433</v>
      </c>
      <c r="H47">
        <v>1</v>
      </c>
      <c r="I47">
        <v>1</v>
      </c>
      <c r="J47">
        <v>1</v>
      </c>
      <c r="K47">
        <v>3</v>
      </c>
      <c r="L47">
        <v>1</v>
      </c>
    </row>
    <row r="48" spans="1:12" x14ac:dyDescent="0.35">
      <c r="A48" t="s">
        <v>1184</v>
      </c>
      <c r="B48" t="s">
        <v>2261</v>
      </c>
      <c r="C48" t="s">
        <v>431</v>
      </c>
      <c r="D48">
        <v>2022</v>
      </c>
      <c r="E48" t="s">
        <v>106</v>
      </c>
      <c r="F48">
        <f>'Background Data'!$AH$24</f>
        <v>16</v>
      </c>
      <c r="G48" s="63" t="s">
        <v>433</v>
      </c>
      <c r="H48">
        <v>1</v>
      </c>
      <c r="I48">
        <v>1</v>
      </c>
      <c r="J48">
        <v>1</v>
      </c>
      <c r="K48">
        <v>3</v>
      </c>
      <c r="L48">
        <v>1</v>
      </c>
    </row>
    <row r="49" spans="1:12" x14ac:dyDescent="0.35">
      <c r="A49" t="s">
        <v>1185</v>
      </c>
      <c r="B49" t="s">
        <v>2261</v>
      </c>
      <c r="C49" t="s">
        <v>431</v>
      </c>
      <c r="D49">
        <v>2022</v>
      </c>
      <c r="E49" t="s">
        <v>106</v>
      </c>
      <c r="F49">
        <f>'Background Data'!$AH$24</f>
        <v>16</v>
      </c>
      <c r="G49" s="63" t="s">
        <v>433</v>
      </c>
      <c r="H49">
        <v>1</v>
      </c>
      <c r="I49">
        <v>1</v>
      </c>
      <c r="J49">
        <v>1</v>
      </c>
      <c r="K49">
        <v>3</v>
      </c>
      <c r="L49">
        <v>1</v>
      </c>
    </row>
    <row r="50" spans="1:12" x14ac:dyDescent="0.35">
      <c r="A50" t="s">
        <v>1186</v>
      </c>
      <c r="B50" t="s">
        <v>2261</v>
      </c>
      <c r="C50" t="s">
        <v>431</v>
      </c>
      <c r="D50">
        <v>2022</v>
      </c>
      <c r="E50" t="s">
        <v>106</v>
      </c>
      <c r="F50">
        <f>'Background Data'!$AH$24</f>
        <v>16</v>
      </c>
      <c r="G50" s="63" t="s">
        <v>433</v>
      </c>
      <c r="H50">
        <v>1</v>
      </c>
      <c r="I50">
        <v>1</v>
      </c>
      <c r="J50">
        <v>1</v>
      </c>
      <c r="K50">
        <v>3</v>
      </c>
      <c r="L50">
        <v>1</v>
      </c>
    </row>
    <row r="51" spans="1:12" x14ac:dyDescent="0.35">
      <c r="A51" t="s">
        <v>1187</v>
      </c>
      <c r="B51" t="s">
        <v>2261</v>
      </c>
      <c r="C51" t="s">
        <v>431</v>
      </c>
      <c r="D51">
        <v>2022</v>
      </c>
      <c r="E51" t="s">
        <v>106</v>
      </c>
      <c r="F51">
        <f>'Background Data'!$AH$24</f>
        <v>16</v>
      </c>
      <c r="G51" s="63" t="s">
        <v>433</v>
      </c>
      <c r="H51">
        <v>1</v>
      </c>
      <c r="I51">
        <v>1</v>
      </c>
      <c r="J51">
        <v>1</v>
      </c>
      <c r="K51">
        <v>3</v>
      </c>
      <c r="L51">
        <v>1</v>
      </c>
    </row>
    <row r="52" spans="1:12" x14ac:dyDescent="0.35">
      <c r="A52" t="s">
        <v>1188</v>
      </c>
      <c r="B52" t="s">
        <v>2261</v>
      </c>
      <c r="C52" t="s">
        <v>431</v>
      </c>
      <c r="D52">
        <v>2022</v>
      </c>
      <c r="E52" t="s">
        <v>106</v>
      </c>
      <c r="F52">
        <f>'Background Data'!$AH$24</f>
        <v>16</v>
      </c>
      <c r="G52" s="63" t="s">
        <v>433</v>
      </c>
      <c r="H52">
        <v>1</v>
      </c>
      <c r="I52">
        <v>1</v>
      </c>
      <c r="J52">
        <v>1</v>
      </c>
      <c r="K52">
        <v>3</v>
      </c>
      <c r="L52">
        <v>1</v>
      </c>
    </row>
    <row r="53" spans="1:12" x14ac:dyDescent="0.35">
      <c r="A53" t="s">
        <v>1189</v>
      </c>
      <c r="B53" t="s">
        <v>2261</v>
      </c>
      <c r="C53" t="s">
        <v>431</v>
      </c>
      <c r="D53">
        <v>2022</v>
      </c>
      <c r="E53" t="s">
        <v>106</v>
      </c>
      <c r="F53">
        <f>'Background Data'!$AH$24</f>
        <v>16</v>
      </c>
      <c r="G53" s="63" t="s">
        <v>433</v>
      </c>
      <c r="H53">
        <v>1</v>
      </c>
      <c r="I53">
        <v>1</v>
      </c>
      <c r="J53">
        <v>1</v>
      </c>
      <c r="K53">
        <v>3</v>
      </c>
      <c r="L53">
        <v>1</v>
      </c>
    </row>
    <row r="54" spans="1:12" x14ac:dyDescent="0.35">
      <c r="A54" t="s">
        <v>1190</v>
      </c>
      <c r="B54" t="s">
        <v>2261</v>
      </c>
      <c r="C54" t="s">
        <v>431</v>
      </c>
      <c r="D54">
        <v>2022</v>
      </c>
      <c r="E54" t="s">
        <v>106</v>
      </c>
      <c r="F54">
        <f>'Background Data'!$AH$24</f>
        <v>16</v>
      </c>
      <c r="G54" s="63" t="s">
        <v>433</v>
      </c>
      <c r="H54">
        <v>1</v>
      </c>
      <c r="I54">
        <v>1</v>
      </c>
      <c r="J54">
        <v>1</v>
      </c>
      <c r="K54">
        <v>3</v>
      </c>
      <c r="L54">
        <v>1</v>
      </c>
    </row>
    <row r="55" spans="1:12" x14ac:dyDescent="0.35">
      <c r="A55" t="s">
        <v>1191</v>
      </c>
      <c r="B55" t="s">
        <v>2261</v>
      </c>
      <c r="C55" t="s">
        <v>431</v>
      </c>
      <c r="D55">
        <v>2022</v>
      </c>
      <c r="E55" t="s">
        <v>106</v>
      </c>
      <c r="F55">
        <f>'Background Data'!$AH$24</f>
        <v>16</v>
      </c>
      <c r="G55" s="63" t="s">
        <v>433</v>
      </c>
      <c r="H55">
        <v>1</v>
      </c>
      <c r="I55">
        <v>1</v>
      </c>
      <c r="J55">
        <v>1</v>
      </c>
      <c r="K55">
        <v>3</v>
      </c>
      <c r="L55">
        <v>1</v>
      </c>
    </row>
    <row r="56" spans="1:12" x14ac:dyDescent="0.35">
      <c r="A56" t="s">
        <v>1192</v>
      </c>
      <c r="B56" t="s">
        <v>2261</v>
      </c>
      <c r="C56" t="s">
        <v>431</v>
      </c>
      <c r="D56">
        <v>2022</v>
      </c>
      <c r="E56" t="s">
        <v>106</v>
      </c>
      <c r="F56">
        <f>'Background Data'!$AH$24</f>
        <v>16</v>
      </c>
      <c r="G56" s="63" t="s">
        <v>433</v>
      </c>
      <c r="H56">
        <v>1</v>
      </c>
      <c r="I56">
        <v>1</v>
      </c>
      <c r="J56">
        <v>1</v>
      </c>
      <c r="K56">
        <v>3</v>
      </c>
      <c r="L56">
        <v>1</v>
      </c>
    </row>
    <row r="57" spans="1:12" x14ac:dyDescent="0.35">
      <c r="A57" t="s">
        <v>1193</v>
      </c>
      <c r="B57" t="s">
        <v>2261</v>
      </c>
      <c r="C57" t="s">
        <v>431</v>
      </c>
      <c r="D57">
        <v>2022</v>
      </c>
      <c r="E57" t="s">
        <v>106</v>
      </c>
      <c r="F57">
        <f>'Background Data'!$AH$24</f>
        <v>16</v>
      </c>
      <c r="G57" s="63" t="s">
        <v>433</v>
      </c>
      <c r="H57">
        <v>1</v>
      </c>
      <c r="I57">
        <v>1</v>
      </c>
      <c r="J57">
        <v>1</v>
      </c>
      <c r="K57">
        <v>3</v>
      </c>
      <c r="L57">
        <v>1</v>
      </c>
    </row>
    <row r="58" spans="1:12" x14ac:dyDescent="0.35">
      <c r="A58" t="s">
        <v>1203</v>
      </c>
      <c r="B58" t="s">
        <v>2261</v>
      </c>
      <c r="C58" t="s">
        <v>431</v>
      </c>
      <c r="D58">
        <v>2022</v>
      </c>
      <c r="E58" t="s">
        <v>106</v>
      </c>
      <c r="F58">
        <f>'Background Data'!$AH$24</f>
        <v>16</v>
      </c>
      <c r="G58" s="63" t="s">
        <v>433</v>
      </c>
      <c r="H58">
        <v>1</v>
      </c>
      <c r="I58">
        <v>1</v>
      </c>
      <c r="J58">
        <v>1</v>
      </c>
      <c r="K58">
        <v>3</v>
      </c>
      <c r="L58">
        <v>1</v>
      </c>
    </row>
    <row r="59" spans="1:12" x14ac:dyDescent="0.35">
      <c r="A59" t="s">
        <v>1204</v>
      </c>
      <c r="B59" t="s">
        <v>2261</v>
      </c>
      <c r="C59" t="s">
        <v>431</v>
      </c>
      <c r="D59">
        <v>2022</v>
      </c>
      <c r="E59" t="s">
        <v>106</v>
      </c>
      <c r="F59">
        <f>'Background Data'!$AH$24</f>
        <v>16</v>
      </c>
      <c r="G59" s="63" t="s">
        <v>433</v>
      </c>
      <c r="H59">
        <v>1</v>
      </c>
      <c r="I59">
        <v>1</v>
      </c>
      <c r="J59">
        <v>1</v>
      </c>
      <c r="K59">
        <v>3</v>
      </c>
      <c r="L59">
        <v>1</v>
      </c>
    </row>
    <row r="60" spans="1:12" x14ac:dyDescent="0.35">
      <c r="A60" t="s">
        <v>1205</v>
      </c>
      <c r="B60" t="s">
        <v>2261</v>
      </c>
      <c r="C60" t="s">
        <v>431</v>
      </c>
      <c r="D60">
        <v>2022</v>
      </c>
      <c r="E60" t="s">
        <v>106</v>
      </c>
      <c r="F60">
        <f>'Background Data'!$AH$24</f>
        <v>16</v>
      </c>
      <c r="G60" s="63" t="s">
        <v>433</v>
      </c>
      <c r="H60">
        <v>1</v>
      </c>
      <c r="I60">
        <v>1</v>
      </c>
      <c r="J60">
        <v>1</v>
      </c>
      <c r="K60">
        <v>3</v>
      </c>
      <c r="L60">
        <v>1</v>
      </c>
    </row>
    <row r="61" spans="1:12" x14ac:dyDescent="0.35">
      <c r="A61" t="s">
        <v>1206</v>
      </c>
      <c r="B61" t="s">
        <v>2261</v>
      </c>
      <c r="C61" t="s">
        <v>431</v>
      </c>
      <c r="D61">
        <v>2022</v>
      </c>
      <c r="E61" t="s">
        <v>106</v>
      </c>
      <c r="F61">
        <f>'Background Data'!$AH$24</f>
        <v>16</v>
      </c>
      <c r="G61" s="63" t="s">
        <v>433</v>
      </c>
      <c r="H61">
        <v>1</v>
      </c>
      <c r="I61">
        <v>1</v>
      </c>
      <c r="J61">
        <v>1</v>
      </c>
      <c r="K61">
        <v>3</v>
      </c>
      <c r="L61">
        <v>1</v>
      </c>
    </row>
    <row r="62" spans="1:12" x14ac:dyDescent="0.35">
      <c r="A62" t="s">
        <v>1207</v>
      </c>
      <c r="B62" t="s">
        <v>2261</v>
      </c>
      <c r="C62" t="s">
        <v>431</v>
      </c>
      <c r="D62">
        <v>2022</v>
      </c>
      <c r="E62" t="s">
        <v>106</v>
      </c>
      <c r="F62">
        <f>'Background Data'!$AH$24</f>
        <v>16</v>
      </c>
      <c r="G62" s="63" t="s">
        <v>433</v>
      </c>
      <c r="H62">
        <v>1</v>
      </c>
      <c r="I62">
        <v>1</v>
      </c>
      <c r="J62">
        <v>1</v>
      </c>
      <c r="K62">
        <v>3</v>
      </c>
      <c r="L62">
        <v>1</v>
      </c>
    </row>
    <row r="63" spans="1:12" x14ac:dyDescent="0.35">
      <c r="A63" t="s">
        <v>1208</v>
      </c>
      <c r="B63" t="s">
        <v>2261</v>
      </c>
      <c r="C63" t="s">
        <v>431</v>
      </c>
      <c r="D63">
        <v>2022</v>
      </c>
      <c r="E63" t="s">
        <v>106</v>
      </c>
      <c r="F63">
        <f>'Background Data'!$AH$24</f>
        <v>16</v>
      </c>
      <c r="G63" s="63" t="s">
        <v>433</v>
      </c>
      <c r="H63">
        <v>1</v>
      </c>
      <c r="I63">
        <v>1</v>
      </c>
      <c r="J63">
        <v>1</v>
      </c>
      <c r="K63">
        <v>3</v>
      </c>
      <c r="L63">
        <v>1</v>
      </c>
    </row>
    <row r="64" spans="1:12" x14ac:dyDescent="0.35">
      <c r="A64" t="s">
        <v>1209</v>
      </c>
      <c r="B64" t="s">
        <v>2261</v>
      </c>
      <c r="C64" t="s">
        <v>431</v>
      </c>
      <c r="D64">
        <v>2022</v>
      </c>
      <c r="E64" t="s">
        <v>106</v>
      </c>
      <c r="F64">
        <f>'Background Data'!$AH$24</f>
        <v>16</v>
      </c>
      <c r="G64" s="63" t="s">
        <v>433</v>
      </c>
      <c r="H64">
        <v>1</v>
      </c>
      <c r="I64">
        <v>1</v>
      </c>
      <c r="J64">
        <v>1</v>
      </c>
      <c r="K64">
        <v>3</v>
      </c>
      <c r="L64">
        <v>1</v>
      </c>
    </row>
    <row r="65" spans="1:12" x14ac:dyDescent="0.35">
      <c r="A65" t="s">
        <v>1210</v>
      </c>
      <c r="B65" t="s">
        <v>2261</v>
      </c>
      <c r="C65" t="s">
        <v>431</v>
      </c>
      <c r="D65">
        <v>2022</v>
      </c>
      <c r="E65" t="s">
        <v>106</v>
      </c>
      <c r="F65">
        <f>'Background Data'!$AH$24</f>
        <v>16</v>
      </c>
      <c r="G65" s="63" t="s">
        <v>433</v>
      </c>
      <c r="H65">
        <v>1</v>
      </c>
      <c r="I65">
        <v>1</v>
      </c>
      <c r="J65">
        <v>1</v>
      </c>
      <c r="K65">
        <v>3</v>
      </c>
      <c r="L65">
        <v>1</v>
      </c>
    </row>
    <row r="66" spans="1:12" x14ac:dyDescent="0.35">
      <c r="A66" t="s">
        <v>1211</v>
      </c>
      <c r="B66" t="s">
        <v>2261</v>
      </c>
      <c r="C66" t="s">
        <v>431</v>
      </c>
      <c r="D66">
        <v>2022</v>
      </c>
      <c r="E66" t="s">
        <v>106</v>
      </c>
      <c r="F66">
        <f>'Background Data'!$AH$24</f>
        <v>16</v>
      </c>
      <c r="G66" s="63" t="s">
        <v>433</v>
      </c>
      <c r="H66">
        <v>1</v>
      </c>
      <c r="I66">
        <v>1</v>
      </c>
      <c r="J66">
        <v>1</v>
      </c>
      <c r="K66">
        <v>3</v>
      </c>
      <c r="L66">
        <v>1</v>
      </c>
    </row>
    <row r="67" spans="1:12" x14ac:dyDescent="0.35">
      <c r="A67" t="s">
        <v>1212</v>
      </c>
      <c r="B67" t="s">
        <v>2261</v>
      </c>
      <c r="C67" t="s">
        <v>431</v>
      </c>
      <c r="D67">
        <v>2022</v>
      </c>
      <c r="E67" t="s">
        <v>106</v>
      </c>
      <c r="F67">
        <f>'Background Data'!$AH$24</f>
        <v>16</v>
      </c>
      <c r="G67" s="63" t="s">
        <v>433</v>
      </c>
      <c r="H67">
        <v>1</v>
      </c>
      <c r="I67">
        <v>1</v>
      </c>
      <c r="J67">
        <v>1</v>
      </c>
      <c r="K67">
        <v>3</v>
      </c>
      <c r="L67">
        <v>1</v>
      </c>
    </row>
    <row r="68" spans="1:12" x14ac:dyDescent="0.35">
      <c r="A68" t="s">
        <v>1213</v>
      </c>
      <c r="B68" t="s">
        <v>2261</v>
      </c>
      <c r="C68" t="s">
        <v>431</v>
      </c>
      <c r="D68">
        <v>2022</v>
      </c>
      <c r="E68" t="s">
        <v>106</v>
      </c>
      <c r="F68">
        <f>'Background Data'!$AH$24</f>
        <v>16</v>
      </c>
      <c r="G68" s="63" t="s">
        <v>433</v>
      </c>
      <c r="H68">
        <v>1</v>
      </c>
      <c r="I68">
        <v>1</v>
      </c>
      <c r="J68">
        <v>1</v>
      </c>
      <c r="K68">
        <v>3</v>
      </c>
      <c r="L68">
        <v>1</v>
      </c>
    </row>
    <row r="69" spans="1:12" x14ac:dyDescent="0.35">
      <c r="A69" t="s">
        <v>1214</v>
      </c>
      <c r="B69" t="s">
        <v>2261</v>
      </c>
      <c r="C69" t="s">
        <v>431</v>
      </c>
      <c r="D69">
        <v>2022</v>
      </c>
      <c r="E69" t="s">
        <v>106</v>
      </c>
      <c r="F69">
        <f>'Background Data'!$AH$24</f>
        <v>16</v>
      </c>
      <c r="G69" s="63" t="s">
        <v>433</v>
      </c>
      <c r="H69">
        <v>1</v>
      </c>
      <c r="I69">
        <v>1</v>
      </c>
      <c r="J69">
        <v>1</v>
      </c>
      <c r="K69">
        <v>3</v>
      </c>
      <c r="L69">
        <v>1</v>
      </c>
    </row>
    <row r="70" spans="1:12" x14ac:dyDescent="0.35">
      <c r="A70" t="s">
        <v>1194</v>
      </c>
      <c r="B70" t="s">
        <v>2261</v>
      </c>
      <c r="C70" t="s">
        <v>431</v>
      </c>
      <c r="D70">
        <v>2022</v>
      </c>
      <c r="E70" t="s">
        <v>106</v>
      </c>
      <c r="F70">
        <f>'Background Data'!$AH$25</f>
        <v>16</v>
      </c>
      <c r="G70" s="63" t="s">
        <v>434</v>
      </c>
      <c r="H70">
        <v>1</v>
      </c>
      <c r="I70">
        <v>1</v>
      </c>
      <c r="J70">
        <v>1</v>
      </c>
      <c r="K70">
        <v>3</v>
      </c>
      <c r="L70">
        <v>1</v>
      </c>
    </row>
    <row r="71" spans="1:12" x14ac:dyDescent="0.35">
      <c r="A71" t="s">
        <v>1215</v>
      </c>
      <c r="B71" t="s">
        <v>2261</v>
      </c>
      <c r="C71" t="s">
        <v>431</v>
      </c>
      <c r="D71">
        <v>2022</v>
      </c>
      <c r="E71" t="s">
        <v>106</v>
      </c>
      <c r="F71">
        <f>'Background Data'!$AH$25</f>
        <v>16</v>
      </c>
      <c r="G71" s="63" t="s">
        <v>434</v>
      </c>
      <c r="H71">
        <v>1</v>
      </c>
      <c r="I71">
        <v>1</v>
      </c>
      <c r="J71">
        <v>1</v>
      </c>
      <c r="K71">
        <v>3</v>
      </c>
      <c r="L71">
        <v>1</v>
      </c>
    </row>
    <row r="72" spans="1:12" x14ac:dyDescent="0.35">
      <c r="A72" t="s">
        <v>1217</v>
      </c>
      <c r="B72" t="s">
        <v>2261</v>
      </c>
      <c r="C72" t="s">
        <v>431</v>
      </c>
      <c r="D72">
        <v>2022</v>
      </c>
      <c r="E72" t="s">
        <v>106</v>
      </c>
      <c r="F72">
        <f>'Background Data'!$AH$25</f>
        <v>16</v>
      </c>
      <c r="G72" s="63" t="s">
        <v>434</v>
      </c>
      <c r="H72">
        <v>1</v>
      </c>
      <c r="I72">
        <v>1</v>
      </c>
      <c r="J72">
        <v>1</v>
      </c>
      <c r="K72">
        <v>3</v>
      </c>
      <c r="L72">
        <v>1</v>
      </c>
    </row>
    <row r="73" spans="1:12" x14ac:dyDescent="0.35">
      <c r="A73" t="s">
        <v>1218</v>
      </c>
      <c r="B73" t="s">
        <v>2261</v>
      </c>
      <c r="C73" t="s">
        <v>431</v>
      </c>
      <c r="D73">
        <v>2022</v>
      </c>
      <c r="E73" t="s">
        <v>106</v>
      </c>
      <c r="F73">
        <f>'Background Data'!$AH$25</f>
        <v>16</v>
      </c>
      <c r="G73" s="63" t="s">
        <v>434</v>
      </c>
      <c r="H73">
        <v>1</v>
      </c>
      <c r="I73">
        <v>1</v>
      </c>
      <c r="J73">
        <v>1</v>
      </c>
      <c r="K73">
        <v>3</v>
      </c>
      <c r="L73">
        <v>1</v>
      </c>
    </row>
    <row r="74" spans="1:12" x14ac:dyDescent="0.35">
      <c r="A74" t="s">
        <v>1245</v>
      </c>
      <c r="B74" t="s">
        <v>2261</v>
      </c>
      <c r="C74" t="s">
        <v>431</v>
      </c>
      <c r="D74">
        <v>2022</v>
      </c>
      <c r="E74" t="s">
        <v>106</v>
      </c>
      <c r="F74">
        <f>'Background Data'!$AH$25</f>
        <v>16</v>
      </c>
      <c r="G74" s="63" t="s">
        <v>434</v>
      </c>
      <c r="H74">
        <v>1</v>
      </c>
      <c r="I74">
        <v>1</v>
      </c>
      <c r="J74">
        <v>1</v>
      </c>
      <c r="K74">
        <v>3</v>
      </c>
      <c r="L74">
        <v>1</v>
      </c>
    </row>
    <row r="75" spans="1:12" x14ac:dyDescent="0.35">
      <c r="A75" t="s">
        <v>1246</v>
      </c>
      <c r="B75" t="s">
        <v>2261</v>
      </c>
      <c r="C75" t="s">
        <v>431</v>
      </c>
      <c r="D75">
        <v>2022</v>
      </c>
      <c r="E75" t="s">
        <v>106</v>
      </c>
      <c r="F75">
        <f>'Background Data'!$AH$25</f>
        <v>16</v>
      </c>
      <c r="G75" s="63" t="s">
        <v>434</v>
      </c>
      <c r="H75">
        <v>1</v>
      </c>
      <c r="I75">
        <v>1</v>
      </c>
      <c r="J75">
        <v>1</v>
      </c>
      <c r="K75">
        <v>3</v>
      </c>
      <c r="L75">
        <v>1</v>
      </c>
    </row>
    <row r="76" spans="1:12" x14ac:dyDescent="0.35">
      <c r="A76" t="s">
        <v>1247</v>
      </c>
      <c r="B76" t="s">
        <v>2261</v>
      </c>
      <c r="C76" t="s">
        <v>431</v>
      </c>
      <c r="D76">
        <v>2022</v>
      </c>
      <c r="E76" t="s">
        <v>106</v>
      </c>
      <c r="F76">
        <f>'Background Data'!$AH$25</f>
        <v>16</v>
      </c>
      <c r="G76" s="63" t="s">
        <v>434</v>
      </c>
      <c r="H76">
        <v>1</v>
      </c>
      <c r="I76">
        <v>1</v>
      </c>
      <c r="J76">
        <v>1</v>
      </c>
      <c r="K76">
        <v>3</v>
      </c>
      <c r="L76">
        <v>1</v>
      </c>
    </row>
    <row r="77" spans="1:12" x14ac:dyDescent="0.35">
      <c r="A77" t="s">
        <v>1249</v>
      </c>
      <c r="B77" t="s">
        <v>2261</v>
      </c>
      <c r="C77" t="s">
        <v>853</v>
      </c>
      <c r="D77">
        <v>2023</v>
      </c>
      <c r="E77" t="s">
        <v>106</v>
      </c>
      <c r="F77">
        <f>'Background Data'!$AH$26</f>
        <v>19</v>
      </c>
      <c r="G77" s="63" t="s">
        <v>855</v>
      </c>
      <c r="H77">
        <v>1</v>
      </c>
      <c r="I77">
        <v>1</v>
      </c>
      <c r="J77">
        <v>1</v>
      </c>
      <c r="K77">
        <v>3</v>
      </c>
      <c r="L77">
        <v>1</v>
      </c>
    </row>
    <row r="78" spans="1:12" x14ac:dyDescent="0.35">
      <c r="A78" t="s">
        <v>1250</v>
      </c>
      <c r="B78" t="s">
        <v>2261</v>
      </c>
      <c r="C78" t="s">
        <v>853</v>
      </c>
      <c r="D78">
        <v>2023</v>
      </c>
      <c r="E78" t="s">
        <v>106</v>
      </c>
      <c r="F78">
        <f>'Background Data'!$AH$26</f>
        <v>19</v>
      </c>
      <c r="G78" s="63" t="s">
        <v>855</v>
      </c>
      <c r="H78">
        <v>1</v>
      </c>
      <c r="I78">
        <v>1</v>
      </c>
      <c r="J78">
        <v>1</v>
      </c>
      <c r="K78">
        <v>3</v>
      </c>
      <c r="L78">
        <v>1</v>
      </c>
    </row>
    <row r="79" spans="1:12" x14ac:dyDescent="0.35">
      <c r="A79" t="s">
        <v>1251</v>
      </c>
      <c r="B79" t="s">
        <v>2261</v>
      </c>
      <c r="C79" t="s">
        <v>853</v>
      </c>
      <c r="D79">
        <v>2023</v>
      </c>
      <c r="E79" t="s">
        <v>106</v>
      </c>
      <c r="F79">
        <f>'Background Data'!$AH$26</f>
        <v>19</v>
      </c>
      <c r="G79" s="63" t="s">
        <v>855</v>
      </c>
      <c r="H79">
        <v>1</v>
      </c>
      <c r="I79">
        <v>1</v>
      </c>
      <c r="J79">
        <v>1</v>
      </c>
      <c r="K79">
        <v>3</v>
      </c>
      <c r="L79">
        <v>1</v>
      </c>
    </row>
    <row r="80" spans="1:12" x14ac:dyDescent="0.35">
      <c r="A80" t="s">
        <v>1252</v>
      </c>
      <c r="B80" t="s">
        <v>2261</v>
      </c>
      <c r="C80" t="s">
        <v>853</v>
      </c>
      <c r="D80">
        <v>2023</v>
      </c>
      <c r="E80" t="s">
        <v>106</v>
      </c>
      <c r="F80">
        <f>'Background Data'!$AH$26</f>
        <v>19</v>
      </c>
      <c r="G80" s="63" t="s">
        <v>855</v>
      </c>
      <c r="H80">
        <v>1</v>
      </c>
      <c r="I80">
        <v>1</v>
      </c>
      <c r="J80">
        <v>1</v>
      </c>
      <c r="K80">
        <v>3</v>
      </c>
      <c r="L80">
        <v>1</v>
      </c>
    </row>
    <row r="81" spans="1:12" x14ac:dyDescent="0.35">
      <c r="A81" t="s">
        <v>1253</v>
      </c>
      <c r="B81" t="s">
        <v>2261</v>
      </c>
      <c r="C81" t="s">
        <v>853</v>
      </c>
      <c r="D81">
        <v>2023</v>
      </c>
      <c r="E81" t="s">
        <v>106</v>
      </c>
      <c r="F81">
        <f>'Background Data'!$AH$26</f>
        <v>19</v>
      </c>
      <c r="G81" s="63" t="s">
        <v>855</v>
      </c>
      <c r="H81">
        <v>1</v>
      </c>
      <c r="I81">
        <v>1</v>
      </c>
      <c r="J81">
        <v>1</v>
      </c>
      <c r="K81">
        <v>3</v>
      </c>
      <c r="L81">
        <v>1</v>
      </c>
    </row>
    <row r="82" spans="1:12" x14ac:dyDescent="0.35">
      <c r="A82" t="s">
        <v>1254</v>
      </c>
      <c r="B82" t="s">
        <v>2261</v>
      </c>
      <c r="C82" t="s">
        <v>853</v>
      </c>
      <c r="D82">
        <v>2023</v>
      </c>
      <c r="E82" t="s">
        <v>106</v>
      </c>
      <c r="F82">
        <f>'Background Data'!$AH$26</f>
        <v>19</v>
      </c>
      <c r="G82" s="63" t="s">
        <v>855</v>
      </c>
      <c r="H82">
        <v>1</v>
      </c>
      <c r="I82">
        <v>1</v>
      </c>
      <c r="J82">
        <v>1</v>
      </c>
      <c r="K82">
        <v>3</v>
      </c>
      <c r="L82">
        <v>1</v>
      </c>
    </row>
    <row r="83" spans="1:12" x14ac:dyDescent="0.35">
      <c r="A83" t="s">
        <v>1257</v>
      </c>
      <c r="B83" t="s">
        <v>2261</v>
      </c>
      <c r="C83" t="s">
        <v>435</v>
      </c>
      <c r="D83">
        <v>2009</v>
      </c>
      <c r="E83" t="s">
        <v>106</v>
      </c>
      <c r="F83">
        <f>'Background Data'!$AH$28</f>
        <v>17</v>
      </c>
      <c r="G83" s="63" t="s">
        <v>436</v>
      </c>
      <c r="H83">
        <v>2</v>
      </c>
      <c r="I83">
        <v>1</v>
      </c>
      <c r="J83">
        <v>4</v>
      </c>
      <c r="K83">
        <v>3</v>
      </c>
      <c r="L83">
        <v>1</v>
      </c>
    </row>
    <row r="84" spans="1:12" x14ac:dyDescent="0.35">
      <c r="A84" t="s">
        <v>1258</v>
      </c>
      <c r="B84" t="s">
        <v>2261</v>
      </c>
      <c r="C84" t="s">
        <v>435</v>
      </c>
      <c r="D84">
        <v>2009</v>
      </c>
      <c r="E84" t="s">
        <v>106</v>
      </c>
      <c r="F84">
        <f>'Background Data'!$AH$28</f>
        <v>17</v>
      </c>
      <c r="G84" s="63" t="s">
        <v>436</v>
      </c>
      <c r="H84">
        <v>2</v>
      </c>
      <c r="I84">
        <v>1</v>
      </c>
      <c r="J84">
        <v>4</v>
      </c>
      <c r="K84">
        <v>3</v>
      </c>
      <c r="L84">
        <v>1</v>
      </c>
    </row>
    <row r="85" spans="1:12" x14ac:dyDescent="0.35">
      <c r="A85" t="s">
        <v>1273</v>
      </c>
      <c r="B85" t="s">
        <v>2261</v>
      </c>
      <c r="C85" t="s">
        <v>170</v>
      </c>
      <c r="D85">
        <v>2022</v>
      </c>
      <c r="E85" t="s">
        <v>106</v>
      </c>
      <c r="F85">
        <f>'Background Data'!$AD$23</f>
        <v>15</v>
      </c>
      <c r="G85" s="63" t="s">
        <v>445</v>
      </c>
      <c r="H85">
        <v>1</v>
      </c>
      <c r="I85">
        <v>1</v>
      </c>
      <c r="J85">
        <v>1</v>
      </c>
      <c r="K85">
        <v>1</v>
      </c>
      <c r="L85">
        <v>1</v>
      </c>
    </row>
    <row r="86" spans="1:12" x14ac:dyDescent="0.35">
      <c r="A86" t="s">
        <v>1274</v>
      </c>
      <c r="B86" t="s">
        <v>2261</v>
      </c>
      <c r="C86" t="s">
        <v>170</v>
      </c>
      <c r="D86">
        <v>2022</v>
      </c>
      <c r="E86" t="s">
        <v>106</v>
      </c>
      <c r="F86">
        <f>'Background Data'!$AD$23</f>
        <v>15</v>
      </c>
      <c r="G86" s="63" t="s">
        <v>444</v>
      </c>
      <c r="H86">
        <v>1</v>
      </c>
      <c r="I86">
        <v>1</v>
      </c>
      <c r="J86">
        <v>1</v>
      </c>
      <c r="K86">
        <v>1</v>
      </c>
      <c r="L86">
        <v>1</v>
      </c>
    </row>
    <row r="87" spans="1:12" x14ac:dyDescent="0.35">
      <c r="A87" t="s">
        <v>1275</v>
      </c>
      <c r="B87" t="s">
        <v>2261</v>
      </c>
      <c r="C87" t="s">
        <v>170</v>
      </c>
      <c r="D87">
        <v>2022</v>
      </c>
      <c r="E87" t="s">
        <v>106</v>
      </c>
      <c r="F87">
        <f>'Background Data'!$AD$26</f>
        <v>15</v>
      </c>
      <c r="G87" s="63" t="s">
        <v>444</v>
      </c>
      <c r="H87">
        <v>1</v>
      </c>
      <c r="I87">
        <v>1</v>
      </c>
      <c r="J87">
        <v>1</v>
      </c>
      <c r="K87">
        <v>1</v>
      </c>
      <c r="L87">
        <v>1</v>
      </c>
    </row>
    <row r="88" spans="1:12" x14ac:dyDescent="0.35">
      <c r="A88" t="s">
        <v>1276</v>
      </c>
      <c r="B88" t="s">
        <v>2261</v>
      </c>
      <c r="C88" t="s">
        <v>170</v>
      </c>
      <c r="D88">
        <v>2022</v>
      </c>
      <c r="E88" t="s">
        <v>106</v>
      </c>
      <c r="F88">
        <f>'Background Data'!$AD$23</f>
        <v>15</v>
      </c>
      <c r="G88" s="63" t="s">
        <v>444</v>
      </c>
      <c r="H88">
        <v>1</v>
      </c>
      <c r="I88">
        <v>1</v>
      </c>
      <c r="J88">
        <v>1</v>
      </c>
      <c r="K88">
        <v>1</v>
      </c>
      <c r="L88">
        <v>1</v>
      </c>
    </row>
    <row r="89" spans="1:12" x14ac:dyDescent="0.35">
      <c r="A89" t="s">
        <v>1277</v>
      </c>
      <c r="B89" t="s">
        <v>2261</v>
      </c>
      <c r="C89" t="s">
        <v>170</v>
      </c>
      <c r="D89">
        <v>2022</v>
      </c>
      <c r="E89" t="s">
        <v>106</v>
      </c>
      <c r="F89">
        <f>'Background Data'!$AD$23</f>
        <v>15</v>
      </c>
      <c r="G89" s="63" t="s">
        <v>444</v>
      </c>
      <c r="H89">
        <v>1</v>
      </c>
      <c r="I89">
        <v>1</v>
      </c>
      <c r="J89">
        <v>1</v>
      </c>
      <c r="K89">
        <v>1</v>
      </c>
      <c r="L89">
        <v>1</v>
      </c>
    </row>
    <row r="90" spans="1:12" x14ac:dyDescent="0.35">
      <c r="A90" t="s">
        <v>1278</v>
      </c>
      <c r="B90" t="s">
        <v>2261</v>
      </c>
      <c r="C90" t="s">
        <v>170</v>
      </c>
      <c r="D90">
        <v>2022</v>
      </c>
      <c r="E90" t="s">
        <v>106</v>
      </c>
      <c r="F90">
        <f>'Background Data'!$AD$25</f>
        <v>16</v>
      </c>
      <c r="G90" s="63" t="s">
        <v>444</v>
      </c>
      <c r="H90">
        <v>1</v>
      </c>
      <c r="I90">
        <v>1</v>
      </c>
      <c r="J90">
        <v>1</v>
      </c>
      <c r="K90">
        <v>1</v>
      </c>
      <c r="L90">
        <v>1</v>
      </c>
    </row>
    <row r="91" spans="1:12" x14ac:dyDescent="0.35">
      <c r="A91" t="s">
        <v>1279</v>
      </c>
      <c r="B91" t="s">
        <v>2261</v>
      </c>
      <c r="C91" t="s">
        <v>170</v>
      </c>
      <c r="D91">
        <v>2022</v>
      </c>
      <c r="E91" t="s">
        <v>106</v>
      </c>
      <c r="F91">
        <f>'Background Data'!$AD$23</f>
        <v>15</v>
      </c>
      <c r="G91" s="63" t="s">
        <v>444</v>
      </c>
      <c r="H91">
        <v>1</v>
      </c>
      <c r="I91">
        <v>1</v>
      </c>
      <c r="J91">
        <v>1</v>
      </c>
      <c r="K91">
        <v>1</v>
      </c>
      <c r="L91">
        <v>1</v>
      </c>
    </row>
    <row r="92" spans="1:12" x14ac:dyDescent="0.35">
      <c r="A92" t="s">
        <v>1280</v>
      </c>
      <c r="B92" t="s">
        <v>2261</v>
      </c>
      <c r="C92" t="s">
        <v>170</v>
      </c>
      <c r="D92">
        <v>2022</v>
      </c>
      <c r="E92" t="s">
        <v>106</v>
      </c>
      <c r="F92">
        <f>'Background Data'!$AD$23</f>
        <v>15</v>
      </c>
      <c r="G92" s="63" t="s">
        <v>444</v>
      </c>
      <c r="H92">
        <v>1</v>
      </c>
      <c r="I92">
        <v>1</v>
      </c>
      <c r="J92">
        <v>1</v>
      </c>
      <c r="K92">
        <v>1</v>
      </c>
      <c r="L92">
        <v>1</v>
      </c>
    </row>
    <row r="93" spans="1:12" x14ac:dyDescent="0.35">
      <c r="A93" t="s">
        <v>1281</v>
      </c>
      <c r="B93" t="s">
        <v>2261</v>
      </c>
      <c r="C93" t="s">
        <v>170</v>
      </c>
      <c r="D93">
        <v>2022</v>
      </c>
      <c r="E93" t="s">
        <v>106</v>
      </c>
      <c r="F93">
        <f>'Background Data'!$AD$23</f>
        <v>15</v>
      </c>
      <c r="G93" s="63" t="s">
        <v>445</v>
      </c>
      <c r="H93">
        <v>1</v>
      </c>
      <c r="I93">
        <v>1</v>
      </c>
      <c r="J93">
        <v>1</v>
      </c>
      <c r="K93">
        <v>1</v>
      </c>
      <c r="L93">
        <v>1</v>
      </c>
    </row>
    <row r="94" spans="1:12" x14ac:dyDescent="0.35">
      <c r="A94" t="s">
        <v>1282</v>
      </c>
      <c r="B94" t="s">
        <v>2261</v>
      </c>
      <c r="C94" t="s">
        <v>170</v>
      </c>
      <c r="D94">
        <v>2022</v>
      </c>
      <c r="E94" t="s">
        <v>106</v>
      </c>
      <c r="F94">
        <f>'Background Data'!$AD$23</f>
        <v>15</v>
      </c>
      <c r="G94" s="63" t="s">
        <v>444</v>
      </c>
      <c r="H94">
        <v>1</v>
      </c>
      <c r="I94">
        <v>1</v>
      </c>
      <c r="J94">
        <v>1</v>
      </c>
      <c r="K94">
        <v>1</v>
      </c>
      <c r="L94">
        <v>1</v>
      </c>
    </row>
    <row r="95" spans="1:12" x14ac:dyDescent="0.35">
      <c r="A95" t="s">
        <v>1283</v>
      </c>
      <c r="B95" t="s">
        <v>2261</v>
      </c>
      <c r="C95" t="s">
        <v>170</v>
      </c>
      <c r="D95">
        <v>2022</v>
      </c>
      <c r="E95" t="s">
        <v>106</v>
      </c>
      <c r="F95">
        <f>'Background Data'!$AD$26</f>
        <v>15</v>
      </c>
      <c r="G95" s="63" t="s">
        <v>444</v>
      </c>
      <c r="H95">
        <v>1</v>
      </c>
      <c r="I95">
        <v>1</v>
      </c>
      <c r="J95">
        <v>1</v>
      </c>
      <c r="K95">
        <v>1</v>
      </c>
      <c r="L95">
        <v>1</v>
      </c>
    </row>
    <row r="96" spans="1:12" x14ac:dyDescent="0.35">
      <c r="A96" t="s">
        <v>1284</v>
      </c>
      <c r="B96" t="s">
        <v>2261</v>
      </c>
      <c r="C96" t="s">
        <v>170</v>
      </c>
      <c r="D96">
        <v>2022</v>
      </c>
      <c r="E96" t="s">
        <v>106</v>
      </c>
      <c r="F96">
        <f>'Background Data'!$AD$23</f>
        <v>15</v>
      </c>
      <c r="G96" s="63" t="s">
        <v>444</v>
      </c>
      <c r="H96">
        <v>1</v>
      </c>
      <c r="I96">
        <v>1</v>
      </c>
      <c r="J96">
        <v>1</v>
      </c>
      <c r="K96">
        <v>1</v>
      </c>
      <c r="L96">
        <v>1</v>
      </c>
    </row>
    <row r="97" spans="1:12" x14ac:dyDescent="0.35">
      <c r="A97" t="s">
        <v>1285</v>
      </c>
      <c r="B97" t="s">
        <v>2261</v>
      </c>
      <c r="C97" t="s">
        <v>170</v>
      </c>
      <c r="D97">
        <v>2022</v>
      </c>
      <c r="E97" t="s">
        <v>106</v>
      </c>
      <c r="F97">
        <f>'Background Data'!$AD$23</f>
        <v>15</v>
      </c>
      <c r="G97" s="63" t="s">
        <v>444</v>
      </c>
      <c r="H97">
        <v>1</v>
      </c>
      <c r="I97">
        <v>1</v>
      </c>
      <c r="J97">
        <v>1</v>
      </c>
      <c r="K97">
        <v>1</v>
      </c>
      <c r="L97">
        <v>1</v>
      </c>
    </row>
    <row r="98" spans="1:12" x14ac:dyDescent="0.35">
      <c r="A98" t="s">
        <v>1286</v>
      </c>
      <c r="B98" t="s">
        <v>2261</v>
      </c>
      <c r="C98" t="s">
        <v>170</v>
      </c>
      <c r="D98">
        <v>2022</v>
      </c>
      <c r="E98" t="s">
        <v>106</v>
      </c>
      <c r="F98">
        <f>'Background Data'!$AD$25</f>
        <v>16</v>
      </c>
      <c r="G98" s="63" t="s">
        <v>444</v>
      </c>
      <c r="H98">
        <v>1</v>
      </c>
      <c r="I98">
        <v>1</v>
      </c>
      <c r="J98">
        <v>1</v>
      </c>
      <c r="K98">
        <v>1</v>
      </c>
      <c r="L98">
        <v>1</v>
      </c>
    </row>
    <row r="99" spans="1:12" x14ac:dyDescent="0.35">
      <c r="A99" t="s">
        <v>1287</v>
      </c>
      <c r="B99" t="s">
        <v>2261</v>
      </c>
      <c r="C99" t="s">
        <v>170</v>
      </c>
      <c r="D99">
        <v>2022</v>
      </c>
      <c r="E99" t="s">
        <v>106</v>
      </c>
      <c r="F99">
        <f>'Background Data'!$AD$23</f>
        <v>15</v>
      </c>
      <c r="G99" s="63" t="s">
        <v>444</v>
      </c>
      <c r="H99">
        <v>1</v>
      </c>
      <c r="I99">
        <v>1</v>
      </c>
      <c r="J99">
        <v>1</v>
      </c>
      <c r="K99">
        <v>1</v>
      </c>
      <c r="L99">
        <v>1</v>
      </c>
    </row>
    <row r="100" spans="1:12" x14ac:dyDescent="0.35">
      <c r="A100" t="s">
        <v>1288</v>
      </c>
      <c r="B100" t="s">
        <v>2261</v>
      </c>
      <c r="C100" t="s">
        <v>170</v>
      </c>
      <c r="D100">
        <v>2022</v>
      </c>
      <c r="E100" t="s">
        <v>106</v>
      </c>
      <c r="F100">
        <f>'Background Data'!$AD$23</f>
        <v>15</v>
      </c>
      <c r="G100" s="63" t="s">
        <v>444</v>
      </c>
      <c r="H100">
        <v>1</v>
      </c>
      <c r="I100">
        <v>1</v>
      </c>
      <c r="J100">
        <v>1</v>
      </c>
      <c r="K100">
        <v>1</v>
      </c>
      <c r="L100">
        <v>1</v>
      </c>
    </row>
    <row r="101" spans="1:12" x14ac:dyDescent="0.35">
      <c r="A101" t="s">
        <v>1289</v>
      </c>
      <c r="B101" t="s">
        <v>2261</v>
      </c>
      <c r="C101" t="s">
        <v>170</v>
      </c>
      <c r="D101">
        <v>2022</v>
      </c>
      <c r="E101" t="s">
        <v>106</v>
      </c>
      <c r="F101">
        <f>'Background Data'!$AD$23</f>
        <v>15</v>
      </c>
      <c r="G101" s="63" t="s">
        <v>445</v>
      </c>
      <c r="H101">
        <v>1</v>
      </c>
      <c r="I101">
        <v>1</v>
      </c>
      <c r="J101">
        <v>1</v>
      </c>
      <c r="K101">
        <v>1</v>
      </c>
      <c r="L101">
        <v>1</v>
      </c>
    </row>
    <row r="102" spans="1:12" x14ac:dyDescent="0.35">
      <c r="A102" t="s">
        <v>1290</v>
      </c>
      <c r="B102" t="s">
        <v>2261</v>
      </c>
      <c r="C102" t="s">
        <v>170</v>
      </c>
      <c r="D102">
        <v>2022</v>
      </c>
      <c r="E102" t="s">
        <v>106</v>
      </c>
      <c r="F102">
        <f>'Background Data'!$AD$23</f>
        <v>15</v>
      </c>
      <c r="G102" s="63" t="s">
        <v>444</v>
      </c>
      <c r="H102">
        <v>1</v>
      </c>
      <c r="I102">
        <v>1</v>
      </c>
      <c r="J102">
        <v>1</v>
      </c>
      <c r="K102">
        <v>1</v>
      </c>
      <c r="L102">
        <v>1</v>
      </c>
    </row>
    <row r="103" spans="1:12" x14ac:dyDescent="0.35">
      <c r="A103" t="s">
        <v>1291</v>
      </c>
      <c r="B103" t="s">
        <v>2261</v>
      </c>
      <c r="C103" t="s">
        <v>170</v>
      </c>
      <c r="D103">
        <v>2022</v>
      </c>
      <c r="E103" t="s">
        <v>106</v>
      </c>
      <c r="F103">
        <f>'Background Data'!$AD$23</f>
        <v>15</v>
      </c>
      <c r="G103" s="63" t="s">
        <v>444</v>
      </c>
      <c r="H103">
        <v>1</v>
      </c>
      <c r="I103">
        <v>1</v>
      </c>
      <c r="J103">
        <v>1</v>
      </c>
      <c r="K103">
        <v>1</v>
      </c>
      <c r="L103">
        <v>1</v>
      </c>
    </row>
    <row r="104" spans="1:12" x14ac:dyDescent="0.35">
      <c r="A104" t="s">
        <v>1292</v>
      </c>
      <c r="B104" t="s">
        <v>2261</v>
      </c>
      <c r="C104" t="s">
        <v>170</v>
      </c>
      <c r="D104">
        <v>2022</v>
      </c>
      <c r="E104" t="s">
        <v>106</v>
      </c>
      <c r="F104">
        <f>'Background Data'!$AD$25</f>
        <v>16</v>
      </c>
      <c r="G104" s="63" t="s">
        <v>444</v>
      </c>
      <c r="H104">
        <v>1</v>
      </c>
      <c r="I104">
        <v>1</v>
      </c>
      <c r="J104">
        <v>1</v>
      </c>
      <c r="K104">
        <v>1</v>
      </c>
      <c r="L104">
        <v>1</v>
      </c>
    </row>
    <row r="105" spans="1:12" x14ac:dyDescent="0.35">
      <c r="A105" t="s">
        <v>1293</v>
      </c>
      <c r="B105" t="s">
        <v>2261</v>
      </c>
      <c r="C105" t="s">
        <v>170</v>
      </c>
      <c r="D105">
        <v>2022</v>
      </c>
      <c r="E105" t="s">
        <v>106</v>
      </c>
      <c r="F105">
        <f>'Background Data'!$AD$23</f>
        <v>15</v>
      </c>
      <c r="G105" s="63" t="s">
        <v>444</v>
      </c>
      <c r="H105">
        <v>1</v>
      </c>
      <c r="I105">
        <v>1</v>
      </c>
      <c r="J105">
        <v>1</v>
      </c>
      <c r="K105">
        <v>1</v>
      </c>
      <c r="L105">
        <v>1</v>
      </c>
    </row>
    <row r="106" spans="1:12" x14ac:dyDescent="0.35">
      <c r="A106" t="s">
        <v>1297</v>
      </c>
      <c r="B106" t="s">
        <v>2261</v>
      </c>
      <c r="C106" t="s">
        <v>154</v>
      </c>
      <c r="D106">
        <v>2013</v>
      </c>
      <c r="E106" t="s">
        <v>106</v>
      </c>
      <c r="F106">
        <f>'Background Data'!$AH$29</f>
        <v>24</v>
      </c>
      <c r="G106" s="63" t="s">
        <v>446</v>
      </c>
      <c r="H106">
        <v>3</v>
      </c>
      <c r="I106">
        <v>1</v>
      </c>
      <c r="J106">
        <v>3</v>
      </c>
      <c r="K106">
        <v>3</v>
      </c>
      <c r="L106">
        <v>1</v>
      </c>
    </row>
    <row r="107" spans="1:12" x14ac:dyDescent="0.35">
      <c r="A107" t="s">
        <v>1298</v>
      </c>
      <c r="B107" t="s">
        <v>2261</v>
      </c>
      <c r="C107" t="s">
        <v>154</v>
      </c>
      <c r="D107">
        <v>2013</v>
      </c>
      <c r="E107" t="s">
        <v>106</v>
      </c>
      <c r="F107">
        <f>'Background Data'!$AH$29</f>
        <v>24</v>
      </c>
      <c r="G107" s="63" t="s">
        <v>446</v>
      </c>
      <c r="H107">
        <v>3</v>
      </c>
      <c r="I107">
        <v>1</v>
      </c>
      <c r="J107">
        <v>3</v>
      </c>
      <c r="K107">
        <v>3</v>
      </c>
      <c r="L107">
        <v>1</v>
      </c>
    </row>
    <row r="108" spans="1:12" x14ac:dyDescent="0.35">
      <c r="A108" t="s">
        <v>1299</v>
      </c>
      <c r="B108" t="s">
        <v>2261</v>
      </c>
      <c r="C108" t="s">
        <v>154</v>
      </c>
      <c r="D108">
        <v>2013</v>
      </c>
      <c r="E108" t="s">
        <v>106</v>
      </c>
      <c r="F108">
        <f>'Background Data'!$AH$29</f>
        <v>24</v>
      </c>
      <c r="G108" s="63" t="s">
        <v>446</v>
      </c>
      <c r="H108">
        <v>3</v>
      </c>
      <c r="I108">
        <v>1</v>
      </c>
      <c r="J108">
        <v>3</v>
      </c>
      <c r="K108">
        <v>3</v>
      </c>
      <c r="L108">
        <v>1</v>
      </c>
    </row>
    <row r="109" spans="1:12" x14ac:dyDescent="0.35">
      <c r="A109" t="s">
        <v>1300</v>
      </c>
      <c r="B109" t="s">
        <v>2261</v>
      </c>
      <c r="C109" t="s">
        <v>154</v>
      </c>
      <c r="D109">
        <v>2013</v>
      </c>
      <c r="E109" t="s">
        <v>106</v>
      </c>
      <c r="F109">
        <f>'Background Data'!$AH$29</f>
        <v>24</v>
      </c>
      <c r="G109" s="63" t="s">
        <v>446</v>
      </c>
      <c r="H109">
        <v>3</v>
      </c>
      <c r="I109">
        <v>1</v>
      </c>
      <c r="J109">
        <v>3</v>
      </c>
      <c r="K109">
        <v>3</v>
      </c>
      <c r="L109">
        <v>1</v>
      </c>
    </row>
    <row r="110" spans="1:12" x14ac:dyDescent="0.35">
      <c r="A110" t="s">
        <v>1302</v>
      </c>
      <c r="B110" t="s">
        <v>2261</v>
      </c>
      <c r="C110" t="s">
        <v>1779</v>
      </c>
      <c r="D110">
        <v>2022</v>
      </c>
      <c r="E110" t="s">
        <v>106</v>
      </c>
      <c r="F110">
        <f>'Background Data'!$AH$30</f>
        <v>30</v>
      </c>
      <c r="G110" s="63" t="s">
        <v>1957</v>
      </c>
      <c r="H110">
        <v>3</v>
      </c>
      <c r="I110">
        <v>1</v>
      </c>
      <c r="J110">
        <v>1</v>
      </c>
      <c r="K110">
        <v>3</v>
      </c>
      <c r="L110">
        <v>1</v>
      </c>
    </row>
    <row r="111" spans="1:12" x14ac:dyDescent="0.35">
      <c r="A111" t="s">
        <v>1303</v>
      </c>
      <c r="B111" t="s">
        <v>2261</v>
      </c>
      <c r="C111" t="s">
        <v>1779</v>
      </c>
      <c r="D111">
        <v>2022</v>
      </c>
      <c r="E111" t="s">
        <v>106</v>
      </c>
      <c r="F111">
        <f>'Background Data'!$AH$30</f>
        <v>30</v>
      </c>
      <c r="G111" s="63" t="s">
        <v>1957</v>
      </c>
      <c r="H111">
        <v>3</v>
      </c>
      <c r="I111">
        <v>1</v>
      </c>
      <c r="J111">
        <v>1</v>
      </c>
      <c r="K111">
        <v>3</v>
      </c>
      <c r="L111">
        <v>1</v>
      </c>
    </row>
    <row r="112" spans="1:12" x14ac:dyDescent="0.35">
      <c r="A112" t="s">
        <v>1304</v>
      </c>
      <c r="B112" t="s">
        <v>2261</v>
      </c>
      <c r="C112" t="s">
        <v>1779</v>
      </c>
      <c r="D112">
        <v>2022</v>
      </c>
      <c r="E112" t="s">
        <v>106</v>
      </c>
      <c r="F112">
        <f>'Background Data'!$AH$30</f>
        <v>30</v>
      </c>
      <c r="G112" s="63" t="s">
        <v>1957</v>
      </c>
      <c r="H112">
        <v>3</v>
      </c>
      <c r="I112">
        <v>1</v>
      </c>
      <c r="J112">
        <v>1</v>
      </c>
      <c r="K112">
        <v>3</v>
      </c>
      <c r="L112">
        <v>1</v>
      </c>
    </row>
    <row r="113" spans="1:12" x14ac:dyDescent="0.35">
      <c r="A113" t="s">
        <v>1305</v>
      </c>
      <c r="B113" t="s">
        <v>2261</v>
      </c>
      <c r="C113" t="s">
        <v>1779</v>
      </c>
      <c r="D113">
        <v>2022</v>
      </c>
      <c r="E113" t="s">
        <v>106</v>
      </c>
      <c r="F113">
        <f>'Background Data'!$AH$30</f>
        <v>30</v>
      </c>
      <c r="G113" s="63" t="s">
        <v>1957</v>
      </c>
      <c r="H113">
        <v>3</v>
      </c>
      <c r="I113">
        <v>1</v>
      </c>
      <c r="J113">
        <v>1</v>
      </c>
      <c r="K113">
        <v>3</v>
      </c>
      <c r="L113">
        <v>1</v>
      </c>
    </row>
    <row r="114" spans="1:12" x14ac:dyDescent="0.35">
      <c r="A114" t="s">
        <v>1310</v>
      </c>
      <c r="B114" t="s">
        <v>2261</v>
      </c>
      <c r="C114" t="s">
        <v>1779</v>
      </c>
      <c r="D114">
        <v>2022</v>
      </c>
      <c r="E114" t="s">
        <v>106</v>
      </c>
      <c r="F114">
        <f>'Background Data'!$AH$30</f>
        <v>30</v>
      </c>
      <c r="G114" s="63" t="s">
        <v>1957</v>
      </c>
      <c r="H114">
        <v>3</v>
      </c>
      <c r="I114">
        <v>1</v>
      </c>
      <c r="J114">
        <v>1</v>
      </c>
      <c r="K114">
        <v>3</v>
      </c>
      <c r="L114">
        <v>1</v>
      </c>
    </row>
    <row r="115" spans="1:12" x14ac:dyDescent="0.35">
      <c r="A115" t="s">
        <v>1922</v>
      </c>
      <c r="B115" t="s">
        <v>2261</v>
      </c>
      <c r="E115" t="s">
        <v>106</v>
      </c>
      <c r="F115">
        <v>50</v>
      </c>
      <c r="G115" s="63" t="s">
        <v>1924</v>
      </c>
    </row>
    <row r="116" spans="1:12" x14ac:dyDescent="0.35">
      <c r="A116" t="s">
        <v>1997</v>
      </c>
      <c r="B116" t="s">
        <v>2261</v>
      </c>
      <c r="C116" t="s">
        <v>1779</v>
      </c>
      <c r="D116">
        <v>2022</v>
      </c>
      <c r="E116" t="s">
        <v>106</v>
      </c>
      <c r="F116">
        <v>15</v>
      </c>
      <c r="G116" s="63" t="s">
        <v>2054</v>
      </c>
      <c r="H116">
        <v>3</v>
      </c>
      <c r="I116">
        <v>1</v>
      </c>
      <c r="J116">
        <v>1</v>
      </c>
      <c r="K116">
        <v>3</v>
      </c>
      <c r="L116">
        <v>1</v>
      </c>
    </row>
    <row r="117" spans="1:12" x14ac:dyDescent="0.35">
      <c r="A117" t="s">
        <v>2007</v>
      </c>
      <c r="B117" t="s">
        <v>2261</v>
      </c>
      <c r="C117" t="s">
        <v>1779</v>
      </c>
      <c r="D117">
        <v>2022</v>
      </c>
      <c r="E117" t="s">
        <v>106</v>
      </c>
      <c r="F117">
        <v>15</v>
      </c>
      <c r="G117" s="63" t="s">
        <v>2054</v>
      </c>
      <c r="H117">
        <v>3</v>
      </c>
      <c r="I117">
        <v>1</v>
      </c>
      <c r="J117">
        <v>1</v>
      </c>
      <c r="K117">
        <v>3</v>
      </c>
      <c r="L117">
        <v>1</v>
      </c>
    </row>
    <row r="118" spans="1:12" x14ac:dyDescent="0.35">
      <c r="A118" t="s">
        <v>1998</v>
      </c>
      <c r="B118" t="s">
        <v>2261</v>
      </c>
      <c r="C118" t="s">
        <v>1779</v>
      </c>
      <c r="D118">
        <v>2022</v>
      </c>
      <c r="E118" t="s">
        <v>106</v>
      </c>
      <c r="F118">
        <v>15</v>
      </c>
      <c r="G118" s="63" t="s">
        <v>2054</v>
      </c>
      <c r="H118">
        <v>3</v>
      </c>
      <c r="I118">
        <v>1</v>
      </c>
      <c r="J118">
        <v>1</v>
      </c>
      <c r="K118">
        <v>3</v>
      </c>
      <c r="L118">
        <v>1</v>
      </c>
    </row>
    <row r="119" spans="1:12" x14ac:dyDescent="0.35">
      <c r="A119" t="s">
        <v>2088</v>
      </c>
      <c r="B119" t="s">
        <v>2261</v>
      </c>
      <c r="C119" t="s">
        <v>1779</v>
      </c>
      <c r="D119">
        <v>2022</v>
      </c>
      <c r="E119" t="s">
        <v>106</v>
      </c>
      <c r="F119">
        <v>15</v>
      </c>
      <c r="G119" s="63" t="s">
        <v>2054</v>
      </c>
      <c r="H119">
        <v>3</v>
      </c>
      <c r="I119">
        <v>1</v>
      </c>
      <c r="J119">
        <v>1</v>
      </c>
      <c r="K119">
        <v>3</v>
      </c>
      <c r="L119">
        <v>1</v>
      </c>
    </row>
    <row r="120" spans="1:12" x14ac:dyDescent="0.35">
      <c r="A120" t="s">
        <v>2089</v>
      </c>
      <c r="B120" t="s">
        <v>2261</v>
      </c>
      <c r="C120" t="s">
        <v>2126</v>
      </c>
      <c r="D120">
        <v>2022</v>
      </c>
      <c r="E120" t="s">
        <v>106</v>
      </c>
      <c r="F120">
        <v>10</v>
      </c>
      <c r="G120" s="63" t="s">
        <v>2127</v>
      </c>
      <c r="H120">
        <v>3</v>
      </c>
      <c r="I120">
        <v>1</v>
      </c>
      <c r="J120">
        <v>1</v>
      </c>
      <c r="K120">
        <v>3</v>
      </c>
      <c r="L120">
        <v>1</v>
      </c>
    </row>
    <row r="121" spans="1:12" x14ac:dyDescent="0.35">
      <c r="A121" t="s">
        <v>2090</v>
      </c>
      <c r="B121" t="s">
        <v>2261</v>
      </c>
      <c r="C121" t="s">
        <v>2126</v>
      </c>
      <c r="D121">
        <v>2022</v>
      </c>
      <c r="E121" t="s">
        <v>106</v>
      </c>
      <c r="F121">
        <v>10</v>
      </c>
      <c r="G121" s="63" t="s">
        <v>2128</v>
      </c>
      <c r="H121">
        <v>3</v>
      </c>
      <c r="I121">
        <v>1</v>
      </c>
      <c r="J121">
        <v>1</v>
      </c>
      <c r="K121">
        <v>3</v>
      </c>
      <c r="L121">
        <v>1</v>
      </c>
    </row>
    <row r="122" spans="1:12" x14ac:dyDescent="0.35">
      <c r="A122" t="s">
        <v>2091</v>
      </c>
      <c r="B122" t="s">
        <v>2261</v>
      </c>
      <c r="C122" t="s">
        <v>2126</v>
      </c>
      <c r="D122">
        <v>2022</v>
      </c>
      <c r="E122" t="s">
        <v>106</v>
      </c>
      <c r="F122">
        <v>10</v>
      </c>
      <c r="G122" s="63" t="s">
        <v>2128</v>
      </c>
      <c r="H122">
        <v>3</v>
      </c>
      <c r="I122">
        <v>1</v>
      </c>
      <c r="J122">
        <v>1</v>
      </c>
      <c r="K122">
        <v>3</v>
      </c>
      <c r="L122">
        <v>1</v>
      </c>
    </row>
    <row r="123" spans="1:12" x14ac:dyDescent="0.35">
      <c r="A123" t="s">
        <v>2005</v>
      </c>
      <c r="B123" t="s">
        <v>2261</v>
      </c>
      <c r="E123" t="s">
        <v>106</v>
      </c>
      <c r="F123">
        <v>50</v>
      </c>
      <c r="G123" s="63" t="s">
        <v>2129</v>
      </c>
    </row>
    <row r="124" spans="1:12" x14ac:dyDescent="0.35">
      <c r="A124" t="s">
        <v>2077</v>
      </c>
      <c r="B124" t="s">
        <v>2261</v>
      </c>
      <c r="E124" t="s">
        <v>106</v>
      </c>
      <c r="F124">
        <v>50</v>
      </c>
      <c r="G124" s="63" t="s">
        <v>2129</v>
      </c>
    </row>
    <row r="125" spans="1:12" x14ac:dyDescent="0.35">
      <c r="A125" t="s">
        <v>2120</v>
      </c>
      <c r="B125" t="s">
        <v>2261</v>
      </c>
      <c r="E125" t="s">
        <v>106</v>
      </c>
      <c r="F125">
        <v>50</v>
      </c>
      <c r="G125" s="63" t="s">
        <v>2129</v>
      </c>
    </row>
    <row r="126" spans="1:12" x14ac:dyDescent="0.35">
      <c r="A126" t="s">
        <v>2121</v>
      </c>
      <c r="B126" t="s">
        <v>2261</v>
      </c>
      <c r="E126" t="s">
        <v>106</v>
      </c>
      <c r="F126">
        <v>50</v>
      </c>
      <c r="G126" s="63" t="s">
        <v>2129</v>
      </c>
    </row>
    <row r="127" spans="1:12" x14ac:dyDescent="0.35">
      <c r="A127" t="s">
        <v>2070</v>
      </c>
      <c r="B127" t="s">
        <v>2261</v>
      </c>
      <c r="E127" t="s">
        <v>106</v>
      </c>
      <c r="F127">
        <v>50</v>
      </c>
      <c r="G127" s="63" t="s">
        <v>2129</v>
      </c>
    </row>
    <row r="128" spans="1:12" x14ac:dyDescent="0.35">
      <c r="A128" t="s">
        <v>2069</v>
      </c>
      <c r="B128" t="s">
        <v>2261</v>
      </c>
      <c r="E128" t="s">
        <v>106</v>
      </c>
      <c r="F128">
        <v>50</v>
      </c>
      <c r="G128" s="63" t="s">
        <v>2129</v>
      </c>
    </row>
    <row r="129" spans="1:7" x14ac:dyDescent="0.35">
      <c r="A129" t="s">
        <v>2083</v>
      </c>
      <c r="B129" t="s">
        <v>2261</v>
      </c>
      <c r="E129" t="s">
        <v>106</v>
      </c>
      <c r="F129">
        <v>50</v>
      </c>
      <c r="G129" s="63" t="s">
        <v>2129</v>
      </c>
    </row>
    <row r="130" spans="1:7" x14ac:dyDescent="0.35">
      <c r="A130" t="s">
        <v>2084</v>
      </c>
      <c r="B130" t="s">
        <v>2261</v>
      </c>
      <c r="E130" t="s">
        <v>106</v>
      </c>
      <c r="F130">
        <v>50</v>
      </c>
      <c r="G130" s="63" t="s">
        <v>2129</v>
      </c>
    </row>
  </sheetData>
  <mergeCells count="1">
    <mergeCell ref="H1:L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7C00D3E-3B51-4FC3-9755-AC388CC66F72}">
          <x14:formula1>
            <xm:f>References!$A:$A</xm:f>
          </x14:formula1>
          <xm:sqref>C116:C130 C3:C114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tabColor theme="9" tint="0.59999389629810485"/>
    <pageSetUpPr autoPageBreaks="0"/>
  </sheetPr>
  <dimension ref="A1:CB53"/>
  <sheetViews>
    <sheetView topLeftCell="D1" workbookViewId="0">
      <selection activeCell="V24" sqref="V24"/>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63"/>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style="63" bestFit="1" customWidth="1"/>
    <col min="27" max="27" width="15.54296875" style="302" customWidth="1"/>
    <col min="28" max="28" width="255.54296875" style="63" customWidth="1"/>
    <col min="29" max="29" width="9.54296875" bestFit="1" customWidth="1"/>
    <col min="30" max="30" width="12.54296875" bestFit="1" customWidth="1"/>
    <col min="31" max="31" width="9" bestFit="1" customWidth="1"/>
    <col min="32" max="32" width="12.1796875" bestFit="1" customWidth="1"/>
    <col min="33" max="33" width="12.453125" bestFit="1" customWidth="1"/>
    <col min="35" max="35" width="1.81640625" style="62"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s>
  <sheetData>
    <row r="1" spans="1:76" ht="15.5" x14ac:dyDescent="0.35">
      <c r="A1" s="1"/>
      <c r="B1" s="1"/>
      <c r="C1" s="1"/>
      <c r="D1" s="1"/>
      <c r="E1" s="1"/>
      <c r="F1" s="472" t="s">
        <v>1161</v>
      </c>
      <c r="G1" s="472"/>
      <c r="H1" s="472"/>
      <c r="I1" s="472"/>
      <c r="J1" s="472"/>
      <c r="K1" s="472"/>
      <c r="L1" s="472"/>
      <c r="M1" s="472"/>
      <c r="N1" s="472"/>
      <c r="O1" s="472"/>
      <c r="P1" s="472"/>
      <c r="Q1" s="472"/>
      <c r="R1" s="472"/>
      <c r="S1" s="472"/>
      <c r="T1" s="472"/>
      <c r="U1" s="472"/>
      <c r="V1" s="472"/>
      <c r="W1" s="472"/>
      <c r="X1" s="472"/>
      <c r="Y1" s="472"/>
      <c r="Z1" s="473"/>
      <c r="AA1" s="484" t="s">
        <v>1160</v>
      </c>
      <c r="AB1" s="128"/>
      <c r="AC1" s="474" t="s">
        <v>146</v>
      </c>
      <c r="AD1" s="474"/>
      <c r="AE1" s="474"/>
      <c r="AF1" s="474"/>
      <c r="AG1" s="474"/>
      <c r="AK1" s="470" t="s">
        <v>2296</v>
      </c>
      <c r="AL1" s="470"/>
      <c r="AM1" s="470"/>
      <c r="AN1" s="470"/>
      <c r="AO1" s="470"/>
      <c r="AP1" s="470"/>
      <c r="AQ1" s="470"/>
      <c r="AR1" s="470"/>
      <c r="AS1" s="470"/>
      <c r="AT1" s="470"/>
      <c r="AU1" s="470"/>
      <c r="AV1" s="470"/>
      <c r="AW1" s="470"/>
      <c r="AX1" s="470"/>
      <c r="AY1" s="470"/>
      <c r="AZ1" s="470"/>
      <c r="BA1" s="470"/>
      <c r="BB1" s="470"/>
      <c r="BC1" s="470"/>
      <c r="BF1" s="470" t="s">
        <v>1108</v>
      </c>
      <c r="BG1" s="470"/>
      <c r="BH1" s="470"/>
      <c r="BI1" s="470"/>
      <c r="BJ1" s="470"/>
      <c r="BK1" s="470"/>
      <c r="BL1" s="470"/>
      <c r="BM1" s="470"/>
      <c r="BN1" s="470"/>
      <c r="BO1" s="470"/>
      <c r="BP1" s="470"/>
      <c r="BQ1" s="470"/>
      <c r="BR1" s="470"/>
      <c r="BS1" s="470"/>
      <c r="BT1" s="470"/>
      <c r="BU1" s="470"/>
      <c r="BV1" s="470"/>
      <c r="BW1" s="470"/>
      <c r="BX1" s="470"/>
    </row>
    <row r="2" spans="1:76" ht="15" thickBot="1" x14ac:dyDescent="0.4">
      <c r="A2" s="12" t="s">
        <v>94</v>
      </c>
      <c r="B2" s="12" t="s">
        <v>95</v>
      </c>
      <c r="C2" s="12" t="s">
        <v>179</v>
      </c>
      <c r="D2" s="12" t="s">
        <v>140</v>
      </c>
      <c r="E2" s="13" t="s">
        <v>96</v>
      </c>
      <c r="F2" s="12">
        <v>2000</v>
      </c>
      <c r="G2" s="12">
        <v>2001</v>
      </c>
      <c r="H2" s="12">
        <v>2002</v>
      </c>
      <c r="I2" s="12">
        <v>2003</v>
      </c>
      <c r="J2" s="12">
        <v>2004</v>
      </c>
      <c r="K2" s="12">
        <v>2005</v>
      </c>
      <c r="L2" s="12">
        <v>2006</v>
      </c>
      <c r="M2" s="12">
        <v>2007</v>
      </c>
      <c r="N2" s="12">
        <v>2008</v>
      </c>
      <c r="O2" s="12">
        <v>2009</v>
      </c>
      <c r="P2" s="12">
        <v>2010</v>
      </c>
      <c r="Q2" s="12">
        <v>2011</v>
      </c>
      <c r="R2" s="12">
        <v>2012</v>
      </c>
      <c r="S2" s="12">
        <v>2013</v>
      </c>
      <c r="T2" s="12">
        <v>2014</v>
      </c>
      <c r="U2" s="12">
        <v>2015</v>
      </c>
      <c r="V2" s="12">
        <v>2016</v>
      </c>
      <c r="W2" s="12">
        <v>2017</v>
      </c>
      <c r="X2" s="12">
        <v>2018</v>
      </c>
      <c r="Y2" s="12">
        <v>2019</v>
      </c>
      <c r="Z2" s="12">
        <v>2020</v>
      </c>
      <c r="AA2" s="485"/>
      <c r="AB2" s="13" t="s">
        <v>93</v>
      </c>
      <c r="AC2" s="67" t="s">
        <v>147</v>
      </c>
      <c r="AD2" s="15" t="s">
        <v>399</v>
      </c>
      <c r="AE2" s="12" t="s">
        <v>148</v>
      </c>
      <c r="AF2" s="12" t="s">
        <v>149</v>
      </c>
      <c r="AG2" s="12" t="s">
        <v>150</v>
      </c>
      <c r="AK2" s="32" t="s">
        <v>127</v>
      </c>
      <c r="AL2" s="32" t="s">
        <v>276</v>
      </c>
      <c r="AM2" s="32">
        <v>2005</v>
      </c>
      <c r="AN2" s="32">
        <v>2006</v>
      </c>
      <c r="AO2" s="32">
        <v>2007</v>
      </c>
      <c r="AP2" s="32">
        <v>2008</v>
      </c>
      <c r="AQ2" s="32">
        <v>2009</v>
      </c>
      <c r="AR2" s="50">
        <v>2010</v>
      </c>
      <c r="AS2" s="38">
        <v>2011</v>
      </c>
      <c r="AT2" s="32">
        <v>2012</v>
      </c>
      <c r="AU2" s="32">
        <v>2013</v>
      </c>
      <c r="AV2" s="32">
        <v>2014</v>
      </c>
      <c r="AW2" s="32">
        <v>2015</v>
      </c>
      <c r="AX2" s="32">
        <v>2016</v>
      </c>
      <c r="AY2" s="32">
        <v>2017</v>
      </c>
      <c r="AZ2" s="32">
        <v>2018</v>
      </c>
      <c r="BA2" s="32">
        <v>2019</v>
      </c>
      <c r="BB2" s="32">
        <v>2020</v>
      </c>
      <c r="BC2" s="32">
        <v>2021</v>
      </c>
      <c r="BD2" t="s">
        <v>145</v>
      </c>
      <c r="BF2" s="32" t="s">
        <v>127</v>
      </c>
      <c r="BG2" s="32">
        <v>2003</v>
      </c>
      <c r="BH2" s="32">
        <v>2004</v>
      </c>
      <c r="BI2" s="32">
        <v>2005</v>
      </c>
      <c r="BJ2" s="32">
        <v>2006</v>
      </c>
      <c r="BK2" s="32">
        <v>2007</v>
      </c>
      <c r="BL2" s="32">
        <v>2008</v>
      </c>
      <c r="BM2" s="32">
        <v>2009</v>
      </c>
      <c r="BN2" s="32">
        <v>2010</v>
      </c>
      <c r="BO2" s="32">
        <v>2011</v>
      </c>
      <c r="BP2" s="32">
        <v>2012</v>
      </c>
      <c r="BQ2" s="32">
        <v>2013</v>
      </c>
      <c r="BR2" s="32">
        <v>2014</v>
      </c>
      <c r="BS2" s="32">
        <v>2015</v>
      </c>
      <c r="BT2" s="32">
        <v>2016</v>
      </c>
      <c r="BU2" s="32">
        <v>2017</v>
      </c>
      <c r="BV2" s="32">
        <v>2018</v>
      </c>
      <c r="BW2" s="32">
        <v>2019</v>
      </c>
      <c r="BX2" s="32">
        <v>2020</v>
      </c>
    </row>
    <row r="3" spans="1:76" ht="15" thickTop="1" x14ac:dyDescent="0.35">
      <c r="A3" t="s">
        <v>1083</v>
      </c>
      <c r="B3" t="s">
        <v>2261</v>
      </c>
      <c r="C3" t="s">
        <v>161</v>
      </c>
      <c r="D3">
        <v>2022</v>
      </c>
      <c r="E3" s="63" t="s">
        <v>1099</v>
      </c>
      <c r="F3" s="71"/>
      <c r="G3" s="71"/>
      <c r="H3" s="71"/>
      <c r="I3" s="71"/>
      <c r="J3" s="71"/>
      <c r="K3" s="71"/>
      <c r="L3" s="71"/>
      <c r="M3" s="71"/>
      <c r="N3" s="71">
        <f>'Background Data'!J$4*AP4 * (1+'Background Data'!$AJ$23*($Z$2-N$2+1))</f>
        <v>165.70853269867547</v>
      </c>
      <c r="O3" s="71">
        <f>'Background Data'!K$4*AQ4 * (1+'Background Data'!$AJ$23*($Z$2-O$2+1))</f>
        <v>114.35036601229895</v>
      </c>
      <c r="P3" s="71">
        <f>'Background Data'!L$4*AR4 * (1+'Background Data'!$AJ$23*($Z$2-P$2+1))</f>
        <v>99.907357201986741</v>
      </c>
      <c r="Q3" s="71">
        <f>'Background Data'!M$4*AS4 * (1+'Background Data'!$AJ$23*($Z$2-Q$2+1))</f>
        <v>90.419342951750238</v>
      </c>
      <c r="R3" s="71">
        <f>'Background Data'!N$4*AT4 * (1+'Background Data'!$AJ$23*($Z$2-R$2+1))</f>
        <v>96.904803383718246</v>
      </c>
      <c r="S3" s="71">
        <f>'Background Data'!O$4*AU4 * (1+'Background Data'!$AJ$23*($Z$2-S$2+1))</f>
        <v>98.767848986047568</v>
      </c>
      <c r="T3" s="71">
        <f>'Background Data'!P$4*AV4 * (1+'Background Data'!$AJ$23*($Z$2-T$2+1))</f>
        <v>90.952616591928262</v>
      </c>
      <c r="U3" s="71">
        <f>'Background Data'!Q$4*AW4 * (1+'Background Data'!$AJ$23*($Z$2-U$2+1))</f>
        <v>75.370197379505186</v>
      </c>
      <c r="V3" s="71">
        <f>'Background Data'!R$4*AX4 * (1+'Background Data'!$AJ$23*($Z$2-V$2+1))</f>
        <v>66.209666421207658</v>
      </c>
      <c r="W3" s="71">
        <f>'Background Data'!S$4*AY4 * (1+'Background Data'!$AJ$23*($Z$2-W$2+1))</f>
        <v>64.743966602655078</v>
      </c>
      <c r="X3" s="71">
        <f>'Background Data'!T$4*AZ4 * (1+'Background Data'!$AJ$23*($Z$2-X$2+1))</f>
        <v>53.702229738148731</v>
      </c>
      <c r="Y3" s="71">
        <f>'Background Data'!U$4*BA4 * (1+'Background Data'!$AJ$23*($Z$2-Y$2+1))</f>
        <v>42.765023531828454</v>
      </c>
      <c r="Z3" s="71">
        <f>'Background Data'!V$4*BB4 * (1+'Background Data'!$AJ$23*($Z$2-Z$2+1))</f>
        <v>26.405675119945165</v>
      </c>
      <c r="AA3" s="479">
        <f>SUM(H3:Z7)/'Background Data'!V10</f>
        <v>1.005843174821945</v>
      </c>
      <c r="AB3" s="63" t="s">
        <v>2301</v>
      </c>
      <c r="AC3">
        <v>2</v>
      </c>
      <c r="AD3">
        <v>1</v>
      </c>
      <c r="AE3">
        <v>1</v>
      </c>
      <c r="AF3">
        <v>1</v>
      </c>
      <c r="AG3">
        <v>1</v>
      </c>
      <c r="AK3" s="33" t="s">
        <v>32</v>
      </c>
      <c r="AL3" s="476" t="s">
        <v>141</v>
      </c>
      <c r="AM3" s="59"/>
      <c r="AN3" s="59"/>
      <c r="AO3" s="34"/>
      <c r="AP3" s="34"/>
      <c r="AQ3" s="34"/>
      <c r="AR3" s="49"/>
      <c r="AS3" s="52">
        <f>'Background Data'!AA49-'Background Data'!AA55</f>
        <v>12080</v>
      </c>
      <c r="AT3" s="51">
        <f>'Background Data'!AB49-'Background Data'!AB55</f>
        <v>13033</v>
      </c>
      <c r="AU3" s="51">
        <f>'Background Data'!AC49-'Background Data'!AC55</f>
        <v>12645</v>
      </c>
      <c r="AV3" s="51">
        <f>'Background Data'!AD49-'Background Data'!AD55</f>
        <v>12042</v>
      </c>
      <c r="AW3" s="51">
        <f>'Background Data'!AE49-'Background Data'!AE55</f>
        <v>11023</v>
      </c>
      <c r="AX3" s="51">
        <f>'Background Data'!AF49-'Background Data'!AF55</f>
        <v>9215</v>
      </c>
      <c r="AY3" s="51">
        <f>'Background Data'!AG49-'Background Data'!AG55</f>
        <v>8555</v>
      </c>
      <c r="AZ3" s="51">
        <f>'Background Data'!AH49-'Background Data'!AH55</f>
        <v>7567</v>
      </c>
      <c r="BA3" s="51">
        <f>'Background Data'!AI49-'Background Data'!AI55</f>
        <v>6259</v>
      </c>
      <c r="BB3" s="51">
        <f>'Background Data'!AJ49-'Background Data'!AJ55</f>
        <v>4377</v>
      </c>
      <c r="BC3" s="51">
        <f>'Background Data'!AK49-'Background Data'!AK55</f>
        <v>4642</v>
      </c>
      <c r="BD3" s="35">
        <f>SUM(AS4:AS8)</f>
        <v>1</v>
      </c>
      <c r="BF3" s="33" t="s">
        <v>57</v>
      </c>
    </row>
    <row r="4" spans="1:76" x14ac:dyDescent="0.35">
      <c r="A4" t="s">
        <v>28</v>
      </c>
      <c r="B4" t="s">
        <v>2261</v>
      </c>
      <c r="C4" t="s">
        <v>161</v>
      </c>
      <c r="D4">
        <v>2022</v>
      </c>
      <c r="E4" s="63" t="s">
        <v>1099</v>
      </c>
      <c r="F4" s="71"/>
      <c r="G4" s="71"/>
      <c r="H4" s="71"/>
      <c r="I4" s="71"/>
      <c r="J4" s="71"/>
      <c r="K4" s="71"/>
      <c r="L4" s="71"/>
      <c r="M4" s="71"/>
      <c r="N4" s="71">
        <f>'Background Data'!J$4*AP5 * (1+'Background Data'!$AJ$23*($Z$2-N$2+1))</f>
        <v>8.5089673013245104</v>
      </c>
      <c r="O4" s="71">
        <f>'Background Data'!K$4*AQ5 * (1+'Background Data'!$AJ$23*($Z$2-O$2+1))</f>
        <v>5.8717768448439047</v>
      </c>
      <c r="P4" s="71">
        <f>'Background Data'!L$4*AR5 * (1+'Background Data'!$AJ$23*($Z$2-P$2+1))</f>
        <v>5.1301427980132503</v>
      </c>
      <c r="Q4" s="71">
        <f>'Background Data'!M$4*AS5 * (1+'Background Data'!$AJ$23*($Z$2-Q$2+1))</f>
        <v>3.7537011825922422</v>
      </c>
      <c r="R4" s="71">
        <f>'Background Data'!N$4*AT5 * (1+'Background Data'!$AJ$23*($Z$2-R$2+1))</f>
        <v>4.1175667371836333</v>
      </c>
      <c r="S4" s="71">
        <f>'Background Data'!O$4*AU5 * (1+'Background Data'!$AJ$23*($Z$2-S$2+1))</f>
        <v>3.9745114500367165</v>
      </c>
      <c r="T4" s="71">
        <f>'Background Data'!P$4*AV5 * (1+'Background Data'!$AJ$23*($Z$2-T$2+1))</f>
        <v>3.3238497757847538</v>
      </c>
      <c r="U4" s="71">
        <f>'Background Data'!Q$4*AW5 * (1+'Background Data'!$AJ$23*($Z$2-U$2+1))</f>
        <v>2.3294164150283172</v>
      </c>
      <c r="V4" s="71">
        <f>'Background Data'!R$4*AX5 * (1+'Background Data'!$AJ$23*($Z$2-V$2+1))</f>
        <v>0.29280117820324009</v>
      </c>
      <c r="W4" s="71">
        <f>'Background Data'!S$4*AY5 * (1+'Background Data'!$AJ$23*($Z$2-W$2+1))</f>
        <v>0.34075771896134255</v>
      </c>
      <c r="X4" s="71">
        <f>'Background Data'!T$4*AZ5 * (1+'Background Data'!$AJ$23*($Z$2-X$2+1))</f>
        <v>0.3134513205837377</v>
      </c>
      <c r="Y4" s="71">
        <f>'Background Data'!U$4*BA5 * (1+'Background Data'!$AJ$23*($Z$2-Y$2+1))</f>
        <v>0.19573752082715176</v>
      </c>
      <c r="Z4" s="71">
        <f>'Background Data'!V$4*BB5 * (1+'Background Data'!$AJ$23*($Z$2-Z$2+1))</f>
        <v>1.2744051698815236E-2</v>
      </c>
      <c r="AA4" s="478"/>
      <c r="AB4" s="63" t="s">
        <v>2301</v>
      </c>
      <c r="AC4">
        <v>2</v>
      </c>
      <c r="AD4">
        <v>1</v>
      </c>
      <c r="AE4">
        <v>1</v>
      </c>
      <c r="AF4">
        <v>1</v>
      </c>
      <c r="AG4">
        <v>1</v>
      </c>
      <c r="AK4" s="57" t="s">
        <v>110</v>
      </c>
      <c r="AL4" s="477"/>
      <c r="AM4" s="59"/>
      <c r="AN4" s="59"/>
      <c r="AO4" s="70">
        <f>$AS$4</f>
        <v>0.95115894039735094</v>
      </c>
      <c r="AP4" s="70">
        <f>$AS$4</f>
        <v>0.95115894039735094</v>
      </c>
      <c r="AQ4" s="70">
        <f>$AS$4</f>
        <v>0.95115894039735094</v>
      </c>
      <c r="AR4" s="70">
        <f>$AS$4</f>
        <v>0.95115894039735094</v>
      </c>
      <c r="AS4" s="39">
        <f>'Background Data'!AA50/AS$3</f>
        <v>0.95115894039735094</v>
      </c>
      <c r="AT4" s="40">
        <f>'Background Data'!AB50/AT$3</f>
        <v>0.94260722780633777</v>
      </c>
      <c r="AU4" s="40">
        <f>'Background Data'!AC50/AU$3</f>
        <v>0.94527481217872678</v>
      </c>
      <c r="AV4" s="40">
        <f>'Background Data'!AD50/AV$3</f>
        <v>0.9498422189005149</v>
      </c>
      <c r="AW4" s="40">
        <f>'Background Data'!AE50/AW$3</f>
        <v>0.95690828268166561</v>
      </c>
      <c r="AX4" s="40">
        <f>'Background Data'!AF50/AX$3</f>
        <v>0.98155181768855126</v>
      </c>
      <c r="AY4" s="40">
        <f>'Background Data'!AG50/AY$3</f>
        <v>0.9772063120981882</v>
      </c>
      <c r="AZ4" s="40">
        <f>'Background Data'!AH50/AZ$3</f>
        <v>0.97356944627989961</v>
      </c>
      <c r="BA4" s="40">
        <f>'Background Data'!AI50/BA$3</f>
        <v>0.94248282473238532</v>
      </c>
      <c r="BB4" s="40">
        <f>'Background Data'!AJ50/BB$3</f>
        <v>0.94676719214073568</v>
      </c>
      <c r="BC4" s="46">
        <f>'Background Data'!AK50/BC$3</f>
        <v>0.91361482119775961</v>
      </c>
      <c r="BF4" s="90" t="s">
        <v>1100</v>
      </c>
      <c r="BG4" s="95">
        <f>'Background Data'!E15</f>
        <v>53.231999999999999</v>
      </c>
      <c r="BH4" s="95">
        <f>'Background Data'!F15</f>
        <v>58.646000000000001</v>
      </c>
      <c r="BI4" s="95">
        <f>'Background Data'!G15</f>
        <v>63.496000000000002</v>
      </c>
      <c r="BJ4" s="95">
        <f>'Background Data'!H15</f>
        <v>71.119</v>
      </c>
      <c r="BK4" s="95">
        <f>'Background Data'!I15</f>
        <v>81.694999999999993</v>
      </c>
      <c r="BL4" s="95">
        <f>'Background Data'!J15</f>
        <v>95.53</v>
      </c>
      <c r="BM4" s="95">
        <f>'Background Data'!K15</f>
        <v>102.77800000000001</v>
      </c>
      <c r="BN4" s="95">
        <f>'Background Data'!L15</f>
        <v>106.672</v>
      </c>
      <c r="BO4" s="95">
        <f>'Background Data'!M15</f>
        <v>107.28400000000001</v>
      </c>
      <c r="BP4" s="95">
        <f>'Background Data'!N15</f>
        <v>112.255</v>
      </c>
      <c r="BQ4" s="95">
        <f>'Background Data'!O15</f>
        <v>116.605</v>
      </c>
      <c r="BR4" s="95">
        <f>'Background Data'!P15</f>
        <v>122.175</v>
      </c>
      <c r="BS4" s="95">
        <f>'Background Data'!Q15</f>
        <v>129.21299999999999</v>
      </c>
      <c r="BT4" s="95">
        <f>'Background Data'!R15</f>
        <v>129.17699999999999</v>
      </c>
      <c r="BU4" s="95">
        <f>'Background Data'!S15</f>
        <v>124.32899999999999</v>
      </c>
      <c r="BV4" s="95">
        <f>'Background Data'!T15</f>
        <v>121.93</v>
      </c>
      <c r="BW4" s="95">
        <f>'Background Data'!U15</f>
        <v>126.014</v>
      </c>
      <c r="BX4" s="95">
        <f>'Background Data'!V15</f>
        <v>124.723</v>
      </c>
    </row>
    <row r="5" spans="1:76" x14ac:dyDescent="0.35">
      <c r="A5" t="s">
        <v>2197</v>
      </c>
      <c r="B5" t="s">
        <v>2261</v>
      </c>
      <c r="C5" t="s">
        <v>161</v>
      </c>
      <c r="D5">
        <v>2022</v>
      </c>
      <c r="E5" s="63" t="s">
        <v>1099</v>
      </c>
      <c r="F5" s="71"/>
      <c r="G5" s="71"/>
      <c r="H5" s="71"/>
      <c r="I5" s="71"/>
      <c r="J5" s="71"/>
      <c r="K5" s="71"/>
      <c r="L5" s="71"/>
      <c r="M5" s="71"/>
      <c r="N5" s="71">
        <f>'Background Data'!J$4*AP6 * (1+'Background Data'!$AJ$23*($Z$2-N$2+1))</f>
        <v>0</v>
      </c>
      <c r="O5" s="71">
        <f>'Background Data'!K$4*AQ6 * (1+'Background Data'!$AJ$23*($Z$2-O$2+1))</f>
        <v>0</v>
      </c>
      <c r="P5" s="71">
        <f>'Background Data'!L$4*AR6 * (1+'Background Data'!$AJ$23*($Z$2-P$2+1))</f>
        <v>0</v>
      </c>
      <c r="Q5" s="71">
        <f>'Background Data'!M$4*AS6 * (1+'Background Data'!$AJ$23*($Z$2-Q$2+1))</f>
        <v>7.869394512771995E-3</v>
      </c>
      <c r="R5" s="71">
        <f>'Background Data'!N$4*AT6 * (1+'Background Data'!$AJ$23*($Z$2-R$2+1))</f>
        <v>7.888058883493549E-3</v>
      </c>
      <c r="S5" s="71">
        <f>'Background Data'!O$4*AU6 * (1+'Background Data'!$AJ$23*($Z$2-S$2+1))</f>
        <v>4.957810540586341E-2</v>
      </c>
      <c r="T5" s="71">
        <f>'Background Data'!P$4*AV6 * (1+'Background Data'!$AJ$23*($Z$2-T$2+1))</f>
        <v>6.3614349775784756E-2</v>
      </c>
      <c r="U5" s="71">
        <f>'Background Data'!Q$4*AW6 * (1+'Background Data'!$AJ$23*($Z$2-U$2+1))</f>
        <v>5.001814388097614E-2</v>
      </c>
      <c r="V5" s="71">
        <f>'Background Data'!R$4*AX6 * (1+'Background Data'!$AJ$23*($Z$2-V$2+1))</f>
        <v>3.6600147275405011E-2</v>
      </c>
      <c r="W5" s="71">
        <f>'Background Data'!S$4*AY6 * (1+'Background Data'!$AJ$23*($Z$2-W$2+1))</f>
        <v>7.7444936127577843E-2</v>
      </c>
      <c r="X5" s="71">
        <f>'Background Data'!T$4*AZ6 * (1+'Background Data'!$AJ$23*($Z$2-X$2+1))</f>
        <v>0.26971392701391378</v>
      </c>
      <c r="Y5" s="71">
        <f>'Background Data'!U$4*BA6 * (1+'Background Data'!$AJ$23*($Z$2-Y$2+1))</f>
        <v>0.60171163809828132</v>
      </c>
      <c r="Z5" s="71">
        <f>'Background Data'!V$4*BB6 * (1+'Background Data'!$AJ$23*($Z$2-Z$2+1))</f>
        <v>0.45241383530794077</v>
      </c>
      <c r="AA5" s="478"/>
      <c r="AB5" s="63" t="s">
        <v>2301</v>
      </c>
      <c r="AC5">
        <v>2</v>
      </c>
      <c r="AD5">
        <v>1</v>
      </c>
      <c r="AE5">
        <v>1</v>
      </c>
      <c r="AF5">
        <v>1</v>
      </c>
      <c r="AG5">
        <v>1</v>
      </c>
      <c r="AK5" s="57" t="s">
        <v>109</v>
      </c>
      <c r="AL5" s="477"/>
      <c r="AM5" s="59"/>
      <c r="AN5" s="59"/>
      <c r="AO5" s="70">
        <f>1-AO4</f>
        <v>4.8841059602649062E-2</v>
      </c>
      <c r="AP5" s="70">
        <f>1-AP4</f>
        <v>4.8841059602649062E-2</v>
      </c>
      <c r="AQ5" s="70">
        <f>1-AQ4</f>
        <v>4.8841059602649062E-2</v>
      </c>
      <c r="AR5" s="70">
        <f>1-AR4</f>
        <v>4.8841059602649062E-2</v>
      </c>
      <c r="AS5" s="39">
        <f>'Background Data'!AA51/AS$3</f>
        <v>3.9486754966887416E-2</v>
      </c>
      <c r="AT5" s="40">
        <f>'Background Data'!AB51/AT$3</f>
        <v>4.0052175247448786E-2</v>
      </c>
      <c r="AU5" s="40">
        <f>'Background Data'!AC51/AU$3</f>
        <v>3.8038750494266506E-2</v>
      </c>
      <c r="AV5" s="40">
        <f>'Background Data'!AD51/AV$3</f>
        <v>3.471184188672978E-2</v>
      </c>
      <c r="AW5" s="40">
        <f>'Background Data'!AE51/AW$3</f>
        <v>2.9574525991109497E-2</v>
      </c>
      <c r="AX5" s="40">
        <f>'Background Data'!AF51/AX$3</f>
        <v>4.3407487791644059E-3</v>
      </c>
      <c r="AY5" s="40">
        <f>'Background Data'!AG51/AY$3</f>
        <v>5.1431911163062538E-3</v>
      </c>
      <c r="AZ5" s="40">
        <f>'Background Data'!AH51/AZ$3</f>
        <v>5.6825690498215941E-3</v>
      </c>
      <c r="BA5" s="40">
        <f>'Background Data'!AI51/BA$3</f>
        <v>4.3137881450710973E-3</v>
      </c>
      <c r="BB5" s="40">
        <f>'Background Data'!AJ51/BB$3</f>
        <v>4.569339730408956E-4</v>
      </c>
      <c r="BC5" s="46">
        <f>'Background Data'!AK51/BC$3</f>
        <v>0</v>
      </c>
      <c r="BF5" s="90" t="s">
        <v>1101</v>
      </c>
      <c r="BG5" s="95">
        <f>BG4*'Background Data'!$AJ$28</f>
        <v>3.1312941176470588</v>
      </c>
      <c r="BH5" s="95">
        <f>BH4*'Background Data'!$AJ$28</f>
        <v>3.4497647058823531</v>
      </c>
      <c r="BI5" s="95">
        <f>BI4*'Background Data'!$AJ$28</f>
        <v>3.7350588235294118</v>
      </c>
      <c r="BJ5" s="95">
        <f>BJ4*'Background Data'!$AJ$28</f>
        <v>4.1834705882352941</v>
      </c>
      <c r="BK5" s="95">
        <f>BK4*'Background Data'!$AJ$28</f>
        <v>4.8055882352941168</v>
      </c>
      <c r="BL5" s="95">
        <f>BL4*'Background Data'!$AJ$28</f>
        <v>5.6194117647058821</v>
      </c>
      <c r="BM5" s="95">
        <f>BM4*'Background Data'!$AJ$28</f>
        <v>6.0457647058823536</v>
      </c>
      <c r="BN5" s="95">
        <f>BN4*'Background Data'!$AJ$28</f>
        <v>6.2748235294117647</v>
      </c>
      <c r="BO5" s="95">
        <f>BO4*'Background Data'!$AJ$28</f>
        <v>6.3108235294117652</v>
      </c>
      <c r="BP5" s="95">
        <f>BP4*'Background Data'!$AJ$28</f>
        <v>6.6032352941176464</v>
      </c>
      <c r="BQ5" s="95">
        <f>BQ4*'Background Data'!$AJ$28</f>
        <v>6.8591176470588238</v>
      </c>
      <c r="BR5" s="95">
        <f>BR4*'Background Data'!$AJ$28</f>
        <v>7.1867647058823527</v>
      </c>
      <c r="BS5" s="95">
        <f>BS4*'Background Data'!$AJ$28</f>
        <v>7.6007647058823524</v>
      </c>
      <c r="BT5" s="95">
        <f>BT4*'Background Data'!$AJ$28</f>
        <v>7.5986470588235289</v>
      </c>
      <c r="BU5" s="95">
        <f>BU4*'Background Data'!$AJ$28</f>
        <v>7.3134705882352939</v>
      </c>
      <c r="BV5" s="95">
        <f>BV4*'Background Data'!$AJ$28</f>
        <v>7.172352941176471</v>
      </c>
      <c r="BW5" s="95">
        <f>BW4*'Background Data'!$AJ$28</f>
        <v>7.412588235294117</v>
      </c>
      <c r="BX5" s="95">
        <f>BX4*'Background Data'!$AJ$28</f>
        <v>7.3366470588235293</v>
      </c>
    </row>
    <row r="6" spans="1:76" x14ac:dyDescent="0.35">
      <c r="A6" t="s">
        <v>1084</v>
      </c>
      <c r="B6" t="s">
        <v>2261</v>
      </c>
      <c r="C6" t="s">
        <v>161</v>
      </c>
      <c r="D6">
        <v>2022</v>
      </c>
      <c r="E6" s="63" t="s">
        <v>1099</v>
      </c>
      <c r="F6" s="71"/>
      <c r="G6" s="71"/>
      <c r="H6" s="71"/>
      <c r="I6" s="71"/>
      <c r="J6" s="71"/>
      <c r="K6" s="71"/>
      <c r="L6" s="71"/>
      <c r="M6" s="71"/>
      <c r="N6" s="71">
        <f>'Background Data'!J$4*AP7 * (1+'Background Data'!$AJ$23*($Z$2-N$2+1))</f>
        <v>0</v>
      </c>
      <c r="O6" s="71">
        <f>'Background Data'!K$4*AQ7 * (1+'Background Data'!$AJ$23*($Z$2-O$2+1))</f>
        <v>0</v>
      </c>
      <c r="P6" s="71">
        <f>'Background Data'!L$4*AR7 * (1+'Background Data'!$AJ$23*($Z$2-P$2+1))</f>
        <v>0</v>
      </c>
      <c r="Q6" s="71">
        <f>'Background Data'!M$4*AS7 * (1+'Background Data'!$AJ$23*($Z$2-Q$2+1))</f>
        <v>0.88137218543046358</v>
      </c>
      <c r="R6" s="71">
        <f>'Background Data'!N$4*AT7 * (1+'Background Data'!$AJ$23*($Z$2-R$2+1))</f>
        <v>1.7195968366015935</v>
      </c>
      <c r="S6" s="71">
        <f>'Background Data'!O$4*AU7 * (1+'Background Data'!$AJ$23*($Z$2-S$2+1))</f>
        <v>1.6030254081229172</v>
      </c>
      <c r="T6" s="71">
        <f>'Background Data'!P$4*AV7 * (1+'Background Data'!$AJ$23*($Z$2-T$2+1))</f>
        <v>1.3279495515695068</v>
      </c>
      <c r="U6" s="71">
        <f>'Background Data'!Q$4*AW7 * (1+'Background Data'!$AJ$23*($Z$2-U$2+1))</f>
        <v>0.95034473373854667</v>
      </c>
      <c r="V6" s="71">
        <f>'Background Data'!R$4*AX7 * (1+'Background Data'!$AJ$23*($Z$2-V$2+1))</f>
        <v>0.79788321060382927</v>
      </c>
      <c r="W6" s="71">
        <f>'Background Data'!S$4*AY7 * (1+'Background Data'!$AJ$23*($Z$2-W$2+1))</f>
        <v>1.0222731568840275</v>
      </c>
      <c r="X6" s="71">
        <f>'Background Data'!T$4*AZ7 * (1+'Background Data'!$AJ$23*($Z$2-X$2+1))</f>
        <v>0.75082525628197616</v>
      </c>
      <c r="Y6" s="71">
        <f>'Background Data'!U$4*BA7 * (1+'Background Data'!$AJ$23*($Z$2-Y$2+1))</f>
        <v>1.5441515531919752</v>
      </c>
      <c r="Z6" s="71">
        <f>'Background Data'!V$4*BB7 * (1+'Background Data'!$AJ$23*($Z$2-Z$2+1))</f>
        <v>0.80924728287476744</v>
      </c>
      <c r="AA6" s="478"/>
      <c r="AB6" s="63" t="s">
        <v>2301</v>
      </c>
      <c r="AC6">
        <v>2</v>
      </c>
      <c r="AD6">
        <v>1</v>
      </c>
      <c r="AE6">
        <v>1</v>
      </c>
      <c r="AF6">
        <v>1</v>
      </c>
      <c r="AG6">
        <v>1</v>
      </c>
      <c r="AK6" s="57" t="s">
        <v>128</v>
      </c>
      <c r="AL6" s="477"/>
      <c r="AM6" s="59"/>
      <c r="AN6" s="59"/>
      <c r="AO6" s="70">
        <v>0</v>
      </c>
      <c r="AP6" s="70">
        <v>0</v>
      </c>
      <c r="AQ6" s="70">
        <v>0</v>
      </c>
      <c r="AR6" s="70">
        <v>0</v>
      </c>
      <c r="AS6" s="39">
        <f>'Background Data'!AA52/AS$3</f>
        <v>8.2781456953642384E-5</v>
      </c>
      <c r="AT6" s="40">
        <f>'Background Data'!AB52/AT$3</f>
        <v>7.6728305071740969E-5</v>
      </c>
      <c r="AU6" s="40">
        <f>'Background Data'!AC52/AU$3</f>
        <v>4.7449584816132857E-4</v>
      </c>
      <c r="AV6" s="40">
        <f>'Background Data'!AD52/AV$3</f>
        <v>6.6434147151635942E-4</v>
      </c>
      <c r="AW6" s="40">
        <f>'Background Data'!AE52/AW$3</f>
        <v>6.3503583416492783E-4</v>
      </c>
      <c r="AX6" s="40">
        <f>'Background Data'!AF52/AX$3</f>
        <v>5.4259359739555074E-4</v>
      </c>
      <c r="AY6" s="40">
        <f>'Background Data'!AG52/AY$3</f>
        <v>1.1689070718877848E-3</v>
      </c>
      <c r="AZ6" s="40">
        <f>'Background Data'!AH52/AZ$3</f>
        <v>4.8896524382185808E-3</v>
      </c>
      <c r="BA6" s="40">
        <f>'Background Data'!AI52/BA$3</f>
        <v>1.3260904297811151E-2</v>
      </c>
      <c r="BB6" s="40">
        <f>'Background Data'!AJ52/BB$3</f>
        <v>1.6221156042951792E-2</v>
      </c>
      <c r="BC6" s="46">
        <f>'Background Data'!AK52/BC$3</f>
        <v>3.166738474795347E-2</v>
      </c>
      <c r="BF6" s="90" t="s">
        <v>1102</v>
      </c>
      <c r="BH6" s="95">
        <f t="shared" ref="BH6:BW6" si="0">BH4-(BG4-BG5)</f>
        <v>8.5452941176470603</v>
      </c>
      <c r="BI6" s="95">
        <f t="shared" si="0"/>
        <v>8.2997647058823532</v>
      </c>
      <c r="BJ6" s="95">
        <f t="shared" si="0"/>
        <v>11.358058823529412</v>
      </c>
      <c r="BK6" s="95">
        <f t="shared" si="0"/>
        <v>14.759470588235288</v>
      </c>
      <c r="BL6" s="95">
        <f t="shared" si="0"/>
        <v>18.640588235294132</v>
      </c>
      <c r="BM6" s="95">
        <f t="shared" si="0"/>
        <v>12.867411764705892</v>
      </c>
      <c r="BN6" s="95">
        <f t="shared" si="0"/>
        <v>9.9397647058823395</v>
      </c>
      <c r="BO6" s="95">
        <f t="shared" si="0"/>
        <v>6.886823529411771</v>
      </c>
      <c r="BP6" s="95">
        <f t="shared" si="0"/>
        <v>11.281823529411753</v>
      </c>
      <c r="BQ6" s="95">
        <f t="shared" si="0"/>
        <v>10.953235294117661</v>
      </c>
      <c r="BR6" s="95">
        <f t="shared" si="0"/>
        <v>12.429117647058817</v>
      </c>
      <c r="BS6" s="95">
        <f t="shared" si="0"/>
        <v>14.22476470588235</v>
      </c>
      <c r="BT6" s="95">
        <f t="shared" si="0"/>
        <v>7.5647647058823537</v>
      </c>
      <c r="BU6" s="95">
        <f t="shared" si="0"/>
        <v>2.7506470588235317</v>
      </c>
      <c r="BV6" s="95">
        <f t="shared" si="0"/>
        <v>4.9144705882353037</v>
      </c>
      <c r="BW6" s="95">
        <f t="shared" si="0"/>
        <v>11.256352941176459</v>
      </c>
      <c r="BX6" s="95">
        <f>BX4-(BW4-BW5)</f>
        <v>6.1215882352941264</v>
      </c>
    </row>
    <row r="7" spans="1:76" x14ac:dyDescent="0.35">
      <c r="A7" t="s">
        <v>1095</v>
      </c>
      <c r="B7" t="s">
        <v>2261</v>
      </c>
      <c r="C7" t="s">
        <v>161</v>
      </c>
      <c r="D7">
        <v>2022</v>
      </c>
      <c r="E7" s="63" t="s">
        <v>1099</v>
      </c>
      <c r="F7" s="71"/>
      <c r="G7" s="71"/>
      <c r="H7" s="71"/>
      <c r="I7" s="71"/>
      <c r="J7" s="71"/>
      <c r="K7" s="71"/>
      <c r="L7" s="71"/>
      <c r="M7" s="71"/>
      <c r="N7" s="71">
        <f>'Background Data'!J$4*AP8 * (1+'Background Data'!$AJ$23*($Z$2-N$2+1))</f>
        <v>0</v>
      </c>
      <c r="O7" s="71">
        <f>'Background Data'!K$4*AQ8 * (1+'Background Data'!$AJ$23*($Z$2-O$2+1))</f>
        <v>0</v>
      </c>
      <c r="P7" s="71">
        <f>'Background Data'!L$4*AR8 * (1+'Background Data'!$AJ$23*($Z$2-P$2+1))</f>
        <v>0</v>
      </c>
      <c r="Q7" s="71">
        <f>'Background Data'!M$4*AS8 * (1+'Background Data'!$AJ$23*($Z$2-Q$2+1))</f>
        <v>0</v>
      </c>
      <c r="R7" s="71">
        <f>'Background Data'!N$4*AT8 * (1+'Background Data'!$AJ$23*($Z$2-R$2+1))</f>
        <v>5.5216412184454847E-2</v>
      </c>
      <c r="S7" s="71">
        <f>'Background Data'!O$4*AU8 * (1+'Background Data'!$AJ$23*($Z$2-S$2+1))</f>
        <v>9.0893193244082918E-2</v>
      </c>
      <c r="T7" s="71">
        <f>'Background Data'!P$4*AV8 * (1+'Background Data'!$AJ$23*($Z$2-T$2+1))</f>
        <v>8.7469730941704044E-2</v>
      </c>
      <c r="U7" s="71">
        <f>'Background Data'!Q$4*AW8 * (1+'Background Data'!$AJ$23*($Z$2-U$2+1))</f>
        <v>6.4309042132683611E-2</v>
      </c>
      <c r="V7" s="71">
        <f>'Background Data'!R$4*AX8 * (1+'Background Data'!$AJ$23*($Z$2-V$2+1))</f>
        <v>0.11712047128129603</v>
      </c>
      <c r="W7" s="71">
        <f>'Background Data'!S$4*AY8 * (1+'Background Data'!$AJ$23*($Z$2-W$2+1))</f>
        <v>6.9700442514820063E-2</v>
      </c>
      <c r="X7" s="71">
        <f>'Background Data'!T$4*AZ8 * (1+'Background Data'!$AJ$23*($Z$2-X$2+1))</f>
        <v>0.12392261511450094</v>
      </c>
      <c r="Y7" s="71">
        <f>'Background Data'!U$4*BA8 * (1+'Background Data'!$AJ$23*($Z$2-Y$2+1))</f>
        <v>0.26823289891128205</v>
      </c>
      <c r="Z7" s="71">
        <f>'Background Data'!V$4*BB8 * (1+'Background Data'!$AJ$23*($Z$2-Z$2+1))</f>
        <v>0.21027685303045135</v>
      </c>
      <c r="AA7" s="478"/>
      <c r="AB7" s="63" t="s">
        <v>2301</v>
      </c>
      <c r="AC7">
        <v>2</v>
      </c>
      <c r="AD7">
        <v>1</v>
      </c>
      <c r="AE7">
        <v>1</v>
      </c>
      <c r="AF7">
        <v>1</v>
      </c>
      <c r="AG7">
        <v>1</v>
      </c>
      <c r="AK7" s="57" t="s">
        <v>129</v>
      </c>
      <c r="AL7" s="477"/>
      <c r="AM7" s="59"/>
      <c r="AN7" s="59"/>
      <c r="AO7" s="70">
        <v>0</v>
      </c>
      <c r="AP7" s="70">
        <v>0</v>
      </c>
      <c r="AQ7" s="70">
        <v>0</v>
      </c>
      <c r="AR7" s="70">
        <v>0</v>
      </c>
      <c r="AS7" s="39">
        <f>'Background Data'!AA53/AS$3</f>
        <v>9.2715231788079479E-3</v>
      </c>
      <c r="AT7" s="40">
        <f>'Background Data'!AB53/AT$3</f>
        <v>1.6726770505639529E-2</v>
      </c>
      <c r="AU7" s="40">
        <f>'Background Data'!AC53/AU$3</f>
        <v>1.5342032423882958E-2</v>
      </c>
      <c r="AV7" s="40">
        <f>'Background Data'!AD53/AV$3</f>
        <v>1.3868128217904003E-2</v>
      </c>
      <c r="AW7" s="40">
        <f>'Background Data'!AE53/AW$3</f>
        <v>1.206568084913363E-2</v>
      </c>
      <c r="AX7" s="40">
        <f>'Background Data'!AF53/AX$3</f>
        <v>1.1828540423223005E-2</v>
      </c>
      <c r="AY7" s="40">
        <f>'Background Data'!AG53/AY$3</f>
        <v>1.542957334891876E-2</v>
      </c>
      <c r="AZ7" s="40">
        <f>'Background Data'!AH53/AZ$3</f>
        <v>1.3611735165851725E-2</v>
      </c>
      <c r="BA7" s="40">
        <f>'Background Data'!AI53/BA$3</f>
        <v>3.4030995366671993E-2</v>
      </c>
      <c r="BB7" s="40">
        <f>'Background Data'!AJ53/BB$3</f>
        <v>2.901530728809687E-2</v>
      </c>
      <c r="BC7" s="46">
        <f>'Background Data'!AK53/BC$3</f>
        <v>4.6316242998707451E-2</v>
      </c>
      <c r="BF7" s="33" t="s">
        <v>62</v>
      </c>
    </row>
    <row r="8" spans="1:76" x14ac:dyDescent="0.35">
      <c r="A8" t="s">
        <v>1085</v>
      </c>
      <c r="B8" t="s">
        <v>2261</v>
      </c>
      <c r="C8" t="s">
        <v>161</v>
      </c>
      <c r="D8">
        <v>2022</v>
      </c>
      <c r="E8" s="63" t="s">
        <v>1099</v>
      </c>
      <c r="F8" s="71"/>
      <c r="G8" s="71"/>
      <c r="H8" s="71"/>
      <c r="I8" s="71"/>
      <c r="J8" s="71"/>
      <c r="K8" s="71"/>
      <c r="L8" s="71">
        <f>'Background Data'!H$5*AN29 * (1+'Background Data'!$AJ$24*($P$2-L$2+1))</f>
        <v>93.429523663593912</v>
      </c>
      <c r="M8" s="71">
        <f>'Background Data'!I$5*AO29 * (1+'Background Data'!$AJ$24*($P$2-M$2+1))</f>
        <v>98.363314138842895</v>
      </c>
      <c r="N8" s="71">
        <f>'Background Data'!J$5*AP29 * (1+'Background Data'!$AJ$24*($P$2-N$2+1))</f>
        <v>87.068367990509856</v>
      </c>
      <c r="O8" s="71">
        <f>'Background Data'!K$5*AQ29 * (1+'Background Data'!$AJ$24*($P$2-O$2+1))</f>
        <v>66.445605615006301</v>
      </c>
      <c r="P8" s="71">
        <f>'Background Data'!L$5*AR29 * (1+'Background Data'!$AJ$24*($P$2-P$2+1))</f>
        <v>75.996600350937896</v>
      </c>
      <c r="Q8" s="71">
        <f>'Background Data'!M$5*AS29</f>
        <v>80.825165113807685</v>
      </c>
      <c r="R8" s="71">
        <f>'Background Data'!N$5*AT29</f>
        <v>88.734308511130649</v>
      </c>
      <c r="S8" s="71">
        <f>'Background Data'!O$5*AU29</f>
        <v>96.951576868319847</v>
      </c>
      <c r="T8" s="71">
        <f>'Background Data'!P$5*AV29</f>
        <v>107.3341417854942</v>
      </c>
      <c r="U8" s="71">
        <f>'Background Data'!Q$5*AW29</f>
        <v>97.595072267332924</v>
      </c>
      <c r="V8" s="71">
        <f>'Background Data'!R$5*AX29</f>
        <v>90.624217589116128</v>
      </c>
      <c r="W8" s="71">
        <f>'Background Data'!S$5*AY29</f>
        <v>101.6534441942881</v>
      </c>
      <c r="X8" s="71">
        <f>'Background Data'!T$5*AZ29</f>
        <v>101.12925402684564</v>
      </c>
      <c r="Y8" s="71">
        <f>'Background Data'!U$5*BA29</f>
        <v>97.383364926048898</v>
      </c>
      <c r="Z8" s="71">
        <f>'Background Data'!V$5*BB29</f>
        <v>78.117898876125736</v>
      </c>
      <c r="AA8" s="478">
        <f>SUM(H8:Z12)/'Background Data'!V11</f>
        <v>0.98340154327531504</v>
      </c>
      <c r="AB8" s="63" t="s">
        <v>2302</v>
      </c>
      <c r="AC8">
        <v>2</v>
      </c>
      <c r="AD8">
        <v>1</v>
      </c>
      <c r="AE8">
        <v>1</v>
      </c>
      <c r="AF8">
        <v>1</v>
      </c>
      <c r="AG8">
        <v>1</v>
      </c>
      <c r="AK8" s="57" t="s">
        <v>130</v>
      </c>
      <c r="AL8" s="477"/>
      <c r="AM8" s="59"/>
      <c r="AN8" s="59"/>
      <c r="AO8" s="70">
        <v>0</v>
      </c>
      <c r="AP8" s="70">
        <v>0</v>
      </c>
      <c r="AQ8" s="70">
        <v>0</v>
      </c>
      <c r="AR8" s="70">
        <v>0</v>
      </c>
      <c r="AS8" s="39">
        <f>'Background Data'!AA54/AS$3</f>
        <v>0</v>
      </c>
      <c r="AT8" s="40">
        <f>'Background Data'!AB54/AT$3</f>
        <v>5.370981355021868E-4</v>
      </c>
      <c r="AU8" s="40">
        <f>'Background Data'!AC54/AU$3</f>
        <v>8.6990905496243573E-4</v>
      </c>
      <c r="AV8" s="40">
        <f>'Background Data'!AD54/AV$3</f>
        <v>9.1346952333499413E-4</v>
      </c>
      <c r="AW8" s="40">
        <f>'Background Data'!AE54/AW$3</f>
        <v>8.1647464392633584E-4</v>
      </c>
      <c r="AX8" s="40">
        <f>'Background Data'!AF54/AX$3</f>
        <v>1.7362995116657625E-3</v>
      </c>
      <c r="AY8" s="40">
        <f>'Background Data'!AG54/AY$3</f>
        <v>1.0520163646990065E-3</v>
      </c>
      <c r="AZ8" s="40">
        <f>'Background Data'!AH54/AZ$3</f>
        <v>2.2465970662085373E-3</v>
      </c>
      <c r="BA8" s="40">
        <f>'Background Data'!AI54/BA$3</f>
        <v>5.9114874580603934E-3</v>
      </c>
      <c r="BB8" s="40">
        <f>'Background Data'!AJ54/BB$3</f>
        <v>7.5394105551747775E-3</v>
      </c>
      <c r="BC8" s="46">
        <f>'Background Data'!AK54/BC$3</f>
        <v>8.4015510555794908E-3</v>
      </c>
      <c r="BF8" s="90" t="s">
        <v>1100</v>
      </c>
      <c r="BI8" s="95">
        <f>'Background Data'!G16</f>
        <v>7.8869999999999996</v>
      </c>
      <c r="BJ8" s="95">
        <f>'Background Data'!H16</f>
        <v>8.3059999999999992</v>
      </c>
      <c r="BK8" s="95">
        <f>'Background Data'!I16</f>
        <v>8.2129999999999992</v>
      </c>
      <c r="BL8" s="95">
        <f>'Background Data'!J16</f>
        <v>8.4990000000000006</v>
      </c>
      <c r="BM8" s="95">
        <f>'Background Data'!K16</f>
        <v>8.7880000000000003</v>
      </c>
      <c r="BN8" s="95">
        <f>'Background Data'!L16</f>
        <v>8.8179999999999996</v>
      </c>
      <c r="BO8" s="95">
        <f>'Background Data'!M16</f>
        <v>8.7409999999999997</v>
      </c>
      <c r="BP8" s="95">
        <f>'Background Data'!N16</f>
        <v>8.7279999999999998</v>
      </c>
      <c r="BQ8" s="95">
        <f>'Background Data'!O16</f>
        <v>8.93</v>
      </c>
      <c r="BR8" s="95">
        <f>'Background Data'!P16</f>
        <v>9.59</v>
      </c>
      <c r="BS8" s="95">
        <f>'Background Data'!Q16</f>
        <v>9.0950000000000006</v>
      </c>
      <c r="BT8" s="95">
        <f>'Background Data'!R16</f>
        <v>8.8480000000000008</v>
      </c>
      <c r="BU8" s="95">
        <f>'Background Data'!S16</f>
        <v>9.5489999999999995</v>
      </c>
      <c r="BV8" s="95">
        <f>'Background Data'!T16</f>
        <v>9.0020000000000007</v>
      </c>
      <c r="BW8" s="95">
        <f>'Background Data'!U16</f>
        <v>8.6519999999999992</v>
      </c>
      <c r="BX8" s="95">
        <f>'Background Data'!V16</f>
        <v>8.9019999999999992</v>
      </c>
    </row>
    <row r="9" spans="1:76" x14ac:dyDescent="0.35">
      <c r="A9" t="s">
        <v>408</v>
      </c>
      <c r="B9" t="s">
        <v>2261</v>
      </c>
      <c r="C9" t="s">
        <v>161</v>
      </c>
      <c r="D9">
        <v>2022</v>
      </c>
      <c r="E9" s="63" t="s">
        <v>1099</v>
      </c>
      <c r="F9" s="71"/>
      <c r="G9" s="71"/>
      <c r="H9" s="71"/>
      <c r="I9" s="71"/>
      <c r="J9" s="71"/>
      <c r="K9" s="71"/>
      <c r="L9" s="71">
        <f>'Background Data'!H$5*AN30 * (1+'Background Data'!$AJ$24*($P$2-L$2+1))</f>
        <v>9.3444763364060961</v>
      </c>
      <c r="M9" s="71">
        <f>'Background Data'!I$5*AO30 * (1+'Background Data'!$AJ$24*($P$2-M$2+1))</f>
        <v>9.8379358611571028</v>
      </c>
      <c r="N9" s="71">
        <f>'Background Data'!J$5*AP30 * (1+'Background Data'!$AJ$24*($P$2-N$2+1))</f>
        <v>8.708257009490147</v>
      </c>
      <c r="O9" s="71">
        <f>'Background Data'!K$5*AQ30 * (1+'Background Data'!$AJ$24*($P$2-O$2+1))</f>
        <v>6.6456443849936946</v>
      </c>
      <c r="P9" s="71">
        <f>'Background Data'!L$5*AR30 * (1+'Background Data'!$AJ$24*($P$2-P$2+1))</f>
        <v>7.6008996490621037</v>
      </c>
      <c r="Q9" s="71">
        <f>'Background Data'!M$5*AS30</f>
        <v>7.9849567753256068</v>
      </c>
      <c r="R9" s="71">
        <f>'Background Data'!N$5*AT30</f>
        <v>8.8490197621141302</v>
      </c>
      <c r="S9" s="71">
        <f>'Background Data'!O$5*AU30</f>
        <v>9.02378283504388</v>
      </c>
      <c r="T9" s="71">
        <f>'Background Data'!P$5*AV30</f>
        <v>10.091457593981767</v>
      </c>
      <c r="U9" s="71">
        <f>'Background Data'!Q$5*AW30</f>
        <v>9.1127861961274199</v>
      </c>
      <c r="V9" s="71">
        <f>'Background Data'!R$5*AX30</f>
        <v>8.8569631167454386</v>
      </c>
      <c r="W9" s="71">
        <f>'Background Data'!S$5*AY30</f>
        <v>8.3489057327496372</v>
      </c>
      <c r="X9" s="71">
        <f>'Background Data'!T$5*AZ30</f>
        <v>8.742580223713647</v>
      </c>
      <c r="Y9" s="71">
        <f>'Background Data'!U$5*BA30</f>
        <v>7.4444542710534254</v>
      </c>
      <c r="Z9" s="71">
        <f>'Background Data'!V$5*BB30</f>
        <v>7.9276404098543667</v>
      </c>
      <c r="AA9" s="478"/>
      <c r="AB9" s="63" t="s">
        <v>2302</v>
      </c>
      <c r="AC9">
        <v>2</v>
      </c>
      <c r="AD9">
        <v>1</v>
      </c>
      <c r="AE9">
        <v>1</v>
      </c>
      <c r="AF9">
        <v>1</v>
      </c>
      <c r="AG9">
        <v>1</v>
      </c>
      <c r="AK9" s="33" t="s">
        <v>139</v>
      </c>
      <c r="AL9" s="477"/>
      <c r="AM9" s="59"/>
      <c r="AN9" s="59"/>
      <c r="AS9" s="53">
        <f>'Background Data'!AA56-'Background Data'!AA59-'Background Data'!AA61-'Background Data'!AA62</f>
        <v>20311</v>
      </c>
      <c r="AT9" s="51">
        <f>'Background Data'!AB56-'Background Data'!AB59-'Background Data'!AB61-'Background Data'!AB62</f>
        <v>21928</v>
      </c>
      <c r="AU9" s="51">
        <f>'Background Data'!AC56-'Background Data'!AC59-'Background Data'!AC61-'Background Data'!AC62</f>
        <v>23180</v>
      </c>
      <c r="AV9" s="51">
        <f>'Background Data'!AD56-'Background Data'!AD59-'Background Data'!AD61-'Background Data'!AD62</f>
        <v>21980</v>
      </c>
      <c r="AW9" s="51">
        <f>'Background Data'!AE56-'Background Data'!AE59-'Background Data'!AE61-'Background Data'!AE62</f>
        <v>21882</v>
      </c>
      <c r="AX9" s="51">
        <f>'Background Data'!AF56-'Background Data'!AF59-'Background Data'!AF61-'Background Data'!AF62</f>
        <v>19652</v>
      </c>
      <c r="AY9" s="51">
        <f>'Background Data'!AG56-'Background Data'!AG59-'Background Data'!AG61-'Background Data'!AG62</f>
        <v>21664</v>
      </c>
      <c r="AZ9" s="51">
        <f>'Background Data'!AH56-'Background Data'!AH59-'Background Data'!AH61-'Background Data'!AH62</f>
        <v>19084</v>
      </c>
      <c r="BA9" s="51">
        <f>'Background Data'!AI56-'Background Data'!AI59-'Background Data'!AI61-'Background Data'!AI62</f>
        <v>18441</v>
      </c>
      <c r="BB9" s="51">
        <f>'Background Data'!AJ56-'Background Data'!AJ59-'Background Data'!AJ61-'Background Data'!AJ62</f>
        <v>18010</v>
      </c>
      <c r="BC9" s="51">
        <f>'Background Data'!AK56-'Background Data'!AK59-'Background Data'!AK61-'Background Data'!AK62</f>
        <v>15678</v>
      </c>
      <c r="BD9" s="35">
        <f>SUM(AS10:AS12)</f>
        <v>1</v>
      </c>
      <c r="BF9" s="90" t="s">
        <v>1101</v>
      </c>
      <c r="BI9" s="95">
        <f>BI8*'Background Data'!$AE$23</f>
        <v>0.52579999999999993</v>
      </c>
      <c r="BJ9" s="95">
        <f>BJ8*'Background Data'!$AE$23</f>
        <v>0.5537333333333333</v>
      </c>
      <c r="BK9" s="95">
        <f>BK8*'Background Data'!$AE$23</f>
        <v>0.54753333333333332</v>
      </c>
      <c r="BL9" s="95">
        <f>BL8*'Background Data'!$AE$23</f>
        <v>0.56659999999999999</v>
      </c>
      <c r="BM9" s="95">
        <f>BM8*'Background Data'!$AE$23</f>
        <v>0.58586666666666665</v>
      </c>
      <c r="BN9" s="95">
        <f>BN8*'Background Data'!$AE$23</f>
        <v>0.58786666666666665</v>
      </c>
      <c r="BO9" s="95">
        <f>BO8*'Background Data'!$AE$23</f>
        <v>0.58273333333333333</v>
      </c>
      <c r="BP9" s="95">
        <f>BP8*'Background Data'!$AE$23</f>
        <v>0.58186666666666664</v>
      </c>
      <c r="BQ9" s="95">
        <f>BQ8*'Background Data'!$AE$23</f>
        <v>0.59533333333333327</v>
      </c>
      <c r="BR9" s="95">
        <f>BR8*'Background Data'!$AE$23</f>
        <v>0.63933333333333331</v>
      </c>
      <c r="BS9" s="95">
        <f>BS8*'Background Data'!$AE$23</f>
        <v>0.60633333333333339</v>
      </c>
      <c r="BT9" s="95">
        <f>BT8*'Background Data'!$AE$23</f>
        <v>0.58986666666666676</v>
      </c>
      <c r="BU9" s="95">
        <f>BU8*'Background Data'!$AE$23</f>
        <v>0.63659999999999994</v>
      </c>
      <c r="BV9" s="95">
        <f>BV8*'Background Data'!$AE$23</f>
        <v>0.60013333333333341</v>
      </c>
      <c r="BW9" s="95">
        <f>BW8*'Background Data'!$AE$23</f>
        <v>0.57679999999999998</v>
      </c>
      <c r="BX9" s="95">
        <f>BX8*'Background Data'!$AE$23</f>
        <v>0.59346666666666659</v>
      </c>
    </row>
    <row r="10" spans="1:76" ht="15" customHeight="1" x14ac:dyDescent="0.35">
      <c r="A10" t="s">
        <v>2198</v>
      </c>
      <c r="B10" t="s">
        <v>2261</v>
      </c>
      <c r="C10" t="s">
        <v>161</v>
      </c>
      <c r="D10">
        <v>2022</v>
      </c>
      <c r="E10" s="63" t="s">
        <v>1099</v>
      </c>
      <c r="F10" s="71"/>
      <c r="G10" s="71"/>
      <c r="H10" s="71"/>
      <c r="I10" s="71"/>
      <c r="J10" s="71"/>
      <c r="K10" s="71"/>
      <c r="L10" s="71">
        <f>'Background Data'!H$5*AN31</f>
        <v>0</v>
      </c>
      <c r="M10" s="71">
        <f>'Background Data'!I$5*AO31</f>
        <v>0</v>
      </c>
      <c r="N10" s="71">
        <f>'Background Data'!J$5*AP31</f>
        <v>0</v>
      </c>
      <c r="O10" s="71">
        <f>'Background Data'!K$5*AQ31</f>
        <v>0</v>
      </c>
      <c r="P10" s="71">
        <f>'Background Data'!L$5*AR31</f>
        <v>0</v>
      </c>
      <c r="Q10" s="71">
        <f>'Background Data'!M$5*AS31</f>
        <v>0</v>
      </c>
      <c r="R10" s="71">
        <f>'Background Data'!N$5*AT31</f>
        <v>0</v>
      </c>
      <c r="S10" s="71">
        <f>'Background Data'!O$5*AU31</f>
        <v>2.2536920167442256E-3</v>
      </c>
      <c r="T10" s="71">
        <f>'Background Data'!P$5*AV31</f>
        <v>0</v>
      </c>
      <c r="U10" s="71">
        <f>'Background Data'!Q$5*AW31</f>
        <v>0</v>
      </c>
      <c r="V10" s="71">
        <f>'Background Data'!R$5*AX31</f>
        <v>4.4042581386103622E-3</v>
      </c>
      <c r="W10" s="71">
        <f>'Background Data'!S$5*AY31</f>
        <v>6.896122576610382E-3</v>
      </c>
      <c r="X10" s="71">
        <f>'Background Data'!T$5*AZ31</f>
        <v>1.9734944071588368E-2</v>
      </c>
      <c r="Y10" s="71">
        <f>'Background Data'!U$5*BA31</f>
        <v>5.3927558104437071E-2</v>
      </c>
      <c r="Z10" s="71">
        <f>'Background Data'!V$5*BB31</f>
        <v>0.11693323740293249</v>
      </c>
      <c r="AA10" s="478"/>
      <c r="AB10" s="63" t="s">
        <v>2302</v>
      </c>
      <c r="AC10">
        <v>2</v>
      </c>
      <c r="AD10">
        <v>1</v>
      </c>
      <c r="AE10">
        <v>1</v>
      </c>
      <c r="AF10">
        <v>1</v>
      </c>
      <c r="AG10">
        <v>1</v>
      </c>
      <c r="AK10" s="17" t="s">
        <v>110</v>
      </c>
      <c r="AL10" s="477"/>
      <c r="AM10" s="482" t="s">
        <v>788</v>
      </c>
      <c r="AN10" s="482"/>
      <c r="AO10" s="482"/>
      <c r="AP10" s="482"/>
      <c r="AQ10" s="482"/>
      <c r="AR10" s="483"/>
      <c r="AS10" s="54">
        <f>'Background Data'!AA57/AS$9</f>
        <v>0.83137216286741178</v>
      </c>
      <c r="AT10" s="55">
        <f>'Background Data'!AB57/AT$9</f>
        <v>0.83372856621670921</v>
      </c>
      <c r="AU10" s="55">
        <f>'Background Data'!AC57/AU$9</f>
        <v>0.84309749784296806</v>
      </c>
      <c r="AV10" s="55">
        <f>'Background Data'!AD57/AV$9</f>
        <v>0.83817106460418567</v>
      </c>
      <c r="AW10" s="55">
        <f>'Background Data'!AE57/AW$9</f>
        <v>0.83177954483136829</v>
      </c>
      <c r="AX10" s="55">
        <f>'Background Data'!AF57/AX$9</f>
        <v>0.80597394667209443</v>
      </c>
      <c r="AY10" s="55">
        <f>'Background Data'!AG57/AY$9</f>
        <v>0.83867245199409157</v>
      </c>
      <c r="AZ10" s="55">
        <f>'Background Data'!AH57/AZ$9</f>
        <v>0.82734227625235801</v>
      </c>
      <c r="BA10" s="55">
        <f>'Background Data'!AI57/BA$9</f>
        <v>0.84257903584404314</v>
      </c>
      <c r="BB10" s="55">
        <f>'Background Data'!AJ57/BB$9</f>
        <v>0.80094392004441972</v>
      </c>
      <c r="BC10" s="55">
        <f>'Background Data'!AK57/BC$9</f>
        <v>0.76961347110600842</v>
      </c>
      <c r="BF10" s="90" t="s">
        <v>1102</v>
      </c>
      <c r="BJ10" s="95">
        <f t="shared" ref="BJ10" si="1">BJ8-(BI8-BI9)</f>
        <v>0.94479999999999986</v>
      </c>
      <c r="BK10" s="95">
        <f t="shared" ref="BK10" si="2">BK8-(BJ8-BJ9)</f>
        <v>0.46073333333333366</v>
      </c>
      <c r="BL10" s="95">
        <f t="shared" ref="BL10:BW10" si="3">BL8-(BK8-BK9)</f>
        <v>0.83353333333333435</v>
      </c>
      <c r="BM10" s="95">
        <f t="shared" si="3"/>
        <v>0.85559999999999992</v>
      </c>
      <c r="BN10" s="95">
        <f t="shared" si="3"/>
        <v>0.61586666666666545</v>
      </c>
      <c r="BO10" s="95">
        <f t="shared" si="3"/>
        <v>0.5108666666666668</v>
      </c>
      <c r="BP10" s="95">
        <f t="shared" si="3"/>
        <v>0.56973333333333365</v>
      </c>
      <c r="BQ10" s="95">
        <f t="shared" si="3"/>
        <v>0.78386666666666649</v>
      </c>
      <c r="BR10" s="95">
        <f t="shared" si="3"/>
        <v>1.2553333333333327</v>
      </c>
      <c r="BS10" s="95">
        <f t="shared" si="3"/>
        <v>0.14433333333333387</v>
      </c>
      <c r="BT10" s="95">
        <f t="shared" si="3"/>
        <v>0.35933333333333373</v>
      </c>
      <c r="BU10" s="95">
        <f t="shared" si="3"/>
        <v>1.2908666666666662</v>
      </c>
      <c r="BV10" s="95">
        <f t="shared" si="3"/>
        <v>8.960000000000079E-2</v>
      </c>
      <c r="BW10" s="95">
        <f t="shared" si="3"/>
        <v>0.25013333333333243</v>
      </c>
      <c r="BX10" s="95">
        <f>BX8-(BW8-BW9)</f>
        <v>0.82680000000000042</v>
      </c>
    </row>
    <row r="11" spans="1:76" x14ac:dyDescent="0.35">
      <c r="A11" t="s">
        <v>1086</v>
      </c>
      <c r="B11" t="s">
        <v>2261</v>
      </c>
      <c r="C11" t="s">
        <v>161</v>
      </c>
      <c r="D11">
        <v>2022</v>
      </c>
      <c r="E11" s="63" t="s">
        <v>1099</v>
      </c>
      <c r="F11" s="71"/>
      <c r="G11" s="71"/>
      <c r="H11" s="71"/>
      <c r="I11" s="71"/>
      <c r="J11" s="71"/>
      <c r="K11" s="71"/>
      <c r="L11" s="71">
        <f>'Background Data'!H$5*AN32</f>
        <v>0</v>
      </c>
      <c r="M11" s="71">
        <f>'Background Data'!I$5*AO32</f>
        <v>0</v>
      </c>
      <c r="N11" s="71">
        <f>'Background Data'!J$5*AP32</f>
        <v>0</v>
      </c>
      <c r="O11" s="71">
        <f>'Background Data'!K$5*AQ32</f>
        <v>0</v>
      </c>
      <c r="P11" s="71">
        <f>'Background Data'!L$5*AR32</f>
        <v>0</v>
      </c>
      <c r="Q11" s="71">
        <f>'Background Data'!M$5*AS32</f>
        <v>9.8878110866717744E-2</v>
      </c>
      <c r="R11" s="71">
        <f>'Background Data'!N$5*AT32</f>
        <v>9.2671726755218217E-2</v>
      </c>
      <c r="S11" s="71">
        <f>'Background Data'!O$5*AU32</f>
        <v>8.3386604619536356E-2</v>
      </c>
      <c r="T11" s="71">
        <f>'Background Data'!P$5*AV32</f>
        <v>0.1174006205240453</v>
      </c>
      <c r="U11" s="71">
        <f>'Background Data'!Q$5*AW32</f>
        <v>6.8918363522798246E-2</v>
      </c>
      <c r="V11" s="71">
        <f>'Background Data'!R$5*AX32</f>
        <v>0.19598948716816111</v>
      </c>
      <c r="W11" s="71">
        <f>'Background Data'!S$5*AY32</f>
        <v>0.23676687513028977</v>
      </c>
      <c r="X11" s="71">
        <f>'Background Data'!T$5*AZ32</f>
        <v>0.31575910514541389</v>
      </c>
      <c r="Y11" s="71">
        <f>'Background Data'!U$5*BA32</f>
        <v>0.58584938122547536</v>
      </c>
      <c r="Z11" s="71">
        <f>'Background Data'!V$5*BB32</f>
        <v>1.0307448334036271</v>
      </c>
      <c r="AA11" s="478"/>
      <c r="AB11" s="63" t="s">
        <v>2302</v>
      </c>
      <c r="AC11">
        <v>2</v>
      </c>
      <c r="AD11">
        <v>1</v>
      </c>
      <c r="AE11">
        <v>1</v>
      </c>
      <c r="AF11">
        <v>1</v>
      </c>
      <c r="AG11">
        <v>1</v>
      </c>
      <c r="AK11" s="17" t="s">
        <v>109</v>
      </c>
      <c r="AL11" s="477"/>
      <c r="AM11" s="482"/>
      <c r="AN11" s="482"/>
      <c r="AO11" s="482"/>
      <c r="AP11" s="482"/>
      <c r="AQ11" s="482"/>
      <c r="AR11" s="483"/>
      <c r="AS11" s="54">
        <f>'Background Data'!AA58/AS$9</f>
        <v>0.1684801339175816</v>
      </c>
      <c r="AT11" s="55">
        <f>'Background Data'!AB58/AT$9</f>
        <v>0.16613462240058374</v>
      </c>
      <c r="AU11" s="55">
        <f>'Background Data'!AC58/AU$9</f>
        <v>0.15681622088006902</v>
      </c>
      <c r="AV11" s="55">
        <f>'Background Data'!AD58/AV$9</f>
        <v>0.16178343949044585</v>
      </c>
      <c r="AW11" s="55">
        <f>'Background Data'!AE58/AW$9</f>
        <v>0.16822045516863174</v>
      </c>
      <c r="AX11" s="55">
        <f>'Background Data'!AF58/AX$9</f>
        <v>0.19402605332790557</v>
      </c>
      <c r="AY11" s="55">
        <f>'Background Data'!AG58/AY$9</f>
        <v>0.16132754800590843</v>
      </c>
      <c r="AZ11" s="55">
        <f>'Background Data'!AH58/AZ$9</f>
        <v>0.17265772374764202</v>
      </c>
      <c r="BA11" s="55">
        <f>'Background Data'!AI58/BA$9</f>
        <v>0.15742096415595683</v>
      </c>
      <c r="BB11" s="55">
        <f>'Background Data'!AJ58/BB$9</f>
        <v>0.19905607995558022</v>
      </c>
      <c r="BC11" s="55">
        <f>'Background Data'!AK58/BC$9</f>
        <v>0.21622655951014161</v>
      </c>
      <c r="BF11" s="33" t="s">
        <v>63</v>
      </c>
    </row>
    <row r="12" spans="1:76" x14ac:dyDescent="0.35">
      <c r="A12" t="s">
        <v>1096</v>
      </c>
      <c r="B12" t="s">
        <v>2261</v>
      </c>
      <c r="C12" t="s">
        <v>161</v>
      </c>
      <c r="D12">
        <v>2022</v>
      </c>
      <c r="E12" s="63" t="s">
        <v>1099</v>
      </c>
      <c r="F12" s="71"/>
      <c r="G12" s="71"/>
      <c r="H12" s="71"/>
      <c r="I12" s="71"/>
      <c r="J12" s="71"/>
      <c r="K12" s="71"/>
      <c r="L12" s="71">
        <f>'Background Data'!H$5*AN33</f>
        <v>0</v>
      </c>
      <c r="M12" s="71">
        <f>'Background Data'!I$5*AO33</f>
        <v>0</v>
      </c>
      <c r="N12" s="71">
        <f>'Background Data'!J$5*AP33</f>
        <v>0</v>
      </c>
      <c r="O12" s="71">
        <f>'Background Data'!K$5*AQ33</f>
        <v>0</v>
      </c>
      <c r="P12" s="71">
        <f>'Background Data'!L$5*AR33</f>
        <v>0</v>
      </c>
      <c r="Q12" s="71">
        <f>'Background Data'!M$5*AS33</f>
        <v>0</v>
      </c>
      <c r="R12" s="71">
        <f>'Background Data'!N$5*AT33</f>
        <v>0</v>
      </c>
      <c r="S12" s="71">
        <f>'Background Data'!O$5*AU33</f>
        <v>0</v>
      </c>
      <c r="T12" s="71">
        <f>'Background Data'!P$5*AV33</f>
        <v>0</v>
      </c>
      <c r="U12" s="71">
        <f>'Background Data'!Q$5*AW33</f>
        <v>2.2231730168644596E-3</v>
      </c>
      <c r="V12" s="71">
        <f>'Background Data'!R$5*AX33</f>
        <v>2.6425548831662177E-2</v>
      </c>
      <c r="W12" s="71">
        <f>'Background Data'!S$5*AY33</f>
        <v>2.2987075255367938E-2</v>
      </c>
      <c r="X12" s="71">
        <f>'Background Data'!T$5*AZ33</f>
        <v>6.1671700223713648E-2</v>
      </c>
      <c r="Y12" s="71">
        <f>'Background Data'!U$5*BA33</f>
        <v>0.10540386356776335</v>
      </c>
      <c r="Z12" s="71">
        <f>'Background Data'!V$5*BB33</f>
        <v>8.8782643213337634E-2</v>
      </c>
      <c r="AA12" s="478"/>
      <c r="AB12" s="63" t="s">
        <v>2302</v>
      </c>
      <c r="AC12">
        <v>2</v>
      </c>
      <c r="AD12">
        <v>1</v>
      </c>
      <c r="AE12">
        <v>1</v>
      </c>
      <c r="AF12">
        <v>1</v>
      </c>
      <c r="AG12">
        <v>1</v>
      </c>
      <c r="AK12" s="17" t="s">
        <v>129</v>
      </c>
      <c r="AL12" s="477"/>
      <c r="AM12" s="482"/>
      <c r="AN12" s="482"/>
      <c r="AO12" s="482"/>
      <c r="AP12" s="482"/>
      <c r="AQ12" s="482"/>
      <c r="AR12" s="483"/>
      <c r="AS12" s="54">
        <f>'Background Data'!AA60/AS$9</f>
        <v>1.4770321500664663E-4</v>
      </c>
      <c r="AT12" s="55">
        <f>'Background Data'!AB60/AT$9</f>
        <v>1.3681138270704122E-4</v>
      </c>
      <c r="AU12" s="55">
        <f>'Background Data'!AC60/AU$9</f>
        <v>8.6281276962899049E-5</v>
      </c>
      <c r="AV12" s="55">
        <f>'Background Data'!AD60/AV$9</f>
        <v>4.5495905368516835E-5</v>
      </c>
      <c r="AW12" s="55">
        <f>'Background Data'!AE60/AW$9</f>
        <v>0</v>
      </c>
      <c r="AX12" s="55">
        <f>'Background Data'!AF60/AX$9</f>
        <v>0</v>
      </c>
      <c r="AY12" s="55">
        <f>'Background Data'!AG60/AY$9</f>
        <v>0</v>
      </c>
      <c r="AZ12" s="55">
        <f>'Background Data'!AH60/AZ$9</f>
        <v>0</v>
      </c>
      <c r="BA12" s="55">
        <f>'Background Data'!AI60/BA$9</f>
        <v>0</v>
      </c>
      <c r="BB12" s="55">
        <f>'Background Data'!AJ60/BB$9</f>
        <v>0</v>
      </c>
      <c r="BC12" s="55">
        <f>'Background Data'!AK60/BC$9</f>
        <v>1.4159969383849981E-2</v>
      </c>
      <c r="BF12" s="90" t="s">
        <v>1100</v>
      </c>
      <c r="BI12" s="95">
        <f>'Background Data'!G17</f>
        <v>4.0369999999999999</v>
      </c>
      <c r="BJ12" s="95">
        <f>'Background Data'!H17</f>
        <v>3.88</v>
      </c>
      <c r="BK12" s="95">
        <f>'Background Data'!I17</f>
        <v>4.43</v>
      </c>
      <c r="BL12" s="95">
        <f>'Background Data'!J17</f>
        <v>4.7480000000000002</v>
      </c>
      <c r="BM12" s="95">
        <f>'Background Data'!K17</f>
        <v>4.9870000000000001</v>
      </c>
      <c r="BN12" s="95">
        <f>'Background Data'!L17</f>
        <v>4.97</v>
      </c>
      <c r="BO12" s="95">
        <f>'Background Data'!M17</f>
        <v>5.05</v>
      </c>
      <c r="BP12" s="95">
        <f>'Background Data'!N17</f>
        <v>5.173</v>
      </c>
      <c r="BQ12" s="95">
        <f>'Background Data'!O17</f>
        <v>5.1760000000000002</v>
      </c>
      <c r="BR12" s="95">
        <f>'Background Data'!P17</f>
        <v>5.0830000000000002</v>
      </c>
      <c r="BS12" s="95">
        <f>'Background Data'!Q17</f>
        <v>5.5789999999999997</v>
      </c>
      <c r="BT12" s="95">
        <f>'Background Data'!R17</f>
        <v>5.07</v>
      </c>
      <c r="BU12" s="95">
        <f>'Background Data'!S17</f>
        <v>5.1260000000000003</v>
      </c>
      <c r="BV12" s="95">
        <f>'Background Data'!T17</f>
        <v>5.3620000000000001</v>
      </c>
      <c r="BW12" s="95">
        <f>'Background Data'!U17</f>
        <v>5.2169999999999996</v>
      </c>
      <c r="BX12" s="95">
        <f>'Background Data'!V17</f>
        <v>5.0389999999999997</v>
      </c>
    </row>
    <row r="13" spans="1:76" x14ac:dyDescent="0.35">
      <c r="A13" t="s">
        <v>1087</v>
      </c>
      <c r="B13" t="s">
        <v>2261</v>
      </c>
      <c r="C13" t="s">
        <v>161</v>
      </c>
      <c r="D13">
        <v>2022</v>
      </c>
      <c r="E13" s="63" t="s">
        <v>1099</v>
      </c>
      <c r="F13" s="71"/>
      <c r="G13" s="71"/>
      <c r="H13" s="71"/>
      <c r="I13" s="71"/>
      <c r="J13" s="71"/>
      <c r="K13" s="71"/>
      <c r="L13" s="71">
        <f>'Background Data'!H$6*AN35 * (1+'Background Data'!$AJ$24*($P$2-L$2+1))</f>
        <v>42.013341724272856</v>
      </c>
      <c r="M13" s="71">
        <f>'Background Data'!I$6*AO35 * (1+'Background Data'!$AJ$24*($P$2-M$2+1))</f>
        <v>44.122772922916397</v>
      </c>
      <c r="N13" s="71">
        <f>'Background Data'!J$6*AP35 * (1+'Background Data'!$AJ$24*($P$2-N$2+1))</f>
        <v>39.13025094561106</v>
      </c>
      <c r="O13" s="71">
        <f>'Background Data'!K$6*AQ35 * (1+'Background Data'!$AJ$24*($P$2-O$2+1))</f>
        <v>29.903596974044603</v>
      </c>
      <c r="P13" s="71">
        <f>'Background Data'!L$6*AR35 * (1+'Background Data'!$AJ$24*($P$2-P$2+1))</f>
        <v>34.211797117516625</v>
      </c>
      <c r="Q13" s="71">
        <f>'Background Data'!M$6*AS35</f>
        <v>36.364545193687228</v>
      </c>
      <c r="R13" s="71">
        <f>'Background Data'!N$6*AT35</f>
        <v>39.915264669113199</v>
      </c>
      <c r="S13" s="71">
        <f>'Background Data'!O$6*AU35</f>
        <v>43.650111753371867</v>
      </c>
      <c r="T13" s="71">
        <f>'Background Data'!P$6*AV35</f>
        <v>48.174675972687979</v>
      </c>
      <c r="U13" s="71">
        <f>'Background Data'!Q$6*AW35</f>
        <v>43.498241115827774</v>
      </c>
      <c r="V13" s="71">
        <f>'Background Data'!R$6*AX35</f>
        <v>39.689201650472519</v>
      </c>
      <c r="W13" s="71">
        <f>'Background Data'!S$6*AY35</f>
        <v>45.376041753312947</v>
      </c>
      <c r="X13" s="71">
        <f>'Background Data'!T$6*AZ35</f>
        <v>44.816097520122831</v>
      </c>
      <c r="Y13" s="71">
        <f>'Background Data'!U$6*BA35</f>
        <v>43.717511461386898</v>
      </c>
      <c r="Z13" s="71">
        <f>'Background Data'!V$6*BB35</f>
        <v>34.51528076806774</v>
      </c>
      <c r="AA13" s="478">
        <f>SUM(H13:Z16)/'Background Data'!V12</f>
        <v>0.97793822209289849</v>
      </c>
      <c r="AB13" s="63" t="s">
        <v>2303</v>
      </c>
      <c r="AC13">
        <v>2</v>
      </c>
      <c r="AD13">
        <v>1</v>
      </c>
      <c r="AE13">
        <v>1</v>
      </c>
      <c r="AF13">
        <v>1</v>
      </c>
      <c r="AG13">
        <v>1</v>
      </c>
      <c r="AK13" s="33" t="s">
        <v>137</v>
      </c>
      <c r="AL13" s="477"/>
      <c r="AM13" s="482"/>
      <c r="AN13" s="482"/>
      <c r="AO13" s="482"/>
      <c r="AP13" s="482"/>
      <c r="AQ13" s="482"/>
      <c r="AR13" s="483"/>
      <c r="AS13" s="53">
        <f>'Background Data'!AA63-'Background Data'!AA69</f>
        <v>17462</v>
      </c>
      <c r="AT13" s="51">
        <f>'Background Data'!AB63-'Background Data'!AB69</f>
        <v>18417</v>
      </c>
      <c r="AU13" s="51">
        <f>'Background Data'!AC63-'Background Data'!AC69</f>
        <v>21111</v>
      </c>
      <c r="AV13" s="51">
        <f>'Background Data'!AD63-'Background Data'!AD69</f>
        <v>22306</v>
      </c>
      <c r="AW13" s="51">
        <f>'Background Data'!AE63-'Background Data'!AE69</f>
        <v>23295</v>
      </c>
      <c r="AX13" s="51">
        <f>'Background Data'!AF63-'Background Data'!AF69</f>
        <v>22739</v>
      </c>
      <c r="AY13" s="51">
        <f>'Background Data'!AG63-'Background Data'!AG69</f>
        <v>23445</v>
      </c>
      <c r="AZ13" s="51">
        <f>'Background Data'!AH63-'Background Data'!AH69</f>
        <v>23207</v>
      </c>
      <c r="BA13" s="51">
        <f>'Background Data'!AI63-'Background Data'!AI69</f>
        <v>22260</v>
      </c>
      <c r="BB13" s="51">
        <f>'Background Data'!AJ63-'Background Data'!AJ69</f>
        <v>20465</v>
      </c>
      <c r="BC13" s="51">
        <f>'Background Data'!AK63-'Background Data'!AK69</f>
        <v>23098</v>
      </c>
      <c r="BD13" s="35">
        <f>SUM(AS14:AS18)</f>
        <v>1</v>
      </c>
      <c r="BF13" s="90" t="s">
        <v>1101</v>
      </c>
      <c r="BI13" s="95">
        <f>BI12*'Background Data'!$AE$23</f>
        <v>0.26913333333333334</v>
      </c>
      <c r="BJ13" s="95">
        <f>BJ12*'Background Data'!$AE$23</f>
        <v>0.25866666666666666</v>
      </c>
      <c r="BK13" s="95">
        <f>BK12*'Background Data'!$AE$23</f>
        <v>0.29533333333333334</v>
      </c>
      <c r="BL13" s="95">
        <f>BL12*'Background Data'!$AE$23</f>
        <v>0.31653333333333333</v>
      </c>
      <c r="BM13" s="95">
        <f>BM12*'Background Data'!$AE$23</f>
        <v>0.33246666666666669</v>
      </c>
      <c r="BN13" s="95">
        <f>BN12*'Background Data'!$AE$23</f>
        <v>0.33133333333333331</v>
      </c>
      <c r="BO13" s="95">
        <f>BO12*'Background Data'!$AE$23</f>
        <v>0.33666666666666667</v>
      </c>
      <c r="BP13" s="95">
        <f>BP12*'Background Data'!$AE$23</f>
        <v>0.34486666666666665</v>
      </c>
      <c r="BQ13" s="95">
        <f>BQ12*'Background Data'!$AE$23</f>
        <v>0.34506666666666669</v>
      </c>
      <c r="BR13" s="95">
        <f>BR12*'Background Data'!$AE$23</f>
        <v>0.33886666666666665</v>
      </c>
      <c r="BS13" s="95">
        <f>BS12*'Background Data'!$AE$23</f>
        <v>0.37193333333333334</v>
      </c>
      <c r="BT13" s="95">
        <f>BT12*'Background Data'!$AE$23</f>
        <v>0.33800000000000002</v>
      </c>
      <c r="BU13" s="95">
        <f>BU12*'Background Data'!$AE$23</f>
        <v>0.34173333333333333</v>
      </c>
      <c r="BV13" s="95">
        <f>BV12*'Background Data'!$AE$23</f>
        <v>0.35746666666666665</v>
      </c>
      <c r="BW13" s="95">
        <f>BW12*'Background Data'!$AE$23</f>
        <v>0.3478</v>
      </c>
      <c r="BX13" s="95">
        <f>BX12*'Background Data'!$AE$23</f>
        <v>0.33593333333333331</v>
      </c>
    </row>
    <row r="14" spans="1:76" x14ac:dyDescent="0.35">
      <c r="A14" t="s">
        <v>409</v>
      </c>
      <c r="B14" t="s">
        <v>2261</v>
      </c>
      <c r="C14" t="s">
        <v>161</v>
      </c>
      <c r="D14">
        <v>2022</v>
      </c>
      <c r="E14" s="63" t="s">
        <v>1099</v>
      </c>
      <c r="F14" s="71"/>
      <c r="G14" s="71"/>
      <c r="H14" s="71"/>
      <c r="I14" s="71"/>
      <c r="J14" s="71"/>
      <c r="K14" s="71"/>
      <c r="L14" s="71">
        <f>'Background Data'!H$6*AN36 * (1+'Background Data'!$AJ$24*($P$2-L$2+1))</f>
        <v>7.5125332757271446</v>
      </c>
      <c r="M14" s="71">
        <f>'Background Data'!I$6*AO36 * (1+'Background Data'!$AJ$24*($P$2-M$2+1))</f>
        <v>7.8897270770836068</v>
      </c>
      <c r="N14" s="71">
        <f>'Background Data'!J$6*AP36 * (1+'Background Data'!$AJ$24*($P$2-N$2+1))</f>
        <v>6.9969990543889411</v>
      </c>
      <c r="O14" s="71">
        <f>'Background Data'!K$6*AQ36 * (1+'Background Data'!$AJ$24*($P$2-O$2+1))</f>
        <v>5.3471530259553948</v>
      </c>
      <c r="P14" s="71">
        <f>'Background Data'!L$6*AR36 * (1+'Background Data'!$AJ$24*($P$2-P$2+1))</f>
        <v>6.1175153824833712</v>
      </c>
      <c r="Q14" s="71">
        <f>'Background Data'!M$6*AS36</f>
        <v>6.4968637015781914</v>
      </c>
      <c r="R14" s="71">
        <f>'Background Data'!N$6*AT36</f>
        <v>7.0280553292737018</v>
      </c>
      <c r="S14" s="71">
        <f>'Background Data'!O$6*AU36</f>
        <v>7.2959614643545283</v>
      </c>
      <c r="T14" s="71">
        <f>'Background Data'!P$6*AV36</f>
        <v>8.288042705345239</v>
      </c>
      <c r="U14" s="71">
        <f>'Background Data'!Q$6*AW36</f>
        <v>7.7877588841722254</v>
      </c>
      <c r="V14" s="71">
        <f>'Background Data'!R$6*AX36</f>
        <v>8.2406717245663081</v>
      </c>
      <c r="W14" s="71">
        <f>'Background Data'!S$6*AY36</f>
        <v>7.7214623445463815</v>
      </c>
      <c r="X14" s="71">
        <f>'Background Data'!T$6*AZ36</f>
        <v>8.3510561578188245</v>
      </c>
      <c r="Y14" s="71">
        <f>'Background Data'!U$6*BA36</f>
        <v>7.2486897015714344</v>
      </c>
      <c r="Z14" s="71">
        <f>'Background Data'!V$6*BB36</f>
        <v>7.7453286967039618</v>
      </c>
      <c r="AA14" s="478"/>
      <c r="AB14" s="63" t="s">
        <v>2303</v>
      </c>
      <c r="AC14">
        <v>2</v>
      </c>
      <c r="AD14">
        <v>1</v>
      </c>
      <c r="AE14">
        <v>1</v>
      </c>
      <c r="AF14">
        <v>1</v>
      </c>
      <c r="AG14">
        <v>1</v>
      </c>
      <c r="AK14" s="17" t="s">
        <v>110</v>
      </c>
      <c r="AL14" s="477"/>
      <c r="AM14" s="482"/>
      <c r="AN14" s="482"/>
      <c r="AO14" s="482"/>
      <c r="AP14" s="482"/>
      <c r="AQ14" s="482"/>
      <c r="AR14" s="483"/>
      <c r="AS14" s="45">
        <f>'Background Data'!AA64/AS$13</f>
        <v>0.98911923032871374</v>
      </c>
      <c r="AT14" s="46">
        <f>'Background Data'!AB64/AT$13</f>
        <v>0.98691426399522175</v>
      </c>
      <c r="AU14" s="46">
        <f>'Background Data'!AC64/AU$13</f>
        <v>0.98465255080289893</v>
      </c>
      <c r="AV14" s="46">
        <f>'Background Data'!AD64/AV$13</f>
        <v>0.97969156280821301</v>
      </c>
      <c r="AW14" s="46">
        <f>'Background Data'!AE64/AW$13</f>
        <v>0.98390212491951068</v>
      </c>
      <c r="AX14" s="46">
        <f>'Background Data'!AF64/AX$13</f>
        <v>0.98904965038040371</v>
      </c>
      <c r="AY14" s="46">
        <f>'Background Data'!AG64/AY$13</f>
        <v>0.9923651098315206</v>
      </c>
      <c r="AZ14" s="46">
        <f>'Background Data'!AH64/AZ$13</f>
        <v>0.98603869522126941</v>
      </c>
      <c r="BA14" s="46">
        <f>'Background Data'!AI64/BA$13</f>
        <v>0.98301886792452831</v>
      </c>
      <c r="BB14" s="46">
        <f>'Background Data'!AJ64/BB$13</f>
        <v>0.97102369899828977</v>
      </c>
      <c r="BC14" s="46">
        <f>'Background Data'!AK64/BC$13</f>
        <v>0.93934539786994542</v>
      </c>
      <c r="BF14" s="90" t="s">
        <v>1102</v>
      </c>
      <c r="BJ14" s="95">
        <f t="shared" ref="BJ14" si="4">BJ12-(BI12-BI13)</f>
        <v>0.11213333333333342</v>
      </c>
      <c r="BK14" s="95">
        <f t="shared" ref="BK14" si="5">BK12-(BJ12-BJ13)</f>
        <v>0.80866666666666642</v>
      </c>
      <c r="BL14" s="95">
        <f t="shared" ref="BL14:BW14" si="6">BL12-(BK12-BK13)</f>
        <v>0.61333333333333417</v>
      </c>
      <c r="BM14" s="95">
        <f t="shared" si="6"/>
        <v>0.55553333333333299</v>
      </c>
      <c r="BN14" s="95">
        <f t="shared" si="6"/>
        <v>0.31546666666666656</v>
      </c>
      <c r="BO14" s="95">
        <f t="shared" si="6"/>
        <v>0.41133333333333333</v>
      </c>
      <c r="BP14" s="95">
        <f t="shared" si="6"/>
        <v>0.45966666666666711</v>
      </c>
      <c r="BQ14" s="95">
        <f t="shared" si="6"/>
        <v>0.34786666666666655</v>
      </c>
      <c r="BR14" s="95">
        <f t="shared" si="6"/>
        <v>0.25206666666666688</v>
      </c>
      <c r="BS14" s="95">
        <f t="shared" si="6"/>
        <v>0.83486666666666576</v>
      </c>
      <c r="BT14" s="95">
        <f>BT12-(BS12-BS13)</f>
        <v>-0.13706666666666578</v>
      </c>
      <c r="BU14" s="95">
        <f t="shared" si="6"/>
        <v>0.39400000000000013</v>
      </c>
      <c r="BV14" s="95">
        <f t="shared" si="6"/>
        <v>0.57773333333333277</v>
      </c>
      <c r="BW14" s="95">
        <f t="shared" si="6"/>
        <v>0.21246666666666592</v>
      </c>
      <c r="BX14" s="95">
        <f>BX12-(BW12-BW13)</f>
        <v>0.1698000000000004</v>
      </c>
    </row>
    <row r="15" spans="1:76" x14ac:dyDescent="0.35">
      <c r="A15" t="s">
        <v>1088</v>
      </c>
      <c r="B15" t="s">
        <v>2261</v>
      </c>
      <c r="C15" t="s">
        <v>161</v>
      </c>
      <c r="D15">
        <v>2022</v>
      </c>
      <c r="E15" s="63" t="s">
        <v>1099</v>
      </c>
      <c r="F15" s="71"/>
      <c r="G15" s="71"/>
      <c r="H15" s="71"/>
      <c r="I15" s="71"/>
      <c r="J15" s="71"/>
      <c r="K15" s="71"/>
      <c r="L15" s="71">
        <f>'Background Data'!H$6*AN37</f>
        <v>0</v>
      </c>
      <c r="M15" s="71">
        <f>'Background Data'!I$6*AO37</f>
        <v>0</v>
      </c>
      <c r="N15" s="71">
        <f>'Background Data'!J$6*AP37</f>
        <v>0</v>
      </c>
      <c r="O15" s="71">
        <f>'Background Data'!K$6*AQ37</f>
        <v>0</v>
      </c>
      <c r="P15" s="71">
        <f>'Background Data'!L$6*AR37</f>
        <v>0</v>
      </c>
      <c r="Q15" s="71">
        <f>'Background Data'!M$6*AS37</f>
        <v>5.5911047345767566E-3</v>
      </c>
      <c r="R15" s="71">
        <f>'Background Data'!N$6*AT37</f>
        <v>5.6800016130983582E-3</v>
      </c>
      <c r="S15" s="71">
        <f>'Background Data'!O$6*AU37</f>
        <v>3.9267822736030831E-3</v>
      </c>
      <c r="T15" s="71">
        <f>'Background Data'!P$6*AV37</f>
        <v>2.2813219667892209E-3</v>
      </c>
      <c r="U15" s="71">
        <f>'Background Data'!Q$6*AW37</f>
        <v>0</v>
      </c>
      <c r="V15" s="71">
        <f>'Background Data'!R$6*AX37</f>
        <v>0</v>
      </c>
      <c r="W15" s="71">
        <f>'Background Data'!S$6*AY37</f>
        <v>0</v>
      </c>
      <c r="X15" s="71">
        <f>'Background Data'!T$6*AZ37</f>
        <v>0</v>
      </c>
      <c r="Y15" s="71">
        <f>'Background Data'!U$6*BA37</f>
        <v>0</v>
      </c>
      <c r="Z15" s="71">
        <f>'Background Data'!V$6*BB37</f>
        <v>0</v>
      </c>
      <c r="AA15" s="478"/>
      <c r="AB15" s="63" t="s">
        <v>2303</v>
      </c>
      <c r="AC15">
        <v>2</v>
      </c>
      <c r="AD15">
        <v>1</v>
      </c>
      <c r="AE15">
        <v>1</v>
      </c>
      <c r="AF15">
        <v>1</v>
      </c>
      <c r="AG15">
        <v>1</v>
      </c>
      <c r="AK15" s="17" t="s">
        <v>109</v>
      </c>
      <c r="AL15" s="477"/>
      <c r="AM15" s="482"/>
      <c r="AN15" s="482"/>
      <c r="AO15" s="482"/>
      <c r="AP15" s="482"/>
      <c r="AQ15" s="482"/>
      <c r="AR15" s="483"/>
      <c r="AS15" s="45">
        <f>'Background Data'!AA65/AS$13</f>
        <v>8.4755469018440045E-3</v>
      </c>
      <c r="AT15" s="46">
        <f>'Background Data'!AB65/AT$13</f>
        <v>1.1022424933485367E-2</v>
      </c>
      <c r="AU15" s="46">
        <f>'Background Data'!AC65/AU$13</f>
        <v>1.3642177064089812E-2</v>
      </c>
      <c r="AV15" s="46">
        <f>'Background Data'!AD65/AV$13</f>
        <v>1.8246211781583432E-2</v>
      </c>
      <c r="AW15" s="46">
        <f>'Background Data'!AE65/AW$13</f>
        <v>1.4724189740287615E-2</v>
      </c>
      <c r="AX15" s="46">
        <f>'Background Data'!AF65/AX$13</f>
        <v>6.4646642332556398E-3</v>
      </c>
      <c r="AY15" s="46">
        <f>'Background Data'!AG65/AY$13</f>
        <v>2.8150991682661546E-3</v>
      </c>
      <c r="AZ15" s="46">
        <f>'Background Data'!AH65/AZ$13</f>
        <v>7.2822855173008145E-3</v>
      </c>
      <c r="BA15" s="46">
        <f>'Background Data'!AI65/BA$13</f>
        <v>3.504043126684636E-3</v>
      </c>
      <c r="BB15" s="46">
        <f>'Background Data'!AJ65/BB$13</f>
        <v>1.221597849987784E-3</v>
      </c>
      <c r="BC15" s="46">
        <f>'Background Data'!AK65/BC$13</f>
        <v>8.4422893757035242E-3</v>
      </c>
      <c r="BF15" s="33" t="s">
        <v>64</v>
      </c>
    </row>
    <row r="16" spans="1:76" x14ac:dyDescent="0.35">
      <c r="A16" t="s">
        <v>1097</v>
      </c>
      <c r="B16" t="s">
        <v>2261</v>
      </c>
      <c r="C16" t="s">
        <v>161</v>
      </c>
      <c r="D16">
        <v>2022</v>
      </c>
      <c r="E16" s="63" t="s">
        <v>1099</v>
      </c>
      <c r="F16" s="71"/>
      <c r="G16" s="71"/>
      <c r="H16" s="71"/>
      <c r="I16" s="71"/>
      <c r="J16" s="71"/>
      <c r="K16" s="71"/>
      <c r="L16" s="71">
        <f>'Background Data'!H$6*AN38</f>
        <v>0</v>
      </c>
      <c r="M16" s="71">
        <f>'Background Data'!I$6*AO38</f>
        <v>0</v>
      </c>
      <c r="N16" s="71">
        <f>'Background Data'!J$6*AP38</f>
        <v>0</v>
      </c>
      <c r="O16" s="71">
        <f>'Background Data'!K$6*AQ38</f>
        <v>0</v>
      </c>
      <c r="P16" s="71">
        <f>'Background Data'!L$6*AR38</f>
        <v>0</v>
      </c>
      <c r="Q16" s="71">
        <f>'Background Data'!M$6*AS38</f>
        <v>0</v>
      </c>
      <c r="R16" s="71">
        <f>'Background Data'!N$6*AT38</f>
        <v>0</v>
      </c>
      <c r="S16" s="71">
        <f>'Background Data'!O$6*AU38</f>
        <v>0</v>
      </c>
      <c r="T16" s="71">
        <f>'Background Data'!P$6*AV38</f>
        <v>0</v>
      </c>
      <c r="U16" s="71">
        <f>'Background Data'!Q$6*AW38</f>
        <v>0</v>
      </c>
      <c r="V16" s="71">
        <f>'Background Data'!R$6*AX38</f>
        <v>2.1266249611784022E-3</v>
      </c>
      <c r="W16" s="71">
        <f>'Background Data'!S$6*AY38</f>
        <v>6.4959021406727829E-3</v>
      </c>
      <c r="X16" s="71">
        <f>'Background Data'!T$6*AZ38</f>
        <v>1.4846322058344578E-2</v>
      </c>
      <c r="Y16" s="71">
        <f>'Background Data'!U$6*BA38</f>
        <v>9.7988370416646643E-3</v>
      </c>
      <c r="Z16" s="71">
        <f>'Background Data'!V$6*BB38</f>
        <v>6.3905352283035993E-3</v>
      </c>
      <c r="AA16" s="478"/>
      <c r="AB16" s="63" t="s">
        <v>2303</v>
      </c>
      <c r="AC16">
        <v>2</v>
      </c>
      <c r="AD16">
        <v>1</v>
      </c>
      <c r="AE16">
        <v>1</v>
      </c>
      <c r="AF16">
        <v>1</v>
      </c>
      <c r="AG16">
        <v>1</v>
      </c>
      <c r="AK16" s="17" t="s">
        <v>128</v>
      </c>
      <c r="AL16" s="477"/>
      <c r="AM16" s="482"/>
      <c r="AN16" s="482"/>
      <c r="AO16" s="482"/>
      <c r="AP16" s="482"/>
      <c r="AQ16" s="482"/>
      <c r="AR16" s="483"/>
      <c r="AS16" s="45">
        <f>'Background Data'!AA66/AS$13</f>
        <v>0</v>
      </c>
      <c r="AT16" s="46">
        <f>'Background Data'!AB66/AT$13</f>
        <v>0</v>
      </c>
      <c r="AU16" s="46">
        <f>'Background Data'!AC66/AU$13</f>
        <v>4.7368670361422952E-5</v>
      </c>
      <c r="AV16" s="46">
        <f>'Background Data'!AD66/AV$13</f>
        <v>0</v>
      </c>
      <c r="AW16" s="46">
        <f>'Background Data'!AE66/AW$13</f>
        <v>0</v>
      </c>
      <c r="AX16" s="46">
        <f>'Background Data'!AF66/AX$13</f>
        <v>8.7954615418444089E-5</v>
      </c>
      <c r="AY16" s="46">
        <f>'Background Data'!AG66/AY$13</f>
        <v>1.2795905310300704E-4</v>
      </c>
      <c r="AZ16" s="46">
        <f>'Background Data'!AH66/AZ$13</f>
        <v>3.4472357478347051E-4</v>
      </c>
      <c r="BA16" s="46">
        <f>'Background Data'!AI66/BA$13</f>
        <v>9.8831985624438451E-4</v>
      </c>
      <c r="BB16" s="46">
        <f>'Background Data'!AJ66/BB$13</f>
        <v>2.6386513559736135E-3</v>
      </c>
      <c r="BC16" s="46">
        <f>'Background Data'!AK66/BC$13</f>
        <v>6.7538315005628196E-3</v>
      </c>
      <c r="BF16" s="90" t="s">
        <v>1100</v>
      </c>
      <c r="BI16" s="95">
        <f>'Background Data'!G18</f>
        <v>1.347</v>
      </c>
      <c r="BJ16" s="95">
        <f>'Background Data'!H18</f>
        <v>1.391</v>
      </c>
      <c r="BK16" s="95">
        <f>'Background Data'!I18</f>
        <v>1.4950000000000001</v>
      </c>
      <c r="BL16" s="95">
        <f>'Background Data'!J18</f>
        <v>1.516</v>
      </c>
      <c r="BM16" s="95">
        <f>'Background Data'!K18</f>
        <v>1.4259999999999999</v>
      </c>
      <c r="BN16" s="95">
        <f>'Background Data'!L18</f>
        <v>1.425</v>
      </c>
      <c r="BO16" s="95">
        <f>'Background Data'!M18</f>
        <v>1.4</v>
      </c>
      <c r="BP16" s="95">
        <f>'Background Data'!N18</f>
        <v>1.4470000000000001</v>
      </c>
      <c r="BQ16" s="95">
        <f>'Background Data'!O18</f>
        <v>1.746</v>
      </c>
      <c r="BR16" s="95">
        <f>'Background Data'!P18</f>
        <v>1.659</v>
      </c>
      <c r="BS16" s="95">
        <f>'Background Data'!Q18</f>
        <v>1.6459999999999999</v>
      </c>
      <c r="BT16" s="95">
        <f>'Background Data'!R18</f>
        <v>1.875</v>
      </c>
      <c r="BU16" s="95">
        <f>'Background Data'!S18</f>
        <v>1.1120000000000001</v>
      </c>
      <c r="BV16" s="95">
        <f>'Background Data'!T18</f>
        <v>1.087</v>
      </c>
      <c r="BW16" s="95">
        <f>'Background Data'!U18</f>
        <v>1.0629999999999999</v>
      </c>
      <c r="BX16" s="95">
        <f>'Background Data'!V18</f>
        <v>0.86699999999999999</v>
      </c>
    </row>
    <row r="17" spans="1:80" x14ac:dyDescent="0.35">
      <c r="A17" t="s">
        <v>1089</v>
      </c>
      <c r="B17" t="s">
        <v>2261</v>
      </c>
      <c r="C17" t="s">
        <v>161</v>
      </c>
      <c r="D17">
        <v>2022</v>
      </c>
      <c r="E17" s="63" t="s">
        <v>1099</v>
      </c>
      <c r="F17" s="71"/>
      <c r="G17" s="71"/>
      <c r="H17" s="71"/>
      <c r="I17" s="71"/>
      <c r="J17" s="71"/>
      <c r="K17" s="71"/>
      <c r="L17" s="71">
        <f>'Background Data'!H$7*AN26 * (1-'Background Data'!$AJ$25*($T$2-L$2+1))</f>
        <v>4.2771201476774516</v>
      </c>
      <c r="M17" s="71">
        <f>'Background Data'!I$7*AO26 * (1-'Background Data'!$AJ$25*($T$2-M$2+1))</f>
        <v>5.6177735494062722</v>
      </c>
      <c r="N17" s="71">
        <f>'Background Data'!J$7*AP26 * (1-'Background Data'!$AJ$25*($T$2-N$2+1))</f>
        <v>5.4570898312004115</v>
      </c>
      <c r="O17" s="71">
        <f>'Background Data'!K$7*AQ26 * (1-'Background Data'!$AJ$25*($T$2-O$2+1))</f>
        <v>4.2651293065194622</v>
      </c>
      <c r="P17" s="71">
        <f>'Background Data'!L$7*AR26 * (1-'Background Data'!$AJ$25*($T$2-P$2+1))</f>
        <v>5.9040871154972567</v>
      </c>
      <c r="Q17" s="71">
        <f>'Background Data'!M$7*AS26 * (1-'Background Data'!$AJ$25*($T$2-Q$2+1))</f>
        <v>7.6457084435293483</v>
      </c>
      <c r="R17" s="71">
        <f>'Background Data'!N$7*AT26 * (1-'Background Data'!$AJ$25*($T$2-R$2+1))</f>
        <v>8.9172694581018472</v>
      </c>
      <c r="S17" s="71">
        <f>'Background Data'!O$7*AU26 * (1-'Background Data'!$AJ$25*($T$2-S$2+1))</f>
        <v>10.128038197341095</v>
      </c>
      <c r="T17" s="71">
        <f>'Background Data'!P$7*AV26 * (1-'Background Data'!$AJ$25*($T$2-T$2+1))</f>
        <v>11.096846589396334</v>
      </c>
      <c r="U17" s="71">
        <f>'Background Data'!Q$7*AW26</f>
        <v>9.6599763574078334</v>
      </c>
      <c r="V17" s="71">
        <f>'Background Data'!R$7*AX26</f>
        <v>8.5416047853174533</v>
      </c>
      <c r="W17" s="71">
        <f>'Background Data'!S$7*AY26</f>
        <v>9.8789059088730724</v>
      </c>
      <c r="X17" s="71">
        <f>'Background Data'!T$7*AZ26</f>
        <v>9.7764125174379561</v>
      </c>
      <c r="Y17" s="71">
        <f>'Background Data'!U$7*BA26</f>
        <v>8.8833347050211682</v>
      </c>
      <c r="Z17" s="71">
        <f>'Background Data'!V$7*BB26</f>
        <v>8.635986917134316</v>
      </c>
      <c r="AA17" s="478">
        <f>SUM(H17:Z18)/'Background Data'!V13</f>
        <v>1.0388456664178976</v>
      </c>
      <c r="AB17" s="63" t="s">
        <v>2304</v>
      </c>
      <c r="AC17">
        <v>2</v>
      </c>
      <c r="AD17">
        <v>1</v>
      </c>
      <c r="AE17">
        <v>1</v>
      </c>
      <c r="AF17">
        <v>1</v>
      </c>
      <c r="AG17">
        <v>1</v>
      </c>
      <c r="AK17" s="17" t="s">
        <v>129</v>
      </c>
      <c r="AL17" s="477"/>
      <c r="AM17" s="482"/>
      <c r="AN17" s="482"/>
      <c r="AO17" s="482"/>
      <c r="AP17" s="482"/>
      <c r="AQ17" s="482"/>
      <c r="AR17" s="483"/>
      <c r="AS17" s="45">
        <f>'Background Data'!AA67/AS$13</f>
        <v>2.4052227694422172E-3</v>
      </c>
      <c r="AT17" s="46">
        <f>'Background Data'!AB67/AT$13</f>
        <v>2.0633110712928271E-3</v>
      </c>
      <c r="AU17" s="46">
        <f>'Background Data'!AC67/AU$13</f>
        <v>1.6579034626498035E-3</v>
      </c>
      <c r="AV17" s="46">
        <f>'Background Data'!AD67/AV$13</f>
        <v>2.0622254102035326E-3</v>
      </c>
      <c r="AW17" s="46">
        <f>'Background Data'!AE67/AW$13</f>
        <v>1.3307576733204551E-3</v>
      </c>
      <c r="AX17" s="46">
        <f>'Background Data'!AF67/AX$13</f>
        <v>3.9139803861207613E-3</v>
      </c>
      <c r="AY17" s="46">
        <f>'Background Data'!AG67/AY$13</f>
        <v>4.3932608232032412E-3</v>
      </c>
      <c r="AZ17" s="46">
        <f>'Background Data'!AH67/AZ$13</f>
        <v>5.5155771965355281E-3</v>
      </c>
      <c r="BA17" s="46">
        <f>'Background Data'!AI67/BA$13</f>
        <v>1.073674752920036E-2</v>
      </c>
      <c r="BB17" s="46">
        <f>'Background Data'!AJ67/BB$13</f>
        <v>2.3259223063767407E-2</v>
      </c>
      <c r="BC17" s="46">
        <f>'Background Data'!AK67/BC$13</f>
        <v>4.0436401420036364E-2</v>
      </c>
      <c r="BF17" s="90" t="s">
        <v>1101</v>
      </c>
      <c r="BI17" s="95">
        <f>BI16*'Background Data'!$AE$23</f>
        <v>8.9799999999999991E-2</v>
      </c>
      <c r="BJ17" s="95">
        <f>BJ16*'Background Data'!$AE$23</f>
        <v>9.2733333333333334E-2</v>
      </c>
      <c r="BK17" s="95">
        <f>BK16*'Background Data'!$AE$23</f>
        <v>9.9666666666666667E-2</v>
      </c>
      <c r="BL17" s="95">
        <f>BL16*'Background Data'!$AE$23</f>
        <v>0.10106666666666667</v>
      </c>
      <c r="BM17" s="95">
        <f>BM16*'Background Data'!$AE$23</f>
        <v>9.506666666666666E-2</v>
      </c>
      <c r="BN17" s="95">
        <f>BN16*'Background Data'!$AE$23</f>
        <v>9.5000000000000001E-2</v>
      </c>
      <c r="BO17" s="95">
        <f>BO16*'Background Data'!$AE$23</f>
        <v>9.3333333333333324E-2</v>
      </c>
      <c r="BP17" s="95">
        <f>BP16*'Background Data'!$AE$23</f>
        <v>9.6466666666666673E-2</v>
      </c>
      <c r="BQ17" s="95">
        <f>BQ16*'Background Data'!$AE$23</f>
        <v>0.1164</v>
      </c>
      <c r="BR17" s="95">
        <f>BR16*'Background Data'!$AE$23</f>
        <v>0.1106</v>
      </c>
      <c r="BS17" s="95">
        <f>BS16*'Background Data'!$AE$23</f>
        <v>0.10973333333333332</v>
      </c>
      <c r="BT17" s="95">
        <f>BT16*'Background Data'!$AE$23</f>
        <v>0.125</v>
      </c>
      <c r="BU17" s="95">
        <f>BU16*'Background Data'!$AE$23</f>
        <v>7.4133333333333343E-2</v>
      </c>
      <c r="BV17" s="95">
        <f>BV16*'Background Data'!$AE$23</f>
        <v>7.2466666666666665E-2</v>
      </c>
      <c r="BW17" s="95">
        <f>BW16*'Background Data'!$AE$23</f>
        <v>7.0866666666666661E-2</v>
      </c>
      <c r="BX17" s="95">
        <f>BX16*'Background Data'!$AE$23</f>
        <v>5.7799999999999997E-2</v>
      </c>
    </row>
    <row r="18" spans="1:80" x14ac:dyDescent="0.35">
      <c r="A18" t="s">
        <v>29</v>
      </c>
      <c r="B18" t="s">
        <v>2261</v>
      </c>
      <c r="C18" t="s">
        <v>161</v>
      </c>
      <c r="D18">
        <v>2022</v>
      </c>
      <c r="E18" s="63" t="s">
        <v>1099</v>
      </c>
      <c r="F18" s="71"/>
      <c r="G18" s="71"/>
      <c r="H18" s="71"/>
      <c r="I18" s="71"/>
      <c r="J18" s="71"/>
      <c r="K18" s="71"/>
      <c r="L18" s="71">
        <f>'Background Data'!H$7*AN27 * (1-'Background Data'!$AJ$25*($T$2-L$2+1))</f>
        <v>12.308692906630693</v>
      </c>
      <c r="M18" s="71">
        <f>'Background Data'!I$7*AO27 * (1-'Background Data'!$AJ$25*($T$2-M$2+1))</f>
        <v>16.166824183366167</v>
      </c>
      <c r="N18" s="71">
        <f>'Background Data'!J$7*AP27 * (1-'Background Data'!$AJ$25*($T$2-N$2+1))</f>
        <v>15.70440870888727</v>
      </c>
      <c r="O18" s="71">
        <f>'Background Data'!K$7*AQ27 * (1-'Background Data'!$AJ$25*($T$2-O$2+1))</f>
        <v>12.274185673630463</v>
      </c>
      <c r="P18" s="71">
        <f>'Background Data'!L$7*AR27 * (1-'Background Data'!$AJ$25*($T$2-P$2+1))</f>
        <v>16.990777132625709</v>
      </c>
      <c r="Q18" s="71">
        <f>'Background Data'!M$7*AS27 * (1-'Background Data'!$AJ$25*($T$2-Q$2+1))</f>
        <v>22.002813583840677</v>
      </c>
      <c r="R18" s="71">
        <f>'Background Data'!N$7*AT27 * (1-'Background Data'!$AJ$25*($T$2-R$2+1))</f>
        <v>25.662110844619178</v>
      </c>
      <c r="S18" s="71">
        <f>'Background Data'!O$7*AU27 * (1-'Background Data'!$AJ$25*($T$2-S$2+1))</f>
        <v>29.146460144541674</v>
      </c>
      <c r="T18" s="71">
        <f>'Background Data'!P$7*AV27 * (1-'Background Data'!$AJ$25*($T$2-T$2+1))</f>
        <v>31.934496152753862</v>
      </c>
      <c r="U18" s="71">
        <f>'Background Data'!Q$7*AW27</f>
        <v>27.799472159605244</v>
      </c>
      <c r="V18" s="71">
        <f>'Background Data'!R$7*AX27</f>
        <v>24.5810233526805</v>
      </c>
      <c r="W18" s="71">
        <f>'Background Data'!S$7*AY27</f>
        <v>28.429507445996556</v>
      </c>
      <c r="X18" s="71">
        <f>'Background Data'!T$7*AZ27</f>
        <v>27.58251508419016</v>
      </c>
      <c r="Y18" s="71">
        <f>'Background Data'!U$7*BA27</f>
        <v>24.714715693201665</v>
      </c>
      <c r="Z18" s="71">
        <f>'Background Data'!V$7*BB27</f>
        <v>23.714453350965535</v>
      </c>
      <c r="AA18" s="478"/>
      <c r="AB18" s="63" t="s">
        <v>2304</v>
      </c>
      <c r="AC18">
        <v>2</v>
      </c>
      <c r="AD18">
        <v>1</v>
      </c>
      <c r="AE18">
        <v>1</v>
      </c>
      <c r="AF18">
        <v>1</v>
      </c>
      <c r="AG18">
        <v>1</v>
      </c>
      <c r="AK18" s="17" t="s">
        <v>130</v>
      </c>
      <c r="AL18" s="477"/>
      <c r="AM18" s="482"/>
      <c r="AN18" s="482"/>
      <c r="AO18" s="482"/>
      <c r="AP18" s="482"/>
      <c r="AQ18" s="482"/>
      <c r="AR18" s="483"/>
      <c r="AS18" s="45">
        <f>'Background Data'!AA68/AS$13</f>
        <v>0</v>
      </c>
      <c r="AT18" s="46">
        <f>'Background Data'!AB68/AT$13</f>
        <v>0</v>
      </c>
      <c r="AU18" s="46">
        <f>'Background Data'!AC68/AU$13</f>
        <v>0</v>
      </c>
      <c r="AV18" s="46">
        <f>'Background Data'!AD68/AV$13</f>
        <v>0</v>
      </c>
      <c r="AW18" s="46">
        <f>'Background Data'!AE68/AW$13</f>
        <v>4.2927666881305004E-5</v>
      </c>
      <c r="AX18" s="46">
        <f>'Background Data'!AF68/AX$13</f>
        <v>4.8375038480144247E-4</v>
      </c>
      <c r="AY18" s="46">
        <f>'Background Data'!AG68/AY$13</f>
        <v>2.985711239070164E-4</v>
      </c>
      <c r="AZ18" s="46">
        <f>'Background Data'!AH68/AZ$13</f>
        <v>8.1871849011074243E-4</v>
      </c>
      <c r="BA18" s="46">
        <f>'Background Data'!AI68/BA$13</f>
        <v>1.752021563342318E-3</v>
      </c>
      <c r="BB18" s="46">
        <f>'Background Data'!AJ68/BB$13</f>
        <v>1.8568287319814317E-3</v>
      </c>
      <c r="BC18" s="46">
        <f>'Background Data'!AK68/BC$13</f>
        <v>5.0220798337518397E-3</v>
      </c>
      <c r="BF18" s="90" t="s">
        <v>1102</v>
      </c>
      <c r="BJ18" s="95">
        <f t="shared" ref="BJ18" si="7">BJ16-(BI16-BI17)</f>
        <v>0.13379999999999992</v>
      </c>
      <c r="BK18" s="95">
        <f t="shared" ref="BK18" si="8">BK16-(BJ16-BJ17)</f>
        <v>0.19673333333333343</v>
      </c>
      <c r="BL18" s="95">
        <f t="shared" ref="BL18:BW18" si="9">BL16-(BK16-BK17)</f>
        <v>0.12066666666666648</v>
      </c>
      <c r="BM18" s="95">
        <f t="shared" si="9"/>
        <v>1.1066666666666558E-2</v>
      </c>
      <c r="BN18" s="95">
        <f t="shared" si="9"/>
        <v>9.4066666666666743E-2</v>
      </c>
      <c r="BO18" s="95">
        <f t="shared" si="9"/>
        <v>6.999999999999984E-2</v>
      </c>
      <c r="BP18" s="95">
        <f t="shared" si="9"/>
        <v>0.14033333333333342</v>
      </c>
      <c r="BQ18" s="95">
        <f t="shared" si="9"/>
        <v>0.39546666666666663</v>
      </c>
      <c r="BR18" s="95">
        <f t="shared" si="9"/>
        <v>2.9400000000000093E-2</v>
      </c>
      <c r="BS18" s="95">
        <f t="shared" si="9"/>
        <v>9.7599999999999909E-2</v>
      </c>
      <c r="BT18" s="95">
        <f t="shared" si="9"/>
        <v>0.33873333333333333</v>
      </c>
      <c r="BU18" s="95">
        <f t="shared" si="9"/>
        <v>-0.6379999999999999</v>
      </c>
      <c r="BV18" s="95">
        <f t="shared" si="9"/>
        <v>4.9133333333333251E-2</v>
      </c>
      <c r="BW18" s="95">
        <f t="shared" si="9"/>
        <v>4.8466666666666658E-2</v>
      </c>
      <c r="BX18" s="95">
        <f>BX16-(BW16-BW17)</f>
        <v>-0.12513333333333332</v>
      </c>
      <c r="BY18" s="95"/>
    </row>
    <row r="19" spans="1:80" x14ac:dyDescent="0.35">
      <c r="A19" t="s">
        <v>30</v>
      </c>
      <c r="B19" t="s">
        <v>2261</v>
      </c>
      <c r="C19" t="s">
        <v>161</v>
      </c>
      <c r="D19">
        <v>2022</v>
      </c>
      <c r="E19" s="63" t="s">
        <v>1099</v>
      </c>
      <c r="F19" s="71"/>
      <c r="G19" s="71"/>
      <c r="H19" s="71"/>
      <c r="I19" s="71">
        <f>'Background Data'!E$8 * (1+'Background Data'!$AJ$26*($P$2-L$2+1))</f>
        <v>5.6058947368421048</v>
      </c>
      <c r="J19" s="71">
        <f>'Background Data'!F$8 * (1+'Background Data'!$AJ$26*($P$2-M$2+1))</f>
        <v>6.4109473684210529</v>
      </c>
      <c r="K19" s="71">
        <f>'Background Data'!G$8 * (1+'Background Data'!$AJ$26*($P$2-N$2+1))</f>
        <v>7.9987368421052638</v>
      </c>
      <c r="L19" s="71">
        <f>'Background Data'!H$8 * (1+'Background Data'!$AJ$26*($P$2-O$2+1))</f>
        <v>10.317631578947369</v>
      </c>
      <c r="M19" s="71">
        <f>'Background Data'!I$8 * (1+'Background Data'!$AJ$26*($P$2-P$2+1))</f>
        <v>7.8273684210526309</v>
      </c>
      <c r="N19" s="71">
        <f>'Background Data'!J$8 * (1+'Background Data'!$AJ$26*($P$2-Q$2+1))</f>
        <v>6.6539999999999999</v>
      </c>
      <c r="O19" s="71">
        <f>'Background Data'!K$8 * (1+'Background Data'!$AJ$26*($P$2-R$2+1))</f>
        <v>2.9946315789473688</v>
      </c>
      <c r="P19" s="71">
        <f>'Background Data'!L$8 * (1+'Background Data'!$AJ$26*($P$2-S$2+1))</f>
        <v>3.2792105263157896</v>
      </c>
      <c r="Q19" s="71">
        <f>'Background Data'!M$8</f>
        <v>6.2919999999999998</v>
      </c>
      <c r="R19" s="71">
        <f>'Background Data'!N$8</f>
        <v>8.5790000000000006</v>
      </c>
      <c r="S19" s="71">
        <f>'Background Data'!O$8</f>
        <v>7.4290000000000003</v>
      </c>
      <c r="T19" s="71">
        <f>'Background Data'!P$8</f>
        <v>7.9329999999999998</v>
      </c>
      <c r="U19" s="71">
        <f>'Background Data'!Q$8</f>
        <v>5.1379999999999999</v>
      </c>
      <c r="V19" s="71">
        <f>'Background Data'!R$8</f>
        <v>3.0139999999999998</v>
      </c>
      <c r="W19" s="71">
        <f>'Background Data'!S$8</f>
        <v>4.2560000000000002</v>
      </c>
      <c r="X19" s="71">
        <f>'Background Data'!T$8</f>
        <v>4.9400000000000004</v>
      </c>
      <c r="Y19" s="71">
        <f>'Background Data'!U$8</f>
        <v>4.5</v>
      </c>
      <c r="Z19" s="71">
        <f>'Background Data'!V$8</f>
        <v>3.1549999999999998</v>
      </c>
      <c r="AA19" s="300">
        <f>SUM(H19:Z19)/'Background Data'!V14</f>
        <v>0.95868088626174697</v>
      </c>
      <c r="AB19" s="63" t="s">
        <v>2305</v>
      </c>
      <c r="AC19">
        <v>2</v>
      </c>
      <c r="AD19">
        <v>1</v>
      </c>
      <c r="AE19">
        <v>1</v>
      </c>
      <c r="AF19">
        <v>1</v>
      </c>
      <c r="AG19">
        <v>1</v>
      </c>
      <c r="AK19" s="33" t="s">
        <v>138</v>
      </c>
      <c r="AL19" s="477"/>
      <c r="AM19" s="482"/>
      <c r="AN19" s="482"/>
      <c r="AO19" s="482"/>
      <c r="AP19" s="482"/>
      <c r="AQ19" s="482"/>
      <c r="AR19" s="483"/>
      <c r="AS19" s="53">
        <f>'Background Data'!AA70-'Background Data'!AA76</f>
        <v>2690</v>
      </c>
      <c r="AT19" s="51">
        <f>'Background Data'!AB70-'Background Data'!AB76</f>
        <v>2869</v>
      </c>
      <c r="AU19" s="51">
        <f>'Background Data'!AC70-'Background Data'!AC76</f>
        <v>2770</v>
      </c>
      <c r="AV19" s="51">
        <f>'Background Data'!AD70-'Background Data'!AD76</f>
        <v>2771</v>
      </c>
      <c r="AW19" s="51">
        <f>'Background Data'!AE70-'Background Data'!AE76</f>
        <v>2853</v>
      </c>
      <c r="AX19" s="51">
        <f>'Background Data'!AF70-'Background Data'!AF76</f>
        <v>2887</v>
      </c>
      <c r="AY19" s="51">
        <f>'Background Data'!AG70-'Background Data'!AG76</f>
        <v>2861</v>
      </c>
      <c r="AZ19" s="51">
        <f>'Background Data'!AH70-'Background Data'!AH76</f>
        <v>2409</v>
      </c>
      <c r="BA19" s="51">
        <f>'Background Data'!AI70-'Background Data'!AI76</f>
        <v>2368</v>
      </c>
      <c r="BB19" s="51">
        <f>'Background Data'!AJ70-'Background Data'!AJ76</f>
        <v>1832</v>
      </c>
      <c r="BC19" s="51">
        <f>'Background Data'!AK70-'Background Data'!AK76</f>
        <v>1421</v>
      </c>
      <c r="BD19" s="35">
        <f>SUM(AS20:AS24)</f>
        <v>1</v>
      </c>
    </row>
    <row r="20" spans="1:80" ht="15.5" x14ac:dyDescent="0.35">
      <c r="A20" t="s">
        <v>1090</v>
      </c>
      <c r="B20" t="s">
        <v>2261</v>
      </c>
      <c r="C20" t="s">
        <v>161</v>
      </c>
      <c r="D20">
        <v>2022</v>
      </c>
      <c r="E20" s="63" t="s">
        <v>1099</v>
      </c>
      <c r="F20" s="71"/>
      <c r="G20" s="71"/>
      <c r="H20" s="71"/>
      <c r="I20" s="71"/>
      <c r="J20" s="71"/>
      <c r="K20" s="71">
        <f>BI6 * (1-'Background Data'!$AJ$28*($T$2-K$2+1))</f>
        <v>3.4175501730103806</v>
      </c>
      <c r="L20" s="71">
        <f>BJ6 * (1-'Background Data'!$AJ$28*($T$2-L$2+1))</f>
        <v>5.3449688581314874</v>
      </c>
      <c r="M20" s="71">
        <f>BK6 * (1-'Background Data'!$AJ$28*($T$2-M$2+1))</f>
        <v>7.8138373702422115</v>
      </c>
      <c r="N20" s="71">
        <f>BL6 * (1-'Background Data'!$AJ$28*($T$2-N$2+1))</f>
        <v>10.965051903114196</v>
      </c>
      <c r="O20" s="71">
        <f>BM6 * (1-'Background Data'!$AJ$28*($T$2-O$2+1))</f>
        <v>8.3259723183391063</v>
      </c>
      <c r="P20" s="71">
        <f>BN6 * (1-'Background Data'!$AJ$28*($T$2-P$2+1))</f>
        <v>7.0163044982698857</v>
      </c>
      <c r="Q20" s="71">
        <f>BO6 * (1-'Background Data'!$AJ$28*($T$2-Q$2+1))</f>
        <v>5.2663944636678242</v>
      </c>
      <c r="R20" s="71">
        <f>BP6 * (1-'Background Data'!$AJ$28*($T$2-R$2+1))</f>
        <v>9.2909134948096792</v>
      </c>
      <c r="S20" s="71">
        <f>BQ6 * (1-'Background Data'!$AJ$28*($T$2-S$2+1))</f>
        <v>9.6646193771626425</v>
      </c>
      <c r="T20" s="71">
        <f>BR6 * (1-'Background Data'!$AJ$28*($T$2-T$2+1))</f>
        <v>11.697993079584769</v>
      </c>
      <c r="U20" s="71">
        <f t="shared" ref="U20:Z20" si="10">BS6</f>
        <v>14.22476470588235</v>
      </c>
      <c r="V20" s="71">
        <f t="shared" si="10"/>
        <v>7.5647647058823537</v>
      </c>
      <c r="W20" s="71">
        <f t="shared" si="10"/>
        <v>2.7506470588235317</v>
      </c>
      <c r="X20" s="71">
        <f t="shared" si="10"/>
        <v>4.9144705882353037</v>
      </c>
      <c r="Y20" s="71">
        <f t="shared" si="10"/>
        <v>11.256352941176459</v>
      </c>
      <c r="Z20" s="71">
        <f t="shared" si="10"/>
        <v>6.1215882352941264</v>
      </c>
      <c r="AA20" s="300">
        <f>SUM(H20:Z20)/'Background Data'!V15</f>
        <v>1.0073217752269132</v>
      </c>
      <c r="AB20" s="63" t="s">
        <v>2314</v>
      </c>
      <c r="AC20">
        <v>2</v>
      </c>
      <c r="AD20">
        <v>1</v>
      </c>
      <c r="AE20">
        <v>1</v>
      </c>
      <c r="AF20">
        <v>1</v>
      </c>
      <c r="AG20">
        <v>1</v>
      </c>
      <c r="AK20" s="17" t="s">
        <v>110</v>
      </c>
      <c r="AL20" s="477"/>
      <c r="AM20" s="482"/>
      <c r="AN20" s="482"/>
      <c r="AO20" s="482"/>
      <c r="AP20" s="482"/>
      <c r="AQ20" s="482"/>
      <c r="AR20" s="483"/>
      <c r="AS20" s="45">
        <f>'Background Data'!AA71/AS$19</f>
        <v>0.9762081784386617</v>
      </c>
      <c r="AT20" s="46">
        <f>'Background Data'!AB71/AT$19</f>
        <v>0.97594980829557332</v>
      </c>
      <c r="AU20" s="46">
        <f>'Background Data'!AC71/AU$19</f>
        <v>0.97075812274368234</v>
      </c>
      <c r="AV20" s="46">
        <f>'Background Data'!AD71/AV$19</f>
        <v>0.97221219776254064</v>
      </c>
      <c r="AW20" s="46">
        <f>'Background Data'!AE71/AW$19</f>
        <v>0.97371188222923244</v>
      </c>
      <c r="AX20" s="46">
        <f>'Background Data'!AF71/AX$19</f>
        <v>0.97817803948735715</v>
      </c>
      <c r="AY20" s="46">
        <f>'Background Data'!AG71/AY$19</f>
        <v>0.97413491786088779</v>
      </c>
      <c r="AZ20" s="46">
        <f>'Background Data'!AH71/AZ$19</f>
        <v>0.96430053964300544</v>
      </c>
      <c r="BA20" s="46">
        <f>'Background Data'!AI71/BA$19</f>
        <v>0.97466216216216217</v>
      </c>
      <c r="BB20" s="46">
        <f>'Background Data'!AJ71/BB$19</f>
        <v>0.97052401746724892</v>
      </c>
      <c r="BC20" s="46">
        <f>'Background Data'!AK71/BC$19</f>
        <v>0.86206896551724133</v>
      </c>
      <c r="BF20" s="470" t="s">
        <v>1159</v>
      </c>
      <c r="BG20" s="470"/>
      <c r="BH20" s="470"/>
      <c r="BI20" s="470"/>
      <c r="BJ20" s="470"/>
      <c r="BK20" s="470"/>
      <c r="BL20" s="470"/>
      <c r="BM20" s="470"/>
      <c r="BN20" s="470"/>
      <c r="BO20" s="470"/>
      <c r="BP20" s="470"/>
      <c r="BQ20" s="470"/>
      <c r="BR20" s="470"/>
      <c r="BS20" s="470"/>
      <c r="BT20" s="470"/>
      <c r="BU20" s="470"/>
      <c r="BV20" s="470"/>
      <c r="BW20" s="470"/>
      <c r="BX20" s="470"/>
      <c r="BY20" s="470"/>
      <c r="BZ20" s="470"/>
      <c r="CA20" s="470"/>
    </row>
    <row r="21" spans="1:80" ht="15" thickBot="1" x14ac:dyDescent="0.4">
      <c r="A21" t="s">
        <v>1091</v>
      </c>
      <c r="B21" t="s">
        <v>2261</v>
      </c>
      <c r="C21" t="s">
        <v>161</v>
      </c>
      <c r="D21">
        <v>2022</v>
      </c>
      <c r="E21" s="63" t="s">
        <v>1099</v>
      </c>
      <c r="F21" s="71"/>
      <c r="G21" s="71"/>
      <c r="H21" s="71"/>
      <c r="I21" s="71"/>
      <c r="J21" s="71"/>
      <c r="K21" s="71"/>
      <c r="L21" s="71"/>
      <c r="M21" s="71">
        <f t="shared" ref="M21:Y21" si="11">AP43/AP$42 * BK$10</f>
        <v>2.1440872717570999E-2</v>
      </c>
      <c r="N21" s="71">
        <f t="shared" si="11"/>
        <v>1.4866480623095557E-2</v>
      </c>
      <c r="O21" s="71">
        <f t="shared" si="11"/>
        <v>1.9384920724827465E-2</v>
      </c>
      <c r="P21" s="71">
        <f t="shared" si="11"/>
        <v>1.1290214864757502E-2</v>
      </c>
      <c r="Q21" s="71">
        <f t="shared" si="11"/>
        <v>1.0454391806438106E-2</v>
      </c>
      <c r="R21" s="71">
        <f t="shared" si="11"/>
        <v>1.7526388131336432E-2</v>
      </c>
      <c r="S21" s="71">
        <f t="shared" si="11"/>
        <v>2.684236199913987E-2</v>
      </c>
      <c r="T21" s="71">
        <f t="shared" si="11"/>
        <v>6.1023058954596136E-2</v>
      </c>
      <c r="U21" s="71">
        <f t="shared" si="11"/>
        <v>7.0334287155043333E-3</v>
      </c>
      <c r="V21" s="71">
        <f t="shared" si="11"/>
        <v>1.9743454818718077E-2</v>
      </c>
      <c r="W21" s="71">
        <f t="shared" si="11"/>
        <v>0.10287948219681609</v>
      </c>
      <c r="X21" s="71">
        <f t="shared" si="11"/>
        <v>4.493295096474734E-3</v>
      </c>
      <c r="Y21" s="71">
        <f t="shared" si="11"/>
        <v>1.4551371374456589E-2</v>
      </c>
      <c r="Z21" s="71">
        <f>BC43/BC$42 * BX$10</f>
        <v>4.8406923616149934E-2</v>
      </c>
      <c r="AA21" s="478">
        <f>SUM(H21:Z23)/'Background Data'!V16</f>
        <v>0.99377667939788805</v>
      </c>
      <c r="AB21" s="63" t="s">
        <v>2316</v>
      </c>
      <c r="AC21">
        <v>2</v>
      </c>
      <c r="AD21">
        <v>1</v>
      </c>
      <c r="AE21">
        <v>1</v>
      </c>
      <c r="AF21">
        <v>2</v>
      </c>
      <c r="AG21">
        <v>1</v>
      </c>
      <c r="AK21" s="17" t="s">
        <v>109</v>
      </c>
      <c r="AL21" s="477"/>
      <c r="AM21" s="482"/>
      <c r="AN21" s="482"/>
      <c r="AO21" s="482"/>
      <c r="AP21" s="482"/>
      <c r="AQ21" s="482"/>
      <c r="AR21" s="483"/>
      <c r="AS21" s="45">
        <f>'Background Data'!AA72/AS$19</f>
        <v>2.379182156133829E-2</v>
      </c>
      <c r="AT21" s="46">
        <f>'Background Data'!AB72/AT$19</f>
        <v>2.405019170442663E-2</v>
      </c>
      <c r="AU21" s="46">
        <f>'Background Data'!AC72/AU$19</f>
        <v>2.9241877256317689E-2</v>
      </c>
      <c r="AV21" s="46">
        <f>'Background Data'!AD72/AV$19</f>
        <v>2.77878022374594E-2</v>
      </c>
      <c r="AW21" s="46">
        <f>'Background Data'!AE72/AW$19</f>
        <v>2.6288117770767613E-2</v>
      </c>
      <c r="AX21" s="46">
        <f>'Background Data'!AF72/AX$19</f>
        <v>2.1475580187045377E-2</v>
      </c>
      <c r="AY21" s="46">
        <f>'Background Data'!AG72/AY$19</f>
        <v>2.481649772806711E-2</v>
      </c>
      <c r="AZ21" s="46">
        <f>'Background Data'!AH72/AZ$19</f>
        <v>3.3208800332088007E-2</v>
      </c>
      <c r="BA21" s="46">
        <f>'Background Data'!AI72/BA$19</f>
        <v>2.364864864864865E-2</v>
      </c>
      <c r="BB21" s="46">
        <f>'Background Data'!AJ72/BB$19</f>
        <v>2.7838427947598252E-2</v>
      </c>
      <c r="BC21" s="46">
        <f>'Background Data'!AK72/BC$19</f>
        <v>1.2667135819845179E-2</v>
      </c>
      <c r="BF21" s="32" t="s">
        <v>127</v>
      </c>
      <c r="BG21" s="32">
        <v>2000</v>
      </c>
      <c r="BH21" s="32">
        <v>2001</v>
      </c>
      <c r="BI21" s="32">
        <v>2002</v>
      </c>
      <c r="BJ21" s="32">
        <v>2003</v>
      </c>
      <c r="BK21" s="32">
        <v>2004</v>
      </c>
      <c r="BL21" s="32">
        <v>2005</v>
      </c>
      <c r="BM21" s="32">
        <v>2006</v>
      </c>
      <c r="BN21" s="32">
        <v>2007</v>
      </c>
      <c r="BO21" s="32">
        <v>2008</v>
      </c>
      <c r="BP21" s="32">
        <v>2009</v>
      </c>
      <c r="BQ21" s="32">
        <v>2010</v>
      </c>
      <c r="BR21" s="32">
        <v>2011</v>
      </c>
      <c r="BS21" s="32">
        <v>2012</v>
      </c>
      <c r="BT21" s="32">
        <v>2013</v>
      </c>
      <c r="BU21" s="32">
        <v>2014</v>
      </c>
      <c r="BV21" s="32">
        <v>2015</v>
      </c>
      <c r="BW21" s="32">
        <v>2016</v>
      </c>
      <c r="BX21" s="32">
        <v>2017</v>
      </c>
      <c r="BY21" s="32">
        <v>2018</v>
      </c>
      <c r="BZ21" s="32">
        <v>2019</v>
      </c>
      <c r="CA21" s="32">
        <v>2020</v>
      </c>
    </row>
    <row r="22" spans="1:80" ht="15" thickTop="1" x14ac:dyDescent="0.35">
      <c r="A22" t="s">
        <v>403</v>
      </c>
      <c r="B22" t="s">
        <v>2261</v>
      </c>
      <c r="C22" t="s">
        <v>161</v>
      </c>
      <c r="D22">
        <v>2022</v>
      </c>
      <c r="E22" s="63" t="s">
        <v>1099</v>
      </c>
      <c r="F22" s="71"/>
      <c r="G22" s="71"/>
      <c r="H22" s="71"/>
      <c r="I22" s="71"/>
      <c r="J22" s="71"/>
      <c r="K22" s="71"/>
      <c r="L22" s="71"/>
      <c r="M22" s="71">
        <f t="shared" ref="M22:Y22" si="12">AP44/AP$42 * BK$10</f>
        <v>0.43929246061576271</v>
      </c>
      <c r="N22" s="71">
        <f t="shared" si="12"/>
        <v>0.81866685271023876</v>
      </c>
      <c r="O22" s="71">
        <f t="shared" si="12"/>
        <v>0.83202531598640106</v>
      </c>
      <c r="P22" s="71">
        <f t="shared" si="12"/>
        <v>0.60367480640650617</v>
      </c>
      <c r="Q22" s="71">
        <f t="shared" si="12"/>
        <v>0.50041227486022866</v>
      </c>
      <c r="R22" s="71">
        <f t="shared" si="12"/>
        <v>0.55047149111361959</v>
      </c>
      <c r="S22" s="71">
        <f t="shared" si="12"/>
        <v>0.75400970582139726</v>
      </c>
      <c r="T22" s="71">
        <f t="shared" si="12"/>
        <v>1.1589365897748616</v>
      </c>
      <c r="U22" s="71">
        <f t="shared" si="12"/>
        <v>0.12277674706392656</v>
      </c>
      <c r="V22" s="71">
        <f t="shared" si="12"/>
        <v>0.28606356910078079</v>
      </c>
      <c r="W22" s="71">
        <f t="shared" si="12"/>
        <v>0.729566772010659</v>
      </c>
      <c r="X22" s="71">
        <f t="shared" si="12"/>
        <v>6.2556019864025675E-2</v>
      </c>
      <c r="Y22" s="71">
        <f t="shared" si="12"/>
        <v>0.17934232932421609</v>
      </c>
      <c r="Z22" s="71">
        <f>BC44/BC$42 * BX$10</f>
        <v>0.49634038181659507</v>
      </c>
      <c r="AA22" s="478"/>
      <c r="AB22" s="63" t="s">
        <v>2316</v>
      </c>
      <c r="AC22">
        <v>2</v>
      </c>
      <c r="AD22">
        <v>1</v>
      </c>
      <c r="AE22">
        <v>1</v>
      </c>
      <c r="AF22">
        <v>2</v>
      </c>
      <c r="AG22">
        <v>1</v>
      </c>
      <c r="AK22" s="17" t="s">
        <v>128</v>
      </c>
      <c r="AL22" s="477"/>
      <c r="AM22" s="482"/>
      <c r="AN22" s="482"/>
      <c r="AO22" s="482"/>
      <c r="AP22" s="482"/>
      <c r="AQ22" s="482"/>
      <c r="AR22" s="483"/>
      <c r="AS22" s="45">
        <f>'Background Data'!AA73/AS$19</f>
        <v>0</v>
      </c>
      <c r="AT22" s="46">
        <f>'Background Data'!AB73/AT$19</f>
        <v>0</v>
      </c>
      <c r="AU22" s="46">
        <f>'Background Data'!AC73/AU$19</f>
        <v>0</v>
      </c>
      <c r="AV22" s="46">
        <f>'Background Data'!AD73/AV$19</f>
        <v>0</v>
      </c>
      <c r="AW22" s="46">
        <f>'Background Data'!AE73/AW$19</f>
        <v>0</v>
      </c>
      <c r="AX22" s="46">
        <f>'Background Data'!AF73/AX$19</f>
        <v>0</v>
      </c>
      <c r="AY22" s="46">
        <f>'Background Data'!AG73/AY$19</f>
        <v>0</v>
      </c>
      <c r="AZ22" s="46">
        <f>'Background Data'!AH73/AZ$19</f>
        <v>0</v>
      </c>
      <c r="BA22" s="46">
        <f>'Background Data'!AI73/BA$19</f>
        <v>0</v>
      </c>
      <c r="BB22" s="46">
        <f>'Background Data'!AJ73/BB$19</f>
        <v>0</v>
      </c>
      <c r="BC22" s="46">
        <f>'Background Data'!AK73/BC$19</f>
        <v>0</v>
      </c>
      <c r="BF22" s="33" t="s">
        <v>1111</v>
      </c>
    </row>
    <row r="23" spans="1:80" x14ac:dyDescent="0.35">
      <c r="A23" t="s">
        <v>404</v>
      </c>
      <c r="B23" t="s">
        <v>2261</v>
      </c>
      <c r="C23" t="s">
        <v>161</v>
      </c>
      <c r="D23">
        <v>2022</v>
      </c>
      <c r="E23" s="63" t="s">
        <v>1099</v>
      </c>
      <c r="F23" s="71"/>
      <c r="G23" s="71"/>
      <c r="H23" s="71"/>
      <c r="I23" s="71"/>
      <c r="J23" s="71"/>
      <c r="K23" s="71"/>
      <c r="L23" s="71"/>
      <c r="M23" s="71">
        <f t="shared" ref="M23:Y23" si="13">AP45/AP$42 * BK$10</f>
        <v>0</v>
      </c>
      <c r="N23" s="71">
        <f t="shared" si="13"/>
        <v>0</v>
      </c>
      <c r="O23" s="71">
        <f t="shared" si="13"/>
        <v>4.1897632887713861E-3</v>
      </c>
      <c r="P23" s="71">
        <f t="shared" si="13"/>
        <v>9.0164539540173953E-4</v>
      </c>
      <c r="Q23" s="71">
        <f t="shared" si="13"/>
        <v>0</v>
      </c>
      <c r="R23" s="71">
        <f t="shared" si="13"/>
        <v>1.735454088377575E-3</v>
      </c>
      <c r="S23" s="71">
        <f t="shared" si="13"/>
        <v>3.0145988461293305E-3</v>
      </c>
      <c r="T23" s="71">
        <f t="shared" si="13"/>
        <v>3.5373684603875126E-2</v>
      </c>
      <c r="U23" s="71">
        <f t="shared" si="13"/>
        <v>1.4523157553902965E-2</v>
      </c>
      <c r="V23" s="71">
        <f t="shared" si="13"/>
        <v>5.3526309413834863E-2</v>
      </c>
      <c r="W23" s="71">
        <f t="shared" si="13"/>
        <v>0.45842041245919102</v>
      </c>
      <c r="X23" s="71">
        <f t="shared" si="13"/>
        <v>2.255068503950039E-2</v>
      </c>
      <c r="Y23" s="71">
        <f t="shared" si="13"/>
        <v>5.6239632634659781E-2</v>
      </c>
      <c r="Z23" s="71">
        <f>BC45/BC$42 * BX$10</f>
        <v>0.28205269456725535</v>
      </c>
      <c r="AA23" s="478"/>
      <c r="AB23" s="63" t="s">
        <v>2316</v>
      </c>
      <c r="AC23">
        <v>2</v>
      </c>
      <c r="AD23">
        <v>1</v>
      </c>
      <c r="AE23">
        <v>1</v>
      </c>
      <c r="AF23">
        <v>2</v>
      </c>
      <c r="AG23">
        <v>1</v>
      </c>
      <c r="AK23" s="17" t="s">
        <v>129</v>
      </c>
      <c r="AL23" s="477"/>
      <c r="AM23" s="482"/>
      <c r="AN23" s="482"/>
      <c r="AO23" s="482"/>
      <c r="AP23" s="482"/>
      <c r="AQ23" s="482"/>
      <c r="AR23" s="483"/>
      <c r="AS23" s="45">
        <f>'Background Data'!AA74/AS$19</f>
        <v>0</v>
      </c>
      <c r="AT23" s="46">
        <f>'Background Data'!AB74/AT$19</f>
        <v>0</v>
      </c>
      <c r="AU23" s="46">
        <f>'Background Data'!AC74/AU$19</f>
        <v>0</v>
      </c>
      <c r="AV23" s="46">
        <f>'Background Data'!AD74/AV$19</f>
        <v>0</v>
      </c>
      <c r="AW23" s="46">
        <f>'Background Data'!AE74/AW$19</f>
        <v>0</v>
      </c>
      <c r="AX23" s="46">
        <f>'Background Data'!AF74/AX$19</f>
        <v>0</v>
      </c>
      <c r="AY23" s="46">
        <f>'Background Data'!AG74/AY$19</f>
        <v>0</v>
      </c>
      <c r="AZ23" s="46">
        <f>'Background Data'!AH74/AZ$19</f>
        <v>0</v>
      </c>
      <c r="BA23" s="46">
        <f>'Background Data'!AI74/BA$19</f>
        <v>0</v>
      </c>
      <c r="BB23" s="46">
        <f>'Background Data'!AJ74/BB$19</f>
        <v>0</v>
      </c>
      <c r="BC23" s="46">
        <f>'Background Data'!AK74/BC$19</f>
        <v>0.11118930330752991</v>
      </c>
      <c r="BF23" s="90" t="s">
        <v>1100</v>
      </c>
      <c r="BG23" s="88">
        <f>'Background Data'!B95/'Background Data'!B132</f>
        <v>15.706438941495373</v>
      </c>
      <c r="BH23" s="88">
        <f>'Background Data'!C95/'Background Data'!C132</f>
        <v>17.09464155732865</v>
      </c>
      <c r="BI23" s="88">
        <f>'Background Data'!D95/'Background Data'!D132</f>
        <v>13.563520806885787</v>
      </c>
      <c r="BJ23" s="88">
        <f>'Background Data'!E95/'Background Data'!E132</f>
        <v>12.931266002516089</v>
      </c>
      <c r="BK23" s="88">
        <f>'Background Data'!F95/'Background Data'!F132</f>
        <v>14.367788198327242</v>
      </c>
      <c r="BL23" s="88">
        <f>'Background Data'!G95/'Background Data'!G132</f>
        <v>15.902778340532087</v>
      </c>
      <c r="BM23" s="88">
        <f>'Background Data'!H95/'Background Data'!H132</f>
        <v>17.923187639445342</v>
      </c>
      <c r="BN23" s="88">
        <f>'Background Data'!I95/'Background Data'!I132</f>
        <v>20.957565529883098</v>
      </c>
      <c r="BO23" s="88">
        <f>'Background Data'!J95/'Background Data'!J132</f>
        <v>22.516695531425594</v>
      </c>
      <c r="BP23" s="88">
        <f>'Background Data'!K95/'Background Data'!K132</f>
        <v>20.885297598654496</v>
      </c>
      <c r="BQ23" s="88">
        <f>'Background Data'!L95/'Background Data'!L132</f>
        <v>23.005724849588585</v>
      </c>
      <c r="BR23" s="88">
        <f>'Background Data'!M95/'Background Data'!M132</f>
        <v>22.564437483121793</v>
      </c>
      <c r="BS23" s="88">
        <f>'Background Data'!N95/'Background Data'!N132</f>
        <v>21.951427878838569</v>
      </c>
      <c r="BT23" s="88">
        <f>'Background Data'!O95/'Background Data'!O132</f>
        <v>23.37276955816461</v>
      </c>
      <c r="BU23" s="88">
        <f>'Background Data'!P95/'Background Data'!P132</f>
        <v>26.998135636705726</v>
      </c>
      <c r="BV23" s="88">
        <f>'Background Data'!Q95/'Background Data'!Q132</f>
        <v>28.723800704095918</v>
      </c>
      <c r="BW23" s="88">
        <f>'Background Data'!R95/'Background Data'!R132</f>
        <v>29.194566241264056</v>
      </c>
      <c r="BX23" s="88">
        <f>'Background Data'!S95/'Background Data'!S132</f>
        <v>30.558476979560723</v>
      </c>
      <c r="BY23" s="88">
        <f>'Background Data'!T95/'Background Data'!T132</f>
        <v>29.491997672103576</v>
      </c>
      <c r="BZ23" s="282">
        <f>'Background Data'!U95/'Background Data'!U132</f>
        <v>29.646647034781967</v>
      </c>
      <c r="CA23" s="88">
        <f>'Background Data'!V95/'Background Data'!V132</f>
        <v>8.8615254341039407</v>
      </c>
    </row>
    <row r="24" spans="1:80" x14ac:dyDescent="0.35">
      <c r="A24" t="s">
        <v>1092</v>
      </c>
      <c r="B24" t="s">
        <v>2261</v>
      </c>
      <c r="C24" t="s">
        <v>161</v>
      </c>
      <c r="D24">
        <v>2022</v>
      </c>
      <c r="E24" s="63" t="s">
        <v>1099</v>
      </c>
      <c r="F24" s="71"/>
      <c r="G24" s="71"/>
      <c r="H24" s="71"/>
      <c r="I24" s="71"/>
      <c r="J24" s="71"/>
      <c r="K24" s="71"/>
      <c r="L24" s="71"/>
      <c r="M24" s="71">
        <f>AP47/AP$46 * BK$14 * (1-'Background Data'!$AE$23*($R$2-M$2+1))</f>
        <v>3.3269809280026962E-4</v>
      </c>
      <c r="N24" s="71">
        <f>AQ47/AQ$46 * BL$14 * (1-'Background Data'!$AE$23*($R$2-N$2+1))</f>
        <v>4.2236315412856872E-4</v>
      </c>
      <c r="O24" s="71">
        <f>AR47/AR$46 * BM$14 * (1-'Background Data'!$AE$23*($R$2-O$2+1))</f>
        <v>3.1040700737819285E-4</v>
      </c>
      <c r="P24" s="71">
        <f>AS47/AS$46 * BN$14 * (1-'Background Data'!$AE$23*($R$2-P$2+1))</f>
        <v>1.9282677481656974E-4</v>
      </c>
      <c r="Q24" s="71">
        <f>AT47/AT$46 * BO$14 * (1-'Background Data'!$AE$23*($R$2-Q$2+1))</f>
        <v>2.8625321750760507E-4</v>
      </c>
      <c r="R24" s="71">
        <f>AU47/AU$46 * BP$14 * (1-'Background Data'!$AE$23*($R$2-R$2+1))</f>
        <v>3.4515807213204277E-4</v>
      </c>
      <c r="S24" s="71">
        <f t="shared" ref="S24:Y24" si="14">AV47/AV$46 * BQ$14</f>
        <v>8.7213107677994303E-4</v>
      </c>
      <c r="T24" s="71">
        <f t="shared" si="14"/>
        <v>7.2233444924772803E-4</v>
      </c>
      <c r="U24" s="71">
        <f t="shared" si="14"/>
        <v>2.9543152425257082E-3</v>
      </c>
      <c r="V24" s="71">
        <v>0</v>
      </c>
      <c r="W24" s="71">
        <f t="shared" si="14"/>
        <v>3.24039075789409E-3</v>
      </c>
      <c r="X24" s="71">
        <f t="shared" si="14"/>
        <v>5.7167205393948445E-3</v>
      </c>
      <c r="Y24" s="71">
        <f t="shared" si="14"/>
        <v>2.2836007696698771E-3</v>
      </c>
      <c r="Z24" s="71">
        <f>BC47/BC$46 * BX$14</f>
        <v>2.1922276228052958E-3</v>
      </c>
      <c r="AA24" s="478">
        <f>SUM(H24:Z27)/'Background Data'!V17</f>
        <v>1.0200477261301137</v>
      </c>
      <c r="AB24" s="63" t="s">
        <v>2317</v>
      </c>
      <c r="AC24">
        <v>2</v>
      </c>
      <c r="AD24">
        <v>1</v>
      </c>
      <c r="AE24">
        <v>1</v>
      </c>
      <c r="AF24">
        <v>2</v>
      </c>
      <c r="AG24">
        <v>1</v>
      </c>
      <c r="AK24" s="36" t="s">
        <v>130</v>
      </c>
      <c r="AL24" s="481"/>
      <c r="AM24" s="60"/>
      <c r="AN24" s="60"/>
      <c r="AO24" s="37"/>
      <c r="AP24" s="37"/>
      <c r="AQ24" s="37"/>
      <c r="AR24" s="37"/>
      <c r="AS24" s="47">
        <f>'Background Data'!AA75/AS$19</f>
        <v>0</v>
      </c>
      <c r="AT24" s="48">
        <f>'Background Data'!AB75/AT$19</f>
        <v>0</v>
      </c>
      <c r="AU24" s="48">
        <f>'Background Data'!AC75/AU$19</f>
        <v>0</v>
      </c>
      <c r="AV24" s="48">
        <f>'Background Data'!AD75/AV$19</f>
        <v>0</v>
      </c>
      <c r="AW24" s="48">
        <f>'Background Data'!AE75/AW$19</f>
        <v>0</v>
      </c>
      <c r="AX24" s="48">
        <f>'Background Data'!AF75/AX$19</f>
        <v>3.4638032559750607E-4</v>
      </c>
      <c r="AY24" s="48">
        <f>'Background Data'!AG75/AY$19</f>
        <v>1.0485844110450892E-3</v>
      </c>
      <c r="AZ24" s="48">
        <f>'Background Data'!AH75/AZ$19</f>
        <v>2.4906600249066002E-3</v>
      </c>
      <c r="BA24" s="48">
        <f>'Background Data'!AI75/BA$19</f>
        <v>1.6891891891891893E-3</v>
      </c>
      <c r="BB24" s="48">
        <f>'Background Data'!AJ75/BB$19</f>
        <v>1.6375545851528383E-3</v>
      </c>
      <c r="BC24" s="48">
        <f>'Background Data'!AK75/BC$19</f>
        <v>1.4074595355383532E-2</v>
      </c>
      <c r="BF24" s="90" t="s">
        <v>1101</v>
      </c>
      <c r="BG24" s="88">
        <f>BG23*'Background Data'!$AJ$29</f>
        <v>0.65443495589564049</v>
      </c>
      <c r="BH24" s="88">
        <f>BH23*'Background Data'!$AJ$29</f>
        <v>0.71227673155536042</v>
      </c>
      <c r="BI24" s="88">
        <f>BI23*'Background Data'!$AJ$29</f>
        <v>0.56514670028690772</v>
      </c>
      <c r="BJ24" s="88">
        <f>BJ23*'Background Data'!$AJ$29</f>
        <v>0.53880275010483702</v>
      </c>
      <c r="BK24" s="88">
        <f>BK23*'Background Data'!$AJ$29</f>
        <v>0.59865784159696833</v>
      </c>
      <c r="BL24" s="88">
        <f>BL23*'Background Data'!$AJ$29</f>
        <v>0.66261576418883694</v>
      </c>
      <c r="BM24" s="88">
        <f>BM23*'Background Data'!$AJ$29</f>
        <v>0.74679948497688919</v>
      </c>
      <c r="BN24" s="88">
        <f>BN23*'Background Data'!$AJ$29</f>
        <v>0.87323189707846238</v>
      </c>
      <c r="BO24" s="88">
        <f>BO23*'Background Data'!$AJ$29</f>
        <v>0.93819564714273307</v>
      </c>
      <c r="BP24" s="88">
        <f>BP23*'Background Data'!$AJ$29</f>
        <v>0.87022073327727067</v>
      </c>
      <c r="BQ24" s="88">
        <f>BQ23*'Background Data'!$AJ$29</f>
        <v>0.95857186873285771</v>
      </c>
      <c r="BR24" s="88">
        <f>BR23*'Background Data'!$AJ$29</f>
        <v>0.94018489513007464</v>
      </c>
      <c r="BS24" s="88">
        <f>BS23*'Background Data'!$AJ$29</f>
        <v>0.91464282828494037</v>
      </c>
      <c r="BT24" s="88">
        <f>BT23*'Background Data'!$AJ$29</f>
        <v>0.97386539825685869</v>
      </c>
      <c r="BU24" s="88">
        <f>BU23*'Background Data'!$AJ$29</f>
        <v>1.1249223181960719</v>
      </c>
      <c r="BV24" s="88">
        <f>BV23*'Background Data'!$AJ$29</f>
        <v>1.1968250293373299</v>
      </c>
      <c r="BW24" s="88">
        <f>BW23*'Background Data'!$AJ$29</f>
        <v>1.2164402600526689</v>
      </c>
      <c r="BX24" s="88">
        <f>BX23*'Background Data'!$AJ$29</f>
        <v>1.2732698741483635</v>
      </c>
      <c r="BY24" s="88">
        <f>BY23*'Background Data'!$AJ$29</f>
        <v>1.2288332363376488</v>
      </c>
      <c r="BZ24" s="88">
        <f>BZ23*'Background Data'!$AJ$29</f>
        <v>1.2352769597825819</v>
      </c>
      <c r="CA24" s="88">
        <f>CA23*'Background Data'!$AJ$29</f>
        <v>0.36923022642099751</v>
      </c>
      <c r="CB24" s="281" t="s">
        <v>1114</v>
      </c>
    </row>
    <row r="25" spans="1:80" ht="14.5" customHeight="1" x14ac:dyDescent="0.35">
      <c r="A25" t="s">
        <v>405</v>
      </c>
      <c r="B25" t="s">
        <v>2261</v>
      </c>
      <c r="C25" t="s">
        <v>161</v>
      </c>
      <c r="D25">
        <v>2022</v>
      </c>
      <c r="E25" s="63" t="s">
        <v>1099</v>
      </c>
      <c r="F25" s="71"/>
      <c r="G25" s="71"/>
      <c r="H25" s="71"/>
      <c r="I25" s="71"/>
      <c r="J25" s="71"/>
      <c r="K25" s="71"/>
      <c r="L25" s="71"/>
      <c r="M25" s="71">
        <f>AP48/AP$46 * BK$14 * (1-'Background Data'!$AE$23*($R$2-M$2+1))</f>
        <v>0.38738581837185226</v>
      </c>
      <c r="N25" s="71">
        <f>AQ48/AQ$46 * BL$14 * (1-'Background Data'!$AE$23*($R$2-N$2+1))</f>
        <v>0.34595012334530251</v>
      </c>
      <c r="O25" s="71">
        <f>AR48/AR$46 * BM$14 * (1-'Background Data'!$AE$23*($R$2-O$2+1))</f>
        <v>0.34799718478112224</v>
      </c>
      <c r="P25" s="71">
        <f>AS48/AS$46 * BN$14 * (1-'Background Data'!$AE$23*($R$2-P$2+1))</f>
        <v>0.21507414727163018</v>
      </c>
      <c r="Q25" s="71">
        <f>AT48/AT$46 * BO$14 * (1-'Background Data'!$AE$23*($R$2-Q$2+1))</f>
        <v>0.28766017847485498</v>
      </c>
      <c r="R25" s="71">
        <f>AU48/AU$46 * BP$14 * (1-'Background Data'!$AE$23*($R$2-R$2+1))</f>
        <v>0.35531036120062465</v>
      </c>
      <c r="S25" s="71">
        <f t="shared" ref="S25:Y25" si="15">AV48/AV$46 * BQ$14</f>
        <v>0.29282800201708037</v>
      </c>
      <c r="T25" s="71">
        <f t="shared" si="15"/>
        <v>0.19707834160677754</v>
      </c>
      <c r="U25" s="71">
        <f t="shared" si="15"/>
        <v>0.66472647019191589</v>
      </c>
      <c r="V25" s="71">
        <v>0</v>
      </c>
      <c r="W25" s="71">
        <f t="shared" si="15"/>
        <v>0.29333572599577579</v>
      </c>
      <c r="X25" s="71">
        <f t="shared" si="15"/>
        <v>0.43631775720149402</v>
      </c>
      <c r="Y25" s="71">
        <f t="shared" si="15"/>
        <v>0.16278310993284262</v>
      </c>
      <c r="Z25" s="71">
        <f>BC48/BC$46 * BX$14</f>
        <v>0.12469857955513511</v>
      </c>
      <c r="AA25" s="478"/>
      <c r="AB25" s="63" t="s">
        <v>2317</v>
      </c>
      <c r="AC25">
        <v>2</v>
      </c>
      <c r="AD25">
        <v>1</v>
      </c>
      <c r="AE25">
        <v>1</v>
      </c>
      <c r="AF25">
        <v>2</v>
      </c>
      <c r="AG25">
        <v>1</v>
      </c>
      <c r="AK25" s="33" t="s">
        <v>43</v>
      </c>
      <c r="AL25" s="480" t="s">
        <v>789</v>
      </c>
      <c r="AM25" s="59"/>
      <c r="AN25" s="59"/>
      <c r="AO25" s="34"/>
      <c r="AP25" s="34"/>
      <c r="AQ25" s="34"/>
      <c r="AR25" s="49"/>
      <c r="AS25" s="51"/>
      <c r="AT25" s="51"/>
      <c r="AU25" s="51"/>
      <c r="AV25" s="51"/>
      <c r="AW25" s="51"/>
      <c r="AX25" s="51"/>
      <c r="AY25" s="228">
        <f>'Background Data'!AU71</f>
        <v>169017</v>
      </c>
      <c r="AZ25" s="51">
        <f>'Background Data'!AV71</f>
        <v>174189</v>
      </c>
      <c r="BA25" s="51">
        <f>'Background Data'!AW71</f>
        <v>176911</v>
      </c>
      <c r="BB25" s="51">
        <f>'Background Data'!AX71</f>
        <v>176949</v>
      </c>
      <c r="BC25" s="51">
        <f>'Background Data'!AY71</f>
        <v>180895</v>
      </c>
      <c r="BD25" s="35">
        <f>SUM(AS26:AS27)</f>
        <v>0.9999585840477585</v>
      </c>
      <c r="BF25" s="90" t="s">
        <v>1109</v>
      </c>
      <c r="BG25" s="88"/>
      <c r="BH25" s="88">
        <f t="shared" ref="BH25:BZ25" si="16">BH23-(BG23-BG24)</f>
        <v>2.0426375717289176</v>
      </c>
      <c r="BI25" s="88">
        <f t="shared" si="16"/>
        <v>-2.8188440188875035</v>
      </c>
      <c r="BJ25" s="88">
        <f t="shared" si="16"/>
        <v>-6.7108104082789666E-2</v>
      </c>
      <c r="BK25" s="88">
        <f t="shared" si="16"/>
        <v>1.9753249459159896</v>
      </c>
      <c r="BL25" s="88">
        <f t="shared" si="16"/>
        <v>2.133647983801815</v>
      </c>
      <c r="BM25" s="88">
        <f t="shared" si="16"/>
        <v>2.6830250631020913</v>
      </c>
      <c r="BN25" s="88">
        <f t="shared" si="16"/>
        <v>3.7811773754146465</v>
      </c>
      <c r="BO25" s="88">
        <f t="shared" si="16"/>
        <v>2.4323618986209574</v>
      </c>
      <c r="BP25" s="88">
        <f t="shared" si="16"/>
        <v>-0.69320228562836306</v>
      </c>
      <c r="BQ25" s="88">
        <f t="shared" si="16"/>
        <v>2.9906479842113605</v>
      </c>
      <c r="BR25" s="88">
        <f t="shared" si="16"/>
        <v>0.51728450226606526</v>
      </c>
      <c r="BS25" s="88">
        <f t="shared" si="16"/>
        <v>0.32717529084684926</v>
      </c>
      <c r="BT25" s="88">
        <f t="shared" si="16"/>
        <v>2.3359845076109806</v>
      </c>
      <c r="BU25" s="88">
        <f t="shared" si="16"/>
        <v>4.5992314767979749</v>
      </c>
      <c r="BV25" s="88">
        <f t="shared" si="16"/>
        <v>2.8505873855862625</v>
      </c>
      <c r="BW25" s="88">
        <f t="shared" si="16"/>
        <v>1.6675905665054671</v>
      </c>
      <c r="BX25" s="88">
        <f t="shared" si="16"/>
        <v>2.5803509983493349</v>
      </c>
      <c r="BY25" s="88">
        <f t="shared" si="16"/>
        <v>0.20679056669121465</v>
      </c>
      <c r="BZ25" s="88">
        <f t="shared" si="16"/>
        <v>1.3834825990160411</v>
      </c>
      <c r="CA25" s="88">
        <f>CA23-(BZ23-BZ24)</f>
        <v>-19.549844640895444</v>
      </c>
      <c r="CB25" s="283">
        <f>SUMIF(BH25:CA25, "&gt;0", BH25:CA25)</f>
        <v>34.50730071646597</v>
      </c>
    </row>
    <row r="26" spans="1:80" x14ac:dyDescent="0.35">
      <c r="A26" t="s">
        <v>406</v>
      </c>
      <c r="B26" t="s">
        <v>2261</v>
      </c>
      <c r="C26" t="s">
        <v>161</v>
      </c>
      <c r="D26">
        <v>2022</v>
      </c>
      <c r="E26" s="63" t="s">
        <v>1099</v>
      </c>
      <c r="F26" s="71"/>
      <c r="G26" s="71"/>
      <c r="H26" s="71"/>
      <c r="I26" s="71"/>
      <c r="J26" s="71"/>
      <c r="K26" s="71"/>
      <c r="L26" s="71"/>
      <c r="M26" s="71">
        <f>AP49/AP$46 * BK$14 * (1-'Background Data'!$AE$23*($R$2-M$2+1))</f>
        <v>2.9463095685886963E-3</v>
      </c>
      <c r="N26" s="71">
        <f>AQ49/AQ$46 * BL$14 * (1-'Background Data'!$AE$23*($R$2-N$2+1))</f>
        <v>2.4619038143585412E-3</v>
      </c>
      <c r="O26" s="71">
        <f>AR49/AR$46 * BM$14 * (1-'Background Data'!$AE$23*($R$2-O$2+1))</f>
        <v>1.7603329642510389E-3</v>
      </c>
      <c r="P26" s="71">
        <f>AS49/AS$46 * BN$14 * (1-'Background Data'!$AE$23*($R$2-P$2+1))</f>
        <v>1.1139451292741592E-3</v>
      </c>
      <c r="Q26" s="71">
        <f>AT49/AT$46 * BO$14 * (1-'Background Data'!$AE$23*($R$2-Q$2+1))</f>
        <v>4.0341587619759957E-3</v>
      </c>
      <c r="R26" s="71">
        <f>AU49/AU$46 * BP$14 * (1-'Background Data'!$AE$23*($R$2-R$2+1))</f>
        <v>8.8916737753879493E-3</v>
      </c>
      <c r="S26" s="71">
        <f t="shared" ref="S26:Y26" si="17">AV49/AV$46 * BQ$14</f>
        <v>6.7346271356691547E-3</v>
      </c>
      <c r="T26" s="71">
        <f t="shared" si="17"/>
        <v>1.8566625312679254E-2</v>
      </c>
      <c r="U26" s="71">
        <f t="shared" si="17"/>
        <v>5.0385430914503586E-2</v>
      </c>
      <c r="V26" s="71">
        <v>0</v>
      </c>
      <c r="W26" s="71">
        <f t="shared" si="17"/>
        <v>3.1213382066357681E-2</v>
      </c>
      <c r="X26" s="71">
        <f t="shared" si="17"/>
        <v>4.0938593539095479E-2</v>
      </c>
      <c r="Y26" s="71">
        <f t="shared" si="17"/>
        <v>1.3837472268611038E-2</v>
      </c>
      <c r="Z26" s="71">
        <f>BC49/BC$46 * BX$14</f>
        <v>1.0353866808950264E-2</v>
      </c>
      <c r="AA26" s="478"/>
      <c r="AB26" s="63" t="s">
        <v>2317</v>
      </c>
      <c r="AC26">
        <v>2</v>
      </c>
      <c r="AD26">
        <v>1</v>
      </c>
      <c r="AE26">
        <v>1</v>
      </c>
      <c r="AF26">
        <v>2</v>
      </c>
      <c r="AG26">
        <v>1</v>
      </c>
      <c r="AK26" s="57" t="s">
        <v>110</v>
      </c>
      <c r="AL26" s="477"/>
      <c r="AM26" s="40">
        <f t="shared" ref="AM26:AW27" si="18">AN26</f>
        <v>0.2578675517847317</v>
      </c>
      <c r="AN26" s="40">
        <f t="shared" si="18"/>
        <v>0.2578675517847317</v>
      </c>
      <c r="AO26" s="40">
        <f t="shared" si="18"/>
        <v>0.2578675517847317</v>
      </c>
      <c r="AP26" s="40">
        <f t="shared" si="18"/>
        <v>0.2578675517847317</v>
      </c>
      <c r="AQ26" s="40">
        <f t="shared" si="18"/>
        <v>0.2578675517847317</v>
      </c>
      <c r="AR26" s="40">
        <f t="shared" si="18"/>
        <v>0.2578675517847317</v>
      </c>
      <c r="AS26" s="40">
        <f t="shared" si="18"/>
        <v>0.2578675517847317</v>
      </c>
      <c r="AT26" s="40">
        <f t="shared" si="18"/>
        <v>0.2578675517847317</v>
      </c>
      <c r="AU26" s="40">
        <f t="shared" si="18"/>
        <v>0.2578675517847317</v>
      </c>
      <c r="AV26" s="40">
        <f t="shared" si="18"/>
        <v>0.2578675517847317</v>
      </c>
      <c r="AW26" s="40">
        <f t="shared" si="18"/>
        <v>0.2578675517847317</v>
      </c>
      <c r="AX26" s="40">
        <f>AY26</f>
        <v>0.2578675517847317</v>
      </c>
      <c r="AY26" s="39">
        <f>'Background Data'!AU72/AY$25</f>
        <v>0.2578675517847317</v>
      </c>
      <c r="AZ26" s="40">
        <f>'Background Data'!AV72/AZ$25</f>
        <v>0.26168127723335</v>
      </c>
      <c r="BA26" s="40">
        <f>'Background Data'!AW72/BA$25</f>
        <v>0.26439283029319827</v>
      </c>
      <c r="BB26" s="40">
        <f>'Background Data'!AX72/BB$25</f>
        <v>0.26693001938411631</v>
      </c>
      <c r="BC26" s="46">
        <f>'Background Data'!AY72/BC$25</f>
        <v>0.27195334309958819</v>
      </c>
      <c r="BF26" s="33" t="s">
        <v>1110</v>
      </c>
      <c r="BG26" s="88"/>
      <c r="BH26" s="88"/>
      <c r="BI26" s="88"/>
      <c r="BJ26" s="88"/>
      <c r="BK26" s="88"/>
      <c r="BL26" s="88"/>
      <c r="BM26" s="88"/>
      <c r="BN26" s="88"/>
      <c r="BO26" s="88"/>
      <c r="BP26" s="88"/>
      <c r="BQ26" s="88"/>
      <c r="BR26" s="88"/>
      <c r="BS26" s="88"/>
      <c r="BT26" s="88"/>
      <c r="BU26" s="88"/>
      <c r="BV26" s="88"/>
      <c r="BW26" s="88"/>
      <c r="BX26" s="88"/>
      <c r="BY26" s="88"/>
      <c r="BZ26" s="88"/>
      <c r="CA26" s="88"/>
    </row>
    <row r="27" spans="1:80" x14ac:dyDescent="0.35">
      <c r="A27" t="s">
        <v>1963</v>
      </c>
      <c r="B27" t="s">
        <v>2261</v>
      </c>
      <c r="C27" t="s">
        <v>161</v>
      </c>
      <c r="D27">
        <v>2022</v>
      </c>
      <c r="E27" s="63" t="s">
        <v>1099</v>
      </c>
      <c r="F27" s="71"/>
      <c r="G27" s="71"/>
      <c r="H27" s="71"/>
      <c r="I27" s="71"/>
      <c r="J27" s="71"/>
      <c r="K27" s="71"/>
      <c r="L27" s="71">
        <f>AO50/AO$46 * BJ$14 * (1-'Background Data'!$AE$23*($R$2-L$2+1))</f>
        <v>1.1856047525197838E-2</v>
      </c>
      <c r="M27" s="71">
        <f>AP50/AP$46 * BK$14 * (1-'Background Data'!$AE$23*($R$2-M$2+1))</f>
        <v>9.4535173966758562E-2</v>
      </c>
      <c r="N27" s="71">
        <f>AQ50/AQ$46 * BL$14 * (1-'Background Data'!$AE$23*($R$2-N$2+1))</f>
        <v>6.0054498575099882E-2</v>
      </c>
      <c r="O27" s="71">
        <f>AR50/AR$46 * BM$14 * (1-'Background Data'!$AE$23*($R$2-O$2+1))</f>
        <v>5.7323186358359479E-2</v>
      </c>
      <c r="P27" s="71">
        <f>AS50/AS$46 * BN$14 * (1-'Background Data'!$AE$23*($R$2-P$2+1))</f>
        <v>3.5992414157612368E-2</v>
      </c>
      <c r="Q27" s="71">
        <f>AT50/AT$46 * BO$14 * (1-'Background Data'!$AE$23*($R$2-Q$2+1))</f>
        <v>6.4508298434550276E-2</v>
      </c>
      <c r="R27" s="71">
        <f>AU50/AU$46 * BP$14 * (1-'Background Data'!$AE$23*($R$2-R$2+1))</f>
        <v>6.4475029174078019E-2</v>
      </c>
      <c r="S27" s="71">
        <f t="shared" ref="S27:Y27" si="19">AV50/AV$46 * BQ$14</f>
        <v>4.7431906437137128E-2</v>
      </c>
      <c r="T27" s="71">
        <f t="shared" si="19"/>
        <v>3.5699365297962367E-2</v>
      </c>
      <c r="U27" s="71">
        <f t="shared" si="19"/>
        <v>0.1168004503177205</v>
      </c>
      <c r="V27" s="71">
        <v>0</v>
      </c>
      <c r="W27" s="71">
        <f t="shared" si="19"/>
        <v>6.6210501179972611E-2</v>
      </c>
      <c r="X27" s="71">
        <f t="shared" si="19"/>
        <v>9.4760262053348435E-2</v>
      </c>
      <c r="Y27" s="71">
        <f t="shared" si="19"/>
        <v>3.3562483695542364E-2</v>
      </c>
      <c r="Z27" s="71">
        <f>BC50/BC$46 * BX$14</f>
        <v>3.2555326013109773E-2</v>
      </c>
      <c r="AA27" s="478"/>
      <c r="AB27" s="63" t="s">
        <v>2317</v>
      </c>
      <c r="AC27">
        <v>2</v>
      </c>
      <c r="AD27">
        <v>1</v>
      </c>
      <c r="AE27">
        <v>1</v>
      </c>
      <c r="AF27">
        <v>2</v>
      </c>
      <c r="AG27">
        <v>1</v>
      </c>
      <c r="AK27" s="57" t="s">
        <v>109</v>
      </c>
      <c r="AL27" s="477"/>
      <c r="AM27" s="40">
        <f t="shared" si="18"/>
        <v>0.74209103226302675</v>
      </c>
      <c r="AN27" s="40">
        <f t="shared" si="18"/>
        <v>0.74209103226302675</v>
      </c>
      <c r="AO27" s="40">
        <f t="shared" si="18"/>
        <v>0.74209103226302675</v>
      </c>
      <c r="AP27" s="40">
        <f t="shared" si="18"/>
        <v>0.74209103226302675</v>
      </c>
      <c r="AQ27" s="40">
        <f t="shared" si="18"/>
        <v>0.74209103226302675</v>
      </c>
      <c r="AR27" s="40">
        <f t="shared" si="18"/>
        <v>0.74209103226302675</v>
      </c>
      <c r="AS27" s="40">
        <f t="shared" si="18"/>
        <v>0.74209103226302675</v>
      </c>
      <c r="AT27" s="40">
        <f t="shared" si="18"/>
        <v>0.74209103226302675</v>
      </c>
      <c r="AU27" s="40">
        <f t="shared" si="18"/>
        <v>0.74209103226302675</v>
      </c>
      <c r="AV27" s="40">
        <f t="shared" si="18"/>
        <v>0.74209103226302675</v>
      </c>
      <c r="AW27" s="40">
        <f t="shared" si="18"/>
        <v>0.74209103226302675</v>
      </c>
      <c r="AX27" s="40">
        <f>AY27</f>
        <v>0.74209103226302675</v>
      </c>
      <c r="AY27" s="39">
        <f>'Background Data'!AU73/AY$25</f>
        <v>0.74209103226302675</v>
      </c>
      <c r="AZ27" s="40">
        <f>'Background Data'!AV73/AZ$25</f>
        <v>0.7382900183134411</v>
      </c>
      <c r="BA27" s="40">
        <f>'Background Data'!AW73/BA$25</f>
        <v>0.73557890690799332</v>
      </c>
      <c r="BB27" s="40">
        <f>'Background Data'!AX73/BB$25</f>
        <v>0.73299086177373141</v>
      </c>
      <c r="BC27" s="46">
        <f>'Background Data'!AY73/BC$25</f>
        <v>0.72800243235025841</v>
      </c>
      <c r="BF27" s="90" t="s">
        <v>1100</v>
      </c>
      <c r="BG27" s="88">
        <f>'Background Data'!B96/'Background Data'!B133</f>
        <v>0.29651320003459813</v>
      </c>
      <c r="BH27" s="88">
        <f>'Background Data'!C96/'Background Data'!C133</f>
        <v>0.29854697100217353</v>
      </c>
      <c r="BI27" s="88">
        <f>'Background Data'!D96/'Background Data'!D133</f>
        <v>0.24510034947343926</v>
      </c>
      <c r="BJ27" s="88">
        <f>'Background Data'!E96/'Background Data'!E133</f>
        <v>0.23603094806470959</v>
      </c>
      <c r="BK27" s="88">
        <f>'Background Data'!F96/'Background Data'!F133</f>
        <v>0.22407980284943479</v>
      </c>
      <c r="BL27" s="88">
        <f>'Background Data'!G96/'Background Data'!G133</f>
        <v>0.2576705036571626</v>
      </c>
      <c r="BM27" s="88">
        <f>'Background Data'!H96/'Background Data'!H133</f>
        <v>0.27410776332348991</v>
      </c>
      <c r="BN27" s="88">
        <f>'Background Data'!I96/'Background Data'!I133</f>
        <v>0.27796595835370091</v>
      </c>
      <c r="BO27" s="88">
        <f>'Background Data'!J96/'Background Data'!J133</f>
        <v>0.26310442321339789</v>
      </c>
      <c r="BP27" s="88">
        <f>'Background Data'!K96/'Background Data'!K133</f>
        <v>0.25092717128536174</v>
      </c>
      <c r="BQ27" s="88">
        <f>'Background Data'!L96/'Background Data'!L133</f>
        <v>0.29773977157647552</v>
      </c>
      <c r="BR27" s="88">
        <f>'Background Data'!M96/'Background Data'!M133</f>
        <v>0.28929398178663895</v>
      </c>
      <c r="BS27" s="88">
        <f>'Background Data'!N96/'Background Data'!N133</f>
        <v>0.29538024917453853</v>
      </c>
      <c r="BT27" s="88">
        <f>'Background Data'!O96/'Background Data'!O133</f>
        <v>0.28880556203737628</v>
      </c>
      <c r="BU27" s="88">
        <f>'Background Data'!P96/'Background Data'!P133</f>
        <v>0.32700425952688827</v>
      </c>
      <c r="BV27" s="88">
        <f>'Background Data'!Q96/'Background Data'!Q133</f>
        <v>0.32994035976987213</v>
      </c>
      <c r="BW27" s="88">
        <f>'Background Data'!R96/'Background Data'!R133</f>
        <v>0.33497555648457028</v>
      </c>
      <c r="BX27" s="88">
        <f>'Background Data'!S96/'Background Data'!S133</f>
        <v>0.39178761049564925</v>
      </c>
      <c r="BY27" s="88">
        <f>'Background Data'!T96/'Background Data'!T133</f>
        <v>0.3813600048563171</v>
      </c>
      <c r="BZ27" s="282">
        <f>'Background Data'!U96/'Background Data'!U133</f>
        <v>0.3671821826651776</v>
      </c>
      <c r="CA27" s="88">
        <f>'Background Data'!V96/'Background Data'!V133</f>
        <v>0.26472760502728954</v>
      </c>
    </row>
    <row r="28" spans="1:80" x14ac:dyDescent="0.35">
      <c r="A28" t="s">
        <v>1093</v>
      </c>
      <c r="B28" t="s">
        <v>2261</v>
      </c>
      <c r="C28" t="s">
        <v>161</v>
      </c>
      <c r="D28">
        <v>2022</v>
      </c>
      <c r="E28" s="63" t="s">
        <v>1099</v>
      </c>
      <c r="F28" s="71"/>
      <c r="G28" s="71"/>
      <c r="H28" s="71"/>
      <c r="I28" s="71"/>
      <c r="J28" s="71"/>
      <c r="K28" s="71"/>
      <c r="L28" s="71"/>
      <c r="M28" s="71">
        <f>AP52/AP$51 * BK$18 * (1-'Background Data'!$AE$23*($V$2-M$2+1))</f>
        <v>1.0633629091797163E-3</v>
      </c>
      <c r="N28" s="71">
        <f>AQ52/AQ$51 * BL$18 * (1-'Background Data'!$AE$23*($V$2-N$2+1))</f>
        <v>8.1662293698383484E-4</v>
      </c>
      <c r="O28" s="71">
        <f>AR52/AR$51 * BM$18 * (1-'Background Data'!$AE$23*($V$2-O$2+1))</f>
        <v>9.468948189026661E-5</v>
      </c>
      <c r="P28" s="71">
        <f>AS52/AS$51 * BN$18 * (1-'Background Data'!$AE$23*($V$2-P$2+1))</f>
        <v>8.3840206602247668E-4</v>
      </c>
      <c r="Q28" s="71">
        <f>AT52/AT$51 * BO$18 * (1-'Background Data'!$AE$23*($V$2-Q$2+1))</f>
        <v>6.6840692578641321E-4</v>
      </c>
      <c r="R28" s="71">
        <f>AU52/AU$51 * BP$18 * (1-'Background Data'!$AE$23*($V$2-R$2+1))</f>
        <v>2.0622980394443976E-3</v>
      </c>
      <c r="S28" s="71">
        <f>AV52/AV$51 * BQ$18 * (1-'Background Data'!$AE$23*($V$2-S$2+1))</f>
        <v>8.7586101873353174E-3</v>
      </c>
      <c r="T28" s="71">
        <f>AW52/AW$51 * BR$18 * (1-'Background Data'!$AE$23*($V$2-T$2+1))</f>
        <v>7.1771646620684307E-4</v>
      </c>
      <c r="U28" s="71">
        <f>AX52/AX$51 * BS$18 * (1-'Background Data'!$AE$23*($V$2-U$2+1))</f>
        <v>2.7847965588904408E-3</v>
      </c>
      <c r="V28" s="71">
        <f>AY52/AY$51 * BT$18 * (1-'Background Data'!$AE$23*($V$2-V$2+1))</f>
        <v>1.3671230576927238E-2</v>
      </c>
      <c r="W28" s="71">
        <v>0</v>
      </c>
      <c r="X28" s="71">
        <f t="shared" ref="X28" si="20">BA52/BA$51 * BV$18</f>
        <v>5.3133133763474108E-3</v>
      </c>
      <c r="Y28" s="71">
        <f>BB52/BB$51 * BW$18</f>
        <v>6.7543403422134583E-3</v>
      </c>
      <c r="Z28" s="71">
        <v>0</v>
      </c>
      <c r="AA28" s="478">
        <f>SUM(H28:Z29)/'Background Data'!U18</f>
        <v>1.0504233301975541</v>
      </c>
      <c r="AB28" s="63" t="s">
        <v>2318</v>
      </c>
      <c r="AC28">
        <v>2</v>
      </c>
      <c r="AD28">
        <v>1</v>
      </c>
      <c r="AE28">
        <v>1</v>
      </c>
      <c r="AF28">
        <v>2</v>
      </c>
      <c r="AG28">
        <v>1</v>
      </c>
      <c r="AK28" s="33" t="s">
        <v>192</v>
      </c>
      <c r="AL28" s="477" t="s">
        <v>141</v>
      </c>
      <c r="AS28" s="229">
        <f>AS9+AS13+AS19</f>
        <v>40463</v>
      </c>
      <c r="AT28" s="230">
        <f t="shared" ref="AT28:BC28" si="21">AT9+AT13+AT19</f>
        <v>43214</v>
      </c>
      <c r="AU28" s="230">
        <f t="shared" si="21"/>
        <v>47061</v>
      </c>
      <c r="AV28" s="230">
        <f t="shared" si="21"/>
        <v>47057</v>
      </c>
      <c r="AW28" s="230">
        <f t="shared" si="21"/>
        <v>48030</v>
      </c>
      <c r="AX28" s="230">
        <f t="shared" si="21"/>
        <v>45278</v>
      </c>
      <c r="AY28" s="56">
        <f t="shared" si="21"/>
        <v>47970</v>
      </c>
      <c r="AZ28" s="56">
        <f t="shared" si="21"/>
        <v>44700</v>
      </c>
      <c r="BA28" s="56">
        <f t="shared" si="21"/>
        <v>43069</v>
      </c>
      <c r="BB28" s="56">
        <f t="shared" si="21"/>
        <v>40307</v>
      </c>
      <c r="BC28" s="56">
        <f t="shared" si="21"/>
        <v>40197</v>
      </c>
      <c r="BD28" s="35">
        <f>SUM(AS29:AS33)</f>
        <v>1</v>
      </c>
      <c r="BF28" s="90" t="s">
        <v>1101</v>
      </c>
      <c r="BG28" s="88">
        <f>BG27*'Background Data'!$AJ$29</f>
        <v>1.2354716668108254E-2</v>
      </c>
      <c r="BH28" s="88">
        <f>BH27*'Background Data'!$AJ$29</f>
        <v>1.2439457125090564E-2</v>
      </c>
      <c r="BI28" s="88">
        <f>BI27*'Background Data'!$AJ$29</f>
        <v>1.0212514561393302E-2</v>
      </c>
      <c r="BJ28" s="88">
        <f>BJ27*'Background Data'!$AJ$29</f>
        <v>9.8346228360295662E-3</v>
      </c>
      <c r="BK28" s="88">
        <f>BK27*'Background Data'!$AJ$29</f>
        <v>9.3366584520597831E-3</v>
      </c>
      <c r="BL28" s="88">
        <f>BL27*'Background Data'!$AJ$29</f>
        <v>1.0736270985715108E-2</v>
      </c>
      <c r="BM28" s="88">
        <f>BM27*'Background Data'!$AJ$29</f>
        <v>1.1421156805145412E-2</v>
      </c>
      <c r="BN28" s="88">
        <f>BN27*'Background Data'!$AJ$29</f>
        <v>1.1581914931404204E-2</v>
      </c>
      <c r="BO28" s="88">
        <f>BO27*'Background Data'!$AJ$29</f>
        <v>1.0962684300558245E-2</v>
      </c>
      <c r="BP28" s="88">
        <f>BP27*'Background Data'!$AJ$29</f>
        <v>1.0455298803556739E-2</v>
      </c>
      <c r="BQ28" s="88">
        <f>BQ27*'Background Data'!$AJ$29</f>
        <v>1.240582381568648E-2</v>
      </c>
      <c r="BR28" s="88">
        <f>BR27*'Background Data'!$AJ$29</f>
        <v>1.2053915907776623E-2</v>
      </c>
      <c r="BS28" s="88">
        <f>BS27*'Background Data'!$AJ$29</f>
        <v>1.2307510382272438E-2</v>
      </c>
      <c r="BT28" s="88">
        <f>BT27*'Background Data'!$AJ$29</f>
        <v>1.2033565084890677E-2</v>
      </c>
      <c r="BU28" s="88">
        <f>BU27*'Background Data'!$AJ$29</f>
        <v>1.362517748028701E-2</v>
      </c>
      <c r="BV28" s="88">
        <f>BV27*'Background Data'!$AJ$29</f>
        <v>1.3747514990411339E-2</v>
      </c>
      <c r="BW28" s="88">
        <f>BW27*'Background Data'!$AJ$29</f>
        <v>1.3957314853523761E-2</v>
      </c>
      <c r="BX28" s="88">
        <f>BX27*'Background Data'!$AJ$29</f>
        <v>1.632448377065205E-2</v>
      </c>
      <c r="BY28" s="88">
        <f>BY27*'Background Data'!$AJ$29</f>
        <v>1.5890000202346544E-2</v>
      </c>
      <c r="BZ28" s="88">
        <f>BZ27*'Background Data'!$AJ$29</f>
        <v>1.5299257611049066E-2</v>
      </c>
      <c r="CA28" s="88">
        <f>CA27*'Background Data'!$AJ$29</f>
        <v>1.1030316876137064E-2</v>
      </c>
      <c r="CB28" s="281" t="s">
        <v>1114</v>
      </c>
    </row>
    <row r="29" spans="1:80" x14ac:dyDescent="0.35">
      <c r="A29" t="s">
        <v>407</v>
      </c>
      <c r="B29" t="s">
        <v>2261</v>
      </c>
      <c r="C29" t="s">
        <v>161</v>
      </c>
      <c r="D29">
        <v>2022</v>
      </c>
      <c r="E29" s="63" t="s">
        <v>1099</v>
      </c>
      <c r="F29" s="71"/>
      <c r="G29" s="71"/>
      <c r="H29" s="71"/>
      <c r="I29" s="71"/>
      <c r="J29" s="71"/>
      <c r="K29" s="71"/>
      <c r="L29" s="71"/>
      <c r="M29" s="71">
        <f>AP53/AP$51 * BK$18 * (1-'Background Data'!$AE$23*($V$2-M$2+1))</f>
        <v>6.4514414868598102E-2</v>
      </c>
      <c r="N29" s="71">
        <f>AQ53/AQ$51 * BL$18 * (1-'Background Data'!$AE$23*($V$2-N$2+1))</f>
        <v>4.7450043729682756E-2</v>
      </c>
      <c r="O29" s="71">
        <f>AR53/AR$51 * BM$18 * (1-'Background Data'!$AE$23*($V$2-O$2+1))</f>
        <v>5.0697549625541277E-3</v>
      </c>
      <c r="P29" s="71">
        <f>AS53/AS$51 * BN$18 * (1-'Background Data'!$AE$23*($V$2-P$2+1))</f>
        <v>4.9330486822866455E-2</v>
      </c>
      <c r="Q29" s="71">
        <f>AT53/AT$51 * BO$18 * (1-'Background Data'!$AE$23*($V$2-Q$2+1))</f>
        <v>4.1331593074213489E-2</v>
      </c>
      <c r="R29" s="71">
        <f>AU53/AU$51 * BP$18 * (1-'Background Data'!$AE$23*($V$2-R$2+1))</f>
        <v>9.1493257516111232E-2</v>
      </c>
      <c r="S29" s="71">
        <f>AV53/AV$51 * BQ$18 * (1-'Background Data'!$AE$23*($V$2-S$2+1))</f>
        <v>0.28125027870155361</v>
      </c>
      <c r="T29" s="71">
        <f>AW53/AW$51 * BR$18 * (1-'Background Data'!$AE$23*($V$2-T$2+1))</f>
        <v>2.2802283533793231E-2</v>
      </c>
      <c r="U29" s="71">
        <f>AX53/AX$51 * BS$18 * (1-'Background Data'!$AE$23*($V$2-U$2+1))</f>
        <v>8.1801870107776148E-2</v>
      </c>
      <c r="V29" s="71">
        <f>AY53/AY$51 * BT$18 * (1-'Background Data'!$AE$23*($V$2-V$2+1))</f>
        <v>0.3024798805341839</v>
      </c>
      <c r="W29" s="71">
        <v>0</v>
      </c>
      <c r="X29" s="71">
        <f t="shared" ref="X29" si="22">BA53/BA$51 * BV$18</f>
        <v>4.382001995698584E-2</v>
      </c>
      <c r="Y29" s="71">
        <f>BB53/BB$51 * BW$18</f>
        <v>4.1712326324453201E-2</v>
      </c>
      <c r="Z29" s="71">
        <v>0</v>
      </c>
      <c r="AA29" s="478"/>
      <c r="AB29" s="63" t="s">
        <v>2318</v>
      </c>
      <c r="AC29">
        <v>2</v>
      </c>
      <c r="AD29">
        <v>1</v>
      </c>
      <c r="AE29">
        <v>1</v>
      </c>
      <c r="AF29">
        <v>2</v>
      </c>
      <c r="AG29">
        <v>1</v>
      </c>
      <c r="AK29" s="57" t="s">
        <v>110</v>
      </c>
      <c r="AL29" s="477"/>
      <c r="AM29" s="70">
        <f t="shared" ref="AM29:AR29" si="23">$AS$29</f>
        <v>0.90907742876207898</v>
      </c>
      <c r="AN29" s="70">
        <f t="shared" si="23"/>
        <v>0.90907742876207898</v>
      </c>
      <c r="AO29" s="70">
        <f t="shared" si="23"/>
        <v>0.90907742876207898</v>
      </c>
      <c r="AP29" s="70">
        <f t="shared" si="23"/>
        <v>0.90907742876207898</v>
      </c>
      <c r="AQ29" s="70">
        <f t="shared" si="23"/>
        <v>0.90907742876207898</v>
      </c>
      <c r="AR29" s="70">
        <f t="shared" si="23"/>
        <v>0.90907742876207898</v>
      </c>
      <c r="AS29" s="39">
        <f>('Background Data'!AA57+'Background Data'!AA64+'Background Data'!AA71)/(AS$9+AS$13+AS$19)</f>
        <v>0.90907742876207898</v>
      </c>
      <c r="AT29" s="40">
        <f>('Background Data'!AB57+'Background Data'!AB64+'Background Data'!AB71)/(AT$9+AT$13+AT$19)</f>
        <v>0.90845559309483037</v>
      </c>
      <c r="AU29" s="40">
        <f>('Background Data'!AC57+'Background Data'!AC64+'Background Data'!AC71)/(AU$9+AU$13+AU$19)</f>
        <v>0.91411147234440404</v>
      </c>
      <c r="AV29" s="40">
        <f>('Background Data'!AD57+'Background Data'!AD64+'Background Data'!AD71)/(AV$9+AV$13+AV$19)</f>
        <v>0.91314788448052364</v>
      </c>
      <c r="AW29" s="40">
        <f>('Background Data'!AE57+'Background Data'!AE64+'Background Data'!AE71)/(AW$9+AW$13+AW$19)</f>
        <v>0.91399125546533422</v>
      </c>
      <c r="AX29" s="40">
        <f>('Background Data'!AF57+'Background Data'!AF64+'Background Data'!AF71)/(AX$9+AX$13+AX$19)</f>
        <v>0.90889615265691948</v>
      </c>
      <c r="AY29" s="40">
        <f>('Background Data'!AG57+'Background Data'!AG64+'Background Data'!AG71)/(AY$9+AY$13+AY$19)</f>
        <v>0.92186783406295603</v>
      </c>
      <c r="AZ29" s="40">
        <f>('Background Data'!AH57+'Background Data'!AH64+'Background Data'!AH71)/(AZ$9+AZ$13+AZ$19)</f>
        <v>0.91711409395973154</v>
      </c>
      <c r="BA29" s="40">
        <f>('Background Data'!AI57+'Background Data'!AI64+'Background Data'!AI71)/(BA$9+BA$13+BA$19)</f>
        <v>0.92242680350135831</v>
      </c>
      <c r="BB29" s="40">
        <f>('Background Data'!AJ57+'Background Data'!AJ64+'Background Data'!AJ71)/(BB$9+BB$13+BB$19)</f>
        <v>0.89500583025280966</v>
      </c>
      <c r="BC29" s="46">
        <f>('Background Data'!AK57+'Background Data'!AK64+'Background Data'!AK71)/(BC$9+BC$13+BC$19)</f>
        <v>0.870413214916536</v>
      </c>
      <c r="BF29" s="90" t="s">
        <v>1109</v>
      </c>
      <c r="BG29" s="88"/>
      <c r="BH29" s="88">
        <f t="shared" ref="BH29" si="24">BH27-(BG27-BG28)</f>
        <v>1.4388487635683678E-2</v>
      </c>
      <c r="BI29" s="88">
        <f t="shared" ref="BI29" si="25">BI27-(BH27-BH28)</f>
        <v>-4.1007164403643742E-2</v>
      </c>
      <c r="BJ29" s="88">
        <f t="shared" ref="BJ29" si="26">BJ27-(BI27-BI28)</f>
        <v>1.1431131526636329E-3</v>
      </c>
      <c r="BK29" s="88">
        <f t="shared" ref="BK29" si="27">BK27-(BJ27-BJ28)</f>
        <v>-2.1165223792452281E-3</v>
      </c>
      <c r="BL29" s="88">
        <f t="shared" ref="BL29" si="28">BL27-(BK27-BK28)</f>
        <v>4.2927359259787579E-2</v>
      </c>
      <c r="BM29" s="88">
        <f t="shared" ref="BM29" si="29">BM27-(BL27-BL28)</f>
        <v>2.7173530652042421E-2</v>
      </c>
      <c r="BN29" s="88">
        <f t="shared" ref="BN29" si="30">BN27-(BM27-BM28)</f>
        <v>1.5279351835356447E-2</v>
      </c>
      <c r="BO29" s="88">
        <f t="shared" ref="BO29" si="31">BO27-(BN27-BN28)</f>
        <v>-3.2796202088988258E-3</v>
      </c>
      <c r="BP29" s="88">
        <f t="shared" ref="BP29" si="32">BP27-(BO27-BO28)</f>
        <v>-1.2145676274779027E-3</v>
      </c>
      <c r="BQ29" s="88">
        <f t="shared" ref="BQ29" si="33">BQ27-(BP27-BP28)</f>
        <v>5.7267899094670532E-2</v>
      </c>
      <c r="BR29" s="88">
        <f t="shared" ref="BR29" si="34">BR27-(BQ27-BQ28)</f>
        <v>3.9600340258499345E-3</v>
      </c>
      <c r="BS29" s="88">
        <f t="shared" ref="BS29" si="35">BS27-(BR27-BR28)</f>
        <v>1.8140183295676182E-2</v>
      </c>
      <c r="BT29" s="88">
        <f t="shared" ref="BT29" si="36">BT27-(BS27-BS28)</f>
        <v>5.7328232451102079E-3</v>
      </c>
      <c r="BU29" s="88">
        <f t="shared" ref="BU29" si="37">BU27-(BT27-BT28)</f>
        <v>5.0232262574402664E-2</v>
      </c>
      <c r="BV29" s="88">
        <f t="shared" ref="BV29" si="38">BV27-(BU27-BU28)</f>
        <v>1.6561277723270873E-2</v>
      </c>
      <c r="BW29" s="88">
        <f t="shared" ref="BW29" si="39">BW27-(BV27-BV28)</f>
        <v>1.8782711705109478E-2</v>
      </c>
      <c r="BX29" s="88">
        <f t="shared" ref="BX29" si="40">BX27-(BW27-BW28)</f>
        <v>7.0769368864602722E-2</v>
      </c>
      <c r="BY29" s="88">
        <f t="shared" ref="BY29" si="41">BY27-(BX27-BX28)</f>
        <v>5.8968781313198937E-3</v>
      </c>
      <c r="BZ29" s="88">
        <f t="shared" ref="BZ29" si="42">BZ27-(BY27-BY28)</f>
        <v>1.7121780112070439E-3</v>
      </c>
      <c r="CA29" s="88">
        <f>CA27-(BZ27-BZ28)</f>
        <v>-8.7155320026839012E-2</v>
      </c>
      <c r="CB29" s="283">
        <f>SUMIF(BH29:CA29, "&gt;0", BH29:CA29)</f>
        <v>0.34996745920675332</v>
      </c>
    </row>
    <row r="30" spans="1:80" x14ac:dyDescent="0.35">
      <c r="A30" t="s">
        <v>288</v>
      </c>
      <c r="B30" t="s">
        <v>2261</v>
      </c>
      <c r="C30" t="s">
        <v>161</v>
      </c>
      <c r="D30">
        <v>2022</v>
      </c>
      <c r="E30" s="63" t="s">
        <v>142</v>
      </c>
      <c r="F30" s="71">
        <f>G30</f>
        <v>1.1915385835085353</v>
      </c>
      <c r="G30" s="71">
        <f>IF(BH25&lt;0, 0, BH25) * (1-'Background Data'!$AJ$29*($Q$2-G$2))</f>
        <v>1.1915385835085353</v>
      </c>
      <c r="H30" s="71">
        <f>IF(BI25&lt;0, 0, BI25) * (1-'Background Data'!$AJ$29*($Q$2-H$2))</f>
        <v>0</v>
      </c>
      <c r="I30" s="71">
        <f>IF(BJ25&lt;0, 0, BJ25) * (1-'Background Data'!$AJ$29*($Q$2-I$2))</f>
        <v>0</v>
      </c>
      <c r="J30" s="71">
        <f>IF(BK25&lt;0, 0, BK25) * (1-'Background Data'!$AJ$29*($Q$2-J$2))</f>
        <v>1.3991885033571594</v>
      </c>
      <c r="K30" s="71">
        <f>IF(BL25&lt;0, 0, BL25) * (1-'Background Data'!$AJ$29*($Q$2-K$2))</f>
        <v>1.6002359878513612</v>
      </c>
      <c r="L30" s="71">
        <f>IF(BM25&lt;0, 0, BM25) * (1-'Background Data'!$AJ$29*($Q$2-L$2))</f>
        <v>2.1240615082891559</v>
      </c>
      <c r="M30" s="71">
        <f>IF(BN25&lt;0, 0, BN25) * (1-'Background Data'!$AJ$29*($Q$2-M$2))</f>
        <v>3.1509811461788724</v>
      </c>
      <c r="N30" s="71">
        <f>IF(BO25&lt;0, 0, BO25) * (1-'Background Data'!$AJ$29*($Q$2-N$2))</f>
        <v>2.1283166612933377</v>
      </c>
      <c r="O30" s="71">
        <f>IF(BP25&lt;0, 0, BP25) * (1-'Background Data'!$AJ$29*($Q$2-O$2))</f>
        <v>0</v>
      </c>
      <c r="P30" s="71">
        <f>IF(BQ25&lt;0, 0, BQ25) * (1-'Background Data'!$AJ$29*($Q$2-P$2))</f>
        <v>2.8660376515358874</v>
      </c>
      <c r="Q30" s="71">
        <f>IF(BR25&lt;0, 0, BR25) * (1-'Background Data'!$AJ$29*($Q$2-Q$2))</f>
        <v>0.51728450226606526</v>
      </c>
      <c r="R30" s="71">
        <f t="shared" ref="R30:Z30" si="43">IF(BS25&lt;0, 0, BS25)</f>
        <v>0.32717529084684926</v>
      </c>
      <c r="S30" s="71">
        <f t="shared" si="43"/>
        <v>2.3359845076109806</v>
      </c>
      <c r="T30" s="71">
        <f t="shared" si="43"/>
        <v>4.5992314767979749</v>
      </c>
      <c r="U30" s="71">
        <f t="shared" si="43"/>
        <v>2.8505873855862625</v>
      </c>
      <c r="V30" s="71">
        <f t="shared" si="43"/>
        <v>1.6675905665054671</v>
      </c>
      <c r="W30" s="71">
        <f t="shared" si="43"/>
        <v>2.5803509983493349</v>
      </c>
      <c r="X30" s="71">
        <f t="shared" si="43"/>
        <v>0.20679056669121465</v>
      </c>
      <c r="Y30" s="71">
        <f t="shared" si="43"/>
        <v>1.3834825990160411</v>
      </c>
      <c r="Z30" s="71">
        <f t="shared" si="43"/>
        <v>0</v>
      </c>
      <c r="AA30" s="300">
        <f>SUM(F30:Z30)/('Background Data'!U95/'Background Data'!U132)</f>
        <v>1.0834404471274222</v>
      </c>
      <c r="AB30" s="63" t="s">
        <v>2319</v>
      </c>
      <c r="AC30">
        <v>2</v>
      </c>
      <c r="AD30">
        <v>1</v>
      </c>
      <c r="AE30">
        <v>1</v>
      </c>
      <c r="AF30">
        <v>2</v>
      </c>
      <c r="AG30">
        <v>1</v>
      </c>
      <c r="AK30" s="57" t="s">
        <v>109</v>
      </c>
      <c r="AL30" s="477"/>
      <c r="AM30" s="70">
        <f t="shared" ref="AM30:AR30" si="44">1-AM29</f>
        <v>9.0922571237921024E-2</v>
      </c>
      <c r="AN30" s="70">
        <f t="shared" si="44"/>
        <v>9.0922571237921024E-2</v>
      </c>
      <c r="AO30" s="70">
        <f t="shared" si="44"/>
        <v>9.0922571237921024E-2</v>
      </c>
      <c r="AP30" s="70">
        <f t="shared" si="44"/>
        <v>9.0922571237921024E-2</v>
      </c>
      <c r="AQ30" s="70">
        <f t="shared" si="44"/>
        <v>9.0922571237921024E-2</v>
      </c>
      <c r="AR30" s="70">
        <f t="shared" si="44"/>
        <v>9.0922571237921024E-2</v>
      </c>
      <c r="AS30" s="39">
        <f>('Background Data'!AA58+'Background Data'!AA65+'Background Data'!AA72)/(AS$9+AS$13+AS$19)</f>
        <v>8.9810444109433313E-2</v>
      </c>
      <c r="AT30" s="40">
        <f>('Background Data'!AB58+'Background Data'!AB65+'Background Data'!AB72)/(AT$9+AT$13+AT$19)</f>
        <v>9.0595640301754057E-2</v>
      </c>
      <c r="AU30" s="40">
        <f>('Background Data'!AC58+'Background Data'!AC65+'Background Data'!AC72)/(AU$9+AU$13+AU$19)</f>
        <v>8.5081065000743722E-2</v>
      </c>
      <c r="AV30" s="40">
        <f>('Background Data'!AD58+'Background Data'!AD65+'Background Data'!AD72)/(AV$9+AV$13+AV$19)</f>
        <v>8.5853326816414138E-2</v>
      </c>
      <c r="AW30" s="40">
        <f>('Background Data'!AE58+'Background Data'!AE65+'Background Data'!AE72)/(AW$9+AW$13+AW$19)</f>
        <v>8.5342494274411831E-2</v>
      </c>
      <c r="AX30" s="40">
        <f>('Background Data'!AF58+'Background Data'!AF65+'Background Data'!AF72)/(AX$9+AX$13+AX$19)</f>
        <v>8.8829011882150269E-2</v>
      </c>
      <c r="AY30" s="40">
        <f>('Background Data'!AG58+'Background Data'!AG65+'Background Data'!AG72)/(AY$9+AY$13+AY$19)</f>
        <v>7.5713987909109867E-2</v>
      </c>
      <c r="AZ30" s="40">
        <f>('Background Data'!AH58+'Background Data'!AH65+'Background Data'!AH72)/(AZ$9+AZ$13+AZ$19)</f>
        <v>7.9284116331096194E-2</v>
      </c>
      <c r="BA30" s="40">
        <f>('Background Data'!AI58+'Background Data'!AI65+'Background Data'!AI72)/(BA$9+BA$13+BA$19)</f>
        <v>7.051475539250969E-2</v>
      </c>
      <c r="BB30" s="40">
        <f>('Background Data'!AJ58+'Background Data'!AJ65+'Background Data'!AJ72)/(BB$9+BB$13+BB$19)</f>
        <v>9.0827895898975358E-2</v>
      </c>
      <c r="BC30" s="46">
        <f>('Background Data'!AK58+'Background Data'!AK65+'Background Data'!AK72)/(BC$9+BC$13+BC$19)</f>
        <v>8.9633554742891267E-2</v>
      </c>
      <c r="BF30" s="33" t="s">
        <v>1112</v>
      </c>
      <c r="BG30" s="88"/>
      <c r="BH30" s="88"/>
      <c r="BI30" s="88"/>
      <c r="BJ30" s="88"/>
      <c r="BK30" s="88"/>
      <c r="BL30" s="88"/>
      <c r="BM30" s="88"/>
      <c r="BN30" s="88"/>
      <c r="BO30" s="88"/>
      <c r="BP30" s="88"/>
      <c r="BQ30" s="88"/>
      <c r="BR30" s="88"/>
      <c r="BS30" s="88"/>
      <c r="BT30" s="88"/>
      <c r="BU30" s="88"/>
      <c r="BV30" s="88"/>
      <c r="BW30" s="88"/>
      <c r="BX30" s="88"/>
      <c r="BY30" s="88"/>
      <c r="BZ30" s="88"/>
      <c r="CA30" s="88"/>
    </row>
    <row r="31" spans="1:80" x14ac:dyDescent="0.35">
      <c r="A31" t="s">
        <v>289</v>
      </c>
      <c r="B31" t="s">
        <v>2261</v>
      </c>
      <c r="C31" t="s">
        <v>161</v>
      </c>
      <c r="D31">
        <v>2022</v>
      </c>
      <c r="E31" s="63" t="s">
        <v>143</v>
      </c>
      <c r="F31" s="71">
        <f>G31</f>
        <v>1.4388487635683678E-2</v>
      </c>
      <c r="G31" s="71">
        <f>IF(BH29&lt;0, 0, BH29)</f>
        <v>1.4388487635683678E-2</v>
      </c>
      <c r="H31" s="71">
        <f t="shared" ref="H31:P31" si="45">IF(BI29&lt;0, 0, BI29)</f>
        <v>0</v>
      </c>
      <c r="I31" s="71">
        <f t="shared" si="45"/>
        <v>1.1431131526636329E-3</v>
      </c>
      <c r="J31" s="71">
        <f t="shared" si="45"/>
        <v>0</v>
      </c>
      <c r="K31" s="71">
        <f t="shared" si="45"/>
        <v>4.2927359259787579E-2</v>
      </c>
      <c r="L31" s="71">
        <f t="shared" si="45"/>
        <v>2.7173530652042421E-2</v>
      </c>
      <c r="M31" s="71">
        <f t="shared" si="45"/>
        <v>1.5279351835356447E-2</v>
      </c>
      <c r="N31" s="71">
        <f t="shared" si="45"/>
        <v>0</v>
      </c>
      <c r="O31" s="71">
        <f t="shared" si="45"/>
        <v>0</v>
      </c>
      <c r="P31" s="71">
        <f t="shared" si="45"/>
        <v>5.7267899094670532E-2</v>
      </c>
      <c r="Q31" s="71">
        <f t="shared" ref="Q31" si="46">IF(BR29&lt;0, 0, BR29)</f>
        <v>3.9600340258499345E-3</v>
      </c>
      <c r="R31" s="71">
        <f>IF(BS29&lt;0, 0, BS29)</f>
        <v>1.8140183295676182E-2</v>
      </c>
      <c r="S31" s="71">
        <f t="shared" ref="S31:Z31" si="47">IF(BT29&lt;0, 0, BT29)</f>
        <v>5.7328232451102079E-3</v>
      </c>
      <c r="T31" s="71">
        <f t="shared" si="47"/>
        <v>5.0232262574402664E-2</v>
      </c>
      <c r="U31" s="71">
        <f t="shared" si="47"/>
        <v>1.6561277723270873E-2</v>
      </c>
      <c r="V31" s="71">
        <f t="shared" si="47"/>
        <v>1.8782711705109478E-2</v>
      </c>
      <c r="W31" s="71">
        <f t="shared" si="47"/>
        <v>7.0769368864602722E-2</v>
      </c>
      <c r="X31" s="71">
        <f t="shared" si="47"/>
        <v>5.8968781313198937E-3</v>
      </c>
      <c r="Y31" s="71">
        <f t="shared" si="47"/>
        <v>1.7121780112070439E-3</v>
      </c>
      <c r="Z31" s="71">
        <f t="shared" si="47"/>
        <v>0</v>
      </c>
      <c r="AA31" s="300">
        <f>SUM(F31:Z31)/('Background Data'!U96/'Background Data'!U133)</f>
        <v>0.99230290587025083</v>
      </c>
      <c r="AB31" s="63" t="s">
        <v>2313</v>
      </c>
      <c r="AC31">
        <v>2</v>
      </c>
      <c r="AD31">
        <v>1</v>
      </c>
      <c r="AE31">
        <v>1</v>
      </c>
      <c r="AF31">
        <v>2</v>
      </c>
      <c r="AG31">
        <v>1</v>
      </c>
      <c r="AK31" s="57" t="s">
        <v>128</v>
      </c>
      <c r="AL31" s="477"/>
      <c r="AM31" s="70">
        <v>0</v>
      </c>
      <c r="AN31" s="70">
        <v>0</v>
      </c>
      <c r="AO31" s="70">
        <v>0</v>
      </c>
      <c r="AP31" s="70">
        <v>0</v>
      </c>
      <c r="AQ31" s="70">
        <v>0</v>
      </c>
      <c r="AR31" s="70">
        <v>0</v>
      </c>
      <c r="AS31" s="39">
        <f>('Background Data'!AA66+'Background Data'!AA73)/(AS$9+AS$13+AS$19)</f>
        <v>0</v>
      </c>
      <c r="AT31" s="40">
        <f>('Background Data'!AB66+'Background Data'!AB73)/(AT$9+AT$13+AT$19)</f>
        <v>0</v>
      </c>
      <c r="AU31" s="40">
        <f>('Background Data'!AC66+'Background Data'!AC73)/(AU$9+AU$13+AU$19)</f>
        <v>2.1249017232952976E-5</v>
      </c>
      <c r="AV31" s="40">
        <f>('Background Data'!AD66+'Background Data'!AD73)/(AV$9+AV$13+AV$19)</f>
        <v>0</v>
      </c>
      <c r="AW31" s="40">
        <f>('Background Data'!AE66+'Background Data'!AE73)/(AW$9+AW$13+AW$19)</f>
        <v>0</v>
      </c>
      <c r="AX31" s="40">
        <f>('Background Data'!AF66+'Background Data'!AF73)/(AX$9+AX$13+AX$19)</f>
        <v>4.4171562348160254E-5</v>
      </c>
      <c r="AY31" s="40">
        <f>('Background Data'!AG66+'Background Data'!AG73)/(AY$9+AY$13+AY$19)</f>
        <v>6.2539086929330832E-5</v>
      </c>
      <c r="AZ31" s="40">
        <f>('Background Data'!AH66+'Background Data'!AH73)/(AZ$9+AZ$13+AZ$19)</f>
        <v>1.7897091722595079E-4</v>
      </c>
      <c r="BA31" s="40">
        <f>('Background Data'!AI66+'Background Data'!AI73)/(BA$9+BA$13+BA$19)</f>
        <v>5.108082379437647E-4</v>
      </c>
      <c r="BB31" s="40">
        <f>('Background Data'!AJ66+'Background Data'!AJ73)/(BB$9+BB$13+BB$19)</f>
        <v>1.3397176669064927E-3</v>
      </c>
      <c r="BC31" s="46">
        <f>('Background Data'!AK66+'Background Data'!AK73)/(BC$9+BC$13+BC$19)</f>
        <v>3.8808866333308457E-3</v>
      </c>
      <c r="BF31" s="90" t="s">
        <v>1100</v>
      </c>
      <c r="BG31" s="88">
        <f>'Background Data'!B97/'Background Data'!B134</f>
        <v>0.42385973937792704</v>
      </c>
      <c r="BH31" s="88">
        <f>'Background Data'!C97/'Background Data'!C134</f>
        <v>0.53769456579670727</v>
      </c>
      <c r="BI31" s="88">
        <f>'Background Data'!D97/'Background Data'!D134</f>
        <v>0.59246032713355923</v>
      </c>
      <c r="BJ31" s="88">
        <f>'Background Data'!E97/'Background Data'!E134</f>
        <v>0.61484170428413021</v>
      </c>
      <c r="BK31" s="88">
        <f>'Background Data'!F97/'Background Data'!F134</f>
        <v>0.60852606381581487</v>
      </c>
      <c r="BL31" s="88">
        <f>'Background Data'!G97/'Background Data'!G134</f>
        <v>0.62519936027380096</v>
      </c>
      <c r="BM31" s="88">
        <f>'Background Data'!H97/'Background Data'!H134</f>
        <v>0.6670934754165686</v>
      </c>
      <c r="BN31" s="88">
        <f>'Background Data'!I97/'Background Data'!I134</f>
        <v>0.70860177057178286</v>
      </c>
      <c r="BO31" s="88">
        <f>'Background Data'!J97/'Background Data'!J134</f>
        <v>0.72418053499693369</v>
      </c>
      <c r="BP31" s="88">
        <f>'Background Data'!K97/'Background Data'!K134</f>
        <v>0.60992597459855313</v>
      </c>
      <c r="BQ31" s="88">
        <f>'Background Data'!L97/'Background Data'!L134</f>
        <v>0.46502935707494714</v>
      </c>
      <c r="BR31" s="88">
        <f>'Background Data'!M97/'Background Data'!M134</f>
        <v>0.49826732321004169</v>
      </c>
      <c r="BS31" s="88">
        <f>'Background Data'!N97/'Background Data'!N134</f>
        <v>0.56558115037506707</v>
      </c>
      <c r="BT31" s="88">
        <f>'Background Data'!O97/'Background Data'!O134</f>
        <v>0.56089557247261823</v>
      </c>
      <c r="BU31" s="88">
        <f>'Background Data'!P97/'Background Data'!P134</f>
        <v>0.51900313110838825</v>
      </c>
      <c r="BV31" s="88">
        <f>'Background Data'!Q97/'Background Data'!Q134</f>
        <v>0.48018661860396378</v>
      </c>
      <c r="BW31" s="88">
        <f>'Background Data'!R97/'Background Data'!R134</f>
        <v>0.40822326665003883</v>
      </c>
      <c r="BX31" s="88">
        <f>'Background Data'!S97/'Background Data'!S134</f>
        <v>0.42326200436735251</v>
      </c>
      <c r="BY31" s="88">
        <f>'Background Data'!T97/'Background Data'!T134</f>
        <v>0.38254002169553925</v>
      </c>
      <c r="BZ31" s="282">
        <f>'Background Data'!U97/'Background Data'!U134</f>
        <v>0.43829111772269919</v>
      </c>
      <c r="CA31" s="88">
        <f>'Background Data'!V97/'Background Data'!V134</f>
        <v>6.1618299246501619E-2</v>
      </c>
    </row>
    <row r="32" spans="1:80" x14ac:dyDescent="0.35">
      <c r="A32" t="s">
        <v>400</v>
      </c>
      <c r="B32" t="s">
        <v>2261</v>
      </c>
      <c r="C32" t="s">
        <v>161</v>
      </c>
      <c r="D32">
        <v>2022</v>
      </c>
      <c r="E32" s="63" t="s">
        <v>142</v>
      </c>
      <c r="F32" s="71">
        <v>0</v>
      </c>
      <c r="G32" s="71">
        <f>IF(BH33&lt;0, 0, BH33) * (1-'Background Data'!$AJ$30*($Y$2-G$2))</f>
        <v>5.1185393759217782E-2</v>
      </c>
      <c r="H32" s="71">
        <f>IF(BI33&lt;0, 0, BI33) * (1-'Background Data'!$AJ$30*($Y$2-H$2))</f>
        <v>3.149852919636608E-2</v>
      </c>
      <c r="I32" s="71">
        <f>IF(BJ33&lt;0, 0, BJ33) * (1-'Background Data'!$AJ$30*($Y$2-I$2))</f>
        <v>1.9660692203455159E-2</v>
      </c>
      <c r="J32" s="71">
        <f>IF(BK33&lt;0, 0, BK33) * (1-'Background Data'!$AJ$30*($Y$2-J$2))</f>
        <v>7.0895415039111676E-3</v>
      </c>
      <c r="K32" s="71">
        <f>IF(BL33&lt;0, 0, BL33) * (1-'Background Data'!$AJ$30*($Y$2-K$2))</f>
        <v>1.9710665912095967E-2</v>
      </c>
      <c r="L32" s="71">
        <f>IF(BM33&lt;0, 0, BM33) * (1-'Background Data'!$AJ$30*($Y$2-L$2))</f>
        <v>3.5549319830517893E-2</v>
      </c>
      <c r="M32" s="71">
        <f>IF(BN33&lt;0, 0, BN33) * (1-'Background Data'!$AJ$30*($Y$2-M$2))</f>
        <v>3.8246846601459959E-2</v>
      </c>
      <c r="N32" s="71">
        <f>IF(BO33&lt;0, 0, BO33) * (1-'Background Data'!$AJ$30*($Y$2-N$2))</f>
        <v>2.482592151466647E-2</v>
      </c>
      <c r="O32" s="71">
        <f>IF(BP33&lt;0, 0, BP33) * (1-'Background Data'!$AJ$30*($Y$2-O$2))</f>
        <v>0</v>
      </c>
      <c r="P32" s="71">
        <f>IF(BQ33&lt;0, 0, BQ33) * (1-'Background Data'!$AJ$30*($Y$2-P$2))</f>
        <v>0</v>
      </c>
      <c r="Q32" s="71">
        <f>IF(BR33&lt;0, 0, BR33) * (1-'Background Data'!$AJ$30*($Y$2-Q$2))</f>
        <v>3.5741892783123591E-2</v>
      </c>
      <c r="R32" s="71">
        <f>IF(BS33&lt;0, 0, BS33) * (1-'Background Data'!$AJ$30*($Y$2-R$2))</f>
        <v>6.4340765752998283E-2</v>
      </c>
      <c r="S32" s="71">
        <f>IF(BT33&lt;0, 0, BT33) * (1-'Background Data'!$AJ$30*($Y$2-S$2))</f>
        <v>1.133370168804273E-2</v>
      </c>
      <c r="T32" s="71">
        <f>IF(BU33&lt;0, 0, BU33) * (1-'Background Data'!$AJ$30*($Y$2-T$2))</f>
        <v>0</v>
      </c>
      <c r="U32" s="71">
        <f>IF(BV33&lt;0, 0, BV33) * (1-'Background Data'!$AJ$30*($Y$2-U$2))</f>
        <v>0</v>
      </c>
      <c r="V32" s="71">
        <f>IF(BW33&lt;0, 0, BW33) * (1-'Background Data'!$AJ$30*($Y$2-V$2))</f>
        <v>0</v>
      </c>
      <c r="W32" s="71">
        <f>IF(BX33&lt;0, 0, BX33) * (1-'Background Data'!$AJ$30*($Y$2-W$2))</f>
        <v>2.6736434609716222E-2</v>
      </c>
      <c r="X32" s="71">
        <f>IF(BY33&lt;0, 0, BY33) * (1-'Background Data'!$AJ$30*($Y$2-X$2))</f>
        <v>0</v>
      </c>
      <c r="Y32" s="71">
        <f>IF(BZ33&lt;0, 0, BZ33) * (1-'Background Data'!$AJ$30*($Y$2-Y$2))</f>
        <v>6.8502430083677901E-2</v>
      </c>
      <c r="Z32" s="71">
        <f>IF(CA33&lt;0, 0, CA33)</f>
        <v>0</v>
      </c>
      <c r="AA32" s="300">
        <f>SUM(F32:Z32)/('Background Data'!U97/'Background Data'!U134)</f>
        <v>0.9911725742845241</v>
      </c>
      <c r="AB32" s="63" t="s">
        <v>2315</v>
      </c>
      <c r="AC32">
        <v>2</v>
      </c>
      <c r="AD32">
        <v>1</v>
      </c>
      <c r="AE32">
        <v>1</v>
      </c>
      <c r="AF32">
        <v>2</v>
      </c>
      <c r="AG32">
        <v>1</v>
      </c>
      <c r="AK32" s="57" t="s">
        <v>129</v>
      </c>
      <c r="AL32" s="477"/>
      <c r="AM32" s="70">
        <v>0</v>
      </c>
      <c r="AN32" s="70">
        <v>0</v>
      </c>
      <c r="AO32" s="70">
        <v>0</v>
      </c>
      <c r="AP32" s="70">
        <v>0</v>
      </c>
      <c r="AQ32" s="70">
        <v>0</v>
      </c>
      <c r="AR32" s="70">
        <v>0</v>
      </c>
      <c r="AS32" s="39">
        <f>('Background Data'!AA60+'Background Data'!AA67+'Background Data'!AA74)/(AS$9+AS$13+AS$19)</f>
        <v>1.1121271284877542E-3</v>
      </c>
      <c r="AT32" s="40">
        <f>('Background Data'!AB60+'Background Data'!AB67+'Background Data'!AB74)/(AT$9+AT$13+AT$19)</f>
        <v>9.4876660341555979E-4</v>
      </c>
      <c r="AU32" s="40">
        <f>('Background Data'!AC60+'Background Data'!AC67+'Background Data'!AC74)/(AU$9+AU$13+AU$19)</f>
        <v>7.8621363761926014E-4</v>
      </c>
      <c r="AV32" s="40">
        <f>('Background Data'!AD60+'Background Data'!AD67+'Background Data'!AD74)/(AV$9+AV$13+AV$19)</f>
        <v>9.9878870306224364E-4</v>
      </c>
      <c r="AW32" s="40">
        <f>('Background Data'!AE60+'Background Data'!AE67+'Background Data'!AE74)/(AW$9+AW$13+AW$19)</f>
        <v>6.4542993962107018E-4</v>
      </c>
      <c r="AX32" s="40">
        <f>('Background Data'!AF60+'Background Data'!AF67+'Background Data'!AF74)/(AX$9+AX$13+AX$19)</f>
        <v>1.9656345244931312E-3</v>
      </c>
      <c r="AY32" s="40">
        <f>('Background Data'!AG60+'Background Data'!AG67+'Background Data'!AG74)/(AY$9+AY$13+AY$19)</f>
        <v>2.1471753179070252E-3</v>
      </c>
      <c r="AZ32" s="40">
        <f>('Background Data'!AH60+'Background Data'!AH67+'Background Data'!AH74)/(AZ$9+AZ$13+AZ$19)</f>
        <v>2.8635346756152127E-3</v>
      </c>
      <c r="BA32" s="40">
        <f>('Background Data'!AI60+'Background Data'!AI67+'Background Data'!AI74)/(BA$9+BA$13+BA$19)</f>
        <v>5.5492349485708982E-3</v>
      </c>
      <c r="BB32" s="40">
        <f>('Background Data'!AJ60+'Background Data'!AJ67+'Background Data'!AJ74)/(BB$9+BB$13+BB$19)</f>
        <v>1.1809363137916491E-2</v>
      </c>
      <c r="BC32" s="46">
        <f>('Background Data'!AK60+'Background Data'!AK67+'Background Data'!AK74)/(BC$9+BC$13+BC$19)</f>
        <v>3.2689006642286737E-2</v>
      </c>
      <c r="BF32" s="90" t="s">
        <v>1101</v>
      </c>
      <c r="BG32" s="88">
        <f>BG31*'Background Data'!$AJ$30</f>
        <v>1.4128657979264235E-2</v>
      </c>
      <c r="BH32" s="88">
        <f>BH31*'Background Data'!$AJ$30</f>
        <v>1.7923152193223574E-2</v>
      </c>
      <c r="BI32" s="88">
        <f>BI31*'Background Data'!$AJ$30</f>
        <v>1.9748677571118641E-2</v>
      </c>
      <c r="BJ32" s="88">
        <f>BJ31*'Background Data'!$AJ$30</f>
        <v>2.0494723476137674E-2</v>
      </c>
      <c r="BK32" s="88">
        <f>BK31*'Background Data'!$AJ$30</f>
        <v>2.028420212719383E-2</v>
      </c>
      <c r="BL32" s="88">
        <f>BL31*'Background Data'!$AJ$30</f>
        <v>2.0839978675793364E-2</v>
      </c>
      <c r="BM32" s="88">
        <f>BM31*'Background Data'!$AJ$30</f>
        <v>2.2236449180552287E-2</v>
      </c>
      <c r="BN32" s="88">
        <f>BN31*'Background Data'!$AJ$30</f>
        <v>2.362005901905943E-2</v>
      </c>
      <c r="BO32" s="88">
        <f>BO31*'Background Data'!$AJ$30</f>
        <v>2.4139351166564457E-2</v>
      </c>
      <c r="BP32" s="88">
        <f>BP31*'Background Data'!$AJ$30</f>
        <v>2.033086581995177E-2</v>
      </c>
      <c r="BQ32" s="88">
        <f>BQ31*'Background Data'!$AJ$30</f>
        <v>1.5500978569164905E-2</v>
      </c>
      <c r="BR32" s="88">
        <f>BR31*'Background Data'!$AJ$30</f>
        <v>1.6608910773668058E-2</v>
      </c>
      <c r="BS32" s="88">
        <f>BS31*'Background Data'!$AJ$30</f>
        <v>1.8852705012502236E-2</v>
      </c>
      <c r="BT32" s="88">
        <f>BT31*'Background Data'!$AJ$30</f>
        <v>1.8696519082420607E-2</v>
      </c>
      <c r="BU32" s="88">
        <f>BU31*'Background Data'!$AJ$30</f>
        <v>1.7300104370279609E-2</v>
      </c>
      <c r="BV32" s="88">
        <f>BV31*'Background Data'!$AJ$30</f>
        <v>1.6006220620132124E-2</v>
      </c>
      <c r="BW32" s="88">
        <f>BW31*'Background Data'!$AJ$30</f>
        <v>1.3607442221667961E-2</v>
      </c>
      <c r="BX32" s="88">
        <f>BX31*'Background Data'!$AJ$30</f>
        <v>1.4108733478911751E-2</v>
      </c>
      <c r="BY32" s="88">
        <f>BY31*'Background Data'!$AJ$30</f>
        <v>1.2751334056517974E-2</v>
      </c>
      <c r="BZ32" s="88">
        <f>BZ31*'Background Data'!$AJ$30</f>
        <v>1.4609703924089973E-2</v>
      </c>
      <c r="CA32" s="88">
        <f>CA31*'Background Data'!$AJ$30</f>
        <v>2.0539433082167207E-3</v>
      </c>
      <c r="CB32" s="281" t="s">
        <v>1114</v>
      </c>
    </row>
    <row r="33" spans="1:80" x14ac:dyDescent="0.35">
      <c r="A33" t="s">
        <v>290</v>
      </c>
      <c r="B33" t="s">
        <v>2261</v>
      </c>
      <c r="C33" t="s">
        <v>161</v>
      </c>
      <c r="D33">
        <v>2022</v>
      </c>
      <c r="E33" s="63" t="s">
        <v>143</v>
      </c>
      <c r="F33" s="71">
        <f>G33 * (1-'Background Data'!$AJ$30*($Y$2-F$2))</f>
        <v>3.8962828108447156</v>
      </c>
      <c r="G33" s="71">
        <f>IF(BH37&lt;0, 0, BH37) * (1-'Background Data'!$AJ$30*($Y$2-G$2))</f>
        <v>10.626225847758315</v>
      </c>
      <c r="H33" s="71">
        <f>IF(BI37&lt;0, 0, BI37) * (1-'Background Data'!$AJ$30*($Y$2-H$2))</f>
        <v>4.2180435082182202</v>
      </c>
      <c r="I33" s="71">
        <f>IF(BJ37&lt;0, 0, BJ37) * (1-'Background Data'!$AJ$30*($Y$2-I$2))</f>
        <v>10.508215185871814</v>
      </c>
      <c r="J33" s="71">
        <f>IF(BK37&lt;0, 0, BK37) * (1-'Background Data'!$AJ$30*($Y$2-J$2))</f>
        <v>6.6033117856577235</v>
      </c>
      <c r="K33" s="71">
        <f>IF(BL37&lt;0, 0, BL37) * (1-'Background Data'!$AJ$30*($Y$2-K$2))</f>
        <v>4.5865193228977663</v>
      </c>
      <c r="L33" s="71">
        <f>IF(BM37&lt;0, 0, BM37) * (1-'Background Data'!$AJ$30*($Y$2-L$2))</f>
        <v>10.291316354910769</v>
      </c>
      <c r="M33" s="71">
        <f>IF(BN37&lt;0, 0, BN37) * (1-'Background Data'!$AJ$30*($Y$2-M$2))</f>
        <v>10.974526902738967</v>
      </c>
      <c r="N33" s="71">
        <f>IF(BO37&lt;0, 0, BO37) * (1-'Background Data'!$AJ$30*($Y$2-N$2))</f>
        <v>0</v>
      </c>
      <c r="O33" s="71">
        <f>IF(BP37&lt;0, 0, BP37) * (1-'Background Data'!$AJ$30*($Y$2-O$2))</f>
        <v>0</v>
      </c>
      <c r="P33" s="71">
        <f>IF(BQ37&lt;0, 0, BQ37) * (1-'Background Data'!$AJ$30*($Y$2-P$2))</f>
        <v>0</v>
      </c>
      <c r="Q33" s="71">
        <f>IF(BR37&lt;0, 0, BR37) * (1-'Background Data'!$AJ$30*($Y$2-Q$2))</f>
        <v>11.457275888387136</v>
      </c>
      <c r="R33" s="71">
        <f>IF(BS37&lt;0, 0, BS37) * (1-'Background Data'!$AJ$30*($Y$2-R$2))</f>
        <v>24.542902470777026</v>
      </c>
      <c r="S33" s="71">
        <f>IF(BT37&lt;0, 0, BT37) * (1-'Background Data'!$AJ$30*($Y$2-S$2))</f>
        <v>8.7542078968786878</v>
      </c>
      <c r="T33" s="71">
        <f>IF(BU37&lt;0, 0, BU37) * (1-'Background Data'!$AJ$30*($Y$2-T$2))</f>
        <v>7.611324057110167</v>
      </c>
      <c r="U33" s="71">
        <f>IF(BV37&lt;0, 0, BV37) * (1-'Background Data'!$AJ$30*($Y$2-U$2))</f>
        <v>0</v>
      </c>
      <c r="V33" s="71">
        <f>IF(BW37&lt;0, 0, BW37) * (1-'Background Data'!$AJ$30*($Y$2-V$2))</f>
        <v>0</v>
      </c>
      <c r="W33" s="71">
        <f>IF(BX37&lt;0, 0, BX37) * (1-'Background Data'!$AJ$30*($Y$2-W$2))</f>
        <v>5.940878355399029</v>
      </c>
      <c r="X33" s="71">
        <f>IF(BY37&lt;0, 0, BY37) * (1-'Background Data'!$AJ$30*($Y$2-X$2))</f>
        <v>0</v>
      </c>
      <c r="Y33" s="71">
        <f>IF(BZ37&lt;0, 0, BZ37) * (1-'Background Data'!$AJ$30*($Y$2-Y$2))</f>
        <v>5.9898384125994824</v>
      </c>
      <c r="Z33" s="71">
        <f>IF(CA37&lt;0, 0, CA37)</f>
        <v>0</v>
      </c>
      <c r="AA33" s="300">
        <f>SUM(F33:Z33)/('Background Data'!U98/'Background Data'!U135)</f>
        <v>1.101615694409362</v>
      </c>
      <c r="AB33" s="63" t="s">
        <v>2315</v>
      </c>
      <c r="AC33">
        <v>2</v>
      </c>
      <c r="AD33">
        <v>1</v>
      </c>
      <c r="AE33">
        <v>1</v>
      </c>
      <c r="AF33">
        <v>2</v>
      </c>
      <c r="AG33">
        <v>1</v>
      </c>
      <c r="AK33" s="57" t="s">
        <v>130</v>
      </c>
      <c r="AL33" s="477"/>
      <c r="AM33" s="70">
        <v>0</v>
      </c>
      <c r="AN33" s="70">
        <v>0</v>
      </c>
      <c r="AO33" s="70">
        <v>0</v>
      </c>
      <c r="AP33" s="70">
        <v>0</v>
      </c>
      <c r="AQ33" s="70">
        <v>0</v>
      </c>
      <c r="AR33" s="426">
        <v>0</v>
      </c>
      <c r="AS33" s="40">
        <f>('Background Data'!AA68+'Background Data'!AA75)/(AS$9+AS$13+AS$19)</f>
        <v>0</v>
      </c>
      <c r="AT33" s="40">
        <f>('Background Data'!AB68+'Background Data'!AB75)/(AT$9+AT$13+AT$19)</f>
        <v>0</v>
      </c>
      <c r="AU33" s="40">
        <f>('Background Data'!AC68+'Background Data'!AC75)/(AU$9+AU$13+AU$19)</f>
        <v>0</v>
      </c>
      <c r="AV33" s="40">
        <f>('Background Data'!AD68+'Background Data'!AD75)/(AV$9+AV$13+AV$19)</f>
        <v>0</v>
      </c>
      <c r="AW33" s="40">
        <f>('Background Data'!AE68+'Background Data'!AE75)/(AW$9+AW$13+AW$19)</f>
        <v>2.0820320632937746E-5</v>
      </c>
      <c r="AX33" s="40">
        <f>('Background Data'!AF68+'Background Data'!AF75)/(AX$9+AX$13+AX$19)</f>
        <v>2.6502937408896154E-4</v>
      </c>
      <c r="AY33" s="40">
        <f>('Background Data'!AG68+'Background Data'!AG75)/(AY$9+AY$13+AY$19)</f>
        <v>2.0846362309776944E-4</v>
      </c>
      <c r="AZ33" s="40">
        <f>('Background Data'!AH68+'Background Data'!AH75)/(AZ$9+AZ$13+AZ$19)</f>
        <v>5.5928411633109618E-4</v>
      </c>
      <c r="BA33" s="40">
        <f>('Background Data'!AI68+'Background Data'!AI75)/(BA$9+BA$13+BA$19)</f>
        <v>9.9839791961735822E-4</v>
      </c>
      <c r="BB33" s="40">
        <f>('Background Data'!AJ68+'Background Data'!AJ75)/(BB$9+BB$13+BB$19)</f>
        <v>1.0171930433919667E-3</v>
      </c>
      <c r="BC33" s="46">
        <f>('Background Data'!AK68+'Background Data'!AK75)/(BC$9+BC$13+BC$19)</f>
        <v>3.3833370649550961E-3</v>
      </c>
      <c r="BF33" s="90" t="s">
        <v>1109</v>
      </c>
      <c r="BG33" s="88"/>
      <c r="BH33" s="88">
        <f t="shared" ref="BH33" si="48">BH31-(BG31-BG32)</f>
        <v>0.12796348439804445</v>
      </c>
      <c r="BI33" s="88">
        <f t="shared" ref="BI33" si="49">BI31-(BH31-BH32)</f>
        <v>7.2688913530075561E-2</v>
      </c>
      <c r="BJ33" s="88">
        <f t="shared" ref="BJ33" si="50">BJ31-(BI31-BI32)</f>
        <v>4.2130054721689625E-2</v>
      </c>
      <c r="BK33" s="88">
        <f t="shared" ref="BK33" si="51">BK31-(BJ31-BJ32)</f>
        <v>1.4179083007822335E-2</v>
      </c>
      <c r="BL33" s="88">
        <f t="shared" ref="BL33" si="52">BL31-(BK31-BK32)</f>
        <v>3.6957498585179938E-2</v>
      </c>
      <c r="BM33" s="88">
        <f t="shared" ref="BM33" si="53">BM31-(BL31-BL32)</f>
        <v>6.2734093818560988E-2</v>
      </c>
      <c r="BN33" s="88">
        <f t="shared" ref="BN33" si="54">BN31-(BM31-BM32)</f>
        <v>6.3744744335766601E-2</v>
      </c>
      <c r="BO33" s="88">
        <f t="shared" ref="BO33" si="55">BO31-(BN31-BN32)</f>
        <v>3.9198823444210218E-2</v>
      </c>
      <c r="BP33" s="88">
        <f t="shared" ref="BP33" si="56">BP31-(BO31-BO32)</f>
        <v>-9.0115209231816151E-2</v>
      </c>
      <c r="BQ33" s="88">
        <f t="shared" ref="BQ33" si="57">BQ31-(BP31-BP32)</f>
        <v>-0.12456575170365419</v>
      </c>
      <c r="BR33" s="88">
        <f t="shared" ref="BR33" si="58">BR31-(BQ31-BQ32)</f>
        <v>4.8738944704259435E-2</v>
      </c>
      <c r="BS33" s="88">
        <f t="shared" ref="BS33" si="59">BS31-(BR31-BR32)</f>
        <v>8.3922737938693426E-2</v>
      </c>
      <c r="BT33" s="88">
        <f t="shared" ref="BT33" si="60">BT31-(BS31-BS32)</f>
        <v>1.4167127110053412E-2</v>
      </c>
      <c r="BU33" s="88">
        <f t="shared" ref="BU33" si="61">BU31-(BT31-BT32)</f>
        <v>-2.3195922281809334E-2</v>
      </c>
      <c r="BV33" s="88">
        <f t="shared" ref="BV33" si="62">BV31-(BU31-BU32)</f>
        <v>-2.1516408134144849E-2</v>
      </c>
      <c r="BW33" s="88">
        <f t="shared" ref="BW33" si="63">BW31-(BV31-BV32)</f>
        <v>-5.595713133379282E-2</v>
      </c>
      <c r="BX33" s="88">
        <f t="shared" ref="BX33" si="64">BX31-(BW31-BW32)</f>
        <v>2.8646179938981664E-2</v>
      </c>
      <c r="BY33" s="88">
        <f t="shared" ref="BY33" si="65">BY31-(BX31-BX32)</f>
        <v>-2.6613249192901534E-2</v>
      </c>
      <c r="BZ33" s="88">
        <f t="shared" ref="BZ33" si="66">BZ31-(BY31-BY32)</f>
        <v>6.8502430083677901E-2</v>
      </c>
      <c r="CA33" s="88">
        <f>CA31-(BZ31-BZ32)</f>
        <v>-0.3620631145521076</v>
      </c>
      <c r="CB33" s="283">
        <f>SUMIF(BH33:CA33, "&gt;0", BH33:CA33)</f>
        <v>0.70357411561701566</v>
      </c>
    </row>
    <row r="34" spans="1:80" x14ac:dyDescent="0.35">
      <c r="A34" t="s">
        <v>1997</v>
      </c>
      <c r="B34" t="s">
        <v>2261</v>
      </c>
      <c r="E34" s="63" t="s">
        <v>483</v>
      </c>
      <c r="F34" s="71"/>
      <c r="G34" s="71"/>
      <c r="H34" s="71"/>
      <c r="I34" s="71"/>
      <c r="J34" s="71"/>
      <c r="K34" s="71"/>
      <c r="L34" s="71"/>
      <c r="M34" s="71"/>
      <c r="N34" s="71"/>
      <c r="O34" s="71"/>
      <c r="P34" s="71">
        <f>P5*CapToActivity!$E$5*CapFactor!P5/'Eff Calcs'!R5 + P10*CapToActivity!$E$10*CapFactor!P10/'Eff Calcs'!R10</f>
        <v>0</v>
      </c>
      <c r="Q34" s="71">
        <f>Q5*CapToActivity!$E$5*CapFactor!Q5/'Eff Calcs'!S5 + Q10*CapToActivity!$E$10*CapFactor!Q10/'Eff Calcs'!S10</f>
        <v>6.7647528998364628E-5</v>
      </c>
      <c r="R34" s="71">
        <f>R5*CapToActivity!$E$5*CapFactor!R5/'Eff Calcs'!T5 + R10*CapToActivity!$E$10*CapFactor!R10/'Eff Calcs'!T10</f>
        <v>6.7799414139378274E-5</v>
      </c>
      <c r="S34" s="71">
        <f>S5*CapToActivity!$E$5*CapFactor!S5/'Eff Calcs'!U5 + S10*CapToActivity!$E$10*CapFactor!S10/'Eff Calcs'!U10</f>
        <v>4.5229871027447667E-4</v>
      </c>
      <c r="T34" s="71">
        <f>T5*CapToActivity!$E$5*CapFactor!T5/'Eff Calcs'!V5 + T10*CapToActivity!$E$10*CapFactor!T10/'Eff Calcs'!V10</f>
        <v>5.4663978892626538E-4</v>
      </c>
      <c r="U34" s="71">
        <f>U5*CapToActivity!$E$5*CapFactor!U5/'Eff Calcs'!W5 + U10*CapToActivity!$E$10*CapFactor!U10/'Eff Calcs'!W10</f>
        <v>4.2975302751553293E-4</v>
      </c>
      <c r="V34" s="71">
        <f>V5*CapToActivity!$E$5*CapFactor!V5/'Eff Calcs'!X5 + V10*CapToActivity!$E$10*CapFactor!V10/'Eff Calcs'!X10</f>
        <v>3.6562892755398469E-4</v>
      </c>
      <c r="W34" s="71">
        <f>W5*CapToActivity!$E$5*CapFactor!W5/'Eff Calcs'!Y5 + W10*CapToActivity!$E$10*CapFactor!W10/'Eff Calcs'!Y10</f>
        <v>7.453875241377224E-4</v>
      </c>
      <c r="X34" s="71">
        <f>X5*CapToActivity!$E$5*CapFactor!X5/'Eff Calcs'!Z5 + X10*CapToActivity!$E$10*CapFactor!X10/'Eff Calcs'!Z10</f>
        <v>2.5458132674954022E-3</v>
      </c>
      <c r="Y34" s="71">
        <f>Y5*CapToActivity!$E$5*CapFactor!Y5/'Eff Calcs'!AA5 + Y10*CapToActivity!$E$10*CapFactor!Y10/'Eff Calcs'!AA10</f>
        <v>5.7937657109220185E-3</v>
      </c>
      <c r="Z34" s="71">
        <f>Z5*CapToActivity!$E$5*CapFactor!Z5/'Eff Calcs'!AB5 + Z10*CapToActivity!$E$10*CapFactor!Z10/'Eff Calcs'!AB10</f>
        <v>5.2428142756988927E-3</v>
      </c>
      <c r="AA34" s="301"/>
      <c r="AB34" s="63" t="s">
        <v>2154</v>
      </c>
      <c r="AK34" s="33" t="s">
        <v>193</v>
      </c>
      <c r="AL34" s="477"/>
      <c r="AR34" s="63"/>
      <c r="AS34" s="56">
        <f>AS9+AS19</f>
        <v>23001</v>
      </c>
      <c r="AT34" s="56">
        <f t="shared" ref="AT34:BC34" si="67">AT9+AT19</f>
        <v>24797</v>
      </c>
      <c r="AU34" s="56">
        <f t="shared" si="67"/>
        <v>25950</v>
      </c>
      <c r="AV34" s="56">
        <f t="shared" si="67"/>
        <v>24751</v>
      </c>
      <c r="AW34" s="56">
        <f t="shared" si="67"/>
        <v>24735</v>
      </c>
      <c r="AX34" s="56">
        <f t="shared" si="67"/>
        <v>22539</v>
      </c>
      <c r="AY34" s="56">
        <f t="shared" si="67"/>
        <v>24525</v>
      </c>
      <c r="AZ34" s="56">
        <f t="shared" si="67"/>
        <v>21493</v>
      </c>
      <c r="BA34" s="56">
        <f t="shared" si="67"/>
        <v>20809</v>
      </c>
      <c r="BB34" s="56">
        <f t="shared" si="67"/>
        <v>19842</v>
      </c>
      <c r="BC34" s="56">
        <f t="shared" si="67"/>
        <v>17099</v>
      </c>
      <c r="BD34" s="35"/>
      <c r="BE34" s="35"/>
      <c r="BF34" s="33" t="s">
        <v>1113</v>
      </c>
      <c r="BG34" s="88"/>
      <c r="BH34" s="88"/>
      <c r="BI34" s="88"/>
      <c r="BJ34" s="88"/>
      <c r="BK34" s="88"/>
      <c r="BL34" s="88"/>
      <c r="BM34" s="88"/>
      <c r="BN34" s="88"/>
      <c r="BO34" s="88"/>
      <c r="BP34" s="88"/>
      <c r="BQ34" s="88"/>
      <c r="BR34" s="88"/>
      <c r="BS34" s="88"/>
      <c r="BT34" s="88"/>
      <c r="BU34" s="88"/>
      <c r="BV34" s="88"/>
      <c r="BW34" s="88"/>
      <c r="BX34" s="88"/>
      <c r="BY34" s="88"/>
      <c r="BZ34" s="88"/>
      <c r="CA34" s="88"/>
    </row>
    <row r="35" spans="1:80" x14ac:dyDescent="0.35">
      <c r="A35" t="s">
        <v>1998</v>
      </c>
      <c r="B35" t="s">
        <v>2261</v>
      </c>
      <c r="E35" s="63" t="s">
        <v>483</v>
      </c>
      <c r="F35" s="71"/>
      <c r="G35" s="71"/>
      <c r="H35" s="71"/>
      <c r="I35" s="71"/>
      <c r="J35" s="71"/>
      <c r="K35" s="71"/>
      <c r="L35" s="71"/>
      <c r="M35" s="71"/>
      <c r="N35" s="71"/>
      <c r="O35" s="71">
        <f>O27*CapToActivity!$E$27*CapFactor!O27*'Eff Calcs'!Q27</f>
        <v>0.10051353931286759</v>
      </c>
      <c r="P35" s="71">
        <f>P27*CapToActivity!$E$27*CapFactor!P27*'Eff Calcs'!R27</f>
        <v>6.3859071565537245E-2</v>
      </c>
      <c r="Q35" s="71">
        <f>Q27*CapToActivity!$E$27*CapFactor!Q27*'Eff Calcs'!S27</f>
        <v>0.12368271314607532</v>
      </c>
      <c r="R35" s="71">
        <f>R27*CapToActivity!$E$27*CapFactor!R27*'Eff Calcs'!T27</f>
        <v>0.12696189790248838</v>
      </c>
      <c r="S35" s="71">
        <f>S27*CapToActivity!$E$27*CapFactor!S27*'Eff Calcs'!U27</f>
        <v>8.3821024074457226E-2</v>
      </c>
      <c r="T35" s="71">
        <f>T27*CapToActivity!$E$27*CapFactor!T27*'Eff Calcs'!V27</f>
        <v>6.3032076391302094E-2</v>
      </c>
      <c r="U35" s="71">
        <f>U27*CapToActivity!$E$27*CapFactor!U27*'Eff Calcs'!W27</f>
        <v>0.20581299931344579</v>
      </c>
      <c r="V35" s="71">
        <f>V27*CapToActivity!$E$27*CapFactor!V27*'Eff Calcs'!X27</f>
        <v>0</v>
      </c>
      <c r="W35" s="71">
        <f>W27*CapToActivity!$E$27*CapFactor!W27*'Eff Calcs'!Y27</f>
        <v>0.1180933663884723</v>
      </c>
      <c r="X35" s="71">
        <f>X27*CapToActivity!$E$27*CapFactor!X27*'Eff Calcs'!Z27</f>
        <v>0.16111049898323257</v>
      </c>
      <c r="Y35" s="71">
        <f>Y27*CapToActivity!$E$27*CapFactor!Y27*'Eff Calcs'!AA27</f>
        <v>5.7313912485180536E-2</v>
      </c>
      <c r="Z35" s="71">
        <f>Z27*CapToActivity!$E$27*CapFactor!Z27*'Eff Calcs'!AB27</f>
        <v>7.1628155542325531E-2</v>
      </c>
      <c r="AA35" s="301"/>
      <c r="AB35" s="63" t="s">
        <v>2154</v>
      </c>
      <c r="AK35" s="57" t="s">
        <v>110</v>
      </c>
      <c r="AL35" s="477"/>
      <c r="AM35" s="427">
        <f t="shared" ref="AM35:AR35" si="68">$AS$35</f>
        <v>0.84831094300247811</v>
      </c>
      <c r="AN35" s="427">
        <f t="shared" si="68"/>
        <v>0.84831094300247811</v>
      </c>
      <c r="AO35" s="427">
        <f t="shared" si="68"/>
        <v>0.84831094300247811</v>
      </c>
      <c r="AP35" s="427">
        <f t="shared" si="68"/>
        <v>0.84831094300247811</v>
      </c>
      <c r="AQ35" s="427">
        <f t="shared" si="68"/>
        <v>0.84831094300247811</v>
      </c>
      <c r="AR35" s="428">
        <f t="shared" si="68"/>
        <v>0.84831094300247811</v>
      </c>
      <c r="AS35" s="70">
        <f>('Background Data'!AA57+'Background Data'!AA71)/(AS$9+AS$19)</f>
        <v>0.84831094300247811</v>
      </c>
      <c r="AT35" s="70">
        <f>('Background Data'!AB57+'Background Data'!AB71)/(AT$9+AT$19)</f>
        <v>0.85018348993829895</v>
      </c>
      <c r="AU35" s="70">
        <f>('Background Data'!AC57+'Background Data'!AC71)/(AU$9+AU$19)</f>
        <v>0.85672447013487474</v>
      </c>
      <c r="AV35" s="70">
        <f>('Background Data'!AD57+'Background Data'!AD71)/(AV$9+AV$19)</f>
        <v>0.85317764938790353</v>
      </c>
      <c r="AW35" s="70">
        <f>('Background Data'!AE57+'Background Data'!AE71)/(AW$9+AW$19)</f>
        <v>0.84815039417828986</v>
      </c>
      <c r="AX35" s="70">
        <f>('Background Data'!AF57+'Background Data'!AF71)/(AX$9+AX$19)</f>
        <v>0.82803141221882071</v>
      </c>
      <c r="AY35" s="70">
        <f>('Background Data'!AG57+'Background Data'!AG71)/(AY$9+AY$19)</f>
        <v>0.85447502548419985</v>
      </c>
      <c r="AZ35" s="70">
        <f>('Background Data'!AH57+'Background Data'!AH71)/(AZ$9+AZ$19)</f>
        <v>0.84269296980412223</v>
      </c>
      <c r="BA35" s="70">
        <f>('Background Data'!AI57+'Background Data'!AI71)/(BA$9+BA$19)</f>
        <v>0.85760968811571914</v>
      </c>
      <c r="BB35" s="70">
        <f>('Background Data'!AJ57+'Background Data'!AJ71)/(BB$9+BB$19)</f>
        <v>0.81660114907771397</v>
      </c>
      <c r="BC35" s="69">
        <f>('Background Data'!AK57+'Background Data'!AK71)/(BC$9+BC$19)</f>
        <v>0.77729691794841804</v>
      </c>
      <c r="BF35" s="90" t="s">
        <v>1100</v>
      </c>
      <c r="BG35" s="88">
        <f>'Background Data'!B98/'Background Data'!B135</f>
        <v>88.278062233899433</v>
      </c>
      <c r="BH35" s="88">
        <f>'Background Data'!C98/'Background Data'!C135</f>
        <v>111.90102477883191</v>
      </c>
      <c r="BI35" s="88">
        <f>'Background Data'!D98/'Background Data'!D135</f>
        <v>117.90493717696418</v>
      </c>
      <c r="BJ35" s="88">
        <f>'Background Data'!E98/'Background Data'!E135</f>
        <v>136.49237657412402</v>
      </c>
      <c r="BK35" s="88">
        <f>'Background Data'!F98/'Background Data'!F135</f>
        <v>145.14925425963534</v>
      </c>
      <c r="BL35" s="88">
        <f>'Background Data'!G98/'Background Data'!G135</f>
        <v>148.91066951474747</v>
      </c>
      <c r="BM35" s="88">
        <f>'Background Data'!H98/'Background Data'!H135</f>
        <v>162.10812703958862</v>
      </c>
      <c r="BN35" s="88">
        <f>'Background Data'!I98/'Background Data'!I135</f>
        <v>174.99540097616728</v>
      </c>
      <c r="BO35" s="88">
        <f>'Background Data'!J98/'Background Data'!J135</f>
        <v>156.44342170592316</v>
      </c>
      <c r="BP35" s="88">
        <f>'Background Data'!K98/'Background Data'!K135</f>
        <v>129.3898985260027</v>
      </c>
      <c r="BQ35" s="88">
        <f>'Background Data'!L98/'Background Data'!L135</f>
        <v>113.06461205844991</v>
      </c>
      <c r="BR35" s="88">
        <f>'Background Data'!M98/'Background Data'!M135</f>
        <v>124.9193496861204</v>
      </c>
      <c r="BS35" s="88">
        <f>'Background Data'!N98/'Background Data'!N135</f>
        <v>152.76785284687193</v>
      </c>
      <c r="BT35" s="88">
        <f>'Background Data'!O98/'Background Data'!O135</f>
        <v>158.61835095640788</v>
      </c>
      <c r="BU35" s="88">
        <f>'Background Data'!P98/'Background Data'!P135</f>
        <v>162.46466145972647</v>
      </c>
      <c r="BV35" s="88">
        <f>'Background Data'!Q98/'Background Data'!Q135</f>
        <v>146.54739091056874</v>
      </c>
      <c r="BW35" s="88">
        <f>'Background Data'!R98/'Background Data'!R135</f>
        <v>114.76884116200357</v>
      </c>
      <c r="BX35" s="88">
        <f>'Background Data'!S98/'Background Data'!S135</f>
        <v>117.30843993262621</v>
      </c>
      <c r="BY35" s="88">
        <f>'Background Data'!T98/'Background Data'!T135</f>
        <v>112.12593691847455</v>
      </c>
      <c r="BZ35" s="282">
        <f>'Background Data'!U98/'Background Data'!U135</f>
        <v>114.37824410045822</v>
      </c>
      <c r="CA35" s="88">
        <f>'Background Data'!V98/'Background Data'!V135</f>
        <v>110.00038556231709</v>
      </c>
    </row>
    <row r="36" spans="1:80" x14ac:dyDescent="0.35">
      <c r="AK36" s="57" t="s">
        <v>109</v>
      </c>
      <c r="AL36" s="477"/>
      <c r="AM36" s="427">
        <f t="shared" ref="AM36:AR36" si="69">1-AM35</f>
        <v>0.15168905699752189</v>
      </c>
      <c r="AN36" s="427">
        <f t="shared" si="69"/>
        <v>0.15168905699752189</v>
      </c>
      <c r="AO36" s="427">
        <f t="shared" si="69"/>
        <v>0.15168905699752189</v>
      </c>
      <c r="AP36" s="427">
        <f t="shared" si="69"/>
        <v>0.15168905699752189</v>
      </c>
      <c r="AQ36" s="427">
        <f t="shared" si="69"/>
        <v>0.15168905699752189</v>
      </c>
      <c r="AR36" s="428">
        <f t="shared" si="69"/>
        <v>0.15168905699752189</v>
      </c>
      <c r="AS36" s="70">
        <f>('Background Data'!AA58+'Background Data'!AA72)/(AS$9+AS$19)</f>
        <v>0.15155862788574409</v>
      </c>
      <c r="AT36" s="70">
        <f>('Background Data'!AB58+'Background Data'!AB72)/(AT$9+AT$19)</f>
        <v>0.14969552768480057</v>
      </c>
      <c r="AU36" s="70">
        <f>('Background Data'!AC58+'Background Data'!AC72)/(AU$9+AU$19)</f>
        <v>0.14319845857418112</v>
      </c>
      <c r="AV36" s="70">
        <f>('Background Data'!AD58+'Background Data'!AD72)/(AV$9+AV$19)</f>
        <v>0.14678194820411297</v>
      </c>
      <c r="AW36" s="70">
        <f>('Background Data'!AE58+'Background Data'!AE72)/(AW$9+AW$19)</f>
        <v>0.15184960582171012</v>
      </c>
      <c r="AX36" s="70">
        <f>('Background Data'!AF58+'Background Data'!AF72)/(AX$9+AX$19)</f>
        <v>0.17192422024047208</v>
      </c>
      <c r="AY36" s="70">
        <f>('Background Data'!AG58+'Background Data'!AG72)/(AY$9+AY$19)</f>
        <v>0.1454026503567788</v>
      </c>
      <c r="AZ36" s="70">
        <f>('Background Data'!AH58+'Background Data'!AH72)/(AZ$9+AZ$19)</f>
        <v>0.15702786953891965</v>
      </c>
      <c r="BA36" s="70">
        <f>('Background Data'!AI58+'Background Data'!AI72)/(BA$9+BA$19)</f>
        <v>0.14219808736604353</v>
      </c>
      <c r="BB36" s="70">
        <f>('Background Data'!AJ58+'Background Data'!AJ72)/(BB$9+BB$19)</f>
        <v>0.18324765648624131</v>
      </c>
      <c r="BC36" s="69">
        <f>('Background Data'!AK58+'Background Data'!AK72)/(BC$9+BC$19)</f>
        <v>0.19930990116381075</v>
      </c>
      <c r="BF36" s="90" t="s">
        <v>1101</v>
      </c>
      <c r="BG36" s="88">
        <f>BG35*'Background Data'!$AJ$30</f>
        <v>2.9426020744633146</v>
      </c>
      <c r="BH36" s="88">
        <f>BH35*'Background Data'!$AJ$30</f>
        <v>3.7300341592943971</v>
      </c>
      <c r="BI36" s="88">
        <f>BI35*'Background Data'!$AJ$30</f>
        <v>3.9301645725654728</v>
      </c>
      <c r="BJ36" s="88">
        <f>BJ35*'Background Data'!$AJ$30</f>
        <v>4.5497458858041337</v>
      </c>
      <c r="BK36" s="88">
        <f>BK35*'Background Data'!$AJ$30</f>
        <v>4.8383084753211776</v>
      </c>
      <c r="BL36" s="88">
        <f>BL35*'Background Data'!$AJ$30</f>
        <v>4.9636889838249152</v>
      </c>
      <c r="BM36" s="88">
        <f>BM35*'Background Data'!$AJ$30</f>
        <v>5.4036042346529545</v>
      </c>
      <c r="BN36" s="88">
        <f>BN35*'Background Data'!$AJ$30</f>
        <v>5.8331800325389089</v>
      </c>
      <c r="BO36" s="88">
        <f>BO35*'Background Data'!$AJ$30</f>
        <v>5.2147807235307715</v>
      </c>
      <c r="BP36" s="88">
        <f>BP35*'Background Data'!$AJ$30</f>
        <v>4.3129966175334236</v>
      </c>
      <c r="BQ36" s="88">
        <f>BQ35*'Background Data'!$AJ$30</f>
        <v>3.7688204019483305</v>
      </c>
      <c r="BR36" s="88">
        <f>BR35*'Background Data'!$AJ$30</f>
        <v>4.1639783228706797</v>
      </c>
      <c r="BS36" s="88">
        <f>BS35*'Background Data'!$AJ$30</f>
        <v>5.0922617615623977</v>
      </c>
      <c r="BT36" s="88">
        <f>BT35*'Background Data'!$AJ$30</f>
        <v>5.287278365213596</v>
      </c>
      <c r="BU36" s="88">
        <f>BU35*'Background Data'!$AJ$30</f>
        <v>5.4154887153242157</v>
      </c>
      <c r="BV36" s="88">
        <f>BV35*'Background Data'!$AJ$30</f>
        <v>4.8849130303522914</v>
      </c>
      <c r="BW36" s="88">
        <f>BW35*'Background Data'!$AJ$30</f>
        <v>3.825628038733452</v>
      </c>
      <c r="BX36" s="88">
        <f>BX35*'Background Data'!$AJ$30</f>
        <v>3.9102813310875404</v>
      </c>
      <c r="BY36" s="88">
        <f>BY35*'Background Data'!$AJ$30</f>
        <v>3.7375312306158182</v>
      </c>
      <c r="BZ36" s="88">
        <f>BZ35*'Background Data'!$AJ$30</f>
        <v>3.8126081366819404</v>
      </c>
      <c r="CA36" s="88">
        <f>CA35*'Background Data'!$AJ$30</f>
        <v>3.6666795187439032</v>
      </c>
      <c r="CB36" s="281" t="s">
        <v>1114</v>
      </c>
    </row>
    <row r="37" spans="1:80" x14ac:dyDescent="0.35">
      <c r="AK37" s="57" t="s">
        <v>129</v>
      </c>
      <c r="AL37" s="477"/>
      <c r="AM37" s="70">
        <v>0</v>
      </c>
      <c r="AN37" s="70">
        <v>0</v>
      </c>
      <c r="AO37" s="70">
        <v>0</v>
      </c>
      <c r="AP37" s="70">
        <v>0</v>
      </c>
      <c r="AQ37" s="70">
        <v>0</v>
      </c>
      <c r="AR37" s="426">
        <v>0</v>
      </c>
      <c r="AS37" s="70">
        <f>('Background Data'!AA60+'Background Data'!AA74)/(AS$9+AS$19)</f>
        <v>1.3042911177774878E-4</v>
      </c>
      <c r="AT37" s="70">
        <f>('Background Data'!AB60+'Background Data'!AB74)/(AT$9+AT$19)</f>
        <v>1.2098237690043151E-4</v>
      </c>
      <c r="AU37" s="70">
        <f>('Background Data'!AC60+'Background Data'!AC74)/(AU$9+AU$19)</f>
        <v>7.7071290944123321E-5</v>
      </c>
      <c r="AV37" s="70">
        <f>('Background Data'!AD60+'Background Data'!AD74)/(AV$9+AV$19)</f>
        <v>4.0402407983515817E-5</v>
      </c>
      <c r="AW37" s="70">
        <f>('Background Data'!AE60+'Background Data'!AE74)/(AW$9+AW$19)</f>
        <v>0</v>
      </c>
      <c r="AX37" s="70">
        <f>('Background Data'!AF60+'Background Data'!AF74)/(AX$9+AX$19)</f>
        <v>0</v>
      </c>
      <c r="AY37" s="70">
        <f>('Background Data'!AG60+'Background Data'!AG74)/(AY$9+AY$19)</f>
        <v>0</v>
      </c>
      <c r="AZ37" s="70">
        <f>('Background Data'!AH60+'Background Data'!AH74)/(AZ$9+AZ$19)</f>
        <v>0</v>
      </c>
      <c r="BA37" s="70">
        <f>('Background Data'!AI60+'Background Data'!AI74)/(BA$9+BA$19)</f>
        <v>0</v>
      </c>
      <c r="BB37" s="70">
        <f>('Background Data'!AJ60+'Background Data'!AJ74)/(BB$9+BB$19)</f>
        <v>0</v>
      </c>
      <c r="BC37" s="69">
        <f>('Background Data'!AK60+'Background Data'!AK74)/(BC$9+BC$19)</f>
        <v>2.2223521843382655E-2</v>
      </c>
      <c r="BF37" s="90" t="s">
        <v>1109</v>
      </c>
      <c r="BG37" s="88"/>
      <c r="BH37" s="88">
        <f t="shared" ref="BH37" si="70">BH35-(BG35-BG36)</f>
        <v>26.565564619395786</v>
      </c>
      <c r="BI37" s="88">
        <f t="shared" ref="BI37" si="71">BI35-(BH35-BH36)</f>
        <v>9.7339465574266626</v>
      </c>
      <c r="BJ37" s="88">
        <f t="shared" ref="BJ37" si="72">BJ35-(BI35-BI36)</f>
        <v>22.517603969725315</v>
      </c>
      <c r="BK37" s="88">
        <f t="shared" ref="BK37" si="73">BK35-(BJ35-BJ36)</f>
        <v>13.206623571315447</v>
      </c>
      <c r="BL37" s="88">
        <f t="shared" ref="BL37" si="74">BL35-(BK35-BK36)</f>
        <v>8.5997237304333112</v>
      </c>
      <c r="BM37" s="88">
        <f t="shared" ref="BM37" si="75">BM35-(BL35-BL36)</f>
        <v>18.161146508666064</v>
      </c>
      <c r="BN37" s="88">
        <f t="shared" ref="BN37" si="76">BN35-(BM35-BM36)</f>
        <v>18.290878171231611</v>
      </c>
      <c r="BO37" s="88">
        <f t="shared" ref="BO37" si="77">BO35-(BN35-BN36)</f>
        <v>-12.718799237705213</v>
      </c>
      <c r="BP37" s="88">
        <f t="shared" ref="BP37" si="78">BP35-(BO35-BO36)</f>
        <v>-21.838742456389696</v>
      </c>
      <c r="BQ37" s="88">
        <f t="shared" ref="BQ37" si="79">BQ35-(BP35-BP36)</f>
        <v>-12.012289850019357</v>
      </c>
      <c r="BR37" s="88">
        <f t="shared" ref="BR37" si="80">BR35-(BQ35-BQ36)</f>
        <v>15.62355802961882</v>
      </c>
      <c r="BS37" s="88">
        <f t="shared" ref="BS37" si="81">BS35-(BR35-BR36)</f>
        <v>32.01248148362221</v>
      </c>
      <c r="BT37" s="88">
        <f t="shared" ref="BT37" si="82">BT35-(BS35-BS36)</f>
        <v>10.94275987109836</v>
      </c>
      <c r="BU37" s="88">
        <f t="shared" ref="BU37" si="83">BU35-(BT35-BT36)</f>
        <v>9.1335888685322004</v>
      </c>
      <c r="BV37" s="88">
        <f t="shared" ref="BV37" si="84">BV35-(BU35-BU36)</f>
        <v>-10.501781833833519</v>
      </c>
      <c r="BW37" s="88">
        <f t="shared" ref="BW37" si="85">BW35-(BV35-BV36)</f>
        <v>-26.893636718212875</v>
      </c>
      <c r="BX37" s="88">
        <f t="shared" ref="BX37" si="86">BX35-(BW35-BW36)</f>
        <v>6.365226809356102</v>
      </c>
      <c r="BY37" s="88">
        <f t="shared" ref="BY37" si="87">BY35-(BX35-BX36)</f>
        <v>-1.2722216830641173</v>
      </c>
      <c r="BZ37" s="88">
        <f t="shared" ref="BZ37" si="88">BZ35-(BY35-BY36)</f>
        <v>5.9898384125994824</v>
      </c>
      <c r="CA37" s="88">
        <f>CA35-(BZ35-BZ36)</f>
        <v>-0.56525040145918126</v>
      </c>
      <c r="CB37" s="283">
        <f>SUMIF(BH37:CA37, "&gt;0", BH37:CA37)</f>
        <v>197.14294060302137</v>
      </c>
    </row>
    <row r="38" spans="1:80" x14ac:dyDescent="0.35">
      <c r="Z38"/>
      <c r="AK38" s="57" t="s">
        <v>130</v>
      </c>
      <c r="AL38" s="477"/>
      <c r="AM38" s="70">
        <v>0</v>
      </c>
      <c r="AN38" s="70">
        <v>0</v>
      </c>
      <c r="AO38" s="70">
        <v>0</v>
      </c>
      <c r="AP38" s="70">
        <v>0</v>
      </c>
      <c r="AQ38" s="70">
        <v>0</v>
      </c>
      <c r="AR38" s="426">
        <v>0</v>
      </c>
      <c r="AS38" s="70">
        <f>('Background Data'!AA61+'Background Data'!AA75)/(AS$9+AS$19)</f>
        <v>0</v>
      </c>
      <c r="AT38" s="70">
        <f>('Background Data'!AB61+'Background Data'!AB75)/(AT$9+AT$19)</f>
        <v>0</v>
      </c>
      <c r="AU38" s="70">
        <f>('Background Data'!AC61+'Background Data'!AC75)/(AU$9+AU$19)</f>
        <v>0</v>
      </c>
      <c r="AV38" s="70">
        <f>('Background Data'!AD61+'Background Data'!AD75)/(AV$9+AV$19)</f>
        <v>0</v>
      </c>
      <c r="AW38" s="70">
        <f>('Background Data'!AE61+'Background Data'!AE75)/(AW$9+AW$19)</f>
        <v>0</v>
      </c>
      <c r="AX38" s="70">
        <f>('Background Data'!AF61+'Background Data'!AF75)/(AX$9+AX$19)</f>
        <v>4.43675407072186E-5</v>
      </c>
      <c r="AY38" s="70">
        <f>('Background Data'!AG61+'Background Data'!AG75)/(AY$9+AY$19)</f>
        <v>1.2232415902140674E-4</v>
      </c>
      <c r="AZ38" s="70">
        <f>('Background Data'!AH61+'Background Data'!AH75)/(AZ$9+AZ$19)</f>
        <v>2.7916065695807939E-4</v>
      </c>
      <c r="BA38" s="70">
        <f>('Background Data'!AI61+'Background Data'!AI75)/(BA$9+BA$19)</f>
        <v>1.9222451823730117E-4</v>
      </c>
      <c r="BB38" s="70">
        <f>('Background Data'!AJ61+'Background Data'!AJ75)/(BB$9+BB$19)</f>
        <v>1.5119443604475356E-4</v>
      </c>
      <c r="BC38" s="69">
        <f>('Background Data'!AK61+'Background Data'!AK75)/(BC$9+BC$19)</f>
        <v>1.1696590443885607E-3</v>
      </c>
    </row>
    <row r="39" spans="1:80" x14ac:dyDescent="0.35">
      <c r="Z39"/>
    </row>
    <row r="40" spans="1:80" ht="15.5" x14ac:dyDescent="0.35">
      <c r="Z40"/>
      <c r="AK40" s="470" t="s">
        <v>2297</v>
      </c>
      <c r="AL40" s="470"/>
      <c r="AM40" s="470"/>
      <c r="AN40" s="470"/>
      <c r="AO40" s="470"/>
      <c r="AP40" s="470"/>
      <c r="AQ40" s="470"/>
      <c r="AR40" s="470"/>
      <c r="AS40" s="470"/>
      <c r="AT40" s="470"/>
      <c r="AU40" s="470"/>
      <c r="AV40" s="470"/>
      <c r="AW40" s="470"/>
      <c r="AX40" s="470"/>
      <c r="AY40" s="470"/>
      <c r="AZ40" s="470"/>
      <c r="BA40" s="470"/>
      <c r="BB40" s="470"/>
      <c r="BC40" s="189"/>
    </row>
    <row r="41" spans="1:80" ht="15" thickBot="1" x14ac:dyDescent="0.4">
      <c r="Z41"/>
      <c r="AK41" s="32" t="s">
        <v>127</v>
      </c>
      <c r="AL41" s="32" t="s">
        <v>276</v>
      </c>
      <c r="AM41" s="32">
        <v>2004</v>
      </c>
      <c r="AN41" s="32">
        <v>2005</v>
      </c>
      <c r="AO41" s="32">
        <v>2006</v>
      </c>
      <c r="AP41" s="32">
        <v>2007</v>
      </c>
      <c r="AQ41" s="32">
        <v>2008</v>
      </c>
      <c r="AR41" s="32">
        <v>2009</v>
      </c>
      <c r="AS41" s="32">
        <v>2010</v>
      </c>
      <c r="AT41" s="32">
        <v>2011</v>
      </c>
      <c r="AU41" s="32">
        <v>2012</v>
      </c>
      <c r="AV41" s="32">
        <v>2013</v>
      </c>
      <c r="AW41" s="32">
        <v>2014</v>
      </c>
      <c r="AX41" s="32">
        <v>2015</v>
      </c>
      <c r="AY41" s="32">
        <v>2016</v>
      </c>
      <c r="AZ41" s="32">
        <v>2017</v>
      </c>
      <c r="BA41" s="32">
        <v>2018</v>
      </c>
      <c r="BB41" s="32">
        <v>2019</v>
      </c>
      <c r="BC41" s="32">
        <v>2020</v>
      </c>
    </row>
    <row r="42" spans="1:80" ht="15" customHeight="1" thickTop="1" x14ac:dyDescent="0.35">
      <c r="Z42"/>
      <c r="AK42" s="33" t="s">
        <v>62</v>
      </c>
      <c r="AL42" s="476" t="s">
        <v>2300</v>
      </c>
      <c r="AM42" s="476"/>
      <c r="AN42" s="476"/>
      <c r="AO42" s="93">
        <f t="shared" ref="AO42:AP42" si="89">SUM(AO43:AO45)</f>
        <v>0.17098492085112191</v>
      </c>
      <c r="AP42" s="93">
        <f t="shared" si="89"/>
        <v>0.18401211811653512</v>
      </c>
      <c r="AQ42" s="93">
        <f>SUM(AQ43:AQ45)</f>
        <v>0.20072973837989402</v>
      </c>
      <c r="AR42" s="93">
        <f t="shared" ref="AR42:BC42" si="90">SUM(AR43:AR45)</f>
        <v>0.21370382655227704</v>
      </c>
      <c r="AS42" s="93">
        <f t="shared" si="90"/>
        <v>0.2339541526355168</v>
      </c>
      <c r="AT42" s="93">
        <f t="shared" si="90"/>
        <v>0.2251282805197195</v>
      </c>
      <c r="AU42" s="93">
        <f t="shared" si="90"/>
        <v>0.20040930275908819</v>
      </c>
      <c r="AV42" s="93">
        <f t="shared" si="90"/>
        <v>0.1889353107546943</v>
      </c>
      <c r="AW42" s="93">
        <f t="shared" si="90"/>
        <v>0.19652286846081815</v>
      </c>
      <c r="AX42" s="93">
        <f t="shared" si="90"/>
        <v>0.18314432214523543</v>
      </c>
      <c r="AY42" s="93">
        <f t="shared" si="90"/>
        <v>0.19080017645834513</v>
      </c>
      <c r="AZ42" s="93">
        <f t="shared" si="90"/>
        <v>0.12467137657723398</v>
      </c>
      <c r="BA42" s="93">
        <f t="shared" si="90"/>
        <v>0.16384231622208154</v>
      </c>
      <c r="BB42" s="93">
        <f t="shared" si="90"/>
        <v>0.18643780803448812</v>
      </c>
      <c r="BC42" s="93">
        <f t="shared" si="90"/>
        <v>0.17244253051018654</v>
      </c>
    </row>
    <row r="43" spans="1:80" x14ac:dyDescent="0.35">
      <c r="Z43"/>
      <c r="AK43" s="57" t="s">
        <v>110</v>
      </c>
      <c r="AL43" s="477"/>
      <c r="AM43" s="477"/>
      <c r="AN43" s="477"/>
      <c r="AO43" s="94">
        <f>'Eff Calcs'!$DH$4*'Background Data'!H79</f>
        <v>5.6359915069782345E-3</v>
      </c>
      <c r="AP43" s="94">
        <f>'Eff Calcs'!$DH$4*'Background Data'!I79</f>
        <v>8.563262341977863E-3</v>
      </c>
      <c r="AQ43" s="94">
        <f>'Eff Calcs'!$DH$4*'Background Data'!J79</f>
        <v>3.5801144918464344E-3</v>
      </c>
      <c r="AR43" s="94">
        <f>'Eff Calcs'!$DH$4*'Background Data'!K79</f>
        <v>4.8417855730577023E-3</v>
      </c>
      <c r="AS43" s="94">
        <f>'Eff Calcs'!$DH$4*'Background Data'!L79</f>
        <v>4.2889034180947101E-3</v>
      </c>
      <c r="AT43" s="94">
        <f>'Eff Calcs'!$DH$4*'Background Data'!M79</f>
        <v>4.6070323331518746E-3</v>
      </c>
      <c r="AU43" s="94">
        <f>'Eff Calcs'!$DH$4*'Background Data'!N79</f>
        <v>6.1650793797442503E-3</v>
      </c>
      <c r="AV43" s="94">
        <f>'Eff Calcs'!$DH$4*'Background Data'!O79</f>
        <v>6.4698120501328754E-3</v>
      </c>
      <c r="AW43" s="94">
        <f>'Eff Calcs'!$DH$4*'Background Data'!P79</f>
        <v>9.5531810313416246E-3</v>
      </c>
      <c r="AX43" s="94">
        <f>'Eff Calcs'!$DH$4*'Background Data'!Q79</f>
        <v>8.9247057814633053E-3</v>
      </c>
      <c r="AY43" s="94">
        <f>'Eff Calcs'!$DH$4*'Background Data'!R79</f>
        <v>1.0483454536109748E-2</v>
      </c>
      <c r="AZ43" s="94">
        <f>'Eff Calcs'!$DH$4*'Background Data'!S79</f>
        <v>9.936058462296728E-3</v>
      </c>
      <c r="BA43" s="94">
        <f>'Eff Calcs'!$DH$4*'Background Data'!T79</f>
        <v>8.2164271883452596E-3</v>
      </c>
      <c r="BB43" s="94">
        <f>'Eff Calcs'!$DH$4*'Background Data'!U79</f>
        <v>1.0845918641855648E-2</v>
      </c>
      <c r="BC43" s="94">
        <f>'Eff Calcs'!$DH$4*'Background Data'!V79</f>
        <v>1.0096047898623851E-2</v>
      </c>
    </row>
    <row r="44" spans="1:80" x14ac:dyDescent="0.35">
      <c r="AK44" s="57" t="s">
        <v>109</v>
      </c>
      <c r="AL44" s="477"/>
      <c r="AM44" s="477"/>
      <c r="AN44" s="477"/>
      <c r="AO44" s="94">
        <f>'Eff Calcs'!$DH$5*'Background Data'!H80</f>
        <v>0.16534892934414366</v>
      </c>
      <c r="AP44" s="94">
        <f>'Eff Calcs'!$DH$5*'Background Data'!I80</f>
        <v>0.17544885577455727</v>
      </c>
      <c r="AQ44" s="94">
        <f>'Eff Calcs'!$DH$5*'Background Data'!J80</f>
        <v>0.19714962388804758</v>
      </c>
      <c r="AR44" s="94">
        <f>'Eff Calcs'!$DH$5*'Background Data'!K80</f>
        <v>0.20781556079319935</v>
      </c>
      <c r="AS44" s="94">
        <f>'Eff Calcs'!$DH$5*'Background Data'!L80</f>
        <v>0.22932273403373687</v>
      </c>
      <c r="AT44" s="94">
        <f>'Eff Calcs'!$DH$5*'Background Data'!M80</f>
        <v>0.22052124818656763</v>
      </c>
      <c r="AU44" s="94">
        <f>'Eff Calcs'!$DH$5*'Background Data'!N80</f>
        <v>0.1936337603372971</v>
      </c>
      <c r="AV44" s="94">
        <f>'Eff Calcs'!$DH$5*'Background Data'!O80</f>
        <v>0.18173889022123835</v>
      </c>
      <c r="AW44" s="94">
        <f>'Eff Calcs'!$DH$5*'Background Data'!P80</f>
        <v>0.18143192484340498</v>
      </c>
      <c r="AX44" s="94">
        <f>'Eff Calcs'!$DH$5*'Background Data'!Q80</f>
        <v>0.155791206347943</v>
      </c>
      <c r="AY44" s="94">
        <f>'Eff Calcs'!$DH$5*'Background Data'!R80</f>
        <v>0.15189511909851461</v>
      </c>
      <c r="AZ44" s="94">
        <f>'Eff Calcs'!$DH$5*'Background Data'!S80</f>
        <v>7.0461261507703807E-2</v>
      </c>
      <c r="BA44" s="94">
        <f>'Eff Calcs'!$DH$5*'Background Data'!T80</f>
        <v>0.11438976772496001</v>
      </c>
      <c r="BB44" s="94">
        <f>'Eff Calcs'!$DH$5*'Background Data'!U80</f>
        <v>0.13367347055039819</v>
      </c>
      <c r="BC44" s="94">
        <f>'Eff Calcs'!$DH$5*'Background Data'!V80</f>
        <v>0.10351982515099878</v>
      </c>
    </row>
    <row r="45" spans="1:80" x14ac:dyDescent="0.35">
      <c r="AK45" s="57" t="s">
        <v>240</v>
      </c>
      <c r="AL45" s="477"/>
      <c r="AM45" s="477"/>
      <c r="AN45" s="477"/>
      <c r="AO45" s="94">
        <f>'Eff Calcs'!$DH$7*'Background Data'!H78</f>
        <v>0</v>
      </c>
      <c r="AP45" s="94">
        <f>'Eff Calcs'!$DH$7*'Background Data'!I78</f>
        <v>0</v>
      </c>
      <c r="AQ45" s="94">
        <f>'Eff Calcs'!$DH$7*'Background Data'!J78</f>
        <v>0</v>
      </c>
      <c r="AR45" s="94">
        <f>'Eff Calcs'!$DH$7*'Background Data'!K78</f>
        <v>1.0464801860199839E-3</v>
      </c>
      <c r="AS45" s="94">
        <f>'Eff Calcs'!$DH$7*'Background Data'!L78</f>
        <v>3.4251518368520767E-4</v>
      </c>
      <c r="AT45" s="94">
        <f>'Eff Calcs'!$DH$7*'Background Data'!M78</f>
        <v>0</v>
      </c>
      <c r="AU45" s="94">
        <f>'Eff Calcs'!$DH$7*'Background Data'!N78</f>
        <v>6.1046304204684994E-4</v>
      </c>
      <c r="AV45" s="94">
        <f>'Eff Calcs'!$DH$7*'Background Data'!O78</f>
        <v>7.2660848332308393E-4</v>
      </c>
      <c r="AW45" s="94">
        <f>'Eff Calcs'!$DH$7*'Background Data'!P78</f>
        <v>5.5377625860715532E-3</v>
      </c>
      <c r="AX45" s="94">
        <f>'Eff Calcs'!$DH$7*'Background Data'!Q78</f>
        <v>1.8428410015829129E-2</v>
      </c>
      <c r="AY45" s="94">
        <f>'Eff Calcs'!$DH$7*'Background Data'!R78</f>
        <v>2.8421602823720762E-2</v>
      </c>
      <c r="AZ45" s="94">
        <f>'Eff Calcs'!$DH$7*'Background Data'!S78</f>
        <v>4.427405660723345E-2</v>
      </c>
      <c r="BA45" s="94">
        <f>'Eff Calcs'!$DH$7*'Background Data'!T78</f>
        <v>4.1236121308776262E-2</v>
      </c>
      <c r="BB45" s="94">
        <f>'Eff Calcs'!$DH$7*'Background Data'!U78</f>
        <v>4.1918418842234295E-2</v>
      </c>
      <c r="BC45" s="94">
        <f>'Eff Calcs'!$DH$7*'Background Data'!V78</f>
        <v>5.8826657460563897E-2</v>
      </c>
    </row>
    <row r="46" spans="1:80" x14ac:dyDescent="0.35">
      <c r="AK46" s="33" t="s">
        <v>269</v>
      </c>
      <c r="AL46" s="477"/>
      <c r="AM46" s="477"/>
      <c r="AN46" s="477"/>
      <c r="AO46" s="93">
        <f t="shared" ref="AO46:AP46" si="91">SUM(AO47:AO50)</f>
        <v>0.38108036472961571</v>
      </c>
      <c r="AP46" s="93">
        <f t="shared" si="91"/>
        <v>0.46977252554927967</v>
      </c>
      <c r="AQ46" s="93">
        <f>SUM(AQ47:AQ50)</f>
        <v>0.45220087889770233</v>
      </c>
      <c r="AR46" s="93">
        <f t="shared" ref="AR46:BC46" si="92">SUM(AR47:AR50)</f>
        <v>0.51036276819441984</v>
      </c>
      <c r="AS46" s="93">
        <f t="shared" si="92"/>
        <v>0.57047972372421785</v>
      </c>
      <c r="AT46" s="93">
        <f t="shared" si="92"/>
        <v>0.5838077472116816</v>
      </c>
      <c r="AU46" s="93">
        <f t="shared" si="92"/>
        <v>0.51927539578166371</v>
      </c>
      <c r="AV46" s="93">
        <f t="shared" si="92"/>
        <v>0.5829920986305398</v>
      </c>
      <c r="AW46" s="93">
        <f t="shared" si="92"/>
        <v>0.62135878053203009</v>
      </c>
      <c r="AX46" s="93">
        <f t="shared" si="92"/>
        <v>0.56670576020334251</v>
      </c>
      <c r="AY46" s="93">
        <f t="shared" si="92"/>
        <v>0.47150378657613351</v>
      </c>
      <c r="AZ46" s="93">
        <f t="shared" si="92"/>
        <v>0.51131831302171837</v>
      </c>
      <c r="BA46" s="93">
        <f t="shared" si="92"/>
        <v>0.5276657276440716</v>
      </c>
      <c r="BB46" s="93">
        <f t="shared" si="92"/>
        <v>0.53475244792484655</v>
      </c>
      <c r="BC46" s="93">
        <f t="shared" si="92"/>
        <v>0.42218412983892983</v>
      </c>
    </row>
    <row r="47" spans="1:80" x14ac:dyDescent="0.35">
      <c r="AK47" s="57" t="s">
        <v>110</v>
      </c>
      <c r="AL47" s="477"/>
      <c r="AM47" s="477"/>
      <c r="AN47" s="477"/>
      <c r="AO47" s="94">
        <f>'Eff Calcs'!$DH$14*'Background Data'!H85</f>
        <v>2.0725928700528608E-4</v>
      </c>
      <c r="AP47" s="94">
        <f>'Eff Calcs'!$DH$14*'Background Data'!I85</f>
        <v>3.2211958635657733E-4</v>
      </c>
      <c r="AQ47" s="94">
        <f>'Eff Calcs'!$DH$14*'Background Data'!J85</f>
        <v>4.6710241999959175E-4</v>
      </c>
      <c r="AR47" s="94">
        <f>'Eff Calcs'!$DH$14*'Background Data'!K85</f>
        <v>3.8886508623226456E-4</v>
      </c>
      <c r="AS47" s="94">
        <f>'Eff Calcs'!$DH$14*'Background Data'!L85</f>
        <v>4.3587713397079208E-4</v>
      </c>
      <c r="AT47" s="94">
        <f>'Eff Calcs'!$DH$14*'Background Data'!M85</f>
        <v>4.6878556738776133E-4</v>
      </c>
      <c r="AU47" s="94">
        <f>'Eff Calcs'!$DH$14*'Background Data'!N85</f>
        <v>4.1776878965669258E-4</v>
      </c>
      <c r="AV47" s="94">
        <f>'Eff Calcs'!$DH$14*'Background Data'!O85</f>
        <v>1.4616103681473311E-3</v>
      </c>
      <c r="AW47" s="94">
        <f>'Eff Calcs'!$DH$14*'Background Data'!P85</f>
        <v>1.7805958179880066E-3</v>
      </c>
      <c r="AX47" s="94">
        <f>'Eff Calcs'!$DH$14*'Background Data'!Q85</f>
        <v>2.0053830536562989E-3</v>
      </c>
      <c r="AY47" s="94">
        <f>'Eff Calcs'!$DH$14*'Background Data'!R85</f>
        <v>2.539405092226906E-3</v>
      </c>
      <c r="AZ47" s="94">
        <f>'Eff Calcs'!$DH$14*'Background Data'!S85</f>
        <v>4.2052566899938399E-3</v>
      </c>
      <c r="BA47" s="94">
        <f>'Eff Calcs'!$DH$14*'Background Data'!T85</f>
        <v>5.2212973167971265E-3</v>
      </c>
      <c r="BB47" s="94">
        <f>'Eff Calcs'!$DH$14*'Background Data'!U85</f>
        <v>5.7475420536430887E-3</v>
      </c>
      <c r="BC47" s="94">
        <f>'Eff Calcs'!$DH$14*'Background Data'!V85</f>
        <v>5.4506696781090533E-3</v>
      </c>
    </row>
    <row r="48" spans="1:80" x14ac:dyDescent="0.35">
      <c r="AK48" s="57" t="s">
        <v>109</v>
      </c>
      <c r="AL48" s="477"/>
      <c r="AM48" s="477"/>
      <c r="AN48" s="477"/>
      <c r="AO48" s="94">
        <f>'Eff Calcs'!$DH$15*'Background Data'!H86</f>
        <v>0.30279735614613007</v>
      </c>
      <c r="AP48" s="94">
        <f>'Eff Calcs'!$DH$15*'Background Data'!I86</f>
        <v>0.37506845477848239</v>
      </c>
      <c r="AQ48" s="94">
        <f>'Eff Calcs'!$DH$15*'Background Data'!J86</f>
        <v>0.38259525774011599</v>
      </c>
      <c r="AR48" s="94">
        <f>'Eff Calcs'!$DH$15*'Background Data'!K86</f>
        <v>0.43595650888003556</v>
      </c>
      <c r="AS48" s="94">
        <f>'Eff Calcs'!$DH$15*'Background Data'!L86</f>
        <v>0.48616642057695486</v>
      </c>
      <c r="AT48" s="94">
        <f>'Eff Calcs'!$DH$15*'Background Data'!M86</f>
        <v>0.47108969169094822</v>
      </c>
      <c r="AU48" s="94">
        <f>'Eff Calcs'!$DH$15*'Background Data'!N86</f>
        <v>0.43005681030250192</v>
      </c>
      <c r="AV48" s="94">
        <f>'Eff Calcs'!$DH$15*'Background Data'!O86</f>
        <v>0.49075242842197875</v>
      </c>
      <c r="AW48" s="94">
        <f>'Eff Calcs'!$DH$15*'Background Data'!P86</f>
        <v>0.48580940760405461</v>
      </c>
      <c r="AX48" s="94">
        <f>'Eff Calcs'!$DH$15*'Background Data'!Q86</f>
        <v>0.45121494803648643</v>
      </c>
      <c r="AY48" s="94">
        <f>'Eff Calcs'!$DH$15*'Background Data'!R86</f>
        <v>0.35610003375694138</v>
      </c>
      <c r="AZ48" s="94">
        <f>'Eff Calcs'!$DH$15*'Background Data'!S86</f>
        <v>0.38068002173898741</v>
      </c>
      <c r="BA48" s="94">
        <f>'Eff Calcs'!$DH$15*'Background Data'!T86</f>
        <v>0.39850552764439634</v>
      </c>
      <c r="BB48" s="94">
        <f>'Eff Calcs'!$DH$15*'Background Data'!U86</f>
        <v>0.4097050510703199</v>
      </c>
      <c r="BC48" s="94">
        <f>'Eff Calcs'!$DH$15*'Background Data'!V86</f>
        <v>0.31004570849019525</v>
      </c>
    </row>
    <row r="49" spans="37:55" x14ac:dyDescent="0.35">
      <c r="AK49" s="57" t="s">
        <v>240</v>
      </c>
      <c r="AL49" s="477"/>
      <c r="AM49" s="477"/>
      <c r="AN49" s="477"/>
      <c r="AO49" s="94">
        <f>'Eff Calcs'!$DH$17*'Background Data'!H84</f>
        <v>2.5277368180573333E-3</v>
      </c>
      <c r="AP49" s="94">
        <f>'Eff Calcs'!$DH$17*'Background Data'!I84</f>
        <v>2.8526283740435304E-3</v>
      </c>
      <c r="AQ49" s="94">
        <f>'Eff Calcs'!$DH$17*'Background Data'!J84</f>
        <v>2.7226835917203338E-3</v>
      </c>
      <c r="AR49" s="94">
        <f>'Eff Calcs'!$DH$17*'Background Data'!K84</f>
        <v>2.2052724766840068E-3</v>
      </c>
      <c r="AS49" s="94">
        <f>'Eff Calcs'!$DH$17*'Background Data'!L84</f>
        <v>2.5180279596058509E-3</v>
      </c>
      <c r="AT49" s="94">
        <f>'Eff Calcs'!$DH$17*'Background Data'!M84</f>
        <v>6.6065821744518295E-3</v>
      </c>
      <c r="AU49" s="94">
        <f>'Eff Calcs'!$DH$17*'Background Data'!N84</f>
        <v>1.0762210393112015E-2</v>
      </c>
      <c r="AV49" s="94">
        <f>'Eff Calcs'!$DH$17*'Background Data'!O84</f>
        <v>1.1286607150204896E-2</v>
      </c>
      <c r="AW49" s="94">
        <f>'Eff Calcs'!$DH$17*'Background Data'!P84</f>
        <v>4.5767795541714472E-2</v>
      </c>
      <c r="AX49" s="94">
        <f>'Eff Calcs'!$DH$17*'Background Data'!Q84</f>
        <v>3.4201525907821745E-2</v>
      </c>
      <c r="AY49" s="94">
        <f>'Eff Calcs'!$DH$17*'Background Data'!R84</f>
        <v>3.5033290915403026E-2</v>
      </c>
      <c r="AZ49" s="94">
        <f>'Eff Calcs'!$DH$17*'Background Data'!S84</f>
        <v>4.0507547872772498E-2</v>
      </c>
      <c r="BA49" s="94">
        <f>'Eff Calcs'!$DH$17*'Background Data'!T84</f>
        <v>3.7390767508420943E-2</v>
      </c>
      <c r="BB49" s="94">
        <f>'Eff Calcs'!$DH$17*'Background Data'!U84</f>
        <v>3.4827214474734663E-2</v>
      </c>
      <c r="BC49" s="94">
        <f>'Eff Calcs'!$DH$17*'Background Data'!V84</f>
        <v>2.5743452586600907E-2</v>
      </c>
    </row>
    <row r="50" spans="37:55" x14ac:dyDescent="0.35">
      <c r="AK50" s="57" t="s">
        <v>68</v>
      </c>
      <c r="AL50" s="477"/>
      <c r="AM50" s="477"/>
      <c r="AN50" s="477"/>
      <c r="AO50" s="94">
        <f>'Eff Calcs'!$DH$21*'Background Data'!H83</f>
        <v>7.5548012478423049E-2</v>
      </c>
      <c r="AP50" s="94">
        <f>'Eff Calcs'!$DH$21*'Background Data'!I83</f>
        <v>9.1529322810397148E-2</v>
      </c>
      <c r="AQ50" s="94">
        <f>'Eff Calcs'!$DH$21*'Background Data'!J83</f>
        <v>6.6415835145866423E-2</v>
      </c>
      <c r="AR50" s="94">
        <f>'Eff Calcs'!$DH$21*'Background Data'!K83</f>
        <v>7.1812121751468061E-2</v>
      </c>
      <c r="AS50" s="94">
        <f>'Eff Calcs'!$DH$21*'Background Data'!L83</f>
        <v>8.135939805368636E-2</v>
      </c>
      <c r="AT50" s="94">
        <f>'Eff Calcs'!$DH$21*'Background Data'!M83</f>
        <v>0.10564268777889377</v>
      </c>
      <c r="AU50" s="94">
        <f>'Eff Calcs'!$DH$21*'Background Data'!N83</f>
        <v>7.8038606296393032E-2</v>
      </c>
      <c r="AV50" s="94">
        <f>'Eff Calcs'!$DH$21*'Background Data'!O83</f>
        <v>7.9491452690208866E-2</v>
      </c>
      <c r="AW50" s="94">
        <f>'Eff Calcs'!$DH$21*'Background Data'!P83</f>
        <v>8.8000981568273004E-2</v>
      </c>
      <c r="AX50" s="94">
        <f>'Eff Calcs'!$DH$21*'Background Data'!Q83</f>
        <v>7.9283903205378037E-2</v>
      </c>
      <c r="AY50" s="94">
        <f>'Eff Calcs'!$DH$21*'Background Data'!R83</f>
        <v>7.7831056811562202E-2</v>
      </c>
      <c r="AZ50" s="94">
        <f>'Eff Calcs'!$DH$21*'Background Data'!S83</f>
        <v>8.5925486719964667E-2</v>
      </c>
      <c r="BA50" s="94">
        <f>'Eff Calcs'!$DH$21*'Background Data'!T83</f>
        <v>8.6548135174457169E-2</v>
      </c>
      <c r="BB50" s="94">
        <f>'Eff Calcs'!$DH$21*'Background Data'!U83</f>
        <v>8.4472640326148846E-2</v>
      </c>
      <c r="BC50" s="94">
        <f>'Eff Calcs'!$DH$21*'Background Data'!V83</f>
        <v>8.0944299084024701E-2</v>
      </c>
    </row>
    <row r="51" spans="37:55" x14ac:dyDescent="0.35">
      <c r="AK51" s="33" t="s">
        <v>285</v>
      </c>
      <c r="AL51" s="477"/>
      <c r="AM51" s="477"/>
      <c r="AN51" s="477"/>
      <c r="AO51" s="93">
        <f t="shared" ref="AO51:AP51" si="93">SUM(AO52:AO53)</f>
        <v>8.3156247106186548E-2</v>
      </c>
      <c r="AP51" s="93">
        <f t="shared" si="93"/>
        <v>9.634696914001753E-2</v>
      </c>
      <c r="AQ51" s="93">
        <f>SUM(AQ52:AQ53)</f>
        <v>9.600050935256442E-2</v>
      </c>
      <c r="AR51" s="93">
        <f t="shared" ref="AR51:BC51" si="94">SUM(AR52:AR53)</f>
        <v>7.8953806304737681E-2</v>
      </c>
      <c r="AS51" s="93">
        <f t="shared" si="94"/>
        <v>8.3808766504112092E-2</v>
      </c>
      <c r="AT51" s="93">
        <f t="shared" si="94"/>
        <v>7.5483323162694821E-2</v>
      </c>
      <c r="AU51" s="93">
        <f t="shared" si="94"/>
        <v>7.3443769571553769E-2</v>
      </c>
      <c r="AV51" s="93">
        <f t="shared" si="94"/>
        <v>8.682298721484065E-2</v>
      </c>
      <c r="AW51" s="93">
        <f t="shared" si="94"/>
        <v>9.741514519341174E-2</v>
      </c>
      <c r="AX51" s="93">
        <f t="shared" si="94"/>
        <v>7.5895690236322796E-2</v>
      </c>
      <c r="AY51" s="93">
        <f t="shared" si="94"/>
        <v>5.8143474683106058E-2</v>
      </c>
      <c r="AZ51" s="93">
        <f t="shared" si="94"/>
        <v>3.7425662550743109E-2</v>
      </c>
      <c r="BA51" s="93">
        <f t="shared" si="94"/>
        <v>3.18334890709751E-2</v>
      </c>
      <c r="BB51" s="93">
        <f t="shared" si="94"/>
        <v>3.1505995778822071E-2</v>
      </c>
      <c r="BC51" s="93">
        <f t="shared" si="94"/>
        <v>2.6864562850722352E-2</v>
      </c>
    </row>
    <row r="52" spans="37:55" x14ac:dyDescent="0.35">
      <c r="AK52" s="57" t="s">
        <v>110</v>
      </c>
      <c r="AL52" s="477"/>
      <c r="AM52" s="477"/>
      <c r="AN52" s="477"/>
      <c r="AO52" s="94">
        <f>'Background Data'!H90*'Eff Calcs'!$DH$24</f>
        <v>1.6420281855832385E-3</v>
      </c>
      <c r="AP52" s="94">
        <f>'Background Data'!I90*'Eff Calcs'!$DH$24</f>
        <v>1.5622943757343205E-3</v>
      </c>
      <c r="AQ52" s="94">
        <f>'Background Data'!J90*'Eff Calcs'!$DH$24</f>
        <v>1.624231033828081E-3</v>
      </c>
      <c r="AR52" s="94">
        <f>'Background Data'!K90*'Eff Calcs'!$DH$24</f>
        <v>1.4476087588283421E-3</v>
      </c>
      <c r="AS52" s="94">
        <f>'Background Data'!L90*'Eff Calcs'!$DH$24</f>
        <v>1.4005780184500923E-3</v>
      </c>
      <c r="AT52" s="94">
        <f>'Background Data'!M90*'Eff Calcs'!$DH$24</f>
        <v>1.20127561865046E-3</v>
      </c>
      <c r="AU52" s="94">
        <f>'Background Data'!N90*'Eff Calcs'!$DH$24</f>
        <v>1.618962562911392E-3</v>
      </c>
      <c r="AV52" s="94">
        <f>'Background Data'!O90*'Eff Calcs'!$DH$24</f>
        <v>2.6221565250234037E-3</v>
      </c>
      <c r="AW52" s="94">
        <f>'Background Data'!P90*'Eff Calcs'!$DH$24</f>
        <v>2.9726383402738856E-3</v>
      </c>
      <c r="AX52" s="94">
        <f>'Background Data'!Q90*'Eff Calcs'!$DH$24</f>
        <v>2.4986687067078349E-3</v>
      </c>
      <c r="AY52" s="94">
        <f>'Background Data'!R90*'Eff Calcs'!$DH$24</f>
        <v>2.5142813705219262E-3</v>
      </c>
      <c r="AZ52" s="94">
        <f>'Background Data'!S90*'Eff Calcs'!$DH$24</f>
        <v>3.6287557183376658E-3</v>
      </c>
      <c r="BA52" s="94">
        <f>'Background Data'!T90*'Eff Calcs'!$DH$24</f>
        <v>3.4424959965391054E-3</v>
      </c>
      <c r="BB52" s="94">
        <f>'Background Data'!U90*'Eff Calcs'!$DH$24</f>
        <v>4.3906922622525078E-3</v>
      </c>
      <c r="BC52" s="94">
        <f>'Background Data'!V90*'Eff Calcs'!$DH$24</f>
        <v>3.5986868843253419E-3</v>
      </c>
    </row>
    <row r="53" spans="37:55" x14ac:dyDescent="0.35">
      <c r="AK53" s="57" t="s">
        <v>109</v>
      </c>
      <c r="AL53" s="477"/>
      <c r="AM53" s="477"/>
      <c r="AN53" s="477"/>
      <c r="AO53" s="94">
        <f>'Background Data'!H91*'Eff Calcs'!$DH$25</f>
        <v>8.1514218920603315E-2</v>
      </c>
      <c r="AP53" s="94">
        <f>'Background Data'!I91*'Eff Calcs'!$DH$25</f>
        <v>9.4784674764283205E-2</v>
      </c>
      <c r="AQ53" s="94">
        <f>'Background Data'!J91*'Eff Calcs'!$DH$25</f>
        <v>9.4376278318736337E-2</v>
      </c>
      <c r="AR53" s="94">
        <f>'Background Data'!K91*'Eff Calcs'!$DH$25</f>
        <v>7.7506197545909344E-2</v>
      </c>
      <c r="AS53" s="94">
        <f>'Background Data'!L91*'Eff Calcs'!$DH$25</f>
        <v>8.2408188485662004E-2</v>
      </c>
      <c r="AT53" s="94">
        <f>'Background Data'!M91*'Eff Calcs'!$DH$25</f>
        <v>7.4282047544044355E-2</v>
      </c>
      <c r="AU53" s="94">
        <f>'Background Data'!N91*'Eff Calcs'!$DH$25</f>
        <v>7.1824807008642383E-2</v>
      </c>
      <c r="AV53" s="94">
        <f>'Background Data'!O91*'Eff Calcs'!$DH$25</f>
        <v>8.4200830689817249E-2</v>
      </c>
      <c r="AW53" s="94">
        <f>'Background Data'!P91*'Eff Calcs'!$DH$25</f>
        <v>9.4442506853137848E-2</v>
      </c>
      <c r="AX53" s="94">
        <f>'Background Data'!Q91*'Eff Calcs'!$DH$25</f>
        <v>7.3397021529614956E-2</v>
      </c>
      <c r="AY53" s="94">
        <f>'Background Data'!R91*'Eff Calcs'!$DH$25</f>
        <v>5.5629193312584133E-2</v>
      </c>
      <c r="AZ53" s="94">
        <f>'Background Data'!S91*'Eff Calcs'!$DH$25</f>
        <v>3.3796906832405445E-2</v>
      </c>
      <c r="BA53" s="94">
        <f>'Background Data'!T91*'Eff Calcs'!$DH$25</f>
        <v>2.8390993074435992E-2</v>
      </c>
      <c r="BB53" s="94">
        <f>'Background Data'!U91*'Eff Calcs'!$DH$25</f>
        <v>2.7115303516569565E-2</v>
      </c>
      <c r="BC53" s="94">
        <f>'Background Data'!V91*'Eff Calcs'!$DH$25</f>
        <v>2.3265875966397009E-2</v>
      </c>
    </row>
  </sheetData>
  <mergeCells count="19">
    <mergeCell ref="F1:Z1"/>
    <mergeCell ref="AC1:AG1"/>
    <mergeCell ref="AK1:BC1"/>
    <mergeCell ref="AL3:AL24"/>
    <mergeCell ref="AM10:AR23"/>
    <mergeCell ref="AA21:AA23"/>
    <mergeCell ref="AA24:AA27"/>
    <mergeCell ref="AA1:AA2"/>
    <mergeCell ref="AL42:AN53"/>
    <mergeCell ref="BF20:CA20"/>
    <mergeCell ref="BF1:BX1"/>
    <mergeCell ref="AK40:BB40"/>
    <mergeCell ref="AA28:AA29"/>
    <mergeCell ref="AA3:AA7"/>
    <mergeCell ref="AA8:AA12"/>
    <mergeCell ref="AA13:AA16"/>
    <mergeCell ref="AA17:AA18"/>
    <mergeCell ref="AL28:AL38"/>
    <mergeCell ref="AL25:AL27"/>
  </mergeCells>
  <conditionalFormatting sqref="F3:Z35">
    <cfRule type="cellIs" dxfId="7" priority="1" operator="between">
      <formula>0.000001</formula>
      <formula>0.001</formula>
    </cfRule>
    <cfRule type="cellIs" dxfId="6" priority="2"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C38:C150 C3:C35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tabColor theme="9" tint="0.59999389629810485"/>
    <pageSetUpPr autoPageBreaks="0"/>
  </sheetPr>
  <dimension ref="A1:G102"/>
  <sheetViews>
    <sheetView topLeftCell="A78" workbookViewId="0">
      <selection activeCell="B102" sqref="B102"/>
    </sheetView>
  </sheetViews>
  <sheetFormatPr defaultRowHeight="14.5" x14ac:dyDescent="0.35"/>
  <cols>
    <col min="1" max="1" width="24.1796875" bestFit="1" customWidth="1"/>
    <col min="2" max="2" width="11.7265625" style="87" bestFit="1" customWidth="1"/>
    <col min="3" max="3" width="14.453125" customWidth="1"/>
    <col min="4" max="4" width="11.453125" style="63" bestFit="1" customWidth="1"/>
    <col min="5" max="5" width="18.54296875" customWidth="1"/>
    <col min="6" max="6" width="24.453125" style="302" customWidth="1"/>
    <col min="7" max="7" width="172.1796875" style="63" customWidth="1"/>
  </cols>
  <sheetData>
    <row r="1" spans="1:7" ht="15.5" x14ac:dyDescent="0.35">
      <c r="A1" s="1"/>
      <c r="B1" s="386"/>
      <c r="C1" s="1"/>
      <c r="D1" s="128"/>
      <c r="E1" s="189"/>
      <c r="F1" s="484" t="s">
        <v>1248</v>
      </c>
      <c r="G1" s="128"/>
    </row>
    <row r="2" spans="1:7" ht="15" thickBot="1" x14ac:dyDescent="0.4">
      <c r="A2" s="12" t="s">
        <v>94</v>
      </c>
      <c r="B2" s="304" t="s">
        <v>95</v>
      </c>
      <c r="C2" s="12" t="s">
        <v>1162</v>
      </c>
      <c r="D2" s="13" t="s">
        <v>1163</v>
      </c>
      <c r="E2" s="12" t="s">
        <v>1164</v>
      </c>
      <c r="F2" s="485"/>
      <c r="G2" s="13" t="s">
        <v>93</v>
      </c>
    </row>
    <row r="3" spans="1:7" ht="15" thickTop="1" x14ac:dyDescent="0.35">
      <c r="A3" t="s">
        <v>1083</v>
      </c>
      <c r="B3" s="87" t="s">
        <v>2261</v>
      </c>
      <c r="C3" t="s">
        <v>1099</v>
      </c>
      <c r="D3" s="63" t="s">
        <v>142</v>
      </c>
      <c r="E3" s="95">
        <f>100*8760*4*1000/1000000000</f>
        <v>3.504</v>
      </c>
      <c r="F3" s="488">
        <f>(E3*'Background Data'!U10)/('Background Data'!U21/1000)</f>
        <v>175.43536627621091</v>
      </c>
      <c r="G3" s="63" t="s">
        <v>2322</v>
      </c>
    </row>
    <row r="4" spans="1:7" x14ac:dyDescent="0.35">
      <c r="A4" t="s">
        <v>28</v>
      </c>
      <c r="B4" s="87" t="s">
        <v>2261</v>
      </c>
      <c r="C4" t="s">
        <v>1099</v>
      </c>
      <c r="D4" s="63" t="s">
        <v>142</v>
      </c>
      <c r="E4" s="95">
        <f>100*8760*4*1000/1000000000</f>
        <v>3.504</v>
      </c>
      <c r="F4" s="486"/>
      <c r="G4" s="63" t="s">
        <v>2322</v>
      </c>
    </row>
    <row r="5" spans="1:7" x14ac:dyDescent="0.35">
      <c r="A5" t="s">
        <v>2197</v>
      </c>
      <c r="B5" s="87" t="s">
        <v>2261</v>
      </c>
      <c r="C5" t="s">
        <v>1099</v>
      </c>
      <c r="D5" s="63" t="s">
        <v>142</v>
      </c>
      <c r="E5" s="95">
        <f>100*8760*4*1000/1000000000</f>
        <v>3.504</v>
      </c>
      <c r="F5" s="486"/>
      <c r="G5" s="63" t="s">
        <v>2322</v>
      </c>
    </row>
    <row r="6" spans="1:7" x14ac:dyDescent="0.35">
      <c r="A6" t="s">
        <v>1084</v>
      </c>
      <c r="B6" s="87" t="s">
        <v>2261</v>
      </c>
      <c r="C6" t="s">
        <v>1099</v>
      </c>
      <c r="D6" s="63" t="s">
        <v>142</v>
      </c>
      <c r="E6" s="95">
        <f>100*8760*4*1000/1000000000</f>
        <v>3.504</v>
      </c>
      <c r="F6" s="486"/>
      <c r="G6" s="63" t="s">
        <v>2322</v>
      </c>
    </row>
    <row r="7" spans="1:7" x14ac:dyDescent="0.35">
      <c r="A7" t="s">
        <v>1095</v>
      </c>
      <c r="B7" s="87" t="s">
        <v>2261</v>
      </c>
      <c r="C7" t="s">
        <v>1099</v>
      </c>
      <c r="D7" s="63" t="s">
        <v>142</v>
      </c>
      <c r="E7" s="95">
        <f>100*8760*4*1000/1000000000</f>
        <v>3.504</v>
      </c>
      <c r="F7" s="486"/>
      <c r="G7" s="63" t="s">
        <v>2322</v>
      </c>
    </row>
    <row r="8" spans="1:7" x14ac:dyDescent="0.35">
      <c r="A8" t="s">
        <v>1085</v>
      </c>
      <c r="B8" s="87" t="s">
        <v>2261</v>
      </c>
      <c r="C8" t="s">
        <v>1099</v>
      </c>
      <c r="D8" s="63" t="s">
        <v>142</v>
      </c>
      <c r="E8" s="95">
        <f>100*8760*5*1000/1000000000</f>
        <v>4.38</v>
      </c>
      <c r="F8" s="486">
        <f>(E8*'Background Data'!U11)/('Background Data'!U22/1000)</f>
        <v>197.18507433115195</v>
      </c>
      <c r="G8" s="63" t="s">
        <v>2323</v>
      </c>
    </row>
    <row r="9" spans="1:7" x14ac:dyDescent="0.35">
      <c r="A9" t="s">
        <v>408</v>
      </c>
      <c r="B9" s="87" t="s">
        <v>2261</v>
      </c>
      <c r="C9" t="s">
        <v>1099</v>
      </c>
      <c r="D9" s="63" t="s">
        <v>142</v>
      </c>
      <c r="E9" s="95">
        <f>100*8760*5*1000/1000000000</f>
        <v>4.38</v>
      </c>
      <c r="F9" s="486"/>
      <c r="G9" s="63" t="s">
        <v>2323</v>
      </c>
    </row>
    <row r="10" spans="1:7" ht="15" customHeight="1" x14ac:dyDescent="0.35">
      <c r="A10" t="s">
        <v>2198</v>
      </c>
      <c r="B10" s="87" t="s">
        <v>2261</v>
      </c>
      <c r="C10" t="s">
        <v>1099</v>
      </c>
      <c r="D10" s="63" t="s">
        <v>142</v>
      </c>
      <c r="E10" s="95">
        <f>100*8760*5*1000/1000000000</f>
        <v>4.38</v>
      </c>
      <c r="F10" s="486"/>
      <c r="G10" s="63" t="s">
        <v>2323</v>
      </c>
    </row>
    <row r="11" spans="1:7" x14ac:dyDescent="0.35">
      <c r="A11" t="s">
        <v>1086</v>
      </c>
      <c r="B11" s="87" t="s">
        <v>2261</v>
      </c>
      <c r="C11" t="s">
        <v>1099</v>
      </c>
      <c r="D11" s="63" t="s">
        <v>142</v>
      </c>
      <c r="E11" s="95">
        <f>100*8760*5*1000/1000000000</f>
        <v>4.38</v>
      </c>
      <c r="F11" s="486"/>
      <c r="G11" s="63" t="s">
        <v>2323</v>
      </c>
    </row>
    <row r="12" spans="1:7" x14ac:dyDescent="0.35">
      <c r="A12" t="s">
        <v>1096</v>
      </c>
      <c r="B12" s="87" t="s">
        <v>2261</v>
      </c>
      <c r="C12" t="s">
        <v>1099</v>
      </c>
      <c r="D12" s="63" t="s">
        <v>142</v>
      </c>
      <c r="E12" s="95">
        <f>100*8760*5*1000/1000000000</f>
        <v>4.38</v>
      </c>
      <c r="F12" s="487"/>
      <c r="G12" s="63" t="s">
        <v>2323</v>
      </c>
    </row>
    <row r="13" spans="1:7" s="293" customFormat="1" x14ac:dyDescent="0.35">
      <c r="A13" s="293" t="s">
        <v>1087</v>
      </c>
      <c r="B13" s="412" t="s">
        <v>2261</v>
      </c>
      <c r="C13" s="293" t="s">
        <v>1099</v>
      </c>
      <c r="D13" s="294" t="s">
        <v>143</v>
      </c>
      <c r="E13" s="295">
        <f>100*8760*1000/1000000000</f>
        <v>0.876</v>
      </c>
      <c r="F13" s="489">
        <f>(E13*'Background Data'!U12)/('Background Data'!U23/1000)</f>
        <v>104.36987969200203</v>
      </c>
      <c r="G13" s="298" t="s">
        <v>2324</v>
      </c>
    </row>
    <row r="14" spans="1:7" x14ac:dyDescent="0.35">
      <c r="A14" t="s">
        <v>409</v>
      </c>
      <c r="B14" s="87" t="s">
        <v>2261</v>
      </c>
      <c r="C14" t="s">
        <v>1099</v>
      </c>
      <c r="D14" t="s">
        <v>143</v>
      </c>
      <c r="E14" s="296">
        <f>100*8760*1000/1000000000</f>
        <v>0.876</v>
      </c>
      <c r="F14" s="490"/>
      <c r="G14" s="66" t="s">
        <v>2324</v>
      </c>
    </row>
    <row r="15" spans="1:7" x14ac:dyDescent="0.35">
      <c r="A15" t="s">
        <v>1088</v>
      </c>
      <c r="B15" s="87" t="s">
        <v>2261</v>
      </c>
      <c r="C15" t="s">
        <v>1099</v>
      </c>
      <c r="D15" t="s">
        <v>143</v>
      </c>
      <c r="E15" s="296">
        <f>100*8760*1000/1000000000</f>
        <v>0.876</v>
      </c>
      <c r="F15" s="490"/>
      <c r="G15" s="66" t="s">
        <v>2324</v>
      </c>
    </row>
    <row r="16" spans="1:7" x14ac:dyDescent="0.35">
      <c r="A16" t="s">
        <v>1097</v>
      </c>
      <c r="B16" s="87" t="s">
        <v>2261</v>
      </c>
      <c r="C16" t="s">
        <v>1099</v>
      </c>
      <c r="D16" s="63" t="s">
        <v>143</v>
      </c>
      <c r="E16" s="296">
        <f>100*8760*1000/1000000000</f>
        <v>0.876</v>
      </c>
      <c r="F16" s="486"/>
      <c r="G16" s="66" t="s">
        <v>2324</v>
      </c>
    </row>
    <row r="17" spans="1:7" x14ac:dyDescent="0.35">
      <c r="A17" t="s">
        <v>1089</v>
      </c>
      <c r="B17" s="87" t="s">
        <v>2261</v>
      </c>
      <c r="C17" t="s">
        <v>1099</v>
      </c>
      <c r="D17" s="63" t="s">
        <v>143</v>
      </c>
      <c r="E17" s="296">
        <f>100*8760*3*1000/1000000000</f>
        <v>2.6280000000000001</v>
      </c>
      <c r="F17" s="486">
        <f>(E17*'Background Data'!U13)/('Background Data'!U24/1000)</f>
        <v>70.158296564821512</v>
      </c>
      <c r="G17" s="66" t="s">
        <v>2325</v>
      </c>
    </row>
    <row r="18" spans="1:7" x14ac:dyDescent="0.35">
      <c r="A18" t="s">
        <v>29</v>
      </c>
      <c r="B18" s="87" t="s">
        <v>2261</v>
      </c>
      <c r="C18" t="s">
        <v>1099</v>
      </c>
      <c r="D18" s="63" t="s">
        <v>143</v>
      </c>
      <c r="E18" s="296">
        <f>100*8760*3*1000/1000000000</f>
        <v>2.6280000000000001</v>
      </c>
      <c r="F18" s="486"/>
      <c r="G18" s="66" t="s">
        <v>2325</v>
      </c>
    </row>
    <row r="19" spans="1:7" s="249" customFormat="1" x14ac:dyDescent="0.35">
      <c r="A19" s="249" t="s">
        <v>30</v>
      </c>
      <c r="B19" s="413" t="s">
        <v>2261</v>
      </c>
      <c r="C19" s="249" t="s">
        <v>1099</v>
      </c>
      <c r="D19" s="250" t="s">
        <v>143</v>
      </c>
      <c r="E19" s="297">
        <f>100*8760*10*1000/1000000000</f>
        <v>8.76</v>
      </c>
      <c r="F19" s="315">
        <f>(E19*'Background Data'!U14)/('Background Data'!U25/1000)</f>
        <v>13.898524670383136</v>
      </c>
      <c r="G19" s="299" t="s">
        <v>2326</v>
      </c>
    </row>
    <row r="20" spans="1:7" x14ac:dyDescent="0.35">
      <c r="A20" t="s">
        <v>1090</v>
      </c>
      <c r="B20" s="87" t="s">
        <v>2261</v>
      </c>
      <c r="C20" t="s">
        <v>1099</v>
      </c>
      <c r="D20" s="63" t="s">
        <v>142</v>
      </c>
      <c r="E20" s="95">
        <f>100*8760*2*1000/1000000000</f>
        <v>1.752</v>
      </c>
      <c r="F20" s="316">
        <f>(E20*'Background Data'!U15)/('Background Data'!U26/1000)</f>
        <v>380.96379398998295</v>
      </c>
      <c r="G20" s="63" t="s">
        <v>2327</v>
      </c>
    </row>
    <row r="21" spans="1:7" x14ac:dyDescent="0.35">
      <c r="A21" t="s">
        <v>1091</v>
      </c>
      <c r="B21" s="87" t="s">
        <v>2261</v>
      </c>
      <c r="C21" t="s">
        <v>1099</v>
      </c>
      <c r="D21" s="63" t="s">
        <v>142</v>
      </c>
      <c r="E21" s="95">
        <f t="shared" ref="E21:E29" si="0">100*8760*50*1000/1000000000</f>
        <v>43.8</v>
      </c>
      <c r="F21" s="486">
        <f>(E21*'Background Data'!U16)/('Background Data'!U27/1000)</f>
        <v>60.075731874932032</v>
      </c>
      <c r="G21" s="63" t="s">
        <v>2328</v>
      </c>
    </row>
    <row r="22" spans="1:7" x14ac:dyDescent="0.35">
      <c r="A22" t="s">
        <v>403</v>
      </c>
      <c r="B22" s="87" t="s">
        <v>2261</v>
      </c>
      <c r="C22" t="s">
        <v>1099</v>
      </c>
      <c r="D22" s="63" t="s">
        <v>142</v>
      </c>
      <c r="E22" s="95">
        <f t="shared" si="0"/>
        <v>43.8</v>
      </c>
      <c r="F22" s="486"/>
      <c r="G22" s="63" t="s">
        <v>2328</v>
      </c>
    </row>
    <row r="23" spans="1:7" x14ac:dyDescent="0.35">
      <c r="A23" t="s">
        <v>404</v>
      </c>
      <c r="B23" s="87" t="s">
        <v>2261</v>
      </c>
      <c r="C23" t="s">
        <v>1099</v>
      </c>
      <c r="D23" s="63" t="s">
        <v>142</v>
      </c>
      <c r="E23" s="95">
        <f t="shared" si="0"/>
        <v>43.8</v>
      </c>
      <c r="F23" s="486"/>
      <c r="G23" s="63" t="s">
        <v>2328</v>
      </c>
    </row>
    <row r="24" spans="1:7" x14ac:dyDescent="0.35">
      <c r="A24" t="s">
        <v>1092</v>
      </c>
      <c r="B24" s="87" t="s">
        <v>2261</v>
      </c>
      <c r="C24" t="s">
        <v>1099</v>
      </c>
      <c r="D24" s="63" t="s">
        <v>142</v>
      </c>
      <c r="E24" s="95">
        <f t="shared" si="0"/>
        <v>43.8</v>
      </c>
      <c r="F24" s="486">
        <f>(E24*'Background Data'!U17)/('Background Data'!U28/1000)</f>
        <v>56.573563069542672</v>
      </c>
      <c r="G24" s="63" t="s">
        <v>2328</v>
      </c>
    </row>
    <row r="25" spans="1:7" ht="14.5" customHeight="1" x14ac:dyDescent="0.35">
      <c r="A25" t="s">
        <v>405</v>
      </c>
      <c r="B25" s="87" t="s">
        <v>2261</v>
      </c>
      <c r="C25" t="s">
        <v>1099</v>
      </c>
      <c r="D25" s="63" t="s">
        <v>142</v>
      </c>
      <c r="E25" s="95">
        <f t="shared" si="0"/>
        <v>43.8</v>
      </c>
      <c r="F25" s="486"/>
      <c r="G25" s="63" t="s">
        <v>2328</v>
      </c>
    </row>
    <row r="26" spans="1:7" x14ac:dyDescent="0.35">
      <c r="A26" t="s">
        <v>406</v>
      </c>
      <c r="B26" s="87" t="s">
        <v>2261</v>
      </c>
      <c r="C26" t="s">
        <v>1099</v>
      </c>
      <c r="D26" s="63" t="s">
        <v>142</v>
      </c>
      <c r="E26" s="95">
        <f t="shared" si="0"/>
        <v>43.8</v>
      </c>
      <c r="F26" s="486"/>
      <c r="G26" s="63" t="s">
        <v>2328</v>
      </c>
    </row>
    <row r="27" spans="1:7" x14ac:dyDescent="0.35">
      <c r="A27" t="s">
        <v>1963</v>
      </c>
      <c r="B27" s="87" t="s">
        <v>2261</v>
      </c>
      <c r="C27" t="s">
        <v>1099</v>
      </c>
      <c r="D27" s="63" t="s">
        <v>142</v>
      </c>
      <c r="E27" s="95">
        <f t="shared" si="0"/>
        <v>43.8</v>
      </c>
      <c r="F27" s="486"/>
      <c r="G27" s="63" t="s">
        <v>2328</v>
      </c>
    </row>
    <row r="28" spans="1:7" x14ac:dyDescent="0.35">
      <c r="A28" t="s">
        <v>1093</v>
      </c>
      <c r="B28" s="87" t="s">
        <v>2261</v>
      </c>
      <c r="C28" t="s">
        <v>1099</v>
      </c>
      <c r="D28" s="63" t="s">
        <v>142</v>
      </c>
      <c r="E28" s="95">
        <f t="shared" si="0"/>
        <v>43.8</v>
      </c>
      <c r="F28" s="486">
        <f>(E28*'Background Data'!U18)/('Background Data'!U29/1000)</f>
        <v>49.584512268849394</v>
      </c>
      <c r="G28" s="63" t="s">
        <v>2328</v>
      </c>
    </row>
    <row r="29" spans="1:7" x14ac:dyDescent="0.35">
      <c r="A29" s="249" t="s">
        <v>407</v>
      </c>
      <c r="B29" s="413" t="s">
        <v>2261</v>
      </c>
      <c r="C29" s="249" t="s">
        <v>1099</v>
      </c>
      <c r="D29" s="250" t="s">
        <v>142</v>
      </c>
      <c r="E29" s="374">
        <f t="shared" si="0"/>
        <v>43.8</v>
      </c>
      <c r="F29" s="487"/>
      <c r="G29" s="250" t="s">
        <v>2328</v>
      </c>
    </row>
    <row r="30" spans="1:7" x14ac:dyDescent="0.35">
      <c r="A30" t="s">
        <v>1170</v>
      </c>
      <c r="B30" s="87" t="s">
        <v>2261</v>
      </c>
      <c r="C30" t="s">
        <v>1099</v>
      </c>
      <c r="D30" s="63" t="s">
        <v>142</v>
      </c>
      <c r="E30" s="95">
        <f t="shared" ref="E30:E41" si="1">100*8760*4*1000/1000000000</f>
        <v>3.504</v>
      </c>
      <c r="F30" s="301"/>
      <c r="G30" s="63" t="s">
        <v>2322</v>
      </c>
    </row>
    <row r="31" spans="1:7" x14ac:dyDescent="0.35">
      <c r="A31" t="s">
        <v>1171</v>
      </c>
      <c r="B31" s="87" t="s">
        <v>2261</v>
      </c>
      <c r="C31" t="s">
        <v>1099</v>
      </c>
      <c r="D31" s="63" t="s">
        <v>142</v>
      </c>
      <c r="E31" s="95">
        <f t="shared" si="1"/>
        <v>3.504</v>
      </c>
      <c r="F31" s="301"/>
      <c r="G31" s="63" t="s">
        <v>2322</v>
      </c>
    </row>
    <row r="32" spans="1:7" x14ac:dyDescent="0.35">
      <c r="A32" t="s">
        <v>1172</v>
      </c>
      <c r="B32" s="87" t="s">
        <v>2261</v>
      </c>
      <c r="C32" t="s">
        <v>1099</v>
      </c>
      <c r="D32" s="63" t="s">
        <v>142</v>
      </c>
      <c r="E32" s="95">
        <f t="shared" si="1"/>
        <v>3.504</v>
      </c>
      <c r="G32" s="63" t="s">
        <v>2322</v>
      </c>
    </row>
    <row r="33" spans="1:7" x14ac:dyDescent="0.35">
      <c r="A33" t="s">
        <v>1173</v>
      </c>
      <c r="B33" s="87" t="s">
        <v>2261</v>
      </c>
      <c r="C33" t="s">
        <v>1099</v>
      </c>
      <c r="D33" s="63" t="s">
        <v>142</v>
      </c>
      <c r="E33" s="95">
        <f t="shared" si="1"/>
        <v>3.504</v>
      </c>
      <c r="G33" s="63" t="s">
        <v>2322</v>
      </c>
    </row>
    <row r="34" spans="1:7" x14ac:dyDescent="0.35">
      <c r="A34" t="s">
        <v>1174</v>
      </c>
      <c r="B34" s="87" t="s">
        <v>2261</v>
      </c>
      <c r="C34" t="s">
        <v>1099</v>
      </c>
      <c r="D34" s="63" t="s">
        <v>142</v>
      </c>
      <c r="E34" s="95">
        <f t="shared" si="1"/>
        <v>3.504</v>
      </c>
      <c r="G34" s="63" t="s">
        <v>2322</v>
      </c>
    </row>
    <row r="35" spans="1:7" x14ac:dyDescent="0.35">
      <c r="A35" t="s">
        <v>1175</v>
      </c>
      <c r="B35" s="87" t="s">
        <v>2261</v>
      </c>
      <c r="C35" t="s">
        <v>1099</v>
      </c>
      <c r="D35" s="63" t="s">
        <v>142</v>
      </c>
      <c r="E35" s="95">
        <f t="shared" si="1"/>
        <v>3.504</v>
      </c>
      <c r="G35" s="63" t="s">
        <v>2322</v>
      </c>
    </row>
    <row r="36" spans="1:7" ht="15" customHeight="1" x14ac:dyDescent="0.35">
      <c r="A36" t="s">
        <v>1176</v>
      </c>
      <c r="B36" s="87" t="s">
        <v>2261</v>
      </c>
      <c r="C36" t="s">
        <v>1099</v>
      </c>
      <c r="D36" s="63" t="s">
        <v>142</v>
      </c>
      <c r="E36" s="95">
        <f t="shared" si="1"/>
        <v>3.504</v>
      </c>
      <c r="G36" s="63" t="s">
        <v>2322</v>
      </c>
    </row>
    <row r="37" spans="1:7" x14ac:dyDescent="0.35">
      <c r="A37" t="s">
        <v>1177</v>
      </c>
      <c r="B37" s="87" t="s">
        <v>2261</v>
      </c>
      <c r="C37" t="s">
        <v>1099</v>
      </c>
      <c r="D37" s="63" t="s">
        <v>142</v>
      </c>
      <c r="E37" s="95">
        <f t="shared" si="1"/>
        <v>3.504</v>
      </c>
      <c r="G37" s="63" t="s">
        <v>2322</v>
      </c>
    </row>
    <row r="38" spans="1:7" x14ac:dyDescent="0.35">
      <c r="A38" t="s">
        <v>1178</v>
      </c>
      <c r="B38" s="87" t="s">
        <v>2261</v>
      </c>
      <c r="C38" t="s">
        <v>1099</v>
      </c>
      <c r="D38" s="63" t="s">
        <v>142</v>
      </c>
      <c r="E38" s="95">
        <f t="shared" si="1"/>
        <v>3.504</v>
      </c>
      <c r="G38" s="63" t="s">
        <v>2322</v>
      </c>
    </row>
    <row r="39" spans="1:7" x14ac:dyDescent="0.35">
      <c r="A39" t="s">
        <v>1179</v>
      </c>
      <c r="B39" s="87" t="s">
        <v>2261</v>
      </c>
      <c r="C39" t="s">
        <v>1099</v>
      </c>
      <c r="D39" s="63" t="s">
        <v>142</v>
      </c>
      <c r="E39" s="95">
        <f t="shared" si="1"/>
        <v>3.504</v>
      </c>
      <c r="G39" s="63" t="s">
        <v>2322</v>
      </c>
    </row>
    <row r="40" spans="1:7" x14ac:dyDescent="0.35">
      <c r="A40" t="s">
        <v>1180</v>
      </c>
      <c r="B40" s="87" t="s">
        <v>2261</v>
      </c>
      <c r="C40" t="s">
        <v>1099</v>
      </c>
      <c r="D40" s="63" t="s">
        <v>142</v>
      </c>
      <c r="E40" s="95">
        <f t="shared" si="1"/>
        <v>3.504</v>
      </c>
      <c r="G40" s="63" t="s">
        <v>2322</v>
      </c>
    </row>
    <row r="41" spans="1:7" x14ac:dyDescent="0.35">
      <c r="A41" t="s">
        <v>1181</v>
      </c>
      <c r="B41" s="87" t="s">
        <v>2261</v>
      </c>
      <c r="C41" t="s">
        <v>1099</v>
      </c>
      <c r="D41" s="63" t="s">
        <v>142</v>
      </c>
      <c r="E41" s="95">
        <f t="shared" si="1"/>
        <v>3.504</v>
      </c>
      <c r="G41" s="63" t="s">
        <v>2322</v>
      </c>
    </row>
    <row r="42" spans="1:7" x14ac:dyDescent="0.35">
      <c r="A42" t="s">
        <v>1182</v>
      </c>
      <c r="B42" s="87" t="s">
        <v>2261</v>
      </c>
      <c r="C42" t="s">
        <v>1099</v>
      </c>
      <c r="D42" s="63" t="s">
        <v>142</v>
      </c>
      <c r="E42" s="95">
        <f t="shared" ref="E42:E53" si="2">100*8760*5*1000/1000000000</f>
        <v>4.38</v>
      </c>
      <c r="G42" s="63" t="s">
        <v>2323</v>
      </c>
    </row>
    <row r="43" spans="1:7" x14ac:dyDescent="0.35">
      <c r="A43" t="s">
        <v>1183</v>
      </c>
      <c r="B43" s="87" t="s">
        <v>2261</v>
      </c>
      <c r="C43" t="s">
        <v>1099</v>
      </c>
      <c r="D43" s="63" t="s">
        <v>142</v>
      </c>
      <c r="E43" s="95">
        <f t="shared" si="2"/>
        <v>4.38</v>
      </c>
      <c r="G43" s="63" t="s">
        <v>2323</v>
      </c>
    </row>
    <row r="44" spans="1:7" x14ac:dyDescent="0.35">
      <c r="A44" t="s">
        <v>1184</v>
      </c>
      <c r="B44" s="87" t="s">
        <v>2261</v>
      </c>
      <c r="C44" t="s">
        <v>1099</v>
      </c>
      <c r="D44" s="63" t="s">
        <v>142</v>
      </c>
      <c r="E44" s="95">
        <f t="shared" si="2"/>
        <v>4.38</v>
      </c>
      <c r="G44" s="63" t="s">
        <v>2323</v>
      </c>
    </row>
    <row r="45" spans="1:7" x14ac:dyDescent="0.35">
      <c r="A45" t="s">
        <v>1185</v>
      </c>
      <c r="B45" s="87" t="s">
        <v>2261</v>
      </c>
      <c r="C45" t="s">
        <v>1099</v>
      </c>
      <c r="D45" s="63" t="s">
        <v>142</v>
      </c>
      <c r="E45" s="95">
        <f t="shared" si="2"/>
        <v>4.38</v>
      </c>
      <c r="G45" s="63" t="s">
        <v>2323</v>
      </c>
    </row>
    <row r="46" spans="1:7" x14ac:dyDescent="0.35">
      <c r="A46" t="s">
        <v>1186</v>
      </c>
      <c r="B46" s="87" t="s">
        <v>2261</v>
      </c>
      <c r="C46" t="s">
        <v>1099</v>
      </c>
      <c r="D46" s="63" t="s">
        <v>142</v>
      </c>
      <c r="E46" s="95">
        <f t="shared" si="2"/>
        <v>4.38</v>
      </c>
      <c r="G46" s="63" t="s">
        <v>2323</v>
      </c>
    </row>
    <row r="47" spans="1:7" x14ac:dyDescent="0.35">
      <c r="A47" t="s">
        <v>1187</v>
      </c>
      <c r="B47" s="87" t="s">
        <v>2261</v>
      </c>
      <c r="C47" t="s">
        <v>1099</v>
      </c>
      <c r="D47" s="63" t="s">
        <v>142</v>
      </c>
      <c r="E47" s="95">
        <f t="shared" si="2"/>
        <v>4.38</v>
      </c>
      <c r="G47" s="63" t="s">
        <v>2323</v>
      </c>
    </row>
    <row r="48" spans="1:7" x14ac:dyDescent="0.35">
      <c r="A48" t="s">
        <v>1188</v>
      </c>
      <c r="B48" s="87" t="s">
        <v>2261</v>
      </c>
      <c r="C48" t="s">
        <v>1099</v>
      </c>
      <c r="D48" s="63" t="s">
        <v>142</v>
      </c>
      <c r="E48" s="95">
        <f t="shared" si="2"/>
        <v>4.38</v>
      </c>
      <c r="G48" s="63" t="s">
        <v>2323</v>
      </c>
    </row>
    <row r="49" spans="1:7" x14ac:dyDescent="0.35">
      <c r="A49" t="s">
        <v>1189</v>
      </c>
      <c r="B49" s="87" t="s">
        <v>2261</v>
      </c>
      <c r="C49" t="s">
        <v>1099</v>
      </c>
      <c r="D49" s="63" t="s">
        <v>142</v>
      </c>
      <c r="E49" s="95">
        <f t="shared" si="2"/>
        <v>4.38</v>
      </c>
      <c r="G49" s="63" t="s">
        <v>2323</v>
      </c>
    </row>
    <row r="50" spans="1:7" x14ac:dyDescent="0.35">
      <c r="A50" t="s">
        <v>1190</v>
      </c>
      <c r="B50" s="87" t="s">
        <v>2261</v>
      </c>
      <c r="C50" t="s">
        <v>1099</v>
      </c>
      <c r="D50" s="63" t="s">
        <v>142</v>
      </c>
      <c r="E50" s="95">
        <f t="shared" si="2"/>
        <v>4.38</v>
      </c>
      <c r="G50" s="63" t="s">
        <v>2323</v>
      </c>
    </row>
    <row r="51" spans="1:7" x14ac:dyDescent="0.35">
      <c r="A51" t="s">
        <v>1191</v>
      </c>
      <c r="B51" s="87" t="s">
        <v>2261</v>
      </c>
      <c r="C51" t="s">
        <v>1099</v>
      </c>
      <c r="D51" s="63" t="s">
        <v>142</v>
      </c>
      <c r="E51" s="95">
        <f t="shared" si="2"/>
        <v>4.38</v>
      </c>
      <c r="G51" s="63" t="s">
        <v>2323</v>
      </c>
    </row>
    <row r="52" spans="1:7" x14ac:dyDescent="0.35">
      <c r="A52" t="s">
        <v>1192</v>
      </c>
      <c r="B52" s="87" t="s">
        <v>2261</v>
      </c>
      <c r="C52" t="s">
        <v>1099</v>
      </c>
      <c r="D52" s="63" t="s">
        <v>142</v>
      </c>
      <c r="E52" s="95">
        <f t="shared" si="2"/>
        <v>4.38</v>
      </c>
      <c r="G52" s="63" t="s">
        <v>2323</v>
      </c>
    </row>
    <row r="53" spans="1:7" x14ac:dyDescent="0.35">
      <c r="A53" t="s">
        <v>1193</v>
      </c>
      <c r="B53" s="87" t="s">
        <v>2261</v>
      </c>
      <c r="C53" t="s">
        <v>1099</v>
      </c>
      <c r="D53" s="63" t="s">
        <v>142</v>
      </c>
      <c r="E53" s="95">
        <f t="shared" si="2"/>
        <v>4.38</v>
      </c>
      <c r="G53" s="63" t="s">
        <v>2323</v>
      </c>
    </row>
    <row r="54" spans="1:7" x14ac:dyDescent="0.35">
      <c r="A54" t="s">
        <v>1203</v>
      </c>
      <c r="B54" s="87" t="s">
        <v>2261</v>
      </c>
      <c r="C54" t="s">
        <v>1099</v>
      </c>
      <c r="D54" t="s">
        <v>143</v>
      </c>
      <c r="E54" s="296">
        <f t="shared" ref="E54:E65" si="3">100*8760*1000/1000000000</f>
        <v>0.876</v>
      </c>
      <c r="G54" s="66" t="s">
        <v>2324</v>
      </c>
    </row>
    <row r="55" spans="1:7" x14ac:dyDescent="0.35">
      <c r="A55" t="s">
        <v>1204</v>
      </c>
      <c r="B55" s="87" t="s">
        <v>2261</v>
      </c>
      <c r="C55" t="s">
        <v>1099</v>
      </c>
      <c r="D55" t="s">
        <v>143</v>
      </c>
      <c r="E55" s="296">
        <f t="shared" si="3"/>
        <v>0.876</v>
      </c>
      <c r="G55" s="66" t="s">
        <v>2324</v>
      </c>
    </row>
    <row r="56" spans="1:7" x14ac:dyDescent="0.35">
      <c r="A56" t="s">
        <v>1205</v>
      </c>
      <c r="B56" s="87" t="s">
        <v>2261</v>
      </c>
      <c r="C56" t="s">
        <v>1099</v>
      </c>
      <c r="D56" t="s">
        <v>143</v>
      </c>
      <c r="E56" s="296">
        <f t="shared" si="3"/>
        <v>0.876</v>
      </c>
      <c r="G56" s="66" t="s">
        <v>2324</v>
      </c>
    </row>
    <row r="57" spans="1:7" x14ac:dyDescent="0.35">
      <c r="A57" t="s">
        <v>1206</v>
      </c>
      <c r="B57" s="87" t="s">
        <v>2261</v>
      </c>
      <c r="C57" t="s">
        <v>1099</v>
      </c>
      <c r="D57" t="s">
        <v>143</v>
      </c>
      <c r="E57" s="296">
        <f t="shared" si="3"/>
        <v>0.876</v>
      </c>
      <c r="G57" s="66" t="s">
        <v>2324</v>
      </c>
    </row>
    <row r="58" spans="1:7" x14ac:dyDescent="0.35">
      <c r="A58" t="s">
        <v>1207</v>
      </c>
      <c r="B58" s="87" t="s">
        <v>2261</v>
      </c>
      <c r="C58" t="s">
        <v>1099</v>
      </c>
      <c r="D58" t="s">
        <v>143</v>
      </c>
      <c r="E58" s="296">
        <f t="shared" si="3"/>
        <v>0.876</v>
      </c>
      <c r="G58" s="66" t="s">
        <v>2324</v>
      </c>
    </row>
    <row r="59" spans="1:7" x14ac:dyDescent="0.35">
      <c r="A59" t="s">
        <v>1208</v>
      </c>
      <c r="B59" s="87" t="s">
        <v>2261</v>
      </c>
      <c r="C59" t="s">
        <v>1099</v>
      </c>
      <c r="D59" t="s">
        <v>143</v>
      </c>
      <c r="E59" s="296">
        <f t="shared" si="3"/>
        <v>0.876</v>
      </c>
      <c r="G59" s="66" t="s">
        <v>2324</v>
      </c>
    </row>
    <row r="60" spans="1:7" x14ac:dyDescent="0.35">
      <c r="A60" t="s">
        <v>1209</v>
      </c>
      <c r="B60" s="87" t="s">
        <v>2261</v>
      </c>
      <c r="C60" t="s">
        <v>1099</v>
      </c>
      <c r="D60" t="s">
        <v>143</v>
      </c>
      <c r="E60" s="296">
        <f t="shared" si="3"/>
        <v>0.876</v>
      </c>
      <c r="G60" s="66" t="s">
        <v>2324</v>
      </c>
    </row>
    <row r="61" spans="1:7" x14ac:dyDescent="0.35">
      <c r="A61" t="s">
        <v>1210</v>
      </c>
      <c r="B61" s="87" t="s">
        <v>2261</v>
      </c>
      <c r="C61" t="s">
        <v>1099</v>
      </c>
      <c r="D61" t="s">
        <v>143</v>
      </c>
      <c r="E61" s="296">
        <f t="shared" si="3"/>
        <v>0.876</v>
      </c>
      <c r="G61" s="66" t="s">
        <v>2324</v>
      </c>
    </row>
    <row r="62" spans="1:7" x14ac:dyDescent="0.35">
      <c r="A62" t="s">
        <v>1211</v>
      </c>
      <c r="B62" s="87" t="s">
        <v>2261</v>
      </c>
      <c r="C62" t="s">
        <v>1099</v>
      </c>
      <c r="D62" t="s">
        <v>143</v>
      </c>
      <c r="E62" s="296">
        <f t="shared" si="3"/>
        <v>0.876</v>
      </c>
      <c r="G62" s="66" t="s">
        <v>2324</v>
      </c>
    </row>
    <row r="63" spans="1:7" x14ac:dyDescent="0.35">
      <c r="A63" t="s">
        <v>1212</v>
      </c>
      <c r="B63" s="87" t="s">
        <v>2261</v>
      </c>
      <c r="C63" t="s">
        <v>1099</v>
      </c>
      <c r="D63" t="s">
        <v>143</v>
      </c>
      <c r="E63" s="296">
        <f t="shared" si="3"/>
        <v>0.876</v>
      </c>
      <c r="G63" s="66" t="s">
        <v>2324</v>
      </c>
    </row>
    <row r="64" spans="1:7" x14ac:dyDescent="0.35">
      <c r="A64" t="s">
        <v>1213</v>
      </c>
      <c r="B64" s="87" t="s">
        <v>2261</v>
      </c>
      <c r="C64" t="s">
        <v>1099</v>
      </c>
      <c r="D64" t="s">
        <v>143</v>
      </c>
      <c r="E64" s="296">
        <f t="shared" si="3"/>
        <v>0.876</v>
      </c>
      <c r="G64" s="66" t="s">
        <v>2324</v>
      </c>
    </row>
    <row r="65" spans="1:7" x14ac:dyDescent="0.35">
      <c r="A65" t="s">
        <v>1214</v>
      </c>
      <c r="B65" s="87" t="s">
        <v>2261</v>
      </c>
      <c r="C65" t="s">
        <v>1099</v>
      </c>
      <c r="D65" t="s">
        <v>143</v>
      </c>
      <c r="E65" s="296">
        <f t="shared" si="3"/>
        <v>0.876</v>
      </c>
      <c r="G65" s="66" t="s">
        <v>2324</v>
      </c>
    </row>
    <row r="66" spans="1:7" x14ac:dyDescent="0.35">
      <c r="A66" t="s">
        <v>1194</v>
      </c>
      <c r="B66" s="87" t="s">
        <v>2261</v>
      </c>
      <c r="C66" t="s">
        <v>1099</v>
      </c>
      <c r="D66" s="63" t="s">
        <v>143</v>
      </c>
      <c r="E66" s="296">
        <f t="shared" ref="E66:E72" si="4">100*8760*3*1000/1000000000</f>
        <v>2.6280000000000001</v>
      </c>
      <c r="G66" s="66" t="s">
        <v>2325</v>
      </c>
    </row>
    <row r="67" spans="1:7" x14ac:dyDescent="0.35">
      <c r="A67" t="s">
        <v>1215</v>
      </c>
      <c r="B67" s="87" t="s">
        <v>2261</v>
      </c>
      <c r="C67" t="s">
        <v>1099</v>
      </c>
      <c r="D67" s="63" t="s">
        <v>143</v>
      </c>
      <c r="E67" s="296">
        <f t="shared" si="4"/>
        <v>2.6280000000000001</v>
      </c>
      <c r="G67" s="66" t="s">
        <v>2325</v>
      </c>
    </row>
    <row r="68" spans="1:7" x14ac:dyDescent="0.35">
      <c r="A68" t="s">
        <v>1217</v>
      </c>
      <c r="B68" s="87" t="s">
        <v>2261</v>
      </c>
      <c r="C68" t="s">
        <v>1099</v>
      </c>
      <c r="D68" s="63" t="s">
        <v>143</v>
      </c>
      <c r="E68" s="296">
        <f t="shared" si="4"/>
        <v>2.6280000000000001</v>
      </c>
      <c r="G68" s="66" t="s">
        <v>2325</v>
      </c>
    </row>
    <row r="69" spans="1:7" x14ac:dyDescent="0.35">
      <c r="A69" t="s">
        <v>1218</v>
      </c>
      <c r="B69" s="87" t="s">
        <v>2261</v>
      </c>
      <c r="C69" t="s">
        <v>1099</v>
      </c>
      <c r="D69" s="63" t="s">
        <v>143</v>
      </c>
      <c r="E69" s="296">
        <f t="shared" si="4"/>
        <v>2.6280000000000001</v>
      </c>
      <c r="G69" s="66" t="s">
        <v>2325</v>
      </c>
    </row>
    <row r="70" spans="1:7" x14ac:dyDescent="0.35">
      <c r="A70" t="s">
        <v>1245</v>
      </c>
      <c r="B70" s="87" t="s">
        <v>2261</v>
      </c>
      <c r="C70" t="s">
        <v>1099</v>
      </c>
      <c r="D70" s="63" t="s">
        <v>143</v>
      </c>
      <c r="E70" s="296">
        <f t="shared" si="4"/>
        <v>2.6280000000000001</v>
      </c>
      <c r="G70" s="66" t="s">
        <v>2325</v>
      </c>
    </row>
    <row r="71" spans="1:7" x14ac:dyDescent="0.35">
      <c r="A71" t="s">
        <v>1246</v>
      </c>
      <c r="B71" s="87" t="s">
        <v>2261</v>
      </c>
      <c r="C71" t="s">
        <v>1099</v>
      </c>
      <c r="D71" s="63" t="s">
        <v>143</v>
      </c>
      <c r="E71" s="296">
        <f t="shared" si="4"/>
        <v>2.6280000000000001</v>
      </c>
      <c r="G71" s="66" t="s">
        <v>2325</v>
      </c>
    </row>
    <row r="72" spans="1:7" x14ac:dyDescent="0.35">
      <c r="A72" t="s">
        <v>1247</v>
      </c>
      <c r="B72" s="87" t="s">
        <v>2261</v>
      </c>
      <c r="C72" t="s">
        <v>1099</v>
      </c>
      <c r="D72" s="63" t="s">
        <v>143</v>
      </c>
      <c r="E72" s="296">
        <f t="shared" si="4"/>
        <v>2.6280000000000001</v>
      </c>
      <c r="G72" s="66" t="s">
        <v>2325</v>
      </c>
    </row>
    <row r="73" spans="1:7" x14ac:dyDescent="0.35">
      <c r="A73" t="s">
        <v>1249</v>
      </c>
      <c r="B73" s="87" t="s">
        <v>2261</v>
      </c>
      <c r="C73" t="s">
        <v>1099</v>
      </c>
      <c r="D73" s="63" t="s">
        <v>143</v>
      </c>
      <c r="E73" s="406">
        <f t="shared" ref="E73:E78" si="5">100*8760*10*1000/1000000000</f>
        <v>8.76</v>
      </c>
      <c r="F73" s="414"/>
      <c r="G73" s="63" t="s">
        <v>2326</v>
      </c>
    </row>
    <row r="74" spans="1:7" x14ac:dyDescent="0.35">
      <c r="A74" t="s">
        <v>1250</v>
      </c>
      <c r="B74" s="87" t="s">
        <v>2261</v>
      </c>
      <c r="C74" t="s">
        <v>1099</v>
      </c>
      <c r="D74" s="63" t="s">
        <v>143</v>
      </c>
      <c r="E74" s="406">
        <f t="shared" si="5"/>
        <v>8.76</v>
      </c>
      <c r="G74" s="63" t="s">
        <v>2326</v>
      </c>
    </row>
    <row r="75" spans="1:7" x14ac:dyDescent="0.35">
      <c r="A75" t="s">
        <v>1251</v>
      </c>
      <c r="B75" s="87" t="s">
        <v>2261</v>
      </c>
      <c r="C75" t="s">
        <v>1099</v>
      </c>
      <c r="D75" s="63" t="s">
        <v>143</v>
      </c>
      <c r="E75" s="406">
        <f t="shared" si="5"/>
        <v>8.76</v>
      </c>
      <c r="G75" s="63" t="s">
        <v>2326</v>
      </c>
    </row>
    <row r="76" spans="1:7" x14ac:dyDescent="0.35">
      <c r="A76" t="s">
        <v>1252</v>
      </c>
      <c r="B76" s="87" t="s">
        <v>2261</v>
      </c>
      <c r="C76" t="s">
        <v>1099</v>
      </c>
      <c r="D76" s="63" t="s">
        <v>143</v>
      </c>
      <c r="E76" s="406">
        <f t="shared" si="5"/>
        <v>8.76</v>
      </c>
      <c r="G76" s="63" t="s">
        <v>2326</v>
      </c>
    </row>
    <row r="77" spans="1:7" x14ac:dyDescent="0.35">
      <c r="A77" t="s">
        <v>1253</v>
      </c>
      <c r="B77" s="87" t="s">
        <v>2261</v>
      </c>
      <c r="C77" t="s">
        <v>1099</v>
      </c>
      <c r="D77" s="63" t="s">
        <v>143</v>
      </c>
      <c r="E77" s="406">
        <f t="shared" si="5"/>
        <v>8.76</v>
      </c>
      <c r="G77" s="63" t="s">
        <v>2326</v>
      </c>
    </row>
    <row r="78" spans="1:7" x14ac:dyDescent="0.35">
      <c r="A78" t="s">
        <v>1254</v>
      </c>
      <c r="B78" s="87" t="s">
        <v>2261</v>
      </c>
      <c r="C78" t="s">
        <v>1099</v>
      </c>
      <c r="D78" s="63" t="s">
        <v>143</v>
      </c>
      <c r="E78" s="406">
        <f t="shared" si="5"/>
        <v>8.76</v>
      </c>
      <c r="G78" s="63" t="s">
        <v>2326</v>
      </c>
    </row>
    <row r="79" spans="1:7" x14ac:dyDescent="0.35">
      <c r="A79" t="s">
        <v>1257</v>
      </c>
      <c r="B79" s="87" t="s">
        <v>2261</v>
      </c>
      <c r="C79" t="s">
        <v>1099</v>
      </c>
      <c r="D79" s="63" t="s">
        <v>142</v>
      </c>
      <c r="E79" s="406">
        <f>100*8760*2*1000/1000000000</f>
        <v>1.752</v>
      </c>
      <c r="G79" s="63" t="s">
        <v>2327</v>
      </c>
    </row>
    <row r="80" spans="1:7" x14ac:dyDescent="0.35">
      <c r="A80" t="s">
        <v>1258</v>
      </c>
      <c r="B80" s="87" t="s">
        <v>2261</v>
      </c>
      <c r="C80" t="s">
        <v>1099</v>
      </c>
      <c r="D80" s="63" t="s">
        <v>142</v>
      </c>
      <c r="E80" s="406">
        <f>100*8760*2*1000/1000000000</f>
        <v>1.752</v>
      </c>
      <c r="G80" s="63" t="s">
        <v>2327</v>
      </c>
    </row>
    <row r="81" spans="1:7" x14ac:dyDescent="0.35">
      <c r="A81" t="s">
        <v>1273</v>
      </c>
      <c r="B81" s="87" t="s">
        <v>2261</v>
      </c>
      <c r="C81" t="s">
        <v>1099</v>
      </c>
      <c r="D81" s="63" t="s">
        <v>142</v>
      </c>
      <c r="E81" s="95">
        <f t="shared" ref="E81:E101" si="6">100*8760*50*1000/1000000000</f>
        <v>43.8</v>
      </c>
      <c r="G81" s="63" t="s">
        <v>2328</v>
      </c>
    </row>
    <row r="82" spans="1:7" x14ac:dyDescent="0.35">
      <c r="A82" t="s">
        <v>1274</v>
      </c>
      <c r="B82" s="87" t="s">
        <v>2261</v>
      </c>
      <c r="C82" t="s">
        <v>1099</v>
      </c>
      <c r="D82" s="63" t="s">
        <v>142</v>
      </c>
      <c r="E82" s="95">
        <f t="shared" si="6"/>
        <v>43.8</v>
      </c>
      <c r="G82" s="63" t="s">
        <v>2328</v>
      </c>
    </row>
    <row r="83" spans="1:7" x14ac:dyDescent="0.35">
      <c r="A83" t="s">
        <v>1275</v>
      </c>
      <c r="B83" s="87" t="s">
        <v>2261</v>
      </c>
      <c r="C83" t="s">
        <v>1099</v>
      </c>
      <c r="D83" s="63" t="s">
        <v>142</v>
      </c>
      <c r="E83" s="95">
        <f t="shared" si="6"/>
        <v>43.8</v>
      </c>
      <c r="G83" s="63" t="s">
        <v>2328</v>
      </c>
    </row>
    <row r="84" spans="1:7" x14ac:dyDescent="0.35">
      <c r="A84" t="s">
        <v>1276</v>
      </c>
      <c r="B84" s="87" t="s">
        <v>2261</v>
      </c>
      <c r="C84" t="s">
        <v>1099</v>
      </c>
      <c r="D84" s="63" t="s">
        <v>142</v>
      </c>
      <c r="E84" s="95">
        <f t="shared" si="6"/>
        <v>43.8</v>
      </c>
      <c r="G84" s="63" t="s">
        <v>2328</v>
      </c>
    </row>
    <row r="85" spans="1:7" x14ac:dyDescent="0.35">
      <c r="A85" t="s">
        <v>1277</v>
      </c>
      <c r="B85" s="87" t="s">
        <v>2261</v>
      </c>
      <c r="C85" t="s">
        <v>1099</v>
      </c>
      <c r="D85" s="63" t="s">
        <v>142</v>
      </c>
      <c r="E85" s="95">
        <f t="shared" si="6"/>
        <v>43.8</v>
      </c>
      <c r="G85" s="63" t="s">
        <v>2328</v>
      </c>
    </row>
    <row r="86" spans="1:7" x14ac:dyDescent="0.35">
      <c r="A86" t="s">
        <v>1278</v>
      </c>
      <c r="B86" s="87" t="s">
        <v>2261</v>
      </c>
      <c r="C86" t="s">
        <v>1099</v>
      </c>
      <c r="D86" s="63" t="s">
        <v>142</v>
      </c>
      <c r="E86" s="95">
        <f t="shared" si="6"/>
        <v>43.8</v>
      </c>
      <c r="G86" s="63" t="s">
        <v>2328</v>
      </c>
    </row>
    <row r="87" spans="1:7" x14ac:dyDescent="0.35">
      <c r="A87" t="s">
        <v>1279</v>
      </c>
      <c r="B87" s="87" t="s">
        <v>2261</v>
      </c>
      <c r="C87" t="s">
        <v>1099</v>
      </c>
      <c r="D87" s="63" t="s">
        <v>142</v>
      </c>
      <c r="E87" s="95">
        <f t="shared" si="6"/>
        <v>43.8</v>
      </c>
      <c r="G87" s="63" t="s">
        <v>2328</v>
      </c>
    </row>
    <row r="88" spans="1:7" x14ac:dyDescent="0.35">
      <c r="A88" t="s">
        <v>1280</v>
      </c>
      <c r="B88" s="87" t="s">
        <v>2261</v>
      </c>
      <c r="C88" t="s">
        <v>1099</v>
      </c>
      <c r="D88" s="63" t="s">
        <v>142</v>
      </c>
      <c r="E88" s="95">
        <f t="shared" si="6"/>
        <v>43.8</v>
      </c>
      <c r="G88" s="63" t="s">
        <v>2328</v>
      </c>
    </row>
    <row r="89" spans="1:7" x14ac:dyDescent="0.35">
      <c r="A89" t="s">
        <v>1281</v>
      </c>
      <c r="B89" s="87" t="s">
        <v>2261</v>
      </c>
      <c r="C89" t="s">
        <v>1099</v>
      </c>
      <c r="D89" s="63" t="s">
        <v>142</v>
      </c>
      <c r="E89" s="95">
        <f t="shared" si="6"/>
        <v>43.8</v>
      </c>
      <c r="G89" s="63" t="s">
        <v>2328</v>
      </c>
    </row>
    <row r="90" spans="1:7" x14ac:dyDescent="0.35">
      <c r="A90" t="s">
        <v>1282</v>
      </c>
      <c r="B90" s="87" t="s">
        <v>2261</v>
      </c>
      <c r="C90" t="s">
        <v>1099</v>
      </c>
      <c r="D90" s="63" t="s">
        <v>142</v>
      </c>
      <c r="E90" s="95">
        <f t="shared" si="6"/>
        <v>43.8</v>
      </c>
      <c r="G90" s="63" t="s">
        <v>2328</v>
      </c>
    </row>
    <row r="91" spans="1:7" x14ac:dyDescent="0.35">
      <c r="A91" t="s">
        <v>1283</v>
      </c>
      <c r="B91" s="87" t="s">
        <v>2261</v>
      </c>
      <c r="C91" t="s">
        <v>1099</v>
      </c>
      <c r="D91" s="63" t="s">
        <v>142</v>
      </c>
      <c r="E91" s="95">
        <f t="shared" si="6"/>
        <v>43.8</v>
      </c>
      <c r="G91" s="63" t="s">
        <v>2328</v>
      </c>
    </row>
    <row r="92" spans="1:7" x14ac:dyDescent="0.35">
      <c r="A92" t="s">
        <v>1284</v>
      </c>
      <c r="B92" s="87" t="s">
        <v>2261</v>
      </c>
      <c r="C92" t="s">
        <v>1099</v>
      </c>
      <c r="D92" s="63" t="s">
        <v>142</v>
      </c>
      <c r="E92" s="95">
        <f t="shared" si="6"/>
        <v>43.8</v>
      </c>
      <c r="G92" s="63" t="s">
        <v>2328</v>
      </c>
    </row>
    <row r="93" spans="1:7" x14ac:dyDescent="0.35">
      <c r="A93" t="s">
        <v>1285</v>
      </c>
      <c r="B93" s="87" t="s">
        <v>2261</v>
      </c>
      <c r="C93" t="s">
        <v>1099</v>
      </c>
      <c r="D93" s="63" t="s">
        <v>142</v>
      </c>
      <c r="E93" s="95">
        <f t="shared" si="6"/>
        <v>43.8</v>
      </c>
      <c r="G93" s="63" t="s">
        <v>2328</v>
      </c>
    </row>
    <row r="94" spans="1:7" x14ac:dyDescent="0.35">
      <c r="A94" t="s">
        <v>1286</v>
      </c>
      <c r="B94" s="87" t="s">
        <v>2261</v>
      </c>
      <c r="C94" t="s">
        <v>1099</v>
      </c>
      <c r="D94" s="63" t="s">
        <v>142</v>
      </c>
      <c r="E94" s="95">
        <f t="shared" si="6"/>
        <v>43.8</v>
      </c>
      <c r="G94" s="63" t="s">
        <v>2328</v>
      </c>
    </row>
    <row r="95" spans="1:7" x14ac:dyDescent="0.35">
      <c r="A95" t="s">
        <v>1287</v>
      </c>
      <c r="B95" s="87" t="s">
        <v>2261</v>
      </c>
      <c r="C95" t="s">
        <v>1099</v>
      </c>
      <c r="D95" s="63" t="s">
        <v>142</v>
      </c>
      <c r="E95" s="95">
        <f t="shared" si="6"/>
        <v>43.8</v>
      </c>
      <c r="G95" s="63" t="s">
        <v>2328</v>
      </c>
    </row>
    <row r="96" spans="1:7" x14ac:dyDescent="0.35">
      <c r="A96" t="s">
        <v>1288</v>
      </c>
      <c r="B96" s="87" t="s">
        <v>2261</v>
      </c>
      <c r="C96" t="s">
        <v>1099</v>
      </c>
      <c r="D96" s="63" t="s">
        <v>142</v>
      </c>
      <c r="E96" s="95">
        <f t="shared" si="6"/>
        <v>43.8</v>
      </c>
      <c r="G96" s="63" t="s">
        <v>2328</v>
      </c>
    </row>
    <row r="97" spans="1:7" x14ac:dyDescent="0.35">
      <c r="A97" t="s">
        <v>1289</v>
      </c>
      <c r="B97" s="87" t="s">
        <v>2261</v>
      </c>
      <c r="C97" t="s">
        <v>1099</v>
      </c>
      <c r="D97" s="63" t="s">
        <v>142</v>
      </c>
      <c r="E97" s="95">
        <f t="shared" si="6"/>
        <v>43.8</v>
      </c>
      <c r="G97" s="63" t="s">
        <v>2328</v>
      </c>
    </row>
    <row r="98" spans="1:7" x14ac:dyDescent="0.35">
      <c r="A98" t="s">
        <v>1290</v>
      </c>
      <c r="B98" s="87" t="s">
        <v>2261</v>
      </c>
      <c r="C98" t="s">
        <v>1099</v>
      </c>
      <c r="D98" s="63" t="s">
        <v>142</v>
      </c>
      <c r="E98" s="95">
        <f t="shared" si="6"/>
        <v>43.8</v>
      </c>
      <c r="G98" s="63" t="s">
        <v>2328</v>
      </c>
    </row>
    <row r="99" spans="1:7" x14ac:dyDescent="0.35">
      <c r="A99" t="s">
        <v>1291</v>
      </c>
      <c r="B99" s="87" t="s">
        <v>2261</v>
      </c>
      <c r="C99" t="s">
        <v>1099</v>
      </c>
      <c r="D99" s="63" t="s">
        <v>142</v>
      </c>
      <c r="E99" s="95">
        <f t="shared" si="6"/>
        <v>43.8</v>
      </c>
      <c r="G99" s="63" t="s">
        <v>2328</v>
      </c>
    </row>
    <row r="100" spans="1:7" x14ac:dyDescent="0.35">
      <c r="A100" t="s">
        <v>1292</v>
      </c>
      <c r="B100" s="87" t="s">
        <v>2261</v>
      </c>
      <c r="C100" t="s">
        <v>1099</v>
      </c>
      <c r="D100" s="63" t="s">
        <v>142</v>
      </c>
      <c r="E100" s="95">
        <f t="shared" si="6"/>
        <v>43.8</v>
      </c>
      <c r="G100" s="63" t="s">
        <v>2328</v>
      </c>
    </row>
    <row r="101" spans="1:7" x14ac:dyDescent="0.35">
      <c r="A101" t="s">
        <v>1293</v>
      </c>
      <c r="B101" s="87" t="s">
        <v>2261</v>
      </c>
      <c r="C101" t="s">
        <v>1099</v>
      </c>
      <c r="D101" s="63" t="s">
        <v>142</v>
      </c>
      <c r="E101" s="95">
        <f t="shared" si="6"/>
        <v>43.8</v>
      </c>
      <c r="G101" s="63" t="s">
        <v>2328</v>
      </c>
    </row>
    <row r="102" spans="1:7" x14ac:dyDescent="0.35">
      <c r="A102" t="s">
        <v>2088</v>
      </c>
      <c r="B102" s="87" t="s">
        <v>2261</v>
      </c>
      <c r="C102" t="s">
        <v>2333</v>
      </c>
      <c r="D102" s="63" t="s">
        <v>483</v>
      </c>
      <c r="E102">
        <v>31.536000000000001</v>
      </c>
      <c r="G102" s="63" t="s">
        <v>2334</v>
      </c>
    </row>
  </sheetData>
  <mergeCells count="8">
    <mergeCell ref="F17:F18"/>
    <mergeCell ref="F21:F23"/>
    <mergeCell ref="F24:F27"/>
    <mergeCell ref="F28:F29"/>
    <mergeCell ref="F1:F2"/>
    <mergeCell ref="F3:F7"/>
    <mergeCell ref="F8:F12"/>
    <mergeCell ref="F13:F16"/>
  </mergeCells>
  <conditionalFormatting sqref="E3:E101">
    <cfRule type="cellIs" dxfId="5" priority="1" operator="lessThan">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tabColor theme="9" tint="0.59999389629810485"/>
    <pageSetUpPr autoPageBreaks="0"/>
  </sheetPr>
  <dimension ref="A1:AH101"/>
  <sheetViews>
    <sheetView workbookViewId="0">
      <selection activeCell="L39" sqref="L39"/>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63"/>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bestFit="1" customWidth="1"/>
    <col min="27" max="27" width="8.7265625" style="87"/>
    <col min="34" max="34" width="113.81640625" style="66" bestFit="1" customWidth="1"/>
  </cols>
  <sheetData>
    <row r="1" spans="1:34" ht="15.5" x14ac:dyDescent="0.35">
      <c r="A1" s="1"/>
      <c r="B1" s="1"/>
      <c r="C1" s="1"/>
      <c r="D1" s="1"/>
      <c r="E1" s="1"/>
      <c r="F1" s="472" t="s">
        <v>1167</v>
      </c>
      <c r="G1" s="472"/>
      <c r="H1" s="472"/>
      <c r="I1" s="472"/>
      <c r="J1" s="472"/>
      <c r="K1" s="472"/>
      <c r="L1" s="472"/>
      <c r="M1" s="472"/>
      <c r="N1" s="472"/>
      <c r="O1" s="472"/>
      <c r="P1" s="472"/>
      <c r="Q1" s="472"/>
      <c r="R1" s="472"/>
      <c r="S1" s="472"/>
      <c r="T1" s="472"/>
      <c r="U1" s="472"/>
      <c r="V1" s="472"/>
      <c r="W1" s="472"/>
      <c r="X1" s="472"/>
      <c r="Y1" s="472"/>
      <c r="Z1" s="473"/>
      <c r="AA1" s="471" t="s">
        <v>1168</v>
      </c>
      <c r="AB1" s="472"/>
      <c r="AC1" s="472"/>
      <c r="AD1" s="472"/>
      <c r="AE1" s="472"/>
      <c r="AF1" s="472"/>
      <c r="AG1" s="473"/>
      <c r="AH1" s="64"/>
    </row>
    <row r="2" spans="1:34" ht="15" thickBot="1" x14ac:dyDescent="0.4">
      <c r="A2" s="12" t="s">
        <v>94</v>
      </c>
      <c r="B2" s="12" t="s">
        <v>95</v>
      </c>
      <c r="C2" s="12" t="s">
        <v>179</v>
      </c>
      <c r="D2" s="12" t="s">
        <v>140</v>
      </c>
      <c r="E2" s="13" t="s">
        <v>96</v>
      </c>
      <c r="F2" s="12">
        <v>2000</v>
      </c>
      <c r="G2" s="12">
        <v>2001</v>
      </c>
      <c r="H2" s="12">
        <v>2002</v>
      </c>
      <c r="I2" s="12">
        <v>2003</v>
      </c>
      <c r="J2" s="12">
        <v>2004</v>
      </c>
      <c r="K2" s="12">
        <v>2005</v>
      </c>
      <c r="L2" s="12">
        <v>2006</v>
      </c>
      <c r="M2" s="12">
        <v>2007</v>
      </c>
      <c r="N2" s="12">
        <v>2008</v>
      </c>
      <c r="O2" s="12">
        <v>2009</v>
      </c>
      <c r="P2" s="12">
        <v>2010</v>
      </c>
      <c r="Q2" s="12">
        <v>2011</v>
      </c>
      <c r="R2" s="12">
        <v>2012</v>
      </c>
      <c r="S2" s="12">
        <v>2013</v>
      </c>
      <c r="T2" s="12">
        <v>2014</v>
      </c>
      <c r="U2" s="12">
        <v>2015</v>
      </c>
      <c r="V2" s="12">
        <v>2016</v>
      </c>
      <c r="W2" s="12">
        <v>2017</v>
      </c>
      <c r="X2" s="12">
        <v>2018</v>
      </c>
      <c r="Y2" s="12">
        <v>2019</v>
      </c>
      <c r="Z2" s="12">
        <v>2020</v>
      </c>
      <c r="AA2" s="304">
        <v>2021</v>
      </c>
      <c r="AB2" s="12">
        <v>2025</v>
      </c>
      <c r="AC2" s="12">
        <v>2030</v>
      </c>
      <c r="AD2" s="12">
        <v>2035</v>
      </c>
      <c r="AE2" s="12">
        <v>2040</v>
      </c>
      <c r="AF2" s="12">
        <v>2045</v>
      </c>
      <c r="AG2" s="13">
        <v>2050</v>
      </c>
      <c r="AH2" s="65" t="s">
        <v>93</v>
      </c>
    </row>
    <row r="3" spans="1:34" ht="15" thickTop="1" x14ac:dyDescent="0.35">
      <c r="A3" t="s">
        <v>1083</v>
      </c>
      <c r="B3" t="s">
        <v>2261</v>
      </c>
      <c r="C3" t="s">
        <v>161</v>
      </c>
      <c r="D3">
        <v>2022</v>
      </c>
      <c r="F3" s="71"/>
      <c r="G3" s="71"/>
      <c r="H3" s="71"/>
      <c r="I3" s="71"/>
      <c r="J3" s="71"/>
      <c r="K3" s="71"/>
      <c r="L3" s="71"/>
      <c r="M3" s="71"/>
      <c r="N3" s="71">
        <f>('Background Data'!$U$21/1000)/(CapToActivity!$E3*'Background Data'!$U$10)</f>
        <v>5.7001049516183008E-3</v>
      </c>
      <c r="O3" s="71">
        <f>('Background Data'!$U$21/1000)/(CapToActivity!$E3*'Background Data'!$U$10)</f>
        <v>5.7001049516183008E-3</v>
      </c>
      <c r="P3" s="71">
        <f>('Background Data'!$U$21/1000)/(CapToActivity!$E3*'Background Data'!$U$10)</f>
        <v>5.7001049516183008E-3</v>
      </c>
      <c r="Q3" s="71">
        <f>('Background Data'!$U$21/1000)/(CapToActivity!$E3*'Background Data'!$U$10)</f>
        <v>5.7001049516183008E-3</v>
      </c>
      <c r="R3" s="71">
        <f>('Background Data'!$U$21/1000)/(CapToActivity!$E3*'Background Data'!$U$10)</f>
        <v>5.7001049516183008E-3</v>
      </c>
      <c r="S3" s="71">
        <f>('Background Data'!$U$21/1000)/(CapToActivity!$E3*'Background Data'!$U$10)</f>
        <v>5.7001049516183008E-3</v>
      </c>
      <c r="T3" s="71">
        <f>('Background Data'!$U$21/1000)/(CapToActivity!$E3*'Background Data'!$U$10)</f>
        <v>5.7001049516183008E-3</v>
      </c>
      <c r="U3" s="71">
        <f>('Background Data'!$U$21/1000)/(CapToActivity!$E3*'Background Data'!$U$10)</f>
        <v>5.7001049516183008E-3</v>
      </c>
      <c r="V3" s="71">
        <f>('Background Data'!$U$21/1000)/(CapToActivity!$E3*'Background Data'!$U$10)</f>
        <v>5.7001049516183008E-3</v>
      </c>
      <c r="W3" s="71">
        <f>('Background Data'!$U$21/1000)/(CapToActivity!$E3*'Background Data'!$U$10)</f>
        <v>5.7001049516183008E-3</v>
      </c>
      <c r="X3" s="71">
        <f>('Background Data'!$U$21/1000)/(CapToActivity!$E3*'Background Data'!$U$10)</f>
        <v>5.7001049516183008E-3</v>
      </c>
      <c r="Y3" s="71">
        <f>('Background Data'!$U$21/1000)/(CapToActivity!$E3*'Background Data'!$U$10)</f>
        <v>5.7001049516183008E-3</v>
      </c>
      <c r="Z3" s="71">
        <f>('Background Data'!$U$21/1000)/(CapToActivity!$E3*'Background Data'!$U$10)</f>
        <v>5.7001049516183008E-3</v>
      </c>
      <c r="AH3" s="66" t="s">
        <v>1166</v>
      </c>
    </row>
    <row r="4" spans="1:34" x14ac:dyDescent="0.35">
      <c r="A4" t="s">
        <v>28</v>
      </c>
      <c r="B4" t="s">
        <v>2261</v>
      </c>
      <c r="C4" t="s">
        <v>161</v>
      </c>
      <c r="D4">
        <v>2022</v>
      </c>
      <c r="F4" s="71"/>
      <c r="G4" s="71"/>
      <c r="H4" s="71"/>
      <c r="I4" s="71"/>
      <c r="J4" s="71"/>
      <c r="K4" s="71"/>
      <c r="L4" s="71"/>
      <c r="M4" s="71"/>
      <c r="N4" s="71">
        <f>('Background Data'!$U$21/1000)/(CapToActivity!$E4*'Background Data'!$U$10)</f>
        <v>5.7001049516183008E-3</v>
      </c>
      <c r="O4" s="71">
        <f>('Background Data'!$U$21/1000)/(CapToActivity!$E4*'Background Data'!$U$10)</f>
        <v>5.7001049516183008E-3</v>
      </c>
      <c r="P4" s="71">
        <f>('Background Data'!$U$21/1000)/(CapToActivity!$E4*'Background Data'!$U$10)</f>
        <v>5.7001049516183008E-3</v>
      </c>
      <c r="Q4" s="71">
        <f>('Background Data'!$U$21/1000)/(CapToActivity!$E4*'Background Data'!$U$10)</f>
        <v>5.7001049516183008E-3</v>
      </c>
      <c r="R4" s="71">
        <f>('Background Data'!$U$21/1000)/(CapToActivity!$E4*'Background Data'!$U$10)</f>
        <v>5.7001049516183008E-3</v>
      </c>
      <c r="S4" s="71">
        <f>('Background Data'!$U$21/1000)/(CapToActivity!$E4*'Background Data'!$U$10)</f>
        <v>5.7001049516183008E-3</v>
      </c>
      <c r="T4" s="71">
        <f>('Background Data'!$U$21/1000)/(CapToActivity!$E4*'Background Data'!$U$10)</f>
        <v>5.7001049516183008E-3</v>
      </c>
      <c r="U4" s="71">
        <f>('Background Data'!$U$21/1000)/(CapToActivity!$E4*'Background Data'!$U$10)</f>
        <v>5.7001049516183008E-3</v>
      </c>
      <c r="V4" s="71">
        <f>('Background Data'!$U$21/1000)/(CapToActivity!$E4*'Background Data'!$U$10)</f>
        <v>5.7001049516183008E-3</v>
      </c>
      <c r="W4" s="71">
        <f>('Background Data'!$U$21/1000)/(CapToActivity!$E4*'Background Data'!$U$10)</f>
        <v>5.7001049516183008E-3</v>
      </c>
      <c r="X4" s="71">
        <f>('Background Data'!$U$21/1000)/(CapToActivity!$E4*'Background Data'!$U$10)</f>
        <v>5.7001049516183008E-3</v>
      </c>
      <c r="Y4" s="71">
        <f>('Background Data'!$U$21/1000)/(CapToActivity!$E4*'Background Data'!$U$10)</f>
        <v>5.7001049516183008E-3</v>
      </c>
      <c r="Z4" s="71">
        <f>('Background Data'!$U$21/1000)/(CapToActivity!$E4*'Background Data'!$U$10)</f>
        <v>5.7001049516183008E-3</v>
      </c>
      <c r="AH4" s="66" t="s">
        <v>1166</v>
      </c>
    </row>
    <row r="5" spans="1:34" x14ac:dyDescent="0.35">
      <c r="A5" t="s">
        <v>2197</v>
      </c>
      <c r="B5" t="s">
        <v>2261</v>
      </c>
      <c r="C5" t="s">
        <v>161</v>
      </c>
      <c r="D5">
        <v>2022</v>
      </c>
      <c r="F5" s="71"/>
      <c r="G5" s="71"/>
      <c r="H5" s="71"/>
      <c r="I5" s="71"/>
      <c r="J5" s="71"/>
      <c r="K5" s="71"/>
      <c r="L5" s="71"/>
      <c r="M5" s="71"/>
      <c r="N5" s="71">
        <f>('Background Data'!$U$21/1000)/(CapToActivity!$E5*'Background Data'!$U$10)</f>
        <v>5.7001049516183008E-3</v>
      </c>
      <c r="O5" s="71">
        <f>('Background Data'!$U$21/1000)/(CapToActivity!$E5*'Background Data'!$U$10)</f>
        <v>5.7001049516183008E-3</v>
      </c>
      <c r="P5" s="71">
        <f>('Background Data'!$U$21/1000)/(CapToActivity!$E5*'Background Data'!$U$10)</f>
        <v>5.7001049516183008E-3</v>
      </c>
      <c r="Q5" s="71">
        <f>('Background Data'!$U$21/1000)/(CapToActivity!$E5*'Background Data'!$U$10)</f>
        <v>5.7001049516183008E-3</v>
      </c>
      <c r="R5" s="71">
        <f>('Background Data'!$U$21/1000)/(CapToActivity!$E5*'Background Data'!$U$10)</f>
        <v>5.7001049516183008E-3</v>
      </c>
      <c r="S5" s="71">
        <f>('Background Data'!$U$21/1000)/(CapToActivity!$E5*'Background Data'!$U$10)</f>
        <v>5.7001049516183008E-3</v>
      </c>
      <c r="T5" s="71">
        <f>('Background Data'!$U$21/1000)/(CapToActivity!$E5*'Background Data'!$U$10)</f>
        <v>5.7001049516183008E-3</v>
      </c>
      <c r="U5" s="71">
        <f>('Background Data'!$U$21/1000)/(CapToActivity!$E5*'Background Data'!$U$10)</f>
        <v>5.7001049516183008E-3</v>
      </c>
      <c r="V5" s="71">
        <f>('Background Data'!$U$21/1000)/(CapToActivity!$E5*'Background Data'!$U$10)</f>
        <v>5.7001049516183008E-3</v>
      </c>
      <c r="W5" s="71">
        <f>('Background Data'!$U$21/1000)/(CapToActivity!$E5*'Background Data'!$U$10)</f>
        <v>5.7001049516183008E-3</v>
      </c>
      <c r="X5" s="71">
        <f>('Background Data'!$U$21/1000)/(CapToActivity!$E5*'Background Data'!$U$10)</f>
        <v>5.7001049516183008E-3</v>
      </c>
      <c r="Y5" s="71">
        <f>('Background Data'!$U$21/1000)/(CapToActivity!$E5*'Background Data'!$U$10)</f>
        <v>5.7001049516183008E-3</v>
      </c>
      <c r="Z5" s="71">
        <f>('Background Data'!$U$21/1000)/(CapToActivity!$E5*'Background Data'!$U$10)</f>
        <v>5.7001049516183008E-3</v>
      </c>
      <c r="AH5" s="66" t="s">
        <v>1166</v>
      </c>
    </row>
    <row r="6" spans="1:34" x14ac:dyDescent="0.35">
      <c r="A6" t="s">
        <v>1084</v>
      </c>
      <c r="B6" t="s">
        <v>2261</v>
      </c>
      <c r="C6" t="s">
        <v>161</v>
      </c>
      <c r="D6">
        <v>2022</v>
      </c>
      <c r="F6" s="71"/>
      <c r="G6" s="71"/>
      <c r="H6" s="71"/>
      <c r="I6" s="71"/>
      <c r="J6" s="71"/>
      <c r="K6" s="71"/>
      <c r="L6" s="71"/>
      <c r="M6" s="71"/>
      <c r="N6" s="71">
        <f>('Background Data'!$U$21/1000)/(CapToActivity!$E6*'Background Data'!$U$10)</f>
        <v>5.7001049516183008E-3</v>
      </c>
      <c r="O6" s="71">
        <f>('Background Data'!$U$21/1000)/(CapToActivity!$E6*'Background Data'!$U$10)</f>
        <v>5.7001049516183008E-3</v>
      </c>
      <c r="P6" s="71">
        <f>('Background Data'!$U$21/1000)/(CapToActivity!$E6*'Background Data'!$U$10)</f>
        <v>5.7001049516183008E-3</v>
      </c>
      <c r="Q6" s="71">
        <f>('Background Data'!$U$21/1000)/(CapToActivity!$E6*'Background Data'!$U$10)</f>
        <v>5.7001049516183008E-3</v>
      </c>
      <c r="R6" s="71">
        <f>('Background Data'!$U$21/1000)/(CapToActivity!$E6*'Background Data'!$U$10)</f>
        <v>5.7001049516183008E-3</v>
      </c>
      <c r="S6" s="71">
        <f>('Background Data'!$U$21/1000)/(CapToActivity!$E6*'Background Data'!$U$10)</f>
        <v>5.7001049516183008E-3</v>
      </c>
      <c r="T6" s="71">
        <f>('Background Data'!$U$21/1000)/(CapToActivity!$E6*'Background Data'!$U$10)</f>
        <v>5.7001049516183008E-3</v>
      </c>
      <c r="U6" s="71">
        <f>('Background Data'!$U$21/1000)/(CapToActivity!$E6*'Background Data'!$U$10)</f>
        <v>5.7001049516183008E-3</v>
      </c>
      <c r="V6" s="71">
        <f>('Background Data'!$U$21/1000)/(CapToActivity!$E6*'Background Data'!$U$10)</f>
        <v>5.7001049516183008E-3</v>
      </c>
      <c r="W6" s="71">
        <f>('Background Data'!$U$21/1000)/(CapToActivity!$E6*'Background Data'!$U$10)</f>
        <v>5.7001049516183008E-3</v>
      </c>
      <c r="X6" s="71">
        <f>('Background Data'!$U$21/1000)/(CapToActivity!$E6*'Background Data'!$U$10)</f>
        <v>5.7001049516183008E-3</v>
      </c>
      <c r="Y6" s="71">
        <f>('Background Data'!$U$21/1000)/(CapToActivity!$E6*'Background Data'!$U$10)</f>
        <v>5.7001049516183008E-3</v>
      </c>
      <c r="Z6" s="71">
        <f>('Background Data'!$U$21/1000)/(CapToActivity!$E6*'Background Data'!$U$10)</f>
        <v>5.7001049516183008E-3</v>
      </c>
      <c r="AH6" s="66" t="s">
        <v>1166</v>
      </c>
    </row>
    <row r="7" spans="1:34" x14ac:dyDescent="0.35">
      <c r="A7" t="s">
        <v>1095</v>
      </c>
      <c r="B7" t="s">
        <v>2261</v>
      </c>
      <c r="C7" t="s">
        <v>161</v>
      </c>
      <c r="D7">
        <v>2022</v>
      </c>
      <c r="F7" s="71"/>
      <c r="G7" s="71"/>
      <c r="H7" s="71"/>
      <c r="I7" s="71"/>
      <c r="J7" s="71"/>
      <c r="K7" s="71"/>
      <c r="L7" s="71"/>
      <c r="M7" s="71"/>
      <c r="N7" s="71">
        <f>('Background Data'!$U$21/1000)/(CapToActivity!$E7*'Background Data'!$U$10)</f>
        <v>5.7001049516183008E-3</v>
      </c>
      <c r="O7" s="71">
        <f>('Background Data'!$U$21/1000)/(CapToActivity!$E7*'Background Data'!$U$10)</f>
        <v>5.7001049516183008E-3</v>
      </c>
      <c r="P7" s="71">
        <f>('Background Data'!$U$21/1000)/(CapToActivity!$E7*'Background Data'!$U$10)</f>
        <v>5.7001049516183008E-3</v>
      </c>
      <c r="Q7" s="71">
        <f>('Background Data'!$U$21/1000)/(CapToActivity!$E7*'Background Data'!$U$10)</f>
        <v>5.7001049516183008E-3</v>
      </c>
      <c r="R7" s="71">
        <f>('Background Data'!$U$21/1000)/(CapToActivity!$E7*'Background Data'!$U$10)</f>
        <v>5.7001049516183008E-3</v>
      </c>
      <c r="S7" s="71">
        <f>('Background Data'!$U$21/1000)/(CapToActivity!$E7*'Background Data'!$U$10)</f>
        <v>5.7001049516183008E-3</v>
      </c>
      <c r="T7" s="71">
        <f>('Background Data'!$U$21/1000)/(CapToActivity!$E7*'Background Data'!$U$10)</f>
        <v>5.7001049516183008E-3</v>
      </c>
      <c r="U7" s="71">
        <f>('Background Data'!$U$21/1000)/(CapToActivity!$E7*'Background Data'!$U$10)</f>
        <v>5.7001049516183008E-3</v>
      </c>
      <c r="V7" s="71">
        <f>('Background Data'!$U$21/1000)/(CapToActivity!$E7*'Background Data'!$U$10)</f>
        <v>5.7001049516183008E-3</v>
      </c>
      <c r="W7" s="71">
        <f>('Background Data'!$U$21/1000)/(CapToActivity!$E7*'Background Data'!$U$10)</f>
        <v>5.7001049516183008E-3</v>
      </c>
      <c r="X7" s="71">
        <f>('Background Data'!$U$21/1000)/(CapToActivity!$E7*'Background Data'!$U$10)</f>
        <v>5.7001049516183008E-3</v>
      </c>
      <c r="Y7" s="71">
        <f>('Background Data'!$U$21/1000)/(CapToActivity!$E7*'Background Data'!$U$10)</f>
        <v>5.7001049516183008E-3</v>
      </c>
      <c r="Z7" s="71">
        <f>('Background Data'!$U$21/1000)/(CapToActivity!$E7*'Background Data'!$U$10)</f>
        <v>5.7001049516183008E-3</v>
      </c>
      <c r="AH7" s="66" t="s">
        <v>1166</v>
      </c>
    </row>
    <row r="8" spans="1:34" x14ac:dyDescent="0.35">
      <c r="A8" t="s">
        <v>1085</v>
      </c>
      <c r="B8" t="s">
        <v>2261</v>
      </c>
      <c r="C8" t="s">
        <v>161</v>
      </c>
      <c r="D8">
        <v>2022</v>
      </c>
      <c r="F8" s="71"/>
      <c r="G8" s="71"/>
      <c r="H8" s="71"/>
      <c r="I8" s="71"/>
      <c r="J8" s="71"/>
      <c r="K8" s="71"/>
      <c r="L8" s="71">
        <f>('Background Data'!$U$22/1000)/(CapToActivity!$E8*'Background Data'!$U$11)</f>
        <v>5.071377757124778E-3</v>
      </c>
      <c r="M8" s="71">
        <f>('Background Data'!$U$22/1000)/(CapToActivity!$E8*'Background Data'!$U$11)</f>
        <v>5.071377757124778E-3</v>
      </c>
      <c r="N8" s="71">
        <f>('Background Data'!$U$22/1000)/(CapToActivity!$E8*'Background Data'!$U$11)</f>
        <v>5.071377757124778E-3</v>
      </c>
      <c r="O8" s="71">
        <f>('Background Data'!$U$22/1000)/(CapToActivity!$E8*'Background Data'!$U$11)</f>
        <v>5.071377757124778E-3</v>
      </c>
      <c r="P8" s="71">
        <f>('Background Data'!$U$22/1000)/(CapToActivity!$E8*'Background Data'!$U$11)</f>
        <v>5.071377757124778E-3</v>
      </c>
      <c r="Q8" s="71">
        <f>('Background Data'!$U$22/1000)/(CapToActivity!$E8*'Background Data'!$U$11)</f>
        <v>5.071377757124778E-3</v>
      </c>
      <c r="R8" s="71">
        <f>('Background Data'!$U$22/1000)/(CapToActivity!$E8*'Background Data'!$U$11)</f>
        <v>5.071377757124778E-3</v>
      </c>
      <c r="S8" s="71">
        <f>('Background Data'!$U$22/1000)/(CapToActivity!$E8*'Background Data'!$U$11)</f>
        <v>5.071377757124778E-3</v>
      </c>
      <c r="T8" s="71">
        <f>('Background Data'!$U$22/1000)/(CapToActivity!$E8*'Background Data'!$U$11)</f>
        <v>5.071377757124778E-3</v>
      </c>
      <c r="U8" s="71">
        <f>('Background Data'!$U$22/1000)/(CapToActivity!$E8*'Background Data'!$U$11)</f>
        <v>5.071377757124778E-3</v>
      </c>
      <c r="V8" s="71">
        <f>('Background Data'!$U$22/1000)/(CapToActivity!$E8*'Background Data'!$U$11)</f>
        <v>5.071377757124778E-3</v>
      </c>
      <c r="W8" s="71">
        <f>('Background Data'!$U$22/1000)/(CapToActivity!$E8*'Background Data'!$U$11)</f>
        <v>5.071377757124778E-3</v>
      </c>
      <c r="X8" s="71">
        <f>('Background Data'!$U$22/1000)/(CapToActivity!$E8*'Background Data'!$U$11)</f>
        <v>5.071377757124778E-3</v>
      </c>
      <c r="Y8" s="71">
        <f>('Background Data'!$U$22/1000)/(CapToActivity!$E8*'Background Data'!$U$11)</f>
        <v>5.071377757124778E-3</v>
      </c>
      <c r="Z8" s="71">
        <f>('Background Data'!$U$22/1000)/(CapToActivity!$E8*'Background Data'!$U$11)</f>
        <v>5.071377757124778E-3</v>
      </c>
      <c r="AH8" s="66" t="s">
        <v>1166</v>
      </c>
    </row>
    <row r="9" spans="1:34" x14ac:dyDescent="0.35">
      <c r="A9" t="s">
        <v>408</v>
      </c>
      <c r="B9" t="s">
        <v>2261</v>
      </c>
      <c r="C9" t="s">
        <v>161</v>
      </c>
      <c r="D9">
        <v>2022</v>
      </c>
      <c r="F9" s="71"/>
      <c r="G9" s="71"/>
      <c r="H9" s="71"/>
      <c r="I9" s="71"/>
      <c r="J9" s="71"/>
      <c r="K9" s="71"/>
      <c r="L9" s="71">
        <f>('Background Data'!$U$22/1000)/(CapToActivity!$E9*'Background Data'!$U$11)</f>
        <v>5.071377757124778E-3</v>
      </c>
      <c r="M9" s="71">
        <f>('Background Data'!$U$22/1000)/(CapToActivity!$E9*'Background Data'!$U$11)</f>
        <v>5.071377757124778E-3</v>
      </c>
      <c r="N9" s="71">
        <f>('Background Data'!$U$22/1000)/(CapToActivity!$E9*'Background Data'!$U$11)</f>
        <v>5.071377757124778E-3</v>
      </c>
      <c r="O9" s="71">
        <f>('Background Data'!$U$22/1000)/(CapToActivity!$E9*'Background Data'!$U$11)</f>
        <v>5.071377757124778E-3</v>
      </c>
      <c r="P9" s="71">
        <f>('Background Data'!$U$22/1000)/(CapToActivity!$E9*'Background Data'!$U$11)</f>
        <v>5.071377757124778E-3</v>
      </c>
      <c r="Q9" s="71">
        <f>('Background Data'!$U$22/1000)/(CapToActivity!$E9*'Background Data'!$U$11)</f>
        <v>5.071377757124778E-3</v>
      </c>
      <c r="R9" s="71">
        <f>('Background Data'!$U$22/1000)/(CapToActivity!$E9*'Background Data'!$U$11)</f>
        <v>5.071377757124778E-3</v>
      </c>
      <c r="S9" s="71">
        <f>('Background Data'!$U$22/1000)/(CapToActivity!$E9*'Background Data'!$U$11)</f>
        <v>5.071377757124778E-3</v>
      </c>
      <c r="T9" s="71">
        <f>('Background Data'!$U$22/1000)/(CapToActivity!$E9*'Background Data'!$U$11)</f>
        <v>5.071377757124778E-3</v>
      </c>
      <c r="U9" s="71">
        <f>('Background Data'!$U$22/1000)/(CapToActivity!$E9*'Background Data'!$U$11)</f>
        <v>5.071377757124778E-3</v>
      </c>
      <c r="V9" s="71">
        <f>('Background Data'!$U$22/1000)/(CapToActivity!$E9*'Background Data'!$U$11)</f>
        <v>5.071377757124778E-3</v>
      </c>
      <c r="W9" s="71">
        <f>('Background Data'!$U$22/1000)/(CapToActivity!$E9*'Background Data'!$U$11)</f>
        <v>5.071377757124778E-3</v>
      </c>
      <c r="X9" s="71">
        <f>('Background Data'!$U$22/1000)/(CapToActivity!$E9*'Background Data'!$U$11)</f>
        <v>5.071377757124778E-3</v>
      </c>
      <c r="Y9" s="71">
        <f>('Background Data'!$U$22/1000)/(CapToActivity!$E9*'Background Data'!$U$11)</f>
        <v>5.071377757124778E-3</v>
      </c>
      <c r="Z9" s="71">
        <f>('Background Data'!$U$22/1000)/(CapToActivity!$E9*'Background Data'!$U$11)</f>
        <v>5.071377757124778E-3</v>
      </c>
      <c r="AH9" s="66" t="s">
        <v>1166</v>
      </c>
    </row>
    <row r="10" spans="1:34" ht="15" customHeight="1" x14ac:dyDescent="0.35">
      <c r="A10" t="s">
        <v>2198</v>
      </c>
      <c r="B10" t="s">
        <v>2261</v>
      </c>
      <c r="C10" t="s">
        <v>161</v>
      </c>
      <c r="D10">
        <v>2022</v>
      </c>
      <c r="F10" s="71"/>
      <c r="G10" s="71"/>
      <c r="H10" s="71"/>
      <c r="I10" s="71"/>
      <c r="J10" s="71"/>
      <c r="K10" s="71"/>
      <c r="L10" s="71">
        <f>('Background Data'!$U$22/1000)/(CapToActivity!$E10*'Background Data'!$U$11)</f>
        <v>5.071377757124778E-3</v>
      </c>
      <c r="M10" s="71">
        <f>('Background Data'!$U$22/1000)/(CapToActivity!$E10*'Background Data'!$U$11)</f>
        <v>5.071377757124778E-3</v>
      </c>
      <c r="N10" s="71">
        <f>('Background Data'!$U$22/1000)/(CapToActivity!$E10*'Background Data'!$U$11)</f>
        <v>5.071377757124778E-3</v>
      </c>
      <c r="O10" s="71">
        <f>('Background Data'!$U$22/1000)/(CapToActivity!$E10*'Background Data'!$U$11)</f>
        <v>5.071377757124778E-3</v>
      </c>
      <c r="P10" s="71">
        <f>('Background Data'!$U$22/1000)/(CapToActivity!$E10*'Background Data'!$U$11)</f>
        <v>5.071377757124778E-3</v>
      </c>
      <c r="Q10" s="71">
        <f>('Background Data'!$U$22/1000)/(CapToActivity!$E10*'Background Data'!$U$11)</f>
        <v>5.071377757124778E-3</v>
      </c>
      <c r="R10" s="71">
        <f>('Background Data'!$U$22/1000)/(CapToActivity!$E10*'Background Data'!$U$11)</f>
        <v>5.071377757124778E-3</v>
      </c>
      <c r="S10" s="71">
        <f>('Background Data'!$U$22/1000)/(CapToActivity!$E10*'Background Data'!$U$11)</f>
        <v>5.071377757124778E-3</v>
      </c>
      <c r="T10" s="71">
        <f>('Background Data'!$U$22/1000)/(CapToActivity!$E10*'Background Data'!$U$11)</f>
        <v>5.071377757124778E-3</v>
      </c>
      <c r="U10" s="71">
        <f>('Background Data'!$U$22/1000)/(CapToActivity!$E10*'Background Data'!$U$11)</f>
        <v>5.071377757124778E-3</v>
      </c>
      <c r="V10" s="71">
        <f>('Background Data'!$U$22/1000)/(CapToActivity!$E10*'Background Data'!$U$11)</f>
        <v>5.071377757124778E-3</v>
      </c>
      <c r="W10" s="71">
        <f>('Background Data'!$U$22/1000)/(CapToActivity!$E10*'Background Data'!$U$11)</f>
        <v>5.071377757124778E-3</v>
      </c>
      <c r="X10" s="71">
        <f>('Background Data'!$U$22/1000)/(CapToActivity!$E10*'Background Data'!$U$11)</f>
        <v>5.071377757124778E-3</v>
      </c>
      <c r="Y10" s="71">
        <f>('Background Data'!$U$22/1000)/(CapToActivity!$E10*'Background Data'!$U$11)</f>
        <v>5.071377757124778E-3</v>
      </c>
      <c r="Z10" s="71">
        <f>('Background Data'!$U$22/1000)/(CapToActivity!$E10*'Background Data'!$U$11)</f>
        <v>5.071377757124778E-3</v>
      </c>
      <c r="AH10" s="66" t="s">
        <v>1166</v>
      </c>
    </row>
    <row r="11" spans="1:34" x14ac:dyDescent="0.35">
      <c r="A11" t="s">
        <v>1086</v>
      </c>
      <c r="B11" t="s">
        <v>2261</v>
      </c>
      <c r="C11" t="s">
        <v>161</v>
      </c>
      <c r="D11">
        <v>2022</v>
      </c>
      <c r="F11" s="71"/>
      <c r="G11" s="71"/>
      <c r="H11" s="71"/>
      <c r="I11" s="71"/>
      <c r="J11" s="71"/>
      <c r="K11" s="71"/>
      <c r="L11" s="71">
        <f>('Background Data'!$U$22/1000)/(CapToActivity!$E11*'Background Data'!$U$11)</f>
        <v>5.071377757124778E-3</v>
      </c>
      <c r="M11" s="71">
        <f>('Background Data'!$U$22/1000)/(CapToActivity!$E11*'Background Data'!$U$11)</f>
        <v>5.071377757124778E-3</v>
      </c>
      <c r="N11" s="71">
        <f>('Background Data'!$U$22/1000)/(CapToActivity!$E11*'Background Data'!$U$11)</f>
        <v>5.071377757124778E-3</v>
      </c>
      <c r="O11" s="71">
        <f>('Background Data'!$U$22/1000)/(CapToActivity!$E11*'Background Data'!$U$11)</f>
        <v>5.071377757124778E-3</v>
      </c>
      <c r="P11" s="71">
        <f>('Background Data'!$U$22/1000)/(CapToActivity!$E11*'Background Data'!$U$11)</f>
        <v>5.071377757124778E-3</v>
      </c>
      <c r="Q11" s="71">
        <f>('Background Data'!$U$22/1000)/(CapToActivity!$E11*'Background Data'!$U$11)</f>
        <v>5.071377757124778E-3</v>
      </c>
      <c r="R11" s="71">
        <f>('Background Data'!$U$22/1000)/(CapToActivity!$E11*'Background Data'!$U$11)</f>
        <v>5.071377757124778E-3</v>
      </c>
      <c r="S11" s="71">
        <f>('Background Data'!$U$22/1000)/(CapToActivity!$E11*'Background Data'!$U$11)</f>
        <v>5.071377757124778E-3</v>
      </c>
      <c r="T11" s="71">
        <f>('Background Data'!$U$22/1000)/(CapToActivity!$E11*'Background Data'!$U$11)</f>
        <v>5.071377757124778E-3</v>
      </c>
      <c r="U11" s="71">
        <f>('Background Data'!$U$22/1000)/(CapToActivity!$E11*'Background Data'!$U$11)</f>
        <v>5.071377757124778E-3</v>
      </c>
      <c r="V11" s="71">
        <f>('Background Data'!$U$22/1000)/(CapToActivity!$E11*'Background Data'!$U$11)</f>
        <v>5.071377757124778E-3</v>
      </c>
      <c r="W11" s="71">
        <f>('Background Data'!$U$22/1000)/(CapToActivity!$E11*'Background Data'!$U$11)</f>
        <v>5.071377757124778E-3</v>
      </c>
      <c r="X11" s="71">
        <f>('Background Data'!$U$22/1000)/(CapToActivity!$E11*'Background Data'!$U$11)</f>
        <v>5.071377757124778E-3</v>
      </c>
      <c r="Y11" s="71">
        <f>('Background Data'!$U$22/1000)/(CapToActivity!$E11*'Background Data'!$U$11)</f>
        <v>5.071377757124778E-3</v>
      </c>
      <c r="Z11" s="71">
        <f>('Background Data'!$U$22/1000)/(CapToActivity!$E11*'Background Data'!$U$11)</f>
        <v>5.071377757124778E-3</v>
      </c>
      <c r="AH11" s="66" t="s">
        <v>1166</v>
      </c>
    </row>
    <row r="12" spans="1:34" x14ac:dyDescent="0.35">
      <c r="A12" t="s">
        <v>1096</v>
      </c>
      <c r="B12" t="s">
        <v>2261</v>
      </c>
      <c r="C12" t="s">
        <v>161</v>
      </c>
      <c r="D12">
        <v>2022</v>
      </c>
      <c r="F12" s="71"/>
      <c r="G12" s="71"/>
      <c r="H12" s="71"/>
      <c r="I12" s="71"/>
      <c r="J12" s="71"/>
      <c r="K12" s="71"/>
      <c r="L12" s="71">
        <f>('Background Data'!$U$22/1000)/(CapToActivity!$E12*'Background Data'!$U$11)</f>
        <v>5.071377757124778E-3</v>
      </c>
      <c r="M12" s="71">
        <f>('Background Data'!$U$22/1000)/(CapToActivity!$E12*'Background Data'!$U$11)</f>
        <v>5.071377757124778E-3</v>
      </c>
      <c r="N12" s="71">
        <f>('Background Data'!$U$22/1000)/(CapToActivity!$E12*'Background Data'!$U$11)</f>
        <v>5.071377757124778E-3</v>
      </c>
      <c r="O12" s="71">
        <f>('Background Data'!$U$22/1000)/(CapToActivity!$E12*'Background Data'!$U$11)</f>
        <v>5.071377757124778E-3</v>
      </c>
      <c r="P12" s="71">
        <f>('Background Data'!$U$22/1000)/(CapToActivity!$E12*'Background Data'!$U$11)</f>
        <v>5.071377757124778E-3</v>
      </c>
      <c r="Q12" s="71">
        <f>('Background Data'!$U$22/1000)/(CapToActivity!$E12*'Background Data'!$U$11)</f>
        <v>5.071377757124778E-3</v>
      </c>
      <c r="R12" s="71">
        <f>('Background Data'!$U$22/1000)/(CapToActivity!$E12*'Background Data'!$U$11)</f>
        <v>5.071377757124778E-3</v>
      </c>
      <c r="S12" s="71">
        <f>('Background Data'!$U$22/1000)/(CapToActivity!$E12*'Background Data'!$U$11)</f>
        <v>5.071377757124778E-3</v>
      </c>
      <c r="T12" s="71">
        <f>('Background Data'!$U$22/1000)/(CapToActivity!$E12*'Background Data'!$U$11)</f>
        <v>5.071377757124778E-3</v>
      </c>
      <c r="U12" s="71">
        <f>('Background Data'!$U$22/1000)/(CapToActivity!$E12*'Background Data'!$U$11)</f>
        <v>5.071377757124778E-3</v>
      </c>
      <c r="V12" s="71">
        <f>('Background Data'!$U$22/1000)/(CapToActivity!$E12*'Background Data'!$U$11)</f>
        <v>5.071377757124778E-3</v>
      </c>
      <c r="W12" s="71">
        <f>('Background Data'!$U$22/1000)/(CapToActivity!$E12*'Background Data'!$U$11)</f>
        <v>5.071377757124778E-3</v>
      </c>
      <c r="X12" s="71">
        <f>('Background Data'!$U$22/1000)/(CapToActivity!$E12*'Background Data'!$U$11)</f>
        <v>5.071377757124778E-3</v>
      </c>
      <c r="Y12" s="71">
        <f>('Background Data'!$U$22/1000)/(CapToActivity!$E12*'Background Data'!$U$11)</f>
        <v>5.071377757124778E-3</v>
      </c>
      <c r="Z12" s="71">
        <f>('Background Data'!$U$22/1000)/(CapToActivity!$E12*'Background Data'!$U$11)</f>
        <v>5.071377757124778E-3</v>
      </c>
      <c r="AH12" s="66" t="s">
        <v>1166</v>
      </c>
    </row>
    <row r="13" spans="1:34" x14ac:dyDescent="0.35">
      <c r="A13" t="s">
        <v>1087</v>
      </c>
      <c r="B13" t="s">
        <v>2261</v>
      </c>
      <c r="C13" t="s">
        <v>161</v>
      </c>
      <c r="D13">
        <v>2022</v>
      </c>
      <c r="F13" s="71"/>
      <c r="G13" s="71"/>
      <c r="H13" s="71"/>
      <c r="I13" s="71"/>
      <c r="J13" s="71"/>
      <c r="K13" s="71"/>
      <c r="L13" s="71">
        <f>('Background Data'!$U$23/1000)/(CapToActivity!$E13*'Background Data'!$U$12)</f>
        <v>9.5813083520937606E-3</v>
      </c>
      <c r="M13" s="71">
        <f>('Background Data'!$U$23/1000)/(CapToActivity!$E13*'Background Data'!$U$12)</f>
        <v>9.5813083520937606E-3</v>
      </c>
      <c r="N13" s="71">
        <f>('Background Data'!$U$23/1000)/(CapToActivity!$E13*'Background Data'!$U$12)</f>
        <v>9.5813083520937606E-3</v>
      </c>
      <c r="O13" s="71">
        <f>('Background Data'!$U$23/1000)/(CapToActivity!$E13*'Background Data'!$U$12)</f>
        <v>9.5813083520937606E-3</v>
      </c>
      <c r="P13" s="71">
        <f>('Background Data'!$U$23/1000)/(CapToActivity!$E13*'Background Data'!$U$12)</f>
        <v>9.5813083520937606E-3</v>
      </c>
      <c r="Q13" s="71">
        <f>('Background Data'!$U$23/1000)/(CapToActivity!$E13*'Background Data'!$U$12)</f>
        <v>9.5813083520937606E-3</v>
      </c>
      <c r="R13" s="71">
        <f>('Background Data'!$U$23/1000)/(CapToActivity!$E13*'Background Data'!$U$12)</f>
        <v>9.5813083520937606E-3</v>
      </c>
      <c r="S13" s="71">
        <f>('Background Data'!$U$23/1000)/(CapToActivity!$E13*'Background Data'!$U$12)</f>
        <v>9.5813083520937606E-3</v>
      </c>
      <c r="T13" s="71">
        <f>('Background Data'!$U$23/1000)/(CapToActivity!$E13*'Background Data'!$U$12)</f>
        <v>9.5813083520937606E-3</v>
      </c>
      <c r="U13" s="71">
        <f>('Background Data'!$U$23/1000)/(CapToActivity!$E13*'Background Data'!$U$12)</f>
        <v>9.5813083520937606E-3</v>
      </c>
      <c r="V13" s="71">
        <f>('Background Data'!$U$23/1000)/(CapToActivity!$E13*'Background Data'!$U$12)</f>
        <v>9.5813083520937606E-3</v>
      </c>
      <c r="W13" s="71">
        <f>('Background Data'!$U$23/1000)/(CapToActivity!$E13*'Background Data'!$U$12)</f>
        <v>9.5813083520937606E-3</v>
      </c>
      <c r="X13" s="71">
        <f>('Background Data'!$U$23/1000)/(CapToActivity!$E13*'Background Data'!$U$12)</f>
        <v>9.5813083520937606E-3</v>
      </c>
      <c r="Y13" s="71">
        <f>('Background Data'!$U$23/1000)/(CapToActivity!$E13*'Background Data'!$U$12)</f>
        <v>9.5813083520937606E-3</v>
      </c>
      <c r="Z13" s="71">
        <f>('Background Data'!$U$23/1000)/(CapToActivity!$E13*'Background Data'!$U$12)</f>
        <v>9.5813083520937606E-3</v>
      </c>
      <c r="AH13" s="66" t="s">
        <v>1166</v>
      </c>
    </row>
    <row r="14" spans="1:34" x14ac:dyDescent="0.35">
      <c r="A14" t="s">
        <v>409</v>
      </c>
      <c r="B14" t="s">
        <v>2261</v>
      </c>
      <c r="C14" t="s">
        <v>161</v>
      </c>
      <c r="D14">
        <v>2022</v>
      </c>
      <c r="F14" s="71"/>
      <c r="G14" s="71"/>
      <c r="H14" s="71"/>
      <c r="I14" s="71"/>
      <c r="J14" s="71"/>
      <c r="K14" s="71"/>
      <c r="L14" s="71">
        <f>('Background Data'!$U$23/1000)/(CapToActivity!$E14*'Background Data'!$U$12)</f>
        <v>9.5813083520937606E-3</v>
      </c>
      <c r="M14" s="71">
        <f>('Background Data'!$U$23/1000)/(CapToActivity!$E14*'Background Data'!$U$12)</f>
        <v>9.5813083520937606E-3</v>
      </c>
      <c r="N14" s="71">
        <f>('Background Data'!$U$23/1000)/(CapToActivity!$E14*'Background Data'!$U$12)</f>
        <v>9.5813083520937606E-3</v>
      </c>
      <c r="O14" s="71">
        <f>('Background Data'!$U$23/1000)/(CapToActivity!$E14*'Background Data'!$U$12)</f>
        <v>9.5813083520937606E-3</v>
      </c>
      <c r="P14" s="71">
        <f>('Background Data'!$U$23/1000)/(CapToActivity!$E14*'Background Data'!$U$12)</f>
        <v>9.5813083520937606E-3</v>
      </c>
      <c r="Q14" s="71">
        <f>('Background Data'!$U$23/1000)/(CapToActivity!$E14*'Background Data'!$U$12)</f>
        <v>9.5813083520937606E-3</v>
      </c>
      <c r="R14" s="71">
        <f>('Background Data'!$U$23/1000)/(CapToActivity!$E14*'Background Data'!$U$12)</f>
        <v>9.5813083520937606E-3</v>
      </c>
      <c r="S14" s="71">
        <f>('Background Data'!$U$23/1000)/(CapToActivity!$E14*'Background Data'!$U$12)</f>
        <v>9.5813083520937606E-3</v>
      </c>
      <c r="T14" s="71">
        <f>('Background Data'!$U$23/1000)/(CapToActivity!$E14*'Background Data'!$U$12)</f>
        <v>9.5813083520937606E-3</v>
      </c>
      <c r="U14" s="71">
        <f>('Background Data'!$U$23/1000)/(CapToActivity!$E14*'Background Data'!$U$12)</f>
        <v>9.5813083520937606E-3</v>
      </c>
      <c r="V14" s="71">
        <f>('Background Data'!$U$23/1000)/(CapToActivity!$E14*'Background Data'!$U$12)</f>
        <v>9.5813083520937606E-3</v>
      </c>
      <c r="W14" s="71">
        <f>('Background Data'!$U$23/1000)/(CapToActivity!$E14*'Background Data'!$U$12)</f>
        <v>9.5813083520937606E-3</v>
      </c>
      <c r="X14" s="71">
        <f>('Background Data'!$U$23/1000)/(CapToActivity!$E14*'Background Data'!$U$12)</f>
        <v>9.5813083520937606E-3</v>
      </c>
      <c r="Y14" s="71">
        <f>('Background Data'!$U$23/1000)/(CapToActivity!$E14*'Background Data'!$U$12)</f>
        <v>9.5813083520937606E-3</v>
      </c>
      <c r="Z14" s="71">
        <f>('Background Data'!$U$23/1000)/(CapToActivity!$E14*'Background Data'!$U$12)</f>
        <v>9.5813083520937606E-3</v>
      </c>
      <c r="AH14" s="66" t="s">
        <v>1166</v>
      </c>
    </row>
    <row r="15" spans="1:34" x14ac:dyDescent="0.35">
      <c r="A15" t="s">
        <v>1088</v>
      </c>
      <c r="B15" t="s">
        <v>2261</v>
      </c>
      <c r="C15" t="s">
        <v>161</v>
      </c>
      <c r="D15">
        <v>2022</v>
      </c>
      <c r="F15" s="71"/>
      <c r="G15" s="71"/>
      <c r="H15" s="71"/>
      <c r="I15" s="71"/>
      <c r="J15" s="71"/>
      <c r="K15" s="71"/>
      <c r="L15" s="71">
        <f>('Background Data'!$U$23/1000)/(CapToActivity!$E15*'Background Data'!$U$12)</f>
        <v>9.5813083520937606E-3</v>
      </c>
      <c r="M15" s="71">
        <f>('Background Data'!$U$23/1000)/(CapToActivity!$E15*'Background Data'!$U$12)</f>
        <v>9.5813083520937606E-3</v>
      </c>
      <c r="N15" s="71">
        <f>('Background Data'!$U$23/1000)/(CapToActivity!$E15*'Background Data'!$U$12)</f>
        <v>9.5813083520937606E-3</v>
      </c>
      <c r="O15" s="71">
        <f>('Background Data'!$U$23/1000)/(CapToActivity!$E15*'Background Data'!$U$12)</f>
        <v>9.5813083520937606E-3</v>
      </c>
      <c r="P15" s="71">
        <f>('Background Data'!$U$23/1000)/(CapToActivity!$E15*'Background Data'!$U$12)</f>
        <v>9.5813083520937606E-3</v>
      </c>
      <c r="Q15" s="71">
        <f>('Background Data'!$U$23/1000)/(CapToActivity!$E15*'Background Data'!$U$12)</f>
        <v>9.5813083520937606E-3</v>
      </c>
      <c r="R15" s="71">
        <f>('Background Data'!$U$23/1000)/(CapToActivity!$E15*'Background Data'!$U$12)</f>
        <v>9.5813083520937606E-3</v>
      </c>
      <c r="S15" s="71">
        <f>('Background Data'!$U$23/1000)/(CapToActivity!$E15*'Background Data'!$U$12)</f>
        <v>9.5813083520937606E-3</v>
      </c>
      <c r="T15" s="71">
        <f>('Background Data'!$U$23/1000)/(CapToActivity!$E15*'Background Data'!$U$12)</f>
        <v>9.5813083520937606E-3</v>
      </c>
      <c r="U15" s="71">
        <f>('Background Data'!$U$23/1000)/(CapToActivity!$E15*'Background Data'!$U$12)</f>
        <v>9.5813083520937606E-3</v>
      </c>
      <c r="V15" s="71">
        <f>('Background Data'!$U$23/1000)/(CapToActivity!$E15*'Background Data'!$U$12)</f>
        <v>9.5813083520937606E-3</v>
      </c>
      <c r="W15" s="71">
        <f>('Background Data'!$U$23/1000)/(CapToActivity!$E15*'Background Data'!$U$12)</f>
        <v>9.5813083520937606E-3</v>
      </c>
      <c r="X15" s="71">
        <f>('Background Data'!$U$23/1000)/(CapToActivity!$E15*'Background Data'!$U$12)</f>
        <v>9.5813083520937606E-3</v>
      </c>
      <c r="Y15" s="71">
        <f>('Background Data'!$U$23/1000)/(CapToActivity!$E15*'Background Data'!$U$12)</f>
        <v>9.5813083520937606E-3</v>
      </c>
      <c r="Z15" s="71">
        <f>('Background Data'!$U$23/1000)/(CapToActivity!$E15*'Background Data'!$U$12)</f>
        <v>9.5813083520937606E-3</v>
      </c>
      <c r="AH15" s="66" t="s">
        <v>1166</v>
      </c>
    </row>
    <row r="16" spans="1:34" x14ac:dyDescent="0.35">
      <c r="A16" t="s">
        <v>1097</v>
      </c>
      <c r="B16" t="s">
        <v>2261</v>
      </c>
      <c r="C16" t="s">
        <v>161</v>
      </c>
      <c r="D16">
        <v>2022</v>
      </c>
      <c r="F16" s="71"/>
      <c r="G16" s="71"/>
      <c r="H16" s="71"/>
      <c r="I16" s="71"/>
      <c r="J16" s="71"/>
      <c r="K16" s="71"/>
      <c r="L16" s="71">
        <f>('Background Data'!$U$23/1000)/(CapToActivity!$E16*'Background Data'!$U$12)</f>
        <v>9.5813083520937606E-3</v>
      </c>
      <c r="M16" s="71">
        <f>('Background Data'!$U$23/1000)/(CapToActivity!$E16*'Background Data'!$U$12)</f>
        <v>9.5813083520937606E-3</v>
      </c>
      <c r="N16" s="71">
        <f>('Background Data'!$U$23/1000)/(CapToActivity!$E16*'Background Data'!$U$12)</f>
        <v>9.5813083520937606E-3</v>
      </c>
      <c r="O16" s="71">
        <f>('Background Data'!$U$23/1000)/(CapToActivity!$E16*'Background Data'!$U$12)</f>
        <v>9.5813083520937606E-3</v>
      </c>
      <c r="P16" s="71">
        <f>('Background Data'!$U$23/1000)/(CapToActivity!$E16*'Background Data'!$U$12)</f>
        <v>9.5813083520937606E-3</v>
      </c>
      <c r="Q16" s="71">
        <f>('Background Data'!$U$23/1000)/(CapToActivity!$E16*'Background Data'!$U$12)</f>
        <v>9.5813083520937606E-3</v>
      </c>
      <c r="R16" s="71">
        <f>('Background Data'!$U$23/1000)/(CapToActivity!$E16*'Background Data'!$U$12)</f>
        <v>9.5813083520937606E-3</v>
      </c>
      <c r="S16" s="71">
        <f>('Background Data'!$U$23/1000)/(CapToActivity!$E16*'Background Data'!$U$12)</f>
        <v>9.5813083520937606E-3</v>
      </c>
      <c r="T16" s="71">
        <f>('Background Data'!$U$23/1000)/(CapToActivity!$E16*'Background Data'!$U$12)</f>
        <v>9.5813083520937606E-3</v>
      </c>
      <c r="U16" s="71">
        <f>('Background Data'!$U$23/1000)/(CapToActivity!$E16*'Background Data'!$U$12)</f>
        <v>9.5813083520937606E-3</v>
      </c>
      <c r="V16" s="71">
        <f>('Background Data'!$U$23/1000)/(CapToActivity!$E16*'Background Data'!$U$12)</f>
        <v>9.5813083520937606E-3</v>
      </c>
      <c r="W16" s="71">
        <f>('Background Data'!$U$23/1000)/(CapToActivity!$E16*'Background Data'!$U$12)</f>
        <v>9.5813083520937606E-3</v>
      </c>
      <c r="X16" s="71">
        <f>('Background Data'!$U$23/1000)/(CapToActivity!$E16*'Background Data'!$U$12)</f>
        <v>9.5813083520937606E-3</v>
      </c>
      <c r="Y16" s="71">
        <f>('Background Data'!$U$23/1000)/(CapToActivity!$E16*'Background Data'!$U$12)</f>
        <v>9.5813083520937606E-3</v>
      </c>
      <c r="Z16" s="71">
        <f>('Background Data'!$U$23/1000)/(CapToActivity!$E16*'Background Data'!$U$12)</f>
        <v>9.5813083520937606E-3</v>
      </c>
      <c r="AH16" s="66" t="s">
        <v>1166</v>
      </c>
    </row>
    <row r="17" spans="1:34" x14ac:dyDescent="0.35">
      <c r="A17" t="s">
        <v>1089</v>
      </c>
      <c r="B17" t="s">
        <v>2261</v>
      </c>
      <c r="C17" t="s">
        <v>161</v>
      </c>
      <c r="D17">
        <v>2022</v>
      </c>
      <c r="F17" s="71"/>
      <c r="G17" s="71"/>
      <c r="H17" s="71"/>
      <c r="I17" s="71"/>
      <c r="J17" s="71"/>
      <c r="K17" s="71"/>
      <c r="L17" s="71">
        <f>('Background Data'!$U$24/1000)/(CapToActivity!$E17*'Background Data'!$U$13)</f>
        <v>1.4253481754307813E-2</v>
      </c>
      <c r="M17" s="71">
        <f>('Background Data'!$U$24/1000)/(CapToActivity!$E17*'Background Data'!$U$13)</f>
        <v>1.4253481754307813E-2</v>
      </c>
      <c r="N17" s="71">
        <f>('Background Data'!$U$24/1000)/(CapToActivity!$E17*'Background Data'!$U$13)</f>
        <v>1.4253481754307813E-2</v>
      </c>
      <c r="O17" s="71">
        <f>('Background Data'!$U$24/1000)/(CapToActivity!$E17*'Background Data'!$U$13)</f>
        <v>1.4253481754307813E-2</v>
      </c>
      <c r="P17" s="71">
        <f>('Background Data'!$U$24/1000)/(CapToActivity!$E17*'Background Data'!$U$13)</f>
        <v>1.4253481754307813E-2</v>
      </c>
      <c r="Q17" s="71">
        <f>('Background Data'!$U$24/1000)/(CapToActivity!$E17*'Background Data'!$U$13)</f>
        <v>1.4253481754307813E-2</v>
      </c>
      <c r="R17" s="71">
        <f>('Background Data'!$U$24/1000)/(CapToActivity!$E17*'Background Data'!$U$13)</f>
        <v>1.4253481754307813E-2</v>
      </c>
      <c r="S17" s="71">
        <f>('Background Data'!$U$24/1000)/(CapToActivity!$E17*'Background Data'!$U$13)</f>
        <v>1.4253481754307813E-2</v>
      </c>
      <c r="T17" s="71">
        <f>('Background Data'!$U$24/1000)/(CapToActivity!$E17*'Background Data'!$U$13)</f>
        <v>1.4253481754307813E-2</v>
      </c>
      <c r="U17" s="71">
        <f>('Background Data'!$U$24/1000)/(CapToActivity!$E17*'Background Data'!$U$13)</f>
        <v>1.4253481754307813E-2</v>
      </c>
      <c r="V17" s="71">
        <f>('Background Data'!$U$24/1000)/(CapToActivity!$E17*'Background Data'!$U$13)</f>
        <v>1.4253481754307813E-2</v>
      </c>
      <c r="W17" s="71">
        <f>('Background Data'!$U$24/1000)/(CapToActivity!$E17*'Background Data'!$U$13)</f>
        <v>1.4253481754307813E-2</v>
      </c>
      <c r="X17" s="71">
        <f>('Background Data'!$U$24/1000)/(CapToActivity!$E17*'Background Data'!$U$13)</f>
        <v>1.4253481754307813E-2</v>
      </c>
      <c r="Y17" s="71">
        <f>('Background Data'!$U$24/1000)/(CapToActivity!$E17*'Background Data'!$U$13)</f>
        <v>1.4253481754307813E-2</v>
      </c>
      <c r="Z17" s="71">
        <f>('Background Data'!$U$24/1000)/(CapToActivity!$E17*'Background Data'!$U$13)</f>
        <v>1.4253481754307813E-2</v>
      </c>
      <c r="AH17" s="66" t="s">
        <v>1166</v>
      </c>
    </row>
    <row r="18" spans="1:34" x14ac:dyDescent="0.35">
      <c r="A18" t="s">
        <v>29</v>
      </c>
      <c r="B18" t="s">
        <v>2261</v>
      </c>
      <c r="C18" t="s">
        <v>161</v>
      </c>
      <c r="D18">
        <v>2022</v>
      </c>
      <c r="F18" s="71"/>
      <c r="G18" s="71"/>
      <c r="H18" s="71"/>
      <c r="I18" s="71"/>
      <c r="J18" s="71"/>
      <c r="K18" s="71"/>
      <c r="L18" s="71">
        <f>('Background Data'!$U$24/1000)/(CapToActivity!$E18*'Background Data'!$U$13)</f>
        <v>1.4253481754307813E-2</v>
      </c>
      <c r="M18" s="71">
        <f>('Background Data'!$U$24/1000)/(CapToActivity!$E18*'Background Data'!$U$13)</f>
        <v>1.4253481754307813E-2</v>
      </c>
      <c r="N18" s="71">
        <f>('Background Data'!$U$24/1000)/(CapToActivity!$E18*'Background Data'!$U$13)</f>
        <v>1.4253481754307813E-2</v>
      </c>
      <c r="O18" s="71">
        <f>('Background Data'!$U$24/1000)/(CapToActivity!$E18*'Background Data'!$U$13)</f>
        <v>1.4253481754307813E-2</v>
      </c>
      <c r="P18" s="71">
        <f>('Background Data'!$U$24/1000)/(CapToActivity!$E18*'Background Data'!$U$13)</f>
        <v>1.4253481754307813E-2</v>
      </c>
      <c r="Q18" s="71">
        <f>('Background Data'!$U$24/1000)/(CapToActivity!$E18*'Background Data'!$U$13)</f>
        <v>1.4253481754307813E-2</v>
      </c>
      <c r="R18" s="71">
        <f>('Background Data'!$U$24/1000)/(CapToActivity!$E18*'Background Data'!$U$13)</f>
        <v>1.4253481754307813E-2</v>
      </c>
      <c r="S18" s="71">
        <f>('Background Data'!$U$24/1000)/(CapToActivity!$E18*'Background Data'!$U$13)</f>
        <v>1.4253481754307813E-2</v>
      </c>
      <c r="T18" s="71">
        <f>('Background Data'!$U$24/1000)/(CapToActivity!$E18*'Background Data'!$U$13)</f>
        <v>1.4253481754307813E-2</v>
      </c>
      <c r="U18" s="71">
        <f>('Background Data'!$U$24/1000)/(CapToActivity!$E18*'Background Data'!$U$13)</f>
        <v>1.4253481754307813E-2</v>
      </c>
      <c r="V18" s="71">
        <f>('Background Data'!$U$24/1000)/(CapToActivity!$E18*'Background Data'!$U$13)</f>
        <v>1.4253481754307813E-2</v>
      </c>
      <c r="W18" s="71">
        <f>('Background Data'!$U$24/1000)/(CapToActivity!$E18*'Background Data'!$U$13)</f>
        <v>1.4253481754307813E-2</v>
      </c>
      <c r="X18" s="71">
        <f>('Background Data'!$U$24/1000)/(CapToActivity!$E18*'Background Data'!$U$13)</f>
        <v>1.4253481754307813E-2</v>
      </c>
      <c r="Y18" s="71">
        <f>('Background Data'!$U$24/1000)/(CapToActivity!$E18*'Background Data'!$U$13)</f>
        <v>1.4253481754307813E-2</v>
      </c>
      <c r="Z18" s="71">
        <f>('Background Data'!$U$24/1000)/(CapToActivity!$E18*'Background Data'!$U$13)</f>
        <v>1.4253481754307813E-2</v>
      </c>
      <c r="AH18" s="66" t="s">
        <v>1166</v>
      </c>
    </row>
    <row r="19" spans="1:34" x14ac:dyDescent="0.35">
      <c r="A19" t="s">
        <v>30</v>
      </c>
      <c r="B19" t="s">
        <v>2261</v>
      </c>
      <c r="C19" t="s">
        <v>161</v>
      </c>
      <c r="D19">
        <v>2022</v>
      </c>
      <c r="F19" s="71"/>
      <c r="G19" s="71"/>
      <c r="H19" s="71"/>
      <c r="I19" s="71">
        <f>('Background Data'!$U$25/1000)/(CapToActivity!$E19*'Background Data'!$U$14)</f>
        <v>7.1950082740144056E-2</v>
      </c>
      <c r="J19" s="71">
        <f>('Background Data'!$U$25/1000)/(CapToActivity!$E19*'Background Data'!$U$14)</f>
        <v>7.1950082740144056E-2</v>
      </c>
      <c r="K19" s="71">
        <f>('Background Data'!$U$25/1000)/(CapToActivity!$E19*'Background Data'!$U$14)</f>
        <v>7.1950082740144056E-2</v>
      </c>
      <c r="L19" s="71">
        <f>('Background Data'!$U$25/1000)/(CapToActivity!$E19*'Background Data'!$U$14)</f>
        <v>7.1950082740144056E-2</v>
      </c>
      <c r="M19" s="71">
        <f>('Background Data'!$U$25/1000)/(CapToActivity!$E19*'Background Data'!$U$14)</f>
        <v>7.1950082740144056E-2</v>
      </c>
      <c r="N19" s="71">
        <f>('Background Data'!$U$25/1000)/(CapToActivity!$E19*'Background Data'!$U$14)</f>
        <v>7.1950082740144056E-2</v>
      </c>
      <c r="O19" s="71">
        <f>('Background Data'!$U$25/1000)/(CapToActivity!$E19*'Background Data'!$U$14)</f>
        <v>7.1950082740144056E-2</v>
      </c>
      <c r="P19" s="71">
        <f>('Background Data'!$U$25/1000)/(CapToActivity!$E19*'Background Data'!$U$14)</f>
        <v>7.1950082740144056E-2</v>
      </c>
      <c r="Q19" s="71">
        <f>('Background Data'!$U$25/1000)/(CapToActivity!$E19*'Background Data'!$U$14)</f>
        <v>7.1950082740144056E-2</v>
      </c>
      <c r="R19" s="71">
        <f>('Background Data'!$U$25/1000)/(CapToActivity!$E19*'Background Data'!$U$14)</f>
        <v>7.1950082740144056E-2</v>
      </c>
      <c r="S19" s="71">
        <f>('Background Data'!$U$25/1000)/(CapToActivity!$E19*'Background Data'!$U$14)</f>
        <v>7.1950082740144056E-2</v>
      </c>
      <c r="T19" s="71">
        <f>('Background Data'!$U$25/1000)/(CapToActivity!$E19*'Background Data'!$U$14)</f>
        <v>7.1950082740144056E-2</v>
      </c>
      <c r="U19" s="71">
        <f>('Background Data'!$U$25/1000)/(CapToActivity!$E19*'Background Data'!$U$14)</f>
        <v>7.1950082740144056E-2</v>
      </c>
      <c r="V19" s="71">
        <f>('Background Data'!$U$25/1000)/(CapToActivity!$E19*'Background Data'!$U$14)</f>
        <v>7.1950082740144056E-2</v>
      </c>
      <c r="W19" s="71">
        <f>('Background Data'!$U$25/1000)/(CapToActivity!$E19*'Background Data'!$U$14)</f>
        <v>7.1950082740144056E-2</v>
      </c>
      <c r="X19" s="71">
        <f>('Background Data'!$U$25/1000)/(CapToActivity!$E19*'Background Data'!$U$14)</f>
        <v>7.1950082740144056E-2</v>
      </c>
      <c r="Y19" s="71">
        <f>('Background Data'!$U$25/1000)/(CapToActivity!$E19*'Background Data'!$U$14)</f>
        <v>7.1950082740144056E-2</v>
      </c>
      <c r="Z19" s="71">
        <f>('Background Data'!$U$25/1000)/(CapToActivity!$E19*'Background Data'!$U$14)</f>
        <v>7.1950082740144056E-2</v>
      </c>
      <c r="AH19" s="66" t="s">
        <v>1166</v>
      </c>
    </row>
    <row r="20" spans="1:34" x14ac:dyDescent="0.35">
      <c r="A20" t="s">
        <v>1090</v>
      </c>
      <c r="B20" t="s">
        <v>2261</v>
      </c>
      <c r="C20" t="s">
        <v>161</v>
      </c>
      <c r="D20">
        <v>2022</v>
      </c>
      <c r="F20" s="71"/>
      <c r="G20" s="71"/>
      <c r="H20" s="71"/>
      <c r="I20" s="71"/>
      <c r="J20" s="71"/>
      <c r="K20" s="71">
        <f>('Background Data'!$U$26/1000)/(CapToActivity!$E20*'Background Data'!$U$15)</f>
        <v>2.6249213593937852E-3</v>
      </c>
      <c r="L20" s="71">
        <f>('Background Data'!$U$26/1000)/(CapToActivity!$E20*'Background Data'!$U$15)</f>
        <v>2.6249213593937852E-3</v>
      </c>
      <c r="M20" s="71">
        <f>('Background Data'!$U$26/1000)/(CapToActivity!$E20*'Background Data'!$U$15)</f>
        <v>2.6249213593937852E-3</v>
      </c>
      <c r="N20" s="71">
        <f>('Background Data'!$U$26/1000)/(CapToActivity!$E20*'Background Data'!$U$15)</f>
        <v>2.6249213593937852E-3</v>
      </c>
      <c r="O20" s="71">
        <f>('Background Data'!$U$26/1000)/(CapToActivity!$E20*'Background Data'!$U$15)</f>
        <v>2.6249213593937852E-3</v>
      </c>
      <c r="P20" s="71">
        <f>('Background Data'!$U$26/1000)/(CapToActivity!$E20*'Background Data'!$U$15)</f>
        <v>2.6249213593937852E-3</v>
      </c>
      <c r="Q20" s="71">
        <f>('Background Data'!$U$26/1000)/(CapToActivity!$E20*'Background Data'!$U$15)</f>
        <v>2.6249213593937852E-3</v>
      </c>
      <c r="R20" s="71">
        <f>('Background Data'!$U$26/1000)/(CapToActivity!$E20*'Background Data'!$U$15)</f>
        <v>2.6249213593937852E-3</v>
      </c>
      <c r="S20" s="71">
        <f>('Background Data'!$U$26/1000)/(CapToActivity!$E20*'Background Data'!$U$15)</f>
        <v>2.6249213593937852E-3</v>
      </c>
      <c r="T20" s="71">
        <f>('Background Data'!$U$26/1000)/(CapToActivity!$E20*'Background Data'!$U$15)</f>
        <v>2.6249213593937852E-3</v>
      </c>
      <c r="U20" s="71">
        <f>('Background Data'!$U$26/1000)/(CapToActivity!$E20*'Background Data'!$U$15)</f>
        <v>2.6249213593937852E-3</v>
      </c>
      <c r="V20" s="71">
        <f>('Background Data'!$U$26/1000)/(CapToActivity!$E20*'Background Data'!$U$15)</f>
        <v>2.6249213593937852E-3</v>
      </c>
      <c r="W20" s="71">
        <f>('Background Data'!$U$26/1000)/(CapToActivity!$E20*'Background Data'!$U$15)</f>
        <v>2.6249213593937852E-3</v>
      </c>
      <c r="X20" s="71">
        <f>('Background Data'!$U$26/1000)/(CapToActivity!$E20*'Background Data'!$U$15)</f>
        <v>2.6249213593937852E-3</v>
      </c>
      <c r="Y20" s="71">
        <f>('Background Data'!$U$26/1000)/(CapToActivity!$E20*'Background Data'!$U$15)</f>
        <v>2.6249213593937852E-3</v>
      </c>
      <c r="Z20" s="71">
        <f>('Background Data'!$U$26/1000)/(CapToActivity!$E20*'Background Data'!$U$15)</f>
        <v>2.6249213593937852E-3</v>
      </c>
      <c r="AH20" s="66" t="s">
        <v>1166</v>
      </c>
    </row>
    <row r="21" spans="1:34" x14ac:dyDescent="0.35">
      <c r="A21" t="s">
        <v>1091</v>
      </c>
      <c r="B21" t="s">
        <v>2261</v>
      </c>
      <c r="C21" t="s">
        <v>161</v>
      </c>
      <c r="D21">
        <v>2022</v>
      </c>
      <c r="F21" s="71"/>
      <c r="G21" s="71"/>
      <c r="H21" s="71"/>
      <c r="I21" s="71"/>
      <c r="J21" s="71"/>
      <c r="K21" s="71"/>
      <c r="L21" s="71"/>
      <c r="M21" s="71">
        <f>('Background Data'!$U$27/1000)/(CapToActivity!$E21*'Background Data'!$U$16)</f>
        <v>1.6645656553661941E-2</v>
      </c>
      <c r="N21" s="71">
        <f>('Background Data'!$U$27/1000)/(CapToActivity!$E21*'Background Data'!$U$16)</f>
        <v>1.6645656553661941E-2</v>
      </c>
      <c r="O21" s="71">
        <f>('Background Data'!$U$27/1000)/(CapToActivity!$E21*'Background Data'!$U$16)</f>
        <v>1.6645656553661941E-2</v>
      </c>
      <c r="P21" s="71">
        <f>('Background Data'!$U$27/1000)/(CapToActivity!$E21*'Background Data'!$U$16)</f>
        <v>1.6645656553661941E-2</v>
      </c>
      <c r="Q21" s="71">
        <f>('Background Data'!$U$27/1000)/(CapToActivity!$E21*'Background Data'!$U$16)</f>
        <v>1.6645656553661941E-2</v>
      </c>
      <c r="R21" s="71">
        <f>('Background Data'!$U$27/1000)/(CapToActivity!$E21*'Background Data'!$U$16)</f>
        <v>1.6645656553661941E-2</v>
      </c>
      <c r="S21" s="71">
        <f>('Background Data'!$U$27/1000)/(CapToActivity!$E21*'Background Data'!$U$16)</f>
        <v>1.6645656553661941E-2</v>
      </c>
      <c r="T21" s="71">
        <f>('Background Data'!$U$27/1000)/(CapToActivity!$E21*'Background Data'!$U$16)</f>
        <v>1.6645656553661941E-2</v>
      </c>
      <c r="U21" s="71">
        <f>('Background Data'!$U$27/1000)/(CapToActivity!$E21*'Background Data'!$U$16)</f>
        <v>1.6645656553661941E-2</v>
      </c>
      <c r="V21" s="71">
        <f>('Background Data'!$U$27/1000)/(CapToActivity!$E21*'Background Data'!$U$16)</f>
        <v>1.6645656553661941E-2</v>
      </c>
      <c r="W21" s="71">
        <f>('Background Data'!$U$27/1000)/(CapToActivity!$E21*'Background Data'!$U$16)</f>
        <v>1.6645656553661941E-2</v>
      </c>
      <c r="X21" s="71">
        <f>('Background Data'!$U$27/1000)/(CapToActivity!$E21*'Background Data'!$U$16)</f>
        <v>1.6645656553661941E-2</v>
      </c>
      <c r="Y21" s="71">
        <f>('Background Data'!$U$27/1000)/(CapToActivity!$E21*'Background Data'!$U$16)</f>
        <v>1.6645656553661941E-2</v>
      </c>
      <c r="Z21" s="71">
        <f>('Background Data'!$U$27/1000)/(CapToActivity!$E21*'Background Data'!$U$16)</f>
        <v>1.6645656553661941E-2</v>
      </c>
      <c r="AH21" s="66" t="s">
        <v>1166</v>
      </c>
    </row>
    <row r="22" spans="1:34" x14ac:dyDescent="0.35">
      <c r="A22" t="s">
        <v>403</v>
      </c>
      <c r="B22" t="s">
        <v>2261</v>
      </c>
      <c r="C22" t="s">
        <v>161</v>
      </c>
      <c r="D22">
        <v>2022</v>
      </c>
      <c r="F22" s="71"/>
      <c r="G22" s="71"/>
      <c r="H22" s="71"/>
      <c r="I22" s="71"/>
      <c r="J22" s="71"/>
      <c r="K22" s="71"/>
      <c r="L22" s="71"/>
      <c r="M22" s="71">
        <f>('Background Data'!$U$27/1000)/(CapToActivity!$E22*'Background Data'!$U$16)</f>
        <v>1.6645656553661941E-2</v>
      </c>
      <c r="N22" s="71">
        <f>('Background Data'!$U$27/1000)/(CapToActivity!$E22*'Background Data'!$U$16)</f>
        <v>1.6645656553661941E-2</v>
      </c>
      <c r="O22" s="71">
        <f>('Background Data'!$U$27/1000)/(CapToActivity!$E22*'Background Data'!$U$16)</f>
        <v>1.6645656553661941E-2</v>
      </c>
      <c r="P22" s="71">
        <f>('Background Data'!$U$27/1000)/(CapToActivity!$E22*'Background Data'!$U$16)</f>
        <v>1.6645656553661941E-2</v>
      </c>
      <c r="Q22" s="71">
        <f>('Background Data'!$U$27/1000)/(CapToActivity!$E22*'Background Data'!$U$16)</f>
        <v>1.6645656553661941E-2</v>
      </c>
      <c r="R22" s="71">
        <f>('Background Data'!$U$27/1000)/(CapToActivity!$E22*'Background Data'!$U$16)</f>
        <v>1.6645656553661941E-2</v>
      </c>
      <c r="S22" s="71">
        <f>('Background Data'!$U$27/1000)/(CapToActivity!$E22*'Background Data'!$U$16)</f>
        <v>1.6645656553661941E-2</v>
      </c>
      <c r="T22" s="71">
        <f>('Background Data'!$U$27/1000)/(CapToActivity!$E22*'Background Data'!$U$16)</f>
        <v>1.6645656553661941E-2</v>
      </c>
      <c r="U22" s="71">
        <f>('Background Data'!$U$27/1000)/(CapToActivity!$E22*'Background Data'!$U$16)</f>
        <v>1.6645656553661941E-2</v>
      </c>
      <c r="V22" s="71">
        <f>('Background Data'!$U$27/1000)/(CapToActivity!$E22*'Background Data'!$U$16)</f>
        <v>1.6645656553661941E-2</v>
      </c>
      <c r="W22" s="71">
        <f>('Background Data'!$U$27/1000)/(CapToActivity!$E22*'Background Data'!$U$16)</f>
        <v>1.6645656553661941E-2</v>
      </c>
      <c r="X22" s="71">
        <f>('Background Data'!$U$27/1000)/(CapToActivity!$E22*'Background Data'!$U$16)</f>
        <v>1.6645656553661941E-2</v>
      </c>
      <c r="Y22" s="71">
        <f>('Background Data'!$U$27/1000)/(CapToActivity!$E22*'Background Data'!$U$16)</f>
        <v>1.6645656553661941E-2</v>
      </c>
      <c r="Z22" s="71">
        <f>('Background Data'!$U$27/1000)/(CapToActivity!$E22*'Background Data'!$U$16)</f>
        <v>1.6645656553661941E-2</v>
      </c>
      <c r="AH22" s="66" t="s">
        <v>1166</v>
      </c>
    </row>
    <row r="23" spans="1:34" x14ac:dyDescent="0.35">
      <c r="A23" t="s">
        <v>404</v>
      </c>
      <c r="B23" t="s">
        <v>2261</v>
      </c>
      <c r="C23" t="s">
        <v>161</v>
      </c>
      <c r="D23">
        <v>2022</v>
      </c>
      <c r="F23" s="71"/>
      <c r="G23" s="71"/>
      <c r="H23" s="71"/>
      <c r="I23" s="71"/>
      <c r="J23" s="71"/>
      <c r="K23" s="71"/>
      <c r="L23" s="71"/>
      <c r="M23" s="71">
        <f>('Background Data'!$U$27/1000)/(CapToActivity!$E23*'Background Data'!$U$16)</f>
        <v>1.6645656553661941E-2</v>
      </c>
      <c r="N23" s="71">
        <f>('Background Data'!$U$27/1000)/(CapToActivity!$E23*'Background Data'!$U$16)</f>
        <v>1.6645656553661941E-2</v>
      </c>
      <c r="O23" s="71">
        <f>('Background Data'!$U$27/1000)/(CapToActivity!$E23*'Background Data'!$U$16)</f>
        <v>1.6645656553661941E-2</v>
      </c>
      <c r="P23" s="71">
        <f>('Background Data'!$U$27/1000)/(CapToActivity!$E23*'Background Data'!$U$16)</f>
        <v>1.6645656553661941E-2</v>
      </c>
      <c r="Q23" s="71">
        <f>('Background Data'!$U$27/1000)/(CapToActivity!$E23*'Background Data'!$U$16)</f>
        <v>1.6645656553661941E-2</v>
      </c>
      <c r="R23" s="71">
        <f>('Background Data'!$U$27/1000)/(CapToActivity!$E23*'Background Data'!$U$16)</f>
        <v>1.6645656553661941E-2</v>
      </c>
      <c r="S23" s="71">
        <f>('Background Data'!$U$27/1000)/(CapToActivity!$E23*'Background Data'!$U$16)</f>
        <v>1.6645656553661941E-2</v>
      </c>
      <c r="T23" s="71">
        <f>('Background Data'!$U$27/1000)/(CapToActivity!$E23*'Background Data'!$U$16)</f>
        <v>1.6645656553661941E-2</v>
      </c>
      <c r="U23" s="71">
        <f>('Background Data'!$U$27/1000)/(CapToActivity!$E23*'Background Data'!$U$16)</f>
        <v>1.6645656553661941E-2</v>
      </c>
      <c r="V23" s="71">
        <f>('Background Data'!$U$27/1000)/(CapToActivity!$E23*'Background Data'!$U$16)</f>
        <v>1.6645656553661941E-2</v>
      </c>
      <c r="W23" s="71">
        <f>('Background Data'!$U$27/1000)/(CapToActivity!$E23*'Background Data'!$U$16)</f>
        <v>1.6645656553661941E-2</v>
      </c>
      <c r="X23" s="71">
        <f>('Background Data'!$U$27/1000)/(CapToActivity!$E23*'Background Data'!$U$16)</f>
        <v>1.6645656553661941E-2</v>
      </c>
      <c r="Y23" s="71">
        <f>('Background Data'!$U$27/1000)/(CapToActivity!$E23*'Background Data'!$U$16)</f>
        <v>1.6645656553661941E-2</v>
      </c>
      <c r="Z23" s="71">
        <f>('Background Data'!$U$27/1000)/(CapToActivity!$E23*'Background Data'!$U$16)</f>
        <v>1.6645656553661941E-2</v>
      </c>
      <c r="AH23" s="66" t="s">
        <v>1166</v>
      </c>
    </row>
    <row r="24" spans="1:34" x14ac:dyDescent="0.35">
      <c r="A24" t="s">
        <v>1092</v>
      </c>
      <c r="B24" t="s">
        <v>2261</v>
      </c>
      <c r="C24" t="s">
        <v>161</v>
      </c>
      <c r="D24">
        <v>2022</v>
      </c>
      <c r="F24" s="71"/>
      <c r="G24" s="71"/>
      <c r="H24" s="71"/>
      <c r="I24" s="71"/>
      <c r="J24" s="71"/>
      <c r="K24" s="71"/>
      <c r="L24" s="71"/>
      <c r="M24" s="71">
        <f>('Background Data'!$U$28/1000)/(CapToActivity!$E24*'Background Data'!$U$17)</f>
        <v>1.7676100739328664E-2</v>
      </c>
      <c r="N24" s="71">
        <f>('Background Data'!$U$28/1000)/(CapToActivity!$E24*'Background Data'!$U$17)</f>
        <v>1.7676100739328664E-2</v>
      </c>
      <c r="O24" s="71">
        <f>('Background Data'!$U$28/1000)/(CapToActivity!$E24*'Background Data'!$U$17)</f>
        <v>1.7676100739328664E-2</v>
      </c>
      <c r="P24" s="71">
        <f>('Background Data'!$U$28/1000)/(CapToActivity!$E24*'Background Data'!$U$17)</f>
        <v>1.7676100739328664E-2</v>
      </c>
      <c r="Q24" s="71">
        <f>('Background Data'!$U$28/1000)/(CapToActivity!$E24*'Background Data'!$U$17)</f>
        <v>1.7676100739328664E-2</v>
      </c>
      <c r="R24" s="71">
        <f>('Background Data'!$U$28/1000)/(CapToActivity!$E24*'Background Data'!$U$17)</f>
        <v>1.7676100739328664E-2</v>
      </c>
      <c r="S24" s="71">
        <f>('Background Data'!$U$28/1000)/(CapToActivity!$E24*'Background Data'!$U$17)</f>
        <v>1.7676100739328664E-2</v>
      </c>
      <c r="T24" s="71">
        <f>('Background Data'!$U$28/1000)/(CapToActivity!$E24*'Background Data'!$U$17)</f>
        <v>1.7676100739328664E-2</v>
      </c>
      <c r="U24" s="71">
        <f>('Background Data'!$U$28/1000)/(CapToActivity!$E24*'Background Data'!$U$17)</f>
        <v>1.7676100739328664E-2</v>
      </c>
      <c r="V24" s="71">
        <f>('Background Data'!$U$28/1000)/(CapToActivity!$E24*'Background Data'!$U$17)</f>
        <v>1.7676100739328664E-2</v>
      </c>
      <c r="W24" s="71">
        <f>('Background Data'!$U$28/1000)/(CapToActivity!$E24*'Background Data'!$U$17)</f>
        <v>1.7676100739328664E-2</v>
      </c>
      <c r="X24" s="71">
        <f>('Background Data'!$U$28/1000)/(CapToActivity!$E24*'Background Data'!$U$17)</f>
        <v>1.7676100739328664E-2</v>
      </c>
      <c r="Y24" s="71">
        <f>('Background Data'!$U$28/1000)/(CapToActivity!$E24*'Background Data'!$U$17)</f>
        <v>1.7676100739328664E-2</v>
      </c>
      <c r="Z24" s="71">
        <f>('Background Data'!$U$28/1000)/(CapToActivity!$E24*'Background Data'!$U$17)</f>
        <v>1.7676100739328664E-2</v>
      </c>
      <c r="AH24" s="66" t="s">
        <v>1166</v>
      </c>
    </row>
    <row r="25" spans="1:34" ht="14.5" customHeight="1" x14ac:dyDescent="0.35">
      <c r="A25" t="s">
        <v>405</v>
      </c>
      <c r="B25" t="s">
        <v>2261</v>
      </c>
      <c r="C25" t="s">
        <v>161</v>
      </c>
      <c r="D25">
        <v>2022</v>
      </c>
      <c r="F25" s="71"/>
      <c r="G25" s="71"/>
      <c r="H25" s="71"/>
      <c r="I25" s="71"/>
      <c r="J25" s="71"/>
      <c r="K25" s="71"/>
      <c r="L25" s="71"/>
      <c r="M25" s="71">
        <f>('Background Data'!$U$28/1000)/(CapToActivity!$E25*'Background Data'!$U$17)</f>
        <v>1.7676100739328664E-2</v>
      </c>
      <c r="N25" s="71">
        <f>('Background Data'!$U$28/1000)/(CapToActivity!$E25*'Background Data'!$U$17)</f>
        <v>1.7676100739328664E-2</v>
      </c>
      <c r="O25" s="71">
        <f>('Background Data'!$U$28/1000)/(CapToActivity!$E25*'Background Data'!$U$17)</f>
        <v>1.7676100739328664E-2</v>
      </c>
      <c r="P25" s="71">
        <f>('Background Data'!$U$28/1000)/(CapToActivity!$E25*'Background Data'!$U$17)</f>
        <v>1.7676100739328664E-2</v>
      </c>
      <c r="Q25" s="71">
        <f>('Background Data'!$U$28/1000)/(CapToActivity!$E25*'Background Data'!$U$17)</f>
        <v>1.7676100739328664E-2</v>
      </c>
      <c r="R25" s="71">
        <f>('Background Data'!$U$28/1000)/(CapToActivity!$E25*'Background Data'!$U$17)</f>
        <v>1.7676100739328664E-2</v>
      </c>
      <c r="S25" s="71">
        <f>('Background Data'!$U$28/1000)/(CapToActivity!$E25*'Background Data'!$U$17)</f>
        <v>1.7676100739328664E-2</v>
      </c>
      <c r="T25" s="71">
        <f>('Background Data'!$U$28/1000)/(CapToActivity!$E25*'Background Data'!$U$17)</f>
        <v>1.7676100739328664E-2</v>
      </c>
      <c r="U25" s="71">
        <f>('Background Data'!$U$28/1000)/(CapToActivity!$E25*'Background Data'!$U$17)</f>
        <v>1.7676100739328664E-2</v>
      </c>
      <c r="V25" s="71">
        <f>('Background Data'!$U$28/1000)/(CapToActivity!$E25*'Background Data'!$U$17)</f>
        <v>1.7676100739328664E-2</v>
      </c>
      <c r="W25" s="71">
        <f>('Background Data'!$U$28/1000)/(CapToActivity!$E25*'Background Data'!$U$17)</f>
        <v>1.7676100739328664E-2</v>
      </c>
      <c r="X25" s="71">
        <f>('Background Data'!$U$28/1000)/(CapToActivity!$E25*'Background Data'!$U$17)</f>
        <v>1.7676100739328664E-2</v>
      </c>
      <c r="Y25" s="71">
        <f>('Background Data'!$U$28/1000)/(CapToActivity!$E25*'Background Data'!$U$17)</f>
        <v>1.7676100739328664E-2</v>
      </c>
      <c r="Z25" s="71">
        <f>('Background Data'!$U$28/1000)/(CapToActivity!$E25*'Background Data'!$U$17)</f>
        <v>1.7676100739328664E-2</v>
      </c>
      <c r="AH25" s="66" t="s">
        <v>1166</v>
      </c>
    </row>
    <row r="26" spans="1:34" x14ac:dyDescent="0.35">
      <c r="A26" t="s">
        <v>406</v>
      </c>
      <c r="B26" t="s">
        <v>2261</v>
      </c>
      <c r="C26" t="s">
        <v>161</v>
      </c>
      <c r="D26">
        <v>2022</v>
      </c>
      <c r="F26" s="71"/>
      <c r="G26" s="71"/>
      <c r="H26" s="71"/>
      <c r="I26" s="71"/>
      <c r="J26" s="71"/>
      <c r="K26" s="71"/>
      <c r="L26" s="71"/>
      <c r="M26" s="71">
        <f>('Background Data'!$U$28/1000)/(CapToActivity!$E26*'Background Data'!$U$17)</f>
        <v>1.7676100739328664E-2</v>
      </c>
      <c r="N26" s="71">
        <f>('Background Data'!$U$28/1000)/(CapToActivity!$E26*'Background Data'!$U$17)</f>
        <v>1.7676100739328664E-2</v>
      </c>
      <c r="O26" s="71">
        <f>('Background Data'!$U$28/1000)/(CapToActivity!$E26*'Background Data'!$U$17)</f>
        <v>1.7676100739328664E-2</v>
      </c>
      <c r="P26" s="71">
        <f>('Background Data'!$U$28/1000)/(CapToActivity!$E26*'Background Data'!$U$17)</f>
        <v>1.7676100739328664E-2</v>
      </c>
      <c r="Q26" s="71">
        <f>('Background Data'!$U$28/1000)/(CapToActivity!$E26*'Background Data'!$U$17)</f>
        <v>1.7676100739328664E-2</v>
      </c>
      <c r="R26" s="71">
        <f>('Background Data'!$U$28/1000)/(CapToActivity!$E26*'Background Data'!$U$17)</f>
        <v>1.7676100739328664E-2</v>
      </c>
      <c r="S26" s="71">
        <f>('Background Data'!$U$28/1000)/(CapToActivity!$E26*'Background Data'!$U$17)</f>
        <v>1.7676100739328664E-2</v>
      </c>
      <c r="T26" s="71">
        <f>('Background Data'!$U$28/1000)/(CapToActivity!$E26*'Background Data'!$U$17)</f>
        <v>1.7676100739328664E-2</v>
      </c>
      <c r="U26" s="71">
        <f>('Background Data'!$U$28/1000)/(CapToActivity!$E26*'Background Data'!$U$17)</f>
        <v>1.7676100739328664E-2</v>
      </c>
      <c r="V26" s="71">
        <f>('Background Data'!$U$28/1000)/(CapToActivity!$E26*'Background Data'!$U$17)</f>
        <v>1.7676100739328664E-2</v>
      </c>
      <c r="W26" s="71">
        <f>('Background Data'!$U$28/1000)/(CapToActivity!$E26*'Background Data'!$U$17)</f>
        <v>1.7676100739328664E-2</v>
      </c>
      <c r="X26" s="71">
        <f>('Background Data'!$U$28/1000)/(CapToActivity!$E26*'Background Data'!$U$17)</f>
        <v>1.7676100739328664E-2</v>
      </c>
      <c r="Y26" s="71">
        <f>('Background Data'!$U$28/1000)/(CapToActivity!$E26*'Background Data'!$U$17)</f>
        <v>1.7676100739328664E-2</v>
      </c>
      <c r="Z26" s="71">
        <f>('Background Data'!$U$28/1000)/(CapToActivity!$E26*'Background Data'!$U$17)</f>
        <v>1.7676100739328664E-2</v>
      </c>
      <c r="AH26" s="66" t="s">
        <v>1166</v>
      </c>
    </row>
    <row r="27" spans="1:34" x14ac:dyDescent="0.35">
      <c r="A27" t="s">
        <v>1963</v>
      </c>
      <c r="B27" t="s">
        <v>2261</v>
      </c>
      <c r="C27" t="s">
        <v>161</v>
      </c>
      <c r="D27">
        <v>2022</v>
      </c>
      <c r="F27" s="71"/>
      <c r="G27" s="71"/>
      <c r="H27" s="71"/>
      <c r="I27" s="71"/>
      <c r="J27" s="71"/>
      <c r="K27" s="71"/>
      <c r="L27" s="71">
        <f>('Background Data'!$U$28/1000)/(CapToActivity!$E27*'Background Data'!$U$17)</f>
        <v>1.7676100739328664E-2</v>
      </c>
      <c r="M27" s="71">
        <f>('Background Data'!$U$28/1000)/(CapToActivity!$E27*'Background Data'!$U$17)</f>
        <v>1.7676100739328664E-2</v>
      </c>
      <c r="N27" s="71">
        <f>('Background Data'!$U$28/1000)/(CapToActivity!$E27*'Background Data'!$U$17)</f>
        <v>1.7676100739328664E-2</v>
      </c>
      <c r="O27" s="71">
        <f>('Background Data'!$U$28/1000)/(CapToActivity!$E27*'Background Data'!$U$17)</f>
        <v>1.7676100739328664E-2</v>
      </c>
      <c r="P27" s="71">
        <f>('Background Data'!$U$28/1000)/(CapToActivity!$E27*'Background Data'!$U$17)</f>
        <v>1.7676100739328664E-2</v>
      </c>
      <c r="Q27" s="71">
        <f>('Background Data'!$U$28/1000)/(CapToActivity!$E27*'Background Data'!$U$17)</f>
        <v>1.7676100739328664E-2</v>
      </c>
      <c r="R27" s="71">
        <f>('Background Data'!$U$28/1000)/(CapToActivity!$E27*'Background Data'!$U$17)</f>
        <v>1.7676100739328664E-2</v>
      </c>
      <c r="S27" s="71">
        <f>('Background Data'!$U$28/1000)/(CapToActivity!$E27*'Background Data'!$U$17)</f>
        <v>1.7676100739328664E-2</v>
      </c>
      <c r="T27" s="71">
        <f>('Background Data'!$U$28/1000)/(CapToActivity!$E27*'Background Data'!$U$17)</f>
        <v>1.7676100739328664E-2</v>
      </c>
      <c r="U27" s="71">
        <f>('Background Data'!$U$28/1000)/(CapToActivity!$E27*'Background Data'!$U$17)</f>
        <v>1.7676100739328664E-2</v>
      </c>
      <c r="V27" s="71">
        <f>('Background Data'!$U$28/1000)/(CapToActivity!$E27*'Background Data'!$U$17)</f>
        <v>1.7676100739328664E-2</v>
      </c>
      <c r="W27" s="71">
        <f>('Background Data'!$U$28/1000)/(CapToActivity!$E27*'Background Data'!$U$17)</f>
        <v>1.7676100739328664E-2</v>
      </c>
      <c r="X27" s="71">
        <f>('Background Data'!$U$28/1000)/(CapToActivity!$E27*'Background Data'!$U$17)</f>
        <v>1.7676100739328664E-2</v>
      </c>
      <c r="Y27" s="71">
        <f>('Background Data'!$U$28/1000)/(CapToActivity!$E27*'Background Data'!$U$17)</f>
        <v>1.7676100739328664E-2</v>
      </c>
      <c r="Z27" s="71">
        <f>('Background Data'!$U$28/1000)/(CapToActivity!$E27*'Background Data'!$U$17)</f>
        <v>1.7676100739328664E-2</v>
      </c>
      <c r="AH27" s="66" t="s">
        <v>1166</v>
      </c>
    </row>
    <row r="28" spans="1:34" x14ac:dyDescent="0.35">
      <c r="A28" t="s">
        <v>1093</v>
      </c>
      <c r="B28" t="s">
        <v>2261</v>
      </c>
      <c r="C28" t="s">
        <v>161</v>
      </c>
      <c r="D28">
        <v>2022</v>
      </c>
      <c r="F28" s="71"/>
      <c r="G28" s="71"/>
      <c r="H28" s="71"/>
      <c r="I28" s="71"/>
      <c r="J28" s="71"/>
      <c r="K28" s="71"/>
      <c r="L28" s="71"/>
      <c r="M28" s="71">
        <f>('Background Data'!$U$29/1000)/(CapToActivity!$E28*'Background Data'!$U$18)</f>
        <v>2.0167587705168022E-2</v>
      </c>
      <c r="N28" s="71">
        <f>('Background Data'!$U$29/1000)/(CapToActivity!$E28*'Background Data'!$U$18)</f>
        <v>2.0167587705168022E-2</v>
      </c>
      <c r="O28" s="71">
        <f>('Background Data'!$U$29/1000)/(CapToActivity!$E28*'Background Data'!$U$18)</f>
        <v>2.0167587705168022E-2</v>
      </c>
      <c r="P28" s="71">
        <f>('Background Data'!$U$29/1000)/(CapToActivity!$E28*'Background Data'!$U$18)</f>
        <v>2.0167587705168022E-2</v>
      </c>
      <c r="Q28" s="71">
        <f>('Background Data'!$U$29/1000)/(CapToActivity!$E28*'Background Data'!$U$18)</f>
        <v>2.0167587705168022E-2</v>
      </c>
      <c r="R28" s="71">
        <f>('Background Data'!$U$29/1000)/(CapToActivity!$E28*'Background Data'!$U$18)</f>
        <v>2.0167587705168022E-2</v>
      </c>
      <c r="S28" s="71">
        <f>('Background Data'!$U$29/1000)/(CapToActivity!$E28*'Background Data'!$U$18)</f>
        <v>2.0167587705168022E-2</v>
      </c>
      <c r="T28" s="71">
        <f>('Background Data'!$U$29/1000)/(CapToActivity!$E28*'Background Data'!$U$18)</f>
        <v>2.0167587705168022E-2</v>
      </c>
      <c r="U28" s="71">
        <f>('Background Data'!$U$29/1000)/(CapToActivity!$E28*'Background Data'!$U$18)</f>
        <v>2.0167587705168022E-2</v>
      </c>
      <c r="V28" s="71">
        <f>('Background Data'!$U$29/1000)/(CapToActivity!$E28*'Background Data'!$U$18)</f>
        <v>2.0167587705168022E-2</v>
      </c>
      <c r="W28" s="71">
        <f>('Background Data'!$U$29/1000)/(CapToActivity!$E28*'Background Data'!$U$18)</f>
        <v>2.0167587705168022E-2</v>
      </c>
      <c r="X28" s="71">
        <f>('Background Data'!$U$29/1000)/(CapToActivity!$E28*'Background Data'!$U$18)</f>
        <v>2.0167587705168022E-2</v>
      </c>
      <c r="Y28" s="71">
        <f>('Background Data'!$U$29/1000)/(CapToActivity!$E28*'Background Data'!$U$18)</f>
        <v>2.0167587705168022E-2</v>
      </c>
      <c r="Z28" s="71">
        <f>('Background Data'!$U$29/1000)/(CapToActivity!$E28*'Background Data'!$U$18)</f>
        <v>2.0167587705168022E-2</v>
      </c>
      <c r="AH28" s="66" t="s">
        <v>1166</v>
      </c>
    </row>
    <row r="29" spans="1:34" x14ac:dyDescent="0.35">
      <c r="A29" t="s">
        <v>407</v>
      </c>
      <c r="B29" t="s">
        <v>2261</v>
      </c>
      <c r="C29" t="s">
        <v>161</v>
      </c>
      <c r="D29">
        <v>2022</v>
      </c>
      <c r="F29" s="71"/>
      <c r="G29" s="71"/>
      <c r="H29" s="71"/>
      <c r="I29" s="71"/>
      <c r="J29" s="71"/>
      <c r="K29" s="71"/>
      <c r="L29" s="71"/>
      <c r="M29" s="71">
        <f>('Background Data'!$U$29/1000)/(CapToActivity!$E29*'Background Data'!$U$18)</f>
        <v>2.0167587705168022E-2</v>
      </c>
      <c r="N29" s="71">
        <f>('Background Data'!$U$29/1000)/(CapToActivity!$E29*'Background Data'!$U$18)</f>
        <v>2.0167587705168022E-2</v>
      </c>
      <c r="O29" s="71">
        <f>('Background Data'!$U$29/1000)/(CapToActivity!$E29*'Background Data'!$U$18)</f>
        <v>2.0167587705168022E-2</v>
      </c>
      <c r="P29" s="71">
        <f>('Background Data'!$U$29/1000)/(CapToActivity!$E29*'Background Data'!$U$18)</f>
        <v>2.0167587705168022E-2</v>
      </c>
      <c r="Q29" s="71">
        <f>('Background Data'!$U$29/1000)/(CapToActivity!$E29*'Background Data'!$U$18)</f>
        <v>2.0167587705168022E-2</v>
      </c>
      <c r="R29" s="71">
        <f>('Background Data'!$U$29/1000)/(CapToActivity!$E29*'Background Data'!$U$18)</f>
        <v>2.0167587705168022E-2</v>
      </c>
      <c r="S29" s="71">
        <f>('Background Data'!$U$29/1000)/(CapToActivity!$E29*'Background Data'!$U$18)</f>
        <v>2.0167587705168022E-2</v>
      </c>
      <c r="T29" s="71">
        <f>('Background Data'!$U$29/1000)/(CapToActivity!$E29*'Background Data'!$U$18)</f>
        <v>2.0167587705168022E-2</v>
      </c>
      <c r="U29" s="71">
        <f>('Background Data'!$U$29/1000)/(CapToActivity!$E29*'Background Data'!$U$18)</f>
        <v>2.0167587705168022E-2</v>
      </c>
      <c r="V29" s="71">
        <f>('Background Data'!$U$29/1000)/(CapToActivity!$E29*'Background Data'!$U$18)</f>
        <v>2.0167587705168022E-2</v>
      </c>
      <c r="W29" s="71">
        <f>('Background Data'!$U$29/1000)/(CapToActivity!$E29*'Background Data'!$U$18)</f>
        <v>2.0167587705168022E-2</v>
      </c>
      <c r="X29" s="71">
        <f>('Background Data'!$U$29/1000)/(CapToActivity!$E29*'Background Data'!$U$18)</f>
        <v>2.0167587705168022E-2</v>
      </c>
      <c r="Y29" s="71">
        <f>('Background Data'!$U$29/1000)/(CapToActivity!$E29*'Background Data'!$U$18)</f>
        <v>2.0167587705168022E-2</v>
      </c>
      <c r="Z29" s="71">
        <f>('Background Data'!$U$29/1000)/(CapToActivity!$E29*'Background Data'!$U$18)</f>
        <v>2.0167587705168022E-2</v>
      </c>
      <c r="AH29" s="66" t="s">
        <v>1166</v>
      </c>
    </row>
    <row r="30" spans="1:34" x14ac:dyDescent="0.35">
      <c r="A30" t="s">
        <v>1170</v>
      </c>
      <c r="B30" t="s">
        <v>2261</v>
      </c>
      <c r="C30" t="s">
        <v>161</v>
      </c>
      <c r="D30">
        <v>2022</v>
      </c>
      <c r="F30" s="71"/>
      <c r="G30" s="71"/>
      <c r="H30" s="71"/>
      <c r="I30" s="71"/>
      <c r="J30" s="71"/>
      <c r="K30" s="71"/>
      <c r="L30" s="71"/>
      <c r="M30" s="71"/>
      <c r="N30" s="71"/>
      <c r="O30" s="71"/>
      <c r="P30" s="71"/>
      <c r="Q30" s="71"/>
      <c r="R30" s="71"/>
      <c r="S30" s="71"/>
      <c r="T30" s="71"/>
      <c r="U30" s="71"/>
      <c r="V30" s="71"/>
      <c r="W30" s="71"/>
      <c r="X30" s="71"/>
      <c r="Y30" s="71"/>
      <c r="Z30" s="71"/>
      <c r="AA30" s="305">
        <f>$Z$3</f>
        <v>5.7001049516183008E-3</v>
      </c>
      <c r="AB30" s="71">
        <f t="shared" ref="AB30:AG41" si="0">$Z$3</f>
        <v>5.7001049516183008E-3</v>
      </c>
      <c r="AC30" s="71">
        <f t="shared" si="0"/>
        <v>5.7001049516183008E-3</v>
      </c>
      <c r="AD30" s="71">
        <f t="shared" si="0"/>
        <v>5.7001049516183008E-3</v>
      </c>
      <c r="AE30" s="71">
        <f t="shared" si="0"/>
        <v>5.7001049516183008E-3</v>
      </c>
      <c r="AF30" s="71">
        <f t="shared" si="0"/>
        <v>5.7001049516183008E-3</v>
      </c>
      <c r="AG30" s="71">
        <f t="shared" si="0"/>
        <v>5.7001049516183008E-3</v>
      </c>
      <c r="AH30" s="66" t="s">
        <v>1166</v>
      </c>
    </row>
    <row r="31" spans="1:34" x14ac:dyDescent="0.35">
      <c r="A31" t="s">
        <v>1171</v>
      </c>
      <c r="B31" t="s">
        <v>2261</v>
      </c>
      <c r="C31" t="s">
        <v>161</v>
      </c>
      <c r="D31">
        <v>2022</v>
      </c>
      <c r="F31" s="71"/>
      <c r="G31" s="71"/>
      <c r="H31" s="71"/>
      <c r="I31" s="71"/>
      <c r="J31" s="71"/>
      <c r="K31" s="71"/>
      <c r="L31" s="71"/>
      <c r="M31" s="71"/>
      <c r="N31" s="71"/>
      <c r="O31" s="71"/>
      <c r="P31" s="71"/>
      <c r="Q31" s="71"/>
      <c r="R31" s="71"/>
      <c r="S31" s="71"/>
      <c r="T31" s="71"/>
      <c r="U31" s="71"/>
      <c r="V31" s="71"/>
      <c r="W31" s="71"/>
      <c r="X31" s="71"/>
      <c r="Y31" s="71"/>
      <c r="Z31" s="71"/>
      <c r="AA31" s="305">
        <f t="shared" ref="AA31:AA41" si="1">$Z$3</f>
        <v>5.7001049516183008E-3</v>
      </c>
      <c r="AB31" s="71">
        <f t="shared" si="0"/>
        <v>5.7001049516183008E-3</v>
      </c>
      <c r="AC31" s="71">
        <f t="shared" si="0"/>
        <v>5.7001049516183008E-3</v>
      </c>
      <c r="AD31" s="71">
        <f t="shared" si="0"/>
        <v>5.7001049516183008E-3</v>
      </c>
      <c r="AE31" s="71">
        <f t="shared" si="0"/>
        <v>5.7001049516183008E-3</v>
      </c>
      <c r="AF31" s="71">
        <f t="shared" si="0"/>
        <v>5.7001049516183008E-3</v>
      </c>
      <c r="AG31" s="71">
        <f t="shared" si="0"/>
        <v>5.7001049516183008E-3</v>
      </c>
      <c r="AH31" s="66" t="s">
        <v>1166</v>
      </c>
    </row>
    <row r="32" spans="1:34" x14ac:dyDescent="0.35">
      <c r="A32" t="s">
        <v>1172</v>
      </c>
      <c r="B32" t="s">
        <v>2261</v>
      </c>
      <c r="C32" t="s">
        <v>161</v>
      </c>
      <c r="D32">
        <v>2022</v>
      </c>
      <c r="AA32" s="305">
        <f t="shared" si="1"/>
        <v>5.7001049516183008E-3</v>
      </c>
      <c r="AB32" s="71">
        <f t="shared" si="0"/>
        <v>5.7001049516183008E-3</v>
      </c>
      <c r="AC32" s="71">
        <f t="shared" si="0"/>
        <v>5.7001049516183008E-3</v>
      </c>
      <c r="AD32" s="71">
        <f t="shared" si="0"/>
        <v>5.7001049516183008E-3</v>
      </c>
      <c r="AE32" s="71">
        <f t="shared" si="0"/>
        <v>5.7001049516183008E-3</v>
      </c>
      <c r="AF32" s="71">
        <f t="shared" si="0"/>
        <v>5.7001049516183008E-3</v>
      </c>
      <c r="AG32" s="71">
        <f t="shared" si="0"/>
        <v>5.7001049516183008E-3</v>
      </c>
      <c r="AH32" s="66" t="s">
        <v>1166</v>
      </c>
    </row>
    <row r="33" spans="1:34" x14ac:dyDescent="0.35">
      <c r="A33" t="s">
        <v>1173</v>
      </c>
      <c r="B33" t="s">
        <v>2261</v>
      </c>
      <c r="C33" t="s">
        <v>161</v>
      </c>
      <c r="D33">
        <v>2022</v>
      </c>
      <c r="AA33" s="305">
        <f t="shared" si="1"/>
        <v>5.7001049516183008E-3</v>
      </c>
      <c r="AB33" s="71">
        <f t="shared" si="0"/>
        <v>5.7001049516183008E-3</v>
      </c>
      <c r="AC33" s="71">
        <f t="shared" si="0"/>
        <v>5.7001049516183008E-3</v>
      </c>
      <c r="AD33" s="71">
        <f t="shared" si="0"/>
        <v>5.7001049516183008E-3</v>
      </c>
      <c r="AE33" s="71">
        <f t="shared" si="0"/>
        <v>5.7001049516183008E-3</v>
      </c>
      <c r="AF33" s="71">
        <f t="shared" si="0"/>
        <v>5.7001049516183008E-3</v>
      </c>
      <c r="AG33" s="71">
        <f t="shared" si="0"/>
        <v>5.7001049516183008E-3</v>
      </c>
      <c r="AH33" s="66" t="s">
        <v>1166</v>
      </c>
    </row>
    <row r="34" spans="1:34" x14ac:dyDescent="0.35">
      <c r="A34" t="s">
        <v>1174</v>
      </c>
      <c r="B34" t="s">
        <v>2261</v>
      </c>
      <c r="C34" t="s">
        <v>161</v>
      </c>
      <c r="D34">
        <v>2022</v>
      </c>
      <c r="AA34" s="305">
        <f t="shared" si="1"/>
        <v>5.7001049516183008E-3</v>
      </c>
      <c r="AB34" s="71">
        <f t="shared" si="0"/>
        <v>5.7001049516183008E-3</v>
      </c>
      <c r="AC34" s="71">
        <f t="shared" si="0"/>
        <v>5.7001049516183008E-3</v>
      </c>
      <c r="AD34" s="71">
        <f t="shared" si="0"/>
        <v>5.7001049516183008E-3</v>
      </c>
      <c r="AE34" s="71">
        <f t="shared" si="0"/>
        <v>5.7001049516183008E-3</v>
      </c>
      <c r="AF34" s="71">
        <f t="shared" si="0"/>
        <v>5.7001049516183008E-3</v>
      </c>
      <c r="AG34" s="71">
        <f t="shared" si="0"/>
        <v>5.7001049516183008E-3</v>
      </c>
      <c r="AH34" s="66" t="s">
        <v>1166</v>
      </c>
    </row>
    <row r="35" spans="1:34" x14ac:dyDescent="0.35">
      <c r="A35" t="s">
        <v>1175</v>
      </c>
      <c r="B35" t="s">
        <v>2261</v>
      </c>
      <c r="C35" t="s">
        <v>161</v>
      </c>
      <c r="D35">
        <v>2022</v>
      </c>
      <c r="AA35" s="305">
        <f t="shared" si="1"/>
        <v>5.7001049516183008E-3</v>
      </c>
      <c r="AB35" s="71">
        <f t="shared" si="0"/>
        <v>5.7001049516183008E-3</v>
      </c>
      <c r="AC35" s="71">
        <f t="shared" si="0"/>
        <v>5.7001049516183008E-3</v>
      </c>
      <c r="AD35" s="71">
        <f t="shared" si="0"/>
        <v>5.7001049516183008E-3</v>
      </c>
      <c r="AE35" s="71">
        <f t="shared" si="0"/>
        <v>5.7001049516183008E-3</v>
      </c>
      <c r="AF35" s="71">
        <f t="shared" si="0"/>
        <v>5.7001049516183008E-3</v>
      </c>
      <c r="AG35" s="71">
        <f t="shared" si="0"/>
        <v>5.7001049516183008E-3</v>
      </c>
      <c r="AH35" s="66" t="s">
        <v>1166</v>
      </c>
    </row>
    <row r="36" spans="1:34" ht="15" customHeight="1" x14ac:dyDescent="0.35">
      <c r="A36" t="s">
        <v>1176</v>
      </c>
      <c r="B36" t="s">
        <v>2261</v>
      </c>
      <c r="C36" t="s">
        <v>161</v>
      </c>
      <c r="D36">
        <v>2022</v>
      </c>
      <c r="AA36" s="305">
        <f t="shared" si="1"/>
        <v>5.7001049516183008E-3</v>
      </c>
      <c r="AB36" s="71">
        <f t="shared" si="0"/>
        <v>5.7001049516183008E-3</v>
      </c>
      <c r="AC36" s="71">
        <f t="shared" si="0"/>
        <v>5.7001049516183008E-3</v>
      </c>
      <c r="AD36" s="71">
        <f t="shared" si="0"/>
        <v>5.7001049516183008E-3</v>
      </c>
      <c r="AE36" s="71">
        <f t="shared" si="0"/>
        <v>5.7001049516183008E-3</v>
      </c>
      <c r="AF36" s="71">
        <f t="shared" si="0"/>
        <v>5.7001049516183008E-3</v>
      </c>
      <c r="AG36" s="71">
        <f t="shared" si="0"/>
        <v>5.7001049516183008E-3</v>
      </c>
      <c r="AH36" s="66" t="s">
        <v>1166</v>
      </c>
    </row>
    <row r="37" spans="1:34" x14ac:dyDescent="0.35">
      <c r="A37" t="s">
        <v>1177</v>
      </c>
      <c r="B37" t="s">
        <v>2261</v>
      </c>
      <c r="C37" t="s">
        <v>161</v>
      </c>
      <c r="D37">
        <v>2022</v>
      </c>
      <c r="AA37" s="305">
        <f t="shared" si="1"/>
        <v>5.7001049516183008E-3</v>
      </c>
      <c r="AB37" s="71">
        <f t="shared" si="0"/>
        <v>5.7001049516183008E-3</v>
      </c>
      <c r="AC37" s="71">
        <f t="shared" si="0"/>
        <v>5.7001049516183008E-3</v>
      </c>
      <c r="AD37" s="71">
        <f t="shared" si="0"/>
        <v>5.7001049516183008E-3</v>
      </c>
      <c r="AE37" s="71">
        <f t="shared" si="0"/>
        <v>5.7001049516183008E-3</v>
      </c>
      <c r="AF37" s="71">
        <f t="shared" si="0"/>
        <v>5.7001049516183008E-3</v>
      </c>
      <c r="AG37" s="71">
        <f t="shared" si="0"/>
        <v>5.7001049516183008E-3</v>
      </c>
      <c r="AH37" s="66" t="s">
        <v>1166</v>
      </c>
    </row>
    <row r="38" spans="1:34" x14ac:dyDescent="0.35">
      <c r="A38" t="s">
        <v>1178</v>
      </c>
      <c r="B38" t="s">
        <v>2261</v>
      </c>
      <c r="C38" t="s">
        <v>161</v>
      </c>
      <c r="D38">
        <v>2022</v>
      </c>
      <c r="AA38" s="305">
        <f t="shared" si="1"/>
        <v>5.7001049516183008E-3</v>
      </c>
      <c r="AB38" s="71">
        <f t="shared" si="0"/>
        <v>5.7001049516183008E-3</v>
      </c>
      <c r="AC38" s="71">
        <f t="shared" si="0"/>
        <v>5.7001049516183008E-3</v>
      </c>
      <c r="AD38" s="71">
        <f t="shared" si="0"/>
        <v>5.7001049516183008E-3</v>
      </c>
      <c r="AE38" s="71">
        <f t="shared" si="0"/>
        <v>5.7001049516183008E-3</v>
      </c>
      <c r="AF38" s="71">
        <f t="shared" si="0"/>
        <v>5.7001049516183008E-3</v>
      </c>
      <c r="AG38" s="71">
        <f t="shared" si="0"/>
        <v>5.7001049516183008E-3</v>
      </c>
      <c r="AH38" s="66" t="s">
        <v>1166</v>
      </c>
    </row>
    <row r="39" spans="1:34" x14ac:dyDescent="0.35">
      <c r="A39" t="s">
        <v>1179</v>
      </c>
      <c r="B39" t="s">
        <v>2261</v>
      </c>
      <c r="C39" t="s">
        <v>161</v>
      </c>
      <c r="D39">
        <v>2022</v>
      </c>
      <c r="AA39" s="305">
        <f t="shared" si="1"/>
        <v>5.7001049516183008E-3</v>
      </c>
      <c r="AB39" s="71">
        <f t="shared" si="0"/>
        <v>5.7001049516183008E-3</v>
      </c>
      <c r="AC39" s="71">
        <f t="shared" si="0"/>
        <v>5.7001049516183008E-3</v>
      </c>
      <c r="AD39" s="71">
        <f t="shared" si="0"/>
        <v>5.7001049516183008E-3</v>
      </c>
      <c r="AE39" s="71">
        <f t="shared" si="0"/>
        <v>5.7001049516183008E-3</v>
      </c>
      <c r="AF39" s="71">
        <f t="shared" si="0"/>
        <v>5.7001049516183008E-3</v>
      </c>
      <c r="AG39" s="71">
        <f t="shared" si="0"/>
        <v>5.7001049516183008E-3</v>
      </c>
      <c r="AH39" s="66" t="s">
        <v>1166</v>
      </c>
    </row>
    <row r="40" spans="1:34" x14ac:dyDescent="0.35">
      <c r="A40" t="s">
        <v>1180</v>
      </c>
      <c r="B40" t="s">
        <v>2261</v>
      </c>
      <c r="C40" t="s">
        <v>161</v>
      </c>
      <c r="D40">
        <v>2022</v>
      </c>
      <c r="AA40" s="305">
        <f t="shared" si="1"/>
        <v>5.7001049516183008E-3</v>
      </c>
      <c r="AB40" s="71">
        <f t="shared" si="0"/>
        <v>5.7001049516183008E-3</v>
      </c>
      <c r="AC40" s="71">
        <f t="shared" si="0"/>
        <v>5.7001049516183008E-3</v>
      </c>
      <c r="AD40" s="71">
        <f t="shared" si="0"/>
        <v>5.7001049516183008E-3</v>
      </c>
      <c r="AE40" s="71">
        <f t="shared" si="0"/>
        <v>5.7001049516183008E-3</v>
      </c>
      <c r="AF40" s="71">
        <f t="shared" si="0"/>
        <v>5.7001049516183008E-3</v>
      </c>
      <c r="AG40" s="71">
        <f t="shared" si="0"/>
        <v>5.7001049516183008E-3</v>
      </c>
      <c r="AH40" s="66" t="s">
        <v>1166</v>
      </c>
    </row>
    <row r="41" spans="1:34" x14ac:dyDescent="0.35">
      <c r="A41" t="s">
        <v>1181</v>
      </c>
      <c r="B41" t="s">
        <v>2261</v>
      </c>
      <c r="C41" t="s">
        <v>161</v>
      </c>
      <c r="D41">
        <v>2022</v>
      </c>
      <c r="AA41" s="305">
        <f t="shared" si="1"/>
        <v>5.7001049516183008E-3</v>
      </c>
      <c r="AB41" s="71">
        <f t="shared" si="0"/>
        <v>5.7001049516183008E-3</v>
      </c>
      <c r="AC41" s="71">
        <f t="shared" si="0"/>
        <v>5.7001049516183008E-3</v>
      </c>
      <c r="AD41" s="71">
        <f t="shared" si="0"/>
        <v>5.7001049516183008E-3</v>
      </c>
      <c r="AE41" s="71">
        <f t="shared" si="0"/>
        <v>5.7001049516183008E-3</v>
      </c>
      <c r="AF41" s="71">
        <f t="shared" si="0"/>
        <v>5.7001049516183008E-3</v>
      </c>
      <c r="AG41" s="71">
        <f t="shared" si="0"/>
        <v>5.7001049516183008E-3</v>
      </c>
      <c r="AH41" s="66" t="s">
        <v>1166</v>
      </c>
    </row>
    <row r="42" spans="1:34" x14ac:dyDescent="0.35">
      <c r="A42" t="s">
        <v>1182</v>
      </c>
      <c r="B42" t="s">
        <v>2261</v>
      </c>
      <c r="C42" t="s">
        <v>161</v>
      </c>
      <c r="D42">
        <v>2022</v>
      </c>
      <c r="AA42" s="305">
        <f>$Z$8</f>
        <v>5.071377757124778E-3</v>
      </c>
      <c r="AB42" s="71">
        <f t="shared" ref="AB42:AG53" si="2">$Z$8</f>
        <v>5.071377757124778E-3</v>
      </c>
      <c r="AC42" s="71">
        <f t="shared" si="2"/>
        <v>5.071377757124778E-3</v>
      </c>
      <c r="AD42" s="71">
        <f t="shared" si="2"/>
        <v>5.071377757124778E-3</v>
      </c>
      <c r="AE42" s="71">
        <f t="shared" si="2"/>
        <v>5.071377757124778E-3</v>
      </c>
      <c r="AF42" s="71">
        <f t="shared" si="2"/>
        <v>5.071377757124778E-3</v>
      </c>
      <c r="AG42" s="71">
        <f t="shared" si="2"/>
        <v>5.071377757124778E-3</v>
      </c>
      <c r="AH42" s="66" t="s">
        <v>1166</v>
      </c>
    </row>
    <row r="43" spans="1:34" x14ac:dyDescent="0.35">
      <c r="A43" t="s">
        <v>1183</v>
      </c>
      <c r="B43" t="s">
        <v>2261</v>
      </c>
      <c r="C43" t="s">
        <v>161</v>
      </c>
      <c r="D43">
        <v>2022</v>
      </c>
      <c r="AA43" s="305">
        <f t="shared" ref="AA43:AA53" si="3">$Z$8</f>
        <v>5.071377757124778E-3</v>
      </c>
      <c r="AB43" s="71">
        <f t="shared" si="2"/>
        <v>5.071377757124778E-3</v>
      </c>
      <c r="AC43" s="71">
        <f t="shared" si="2"/>
        <v>5.071377757124778E-3</v>
      </c>
      <c r="AD43" s="71">
        <f t="shared" si="2"/>
        <v>5.071377757124778E-3</v>
      </c>
      <c r="AE43" s="71">
        <f t="shared" si="2"/>
        <v>5.071377757124778E-3</v>
      </c>
      <c r="AF43" s="71">
        <f t="shared" si="2"/>
        <v>5.071377757124778E-3</v>
      </c>
      <c r="AG43" s="71">
        <f t="shared" si="2"/>
        <v>5.071377757124778E-3</v>
      </c>
      <c r="AH43" s="66" t="s">
        <v>1166</v>
      </c>
    </row>
    <row r="44" spans="1:34" x14ac:dyDescent="0.35">
      <c r="A44" t="s">
        <v>1184</v>
      </c>
      <c r="B44" t="s">
        <v>2261</v>
      </c>
      <c r="C44" t="s">
        <v>161</v>
      </c>
      <c r="D44">
        <v>2022</v>
      </c>
      <c r="AA44" s="305">
        <f t="shared" si="3"/>
        <v>5.071377757124778E-3</v>
      </c>
      <c r="AB44" s="71">
        <f t="shared" si="2"/>
        <v>5.071377757124778E-3</v>
      </c>
      <c r="AC44" s="71">
        <f t="shared" si="2"/>
        <v>5.071377757124778E-3</v>
      </c>
      <c r="AD44" s="71">
        <f t="shared" si="2"/>
        <v>5.071377757124778E-3</v>
      </c>
      <c r="AE44" s="71">
        <f t="shared" si="2"/>
        <v>5.071377757124778E-3</v>
      </c>
      <c r="AF44" s="71">
        <f t="shared" si="2"/>
        <v>5.071377757124778E-3</v>
      </c>
      <c r="AG44" s="71">
        <f t="shared" si="2"/>
        <v>5.071377757124778E-3</v>
      </c>
      <c r="AH44" s="66" t="s">
        <v>1166</v>
      </c>
    </row>
    <row r="45" spans="1:34" x14ac:dyDescent="0.35">
      <c r="A45" t="s">
        <v>1185</v>
      </c>
      <c r="B45" t="s">
        <v>2261</v>
      </c>
      <c r="C45" t="s">
        <v>161</v>
      </c>
      <c r="D45">
        <v>2022</v>
      </c>
      <c r="AA45" s="305">
        <f t="shared" si="3"/>
        <v>5.071377757124778E-3</v>
      </c>
      <c r="AB45" s="71">
        <f t="shared" si="2"/>
        <v>5.071377757124778E-3</v>
      </c>
      <c r="AC45" s="71">
        <f t="shared" si="2"/>
        <v>5.071377757124778E-3</v>
      </c>
      <c r="AD45" s="71">
        <f t="shared" si="2"/>
        <v>5.071377757124778E-3</v>
      </c>
      <c r="AE45" s="71">
        <f t="shared" si="2"/>
        <v>5.071377757124778E-3</v>
      </c>
      <c r="AF45" s="71">
        <f t="shared" si="2"/>
        <v>5.071377757124778E-3</v>
      </c>
      <c r="AG45" s="71">
        <f t="shared" si="2"/>
        <v>5.071377757124778E-3</v>
      </c>
      <c r="AH45" s="66" t="s">
        <v>1166</v>
      </c>
    </row>
    <row r="46" spans="1:34" x14ac:dyDescent="0.35">
      <c r="A46" t="s">
        <v>1186</v>
      </c>
      <c r="B46" t="s">
        <v>2261</v>
      </c>
      <c r="C46" t="s">
        <v>161</v>
      </c>
      <c r="D46">
        <v>2022</v>
      </c>
      <c r="AA46" s="305">
        <f t="shared" si="3"/>
        <v>5.071377757124778E-3</v>
      </c>
      <c r="AB46" s="71">
        <f t="shared" si="2"/>
        <v>5.071377757124778E-3</v>
      </c>
      <c r="AC46" s="71">
        <f t="shared" si="2"/>
        <v>5.071377757124778E-3</v>
      </c>
      <c r="AD46" s="71">
        <f t="shared" si="2"/>
        <v>5.071377757124778E-3</v>
      </c>
      <c r="AE46" s="71">
        <f t="shared" si="2"/>
        <v>5.071377757124778E-3</v>
      </c>
      <c r="AF46" s="71">
        <f t="shared" si="2"/>
        <v>5.071377757124778E-3</v>
      </c>
      <c r="AG46" s="71">
        <f t="shared" si="2"/>
        <v>5.071377757124778E-3</v>
      </c>
      <c r="AH46" s="66" t="s">
        <v>1166</v>
      </c>
    </row>
    <row r="47" spans="1:34" x14ac:dyDescent="0.35">
      <c r="A47" t="s">
        <v>1187</v>
      </c>
      <c r="B47" t="s">
        <v>2261</v>
      </c>
      <c r="C47" t="s">
        <v>161</v>
      </c>
      <c r="D47">
        <v>2022</v>
      </c>
      <c r="AA47" s="305">
        <f t="shared" si="3"/>
        <v>5.071377757124778E-3</v>
      </c>
      <c r="AB47" s="71">
        <f t="shared" si="2"/>
        <v>5.071377757124778E-3</v>
      </c>
      <c r="AC47" s="71">
        <f t="shared" si="2"/>
        <v>5.071377757124778E-3</v>
      </c>
      <c r="AD47" s="71">
        <f t="shared" si="2"/>
        <v>5.071377757124778E-3</v>
      </c>
      <c r="AE47" s="71">
        <f t="shared" si="2"/>
        <v>5.071377757124778E-3</v>
      </c>
      <c r="AF47" s="71">
        <f t="shared" si="2"/>
        <v>5.071377757124778E-3</v>
      </c>
      <c r="AG47" s="71">
        <f t="shared" si="2"/>
        <v>5.071377757124778E-3</v>
      </c>
      <c r="AH47" s="66" t="s">
        <v>1166</v>
      </c>
    </row>
    <row r="48" spans="1:34" x14ac:dyDescent="0.35">
      <c r="A48" t="s">
        <v>1188</v>
      </c>
      <c r="B48" t="s">
        <v>2261</v>
      </c>
      <c r="C48" t="s">
        <v>161</v>
      </c>
      <c r="D48">
        <v>2022</v>
      </c>
      <c r="AA48" s="305">
        <f t="shared" si="3"/>
        <v>5.071377757124778E-3</v>
      </c>
      <c r="AB48" s="71">
        <f t="shared" si="2"/>
        <v>5.071377757124778E-3</v>
      </c>
      <c r="AC48" s="71">
        <f t="shared" si="2"/>
        <v>5.071377757124778E-3</v>
      </c>
      <c r="AD48" s="71">
        <f t="shared" si="2"/>
        <v>5.071377757124778E-3</v>
      </c>
      <c r="AE48" s="71">
        <f t="shared" si="2"/>
        <v>5.071377757124778E-3</v>
      </c>
      <c r="AF48" s="71">
        <f t="shared" si="2"/>
        <v>5.071377757124778E-3</v>
      </c>
      <c r="AG48" s="71">
        <f t="shared" si="2"/>
        <v>5.071377757124778E-3</v>
      </c>
      <c r="AH48" s="66" t="s">
        <v>1166</v>
      </c>
    </row>
    <row r="49" spans="1:34" x14ac:dyDescent="0.35">
      <c r="A49" t="s">
        <v>1189</v>
      </c>
      <c r="B49" t="s">
        <v>2261</v>
      </c>
      <c r="C49" t="s">
        <v>161</v>
      </c>
      <c r="D49">
        <v>2022</v>
      </c>
      <c r="AA49" s="305">
        <f t="shared" si="3"/>
        <v>5.071377757124778E-3</v>
      </c>
      <c r="AB49" s="71">
        <f t="shared" si="2"/>
        <v>5.071377757124778E-3</v>
      </c>
      <c r="AC49" s="71">
        <f t="shared" si="2"/>
        <v>5.071377757124778E-3</v>
      </c>
      <c r="AD49" s="71">
        <f t="shared" si="2"/>
        <v>5.071377757124778E-3</v>
      </c>
      <c r="AE49" s="71">
        <f t="shared" si="2"/>
        <v>5.071377757124778E-3</v>
      </c>
      <c r="AF49" s="71">
        <f t="shared" si="2"/>
        <v>5.071377757124778E-3</v>
      </c>
      <c r="AG49" s="71">
        <f t="shared" si="2"/>
        <v>5.071377757124778E-3</v>
      </c>
      <c r="AH49" s="66" t="s">
        <v>1166</v>
      </c>
    </row>
    <row r="50" spans="1:34" x14ac:dyDescent="0.35">
      <c r="A50" t="s">
        <v>1190</v>
      </c>
      <c r="B50" t="s">
        <v>2261</v>
      </c>
      <c r="C50" t="s">
        <v>161</v>
      </c>
      <c r="D50">
        <v>2022</v>
      </c>
      <c r="AA50" s="305">
        <f t="shared" si="3"/>
        <v>5.071377757124778E-3</v>
      </c>
      <c r="AB50" s="71">
        <f t="shared" si="2"/>
        <v>5.071377757124778E-3</v>
      </c>
      <c r="AC50" s="71">
        <f t="shared" si="2"/>
        <v>5.071377757124778E-3</v>
      </c>
      <c r="AD50" s="71">
        <f t="shared" si="2"/>
        <v>5.071377757124778E-3</v>
      </c>
      <c r="AE50" s="71">
        <f t="shared" si="2"/>
        <v>5.071377757124778E-3</v>
      </c>
      <c r="AF50" s="71">
        <f t="shared" si="2"/>
        <v>5.071377757124778E-3</v>
      </c>
      <c r="AG50" s="71">
        <f t="shared" si="2"/>
        <v>5.071377757124778E-3</v>
      </c>
      <c r="AH50" s="66" t="s">
        <v>1166</v>
      </c>
    </row>
    <row r="51" spans="1:34" x14ac:dyDescent="0.35">
      <c r="A51" t="s">
        <v>1191</v>
      </c>
      <c r="B51" t="s">
        <v>2261</v>
      </c>
      <c r="C51" t="s">
        <v>161</v>
      </c>
      <c r="D51">
        <v>2022</v>
      </c>
      <c r="AA51" s="305">
        <f t="shared" si="3"/>
        <v>5.071377757124778E-3</v>
      </c>
      <c r="AB51" s="71">
        <f t="shared" si="2"/>
        <v>5.071377757124778E-3</v>
      </c>
      <c r="AC51" s="71">
        <f t="shared" si="2"/>
        <v>5.071377757124778E-3</v>
      </c>
      <c r="AD51" s="71">
        <f t="shared" si="2"/>
        <v>5.071377757124778E-3</v>
      </c>
      <c r="AE51" s="71">
        <f t="shared" si="2"/>
        <v>5.071377757124778E-3</v>
      </c>
      <c r="AF51" s="71">
        <f t="shared" si="2"/>
        <v>5.071377757124778E-3</v>
      </c>
      <c r="AG51" s="71">
        <f t="shared" si="2"/>
        <v>5.071377757124778E-3</v>
      </c>
      <c r="AH51" s="66" t="s">
        <v>1166</v>
      </c>
    </row>
    <row r="52" spans="1:34" x14ac:dyDescent="0.35">
      <c r="A52" t="s">
        <v>1192</v>
      </c>
      <c r="B52" t="s">
        <v>2261</v>
      </c>
      <c r="C52" t="s">
        <v>161</v>
      </c>
      <c r="D52">
        <v>2022</v>
      </c>
      <c r="AA52" s="305">
        <f t="shared" si="3"/>
        <v>5.071377757124778E-3</v>
      </c>
      <c r="AB52" s="71">
        <f t="shared" si="2"/>
        <v>5.071377757124778E-3</v>
      </c>
      <c r="AC52" s="71">
        <f t="shared" si="2"/>
        <v>5.071377757124778E-3</v>
      </c>
      <c r="AD52" s="71">
        <f t="shared" si="2"/>
        <v>5.071377757124778E-3</v>
      </c>
      <c r="AE52" s="71">
        <f t="shared" si="2"/>
        <v>5.071377757124778E-3</v>
      </c>
      <c r="AF52" s="71">
        <f t="shared" si="2"/>
        <v>5.071377757124778E-3</v>
      </c>
      <c r="AG52" s="71">
        <f t="shared" si="2"/>
        <v>5.071377757124778E-3</v>
      </c>
      <c r="AH52" s="66" t="s">
        <v>1166</v>
      </c>
    </row>
    <row r="53" spans="1:34" x14ac:dyDescent="0.35">
      <c r="A53" t="s">
        <v>1193</v>
      </c>
      <c r="B53" t="s">
        <v>2261</v>
      </c>
      <c r="C53" t="s">
        <v>161</v>
      </c>
      <c r="D53">
        <v>2022</v>
      </c>
      <c r="AA53" s="305">
        <f t="shared" si="3"/>
        <v>5.071377757124778E-3</v>
      </c>
      <c r="AB53" s="71">
        <f t="shared" si="2"/>
        <v>5.071377757124778E-3</v>
      </c>
      <c r="AC53" s="71">
        <f t="shared" si="2"/>
        <v>5.071377757124778E-3</v>
      </c>
      <c r="AD53" s="71">
        <f t="shared" si="2"/>
        <v>5.071377757124778E-3</v>
      </c>
      <c r="AE53" s="71">
        <f t="shared" si="2"/>
        <v>5.071377757124778E-3</v>
      </c>
      <c r="AF53" s="71">
        <f t="shared" si="2"/>
        <v>5.071377757124778E-3</v>
      </c>
      <c r="AG53" s="71">
        <f t="shared" si="2"/>
        <v>5.071377757124778E-3</v>
      </c>
      <c r="AH53" s="66" t="s">
        <v>1166</v>
      </c>
    </row>
    <row r="54" spans="1:34" x14ac:dyDescent="0.35">
      <c r="A54" t="s">
        <v>1203</v>
      </c>
      <c r="B54" t="s">
        <v>2261</v>
      </c>
      <c r="C54" t="s">
        <v>161</v>
      </c>
      <c r="D54">
        <v>2022</v>
      </c>
      <c r="AA54" s="305">
        <f>$Z$13</f>
        <v>9.5813083520937606E-3</v>
      </c>
      <c r="AB54" s="71">
        <f t="shared" ref="AB54:AG65" si="4">$Z$13</f>
        <v>9.5813083520937606E-3</v>
      </c>
      <c r="AC54" s="71">
        <f t="shared" si="4"/>
        <v>9.5813083520937606E-3</v>
      </c>
      <c r="AD54" s="71">
        <f t="shared" si="4"/>
        <v>9.5813083520937606E-3</v>
      </c>
      <c r="AE54" s="71">
        <f t="shared" si="4"/>
        <v>9.5813083520937606E-3</v>
      </c>
      <c r="AF54" s="71">
        <f t="shared" si="4"/>
        <v>9.5813083520937606E-3</v>
      </c>
      <c r="AG54" s="71">
        <f t="shared" si="4"/>
        <v>9.5813083520937606E-3</v>
      </c>
      <c r="AH54" s="66" t="s">
        <v>1166</v>
      </c>
    </row>
    <row r="55" spans="1:34" x14ac:dyDescent="0.35">
      <c r="A55" t="s">
        <v>1204</v>
      </c>
      <c r="B55" t="s">
        <v>2261</v>
      </c>
      <c r="C55" t="s">
        <v>161</v>
      </c>
      <c r="D55">
        <v>2022</v>
      </c>
      <c r="AA55" s="305">
        <f t="shared" ref="AA55:AA65" si="5">$Z$13</f>
        <v>9.5813083520937606E-3</v>
      </c>
      <c r="AB55" s="71">
        <f t="shared" si="4"/>
        <v>9.5813083520937606E-3</v>
      </c>
      <c r="AC55" s="71">
        <f t="shared" si="4"/>
        <v>9.5813083520937606E-3</v>
      </c>
      <c r="AD55" s="71">
        <f t="shared" si="4"/>
        <v>9.5813083520937606E-3</v>
      </c>
      <c r="AE55" s="71">
        <f t="shared" si="4"/>
        <v>9.5813083520937606E-3</v>
      </c>
      <c r="AF55" s="71">
        <f t="shared" si="4"/>
        <v>9.5813083520937606E-3</v>
      </c>
      <c r="AG55" s="71">
        <f t="shared" si="4"/>
        <v>9.5813083520937606E-3</v>
      </c>
      <c r="AH55" s="66" t="s">
        <v>1166</v>
      </c>
    </row>
    <row r="56" spans="1:34" x14ac:dyDescent="0.35">
      <c r="A56" t="s">
        <v>1205</v>
      </c>
      <c r="B56" t="s">
        <v>2261</v>
      </c>
      <c r="C56" t="s">
        <v>161</v>
      </c>
      <c r="D56">
        <v>2022</v>
      </c>
      <c r="AA56" s="305">
        <f t="shared" si="5"/>
        <v>9.5813083520937606E-3</v>
      </c>
      <c r="AB56" s="71">
        <f t="shared" si="4"/>
        <v>9.5813083520937606E-3</v>
      </c>
      <c r="AC56" s="71">
        <f t="shared" si="4"/>
        <v>9.5813083520937606E-3</v>
      </c>
      <c r="AD56" s="71">
        <f t="shared" si="4"/>
        <v>9.5813083520937606E-3</v>
      </c>
      <c r="AE56" s="71">
        <f t="shared" si="4"/>
        <v>9.5813083520937606E-3</v>
      </c>
      <c r="AF56" s="71">
        <f t="shared" si="4"/>
        <v>9.5813083520937606E-3</v>
      </c>
      <c r="AG56" s="71">
        <f t="shared" si="4"/>
        <v>9.5813083520937606E-3</v>
      </c>
      <c r="AH56" s="66" t="s">
        <v>1166</v>
      </c>
    </row>
    <row r="57" spans="1:34" x14ac:dyDescent="0.35">
      <c r="A57" t="s">
        <v>1206</v>
      </c>
      <c r="B57" t="s">
        <v>2261</v>
      </c>
      <c r="C57" t="s">
        <v>161</v>
      </c>
      <c r="D57">
        <v>2022</v>
      </c>
      <c r="AA57" s="305">
        <f t="shared" si="5"/>
        <v>9.5813083520937606E-3</v>
      </c>
      <c r="AB57" s="71">
        <f t="shared" si="4"/>
        <v>9.5813083520937606E-3</v>
      </c>
      <c r="AC57" s="71">
        <f t="shared" si="4"/>
        <v>9.5813083520937606E-3</v>
      </c>
      <c r="AD57" s="71">
        <f t="shared" si="4"/>
        <v>9.5813083520937606E-3</v>
      </c>
      <c r="AE57" s="71">
        <f t="shared" si="4"/>
        <v>9.5813083520937606E-3</v>
      </c>
      <c r="AF57" s="71">
        <f t="shared" si="4"/>
        <v>9.5813083520937606E-3</v>
      </c>
      <c r="AG57" s="71">
        <f t="shared" si="4"/>
        <v>9.5813083520937606E-3</v>
      </c>
      <c r="AH57" s="66" t="s">
        <v>1166</v>
      </c>
    </row>
    <row r="58" spans="1:34" x14ac:dyDescent="0.35">
      <c r="A58" t="s">
        <v>1207</v>
      </c>
      <c r="B58" t="s">
        <v>2261</v>
      </c>
      <c r="C58" t="s">
        <v>161</v>
      </c>
      <c r="D58">
        <v>2022</v>
      </c>
      <c r="AA58" s="305">
        <f t="shared" si="5"/>
        <v>9.5813083520937606E-3</v>
      </c>
      <c r="AB58" s="71">
        <f t="shared" si="4"/>
        <v>9.5813083520937606E-3</v>
      </c>
      <c r="AC58" s="71">
        <f t="shared" si="4"/>
        <v>9.5813083520937606E-3</v>
      </c>
      <c r="AD58" s="71">
        <f t="shared" si="4"/>
        <v>9.5813083520937606E-3</v>
      </c>
      <c r="AE58" s="71">
        <f t="shared" si="4"/>
        <v>9.5813083520937606E-3</v>
      </c>
      <c r="AF58" s="71">
        <f t="shared" si="4"/>
        <v>9.5813083520937606E-3</v>
      </c>
      <c r="AG58" s="71">
        <f t="shared" si="4"/>
        <v>9.5813083520937606E-3</v>
      </c>
      <c r="AH58" s="66" t="s">
        <v>1166</v>
      </c>
    </row>
    <row r="59" spans="1:34" x14ac:dyDescent="0.35">
      <c r="A59" t="s">
        <v>1208</v>
      </c>
      <c r="B59" t="s">
        <v>2261</v>
      </c>
      <c r="C59" t="s">
        <v>161</v>
      </c>
      <c r="D59">
        <v>2022</v>
      </c>
      <c r="AA59" s="305">
        <f t="shared" si="5"/>
        <v>9.5813083520937606E-3</v>
      </c>
      <c r="AB59" s="71">
        <f t="shared" si="4"/>
        <v>9.5813083520937606E-3</v>
      </c>
      <c r="AC59" s="71">
        <f t="shared" si="4"/>
        <v>9.5813083520937606E-3</v>
      </c>
      <c r="AD59" s="71">
        <f t="shared" si="4"/>
        <v>9.5813083520937606E-3</v>
      </c>
      <c r="AE59" s="71">
        <f t="shared" si="4"/>
        <v>9.5813083520937606E-3</v>
      </c>
      <c r="AF59" s="71">
        <f t="shared" si="4"/>
        <v>9.5813083520937606E-3</v>
      </c>
      <c r="AG59" s="71">
        <f t="shared" si="4"/>
        <v>9.5813083520937606E-3</v>
      </c>
      <c r="AH59" s="66" t="s">
        <v>1166</v>
      </c>
    </row>
    <row r="60" spans="1:34" x14ac:dyDescent="0.35">
      <c r="A60" t="s">
        <v>1209</v>
      </c>
      <c r="B60" t="s">
        <v>2261</v>
      </c>
      <c r="C60" t="s">
        <v>161</v>
      </c>
      <c r="D60">
        <v>2022</v>
      </c>
      <c r="AA60" s="305">
        <f t="shared" si="5"/>
        <v>9.5813083520937606E-3</v>
      </c>
      <c r="AB60" s="71">
        <f t="shared" si="4"/>
        <v>9.5813083520937606E-3</v>
      </c>
      <c r="AC60" s="71">
        <f t="shared" si="4"/>
        <v>9.5813083520937606E-3</v>
      </c>
      <c r="AD60" s="71">
        <f t="shared" si="4"/>
        <v>9.5813083520937606E-3</v>
      </c>
      <c r="AE60" s="71">
        <f t="shared" si="4"/>
        <v>9.5813083520937606E-3</v>
      </c>
      <c r="AF60" s="71">
        <f t="shared" si="4"/>
        <v>9.5813083520937606E-3</v>
      </c>
      <c r="AG60" s="71">
        <f t="shared" si="4"/>
        <v>9.5813083520937606E-3</v>
      </c>
      <c r="AH60" s="66" t="s">
        <v>1166</v>
      </c>
    </row>
    <row r="61" spans="1:34" x14ac:dyDescent="0.35">
      <c r="A61" t="s">
        <v>1210</v>
      </c>
      <c r="B61" t="s">
        <v>2261</v>
      </c>
      <c r="C61" t="s">
        <v>161</v>
      </c>
      <c r="D61">
        <v>2022</v>
      </c>
      <c r="AA61" s="305">
        <f t="shared" si="5"/>
        <v>9.5813083520937606E-3</v>
      </c>
      <c r="AB61" s="71">
        <f t="shared" si="4"/>
        <v>9.5813083520937606E-3</v>
      </c>
      <c r="AC61" s="71">
        <f t="shared" si="4"/>
        <v>9.5813083520937606E-3</v>
      </c>
      <c r="AD61" s="71">
        <f t="shared" si="4"/>
        <v>9.5813083520937606E-3</v>
      </c>
      <c r="AE61" s="71">
        <f t="shared" si="4"/>
        <v>9.5813083520937606E-3</v>
      </c>
      <c r="AF61" s="71">
        <f t="shared" si="4"/>
        <v>9.5813083520937606E-3</v>
      </c>
      <c r="AG61" s="71">
        <f t="shared" si="4"/>
        <v>9.5813083520937606E-3</v>
      </c>
      <c r="AH61" s="66" t="s">
        <v>1166</v>
      </c>
    </row>
    <row r="62" spans="1:34" x14ac:dyDescent="0.35">
      <c r="A62" t="s">
        <v>1211</v>
      </c>
      <c r="B62" t="s">
        <v>2261</v>
      </c>
      <c r="C62" t="s">
        <v>161</v>
      </c>
      <c r="D62">
        <v>2022</v>
      </c>
      <c r="AA62" s="305">
        <f t="shared" si="5"/>
        <v>9.5813083520937606E-3</v>
      </c>
      <c r="AB62" s="71">
        <f t="shared" si="4"/>
        <v>9.5813083520937606E-3</v>
      </c>
      <c r="AC62" s="71">
        <f t="shared" si="4"/>
        <v>9.5813083520937606E-3</v>
      </c>
      <c r="AD62" s="71">
        <f t="shared" si="4"/>
        <v>9.5813083520937606E-3</v>
      </c>
      <c r="AE62" s="71">
        <f t="shared" si="4"/>
        <v>9.5813083520937606E-3</v>
      </c>
      <c r="AF62" s="71">
        <f t="shared" si="4"/>
        <v>9.5813083520937606E-3</v>
      </c>
      <c r="AG62" s="71">
        <f t="shared" si="4"/>
        <v>9.5813083520937606E-3</v>
      </c>
      <c r="AH62" s="66" t="s">
        <v>1166</v>
      </c>
    </row>
    <row r="63" spans="1:34" x14ac:dyDescent="0.35">
      <c r="A63" t="s">
        <v>1212</v>
      </c>
      <c r="B63" t="s">
        <v>2261</v>
      </c>
      <c r="C63" t="s">
        <v>161</v>
      </c>
      <c r="D63">
        <v>2022</v>
      </c>
      <c r="AA63" s="305">
        <f t="shared" si="5"/>
        <v>9.5813083520937606E-3</v>
      </c>
      <c r="AB63" s="71">
        <f t="shared" si="4"/>
        <v>9.5813083520937606E-3</v>
      </c>
      <c r="AC63" s="71">
        <f t="shared" si="4"/>
        <v>9.5813083520937606E-3</v>
      </c>
      <c r="AD63" s="71">
        <f t="shared" si="4"/>
        <v>9.5813083520937606E-3</v>
      </c>
      <c r="AE63" s="71">
        <f t="shared" si="4"/>
        <v>9.5813083520937606E-3</v>
      </c>
      <c r="AF63" s="71">
        <f t="shared" si="4"/>
        <v>9.5813083520937606E-3</v>
      </c>
      <c r="AG63" s="71">
        <f t="shared" si="4"/>
        <v>9.5813083520937606E-3</v>
      </c>
      <c r="AH63" s="66" t="s">
        <v>1166</v>
      </c>
    </row>
    <row r="64" spans="1:34" x14ac:dyDescent="0.35">
      <c r="A64" t="s">
        <v>1213</v>
      </c>
      <c r="B64" t="s">
        <v>2261</v>
      </c>
      <c r="C64" t="s">
        <v>161</v>
      </c>
      <c r="D64">
        <v>2022</v>
      </c>
      <c r="AA64" s="305">
        <f t="shared" si="5"/>
        <v>9.5813083520937606E-3</v>
      </c>
      <c r="AB64" s="71">
        <f t="shared" si="4"/>
        <v>9.5813083520937606E-3</v>
      </c>
      <c r="AC64" s="71">
        <f t="shared" si="4"/>
        <v>9.5813083520937606E-3</v>
      </c>
      <c r="AD64" s="71">
        <f t="shared" si="4"/>
        <v>9.5813083520937606E-3</v>
      </c>
      <c r="AE64" s="71">
        <f t="shared" si="4"/>
        <v>9.5813083520937606E-3</v>
      </c>
      <c r="AF64" s="71">
        <f t="shared" si="4"/>
        <v>9.5813083520937606E-3</v>
      </c>
      <c r="AG64" s="71">
        <f t="shared" si="4"/>
        <v>9.5813083520937606E-3</v>
      </c>
      <c r="AH64" s="66" t="s">
        <v>1166</v>
      </c>
    </row>
    <row r="65" spans="1:34" x14ac:dyDescent="0.35">
      <c r="A65" t="s">
        <v>1214</v>
      </c>
      <c r="B65" t="s">
        <v>2261</v>
      </c>
      <c r="C65" t="s">
        <v>161</v>
      </c>
      <c r="D65">
        <v>2022</v>
      </c>
      <c r="AA65" s="305">
        <f t="shared" si="5"/>
        <v>9.5813083520937606E-3</v>
      </c>
      <c r="AB65" s="71">
        <f t="shared" si="4"/>
        <v>9.5813083520937606E-3</v>
      </c>
      <c r="AC65" s="71">
        <f t="shared" si="4"/>
        <v>9.5813083520937606E-3</v>
      </c>
      <c r="AD65" s="71">
        <f t="shared" si="4"/>
        <v>9.5813083520937606E-3</v>
      </c>
      <c r="AE65" s="71">
        <f t="shared" si="4"/>
        <v>9.5813083520937606E-3</v>
      </c>
      <c r="AF65" s="71">
        <f t="shared" si="4"/>
        <v>9.5813083520937606E-3</v>
      </c>
      <c r="AG65" s="71">
        <f t="shared" si="4"/>
        <v>9.5813083520937606E-3</v>
      </c>
      <c r="AH65" s="66" t="s">
        <v>1166</v>
      </c>
    </row>
    <row r="66" spans="1:34" x14ac:dyDescent="0.35">
      <c r="A66" t="s">
        <v>1194</v>
      </c>
      <c r="B66" t="s">
        <v>2261</v>
      </c>
      <c r="C66" t="s">
        <v>161</v>
      </c>
      <c r="D66">
        <v>2022</v>
      </c>
      <c r="AA66" s="305">
        <f>$Z$17</f>
        <v>1.4253481754307813E-2</v>
      </c>
      <c r="AB66" s="71">
        <f t="shared" ref="AB66:AG72" si="6">$Z$17</f>
        <v>1.4253481754307813E-2</v>
      </c>
      <c r="AC66" s="71">
        <f t="shared" si="6"/>
        <v>1.4253481754307813E-2</v>
      </c>
      <c r="AD66" s="71">
        <f t="shared" si="6"/>
        <v>1.4253481754307813E-2</v>
      </c>
      <c r="AE66" s="71">
        <f t="shared" si="6"/>
        <v>1.4253481754307813E-2</v>
      </c>
      <c r="AF66" s="71">
        <f t="shared" si="6"/>
        <v>1.4253481754307813E-2</v>
      </c>
      <c r="AG66" s="71">
        <f t="shared" si="6"/>
        <v>1.4253481754307813E-2</v>
      </c>
      <c r="AH66" s="66" t="s">
        <v>1166</v>
      </c>
    </row>
    <row r="67" spans="1:34" x14ac:dyDescent="0.35">
      <c r="A67" t="s">
        <v>1215</v>
      </c>
      <c r="B67" t="s">
        <v>2261</v>
      </c>
      <c r="C67" t="s">
        <v>161</v>
      </c>
      <c r="D67">
        <v>2022</v>
      </c>
      <c r="AA67" s="305">
        <f t="shared" ref="AA67:AA72" si="7">$Z$17</f>
        <v>1.4253481754307813E-2</v>
      </c>
      <c r="AB67" s="71">
        <f t="shared" si="6"/>
        <v>1.4253481754307813E-2</v>
      </c>
      <c r="AC67" s="71">
        <f t="shared" si="6"/>
        <v>1.4253481754307813E-2</v>
      </c>
      <c r="AD67" s="71">
        <f t="shared" si="6"/>
        <v>1.4253481754307813E-2</v>
      </c>
      <c r="AE67" s="71">
        <f t="shared" si="6"/>
        <v>1.4253481754307813E-2</v>
      </c>
      <c r="AF67" s="71">
        <f t="shared" si="6"/>
        <v>1.4253481754307813E-2</v>
      </c>
      <c r="AG67" s="71">
        <f t="shared" si="6"/>
        <v>1.4253481754307813E-2</v>
      </c>
      <c r="AH67" s="66" t="s">
        <v>1166</v>
      </c>
    </row>
    <row r="68" spans="1:34" x14ac:dyDescent="0.35">
      <c r="A68" t="s">
        <v>1217</v>
      </c>
      <c r="B68" t="s">
        <v>2261</v>
      </c>
      <c r="C68" t="s">
        <v>161</v>
      </c>
      <c r="D68">
        <v>2022</v>
      </c>
      <c r="AA68" s="305">
        <f t="shared" si="7"/>
        <v>1.4253481754307813E-2</v>
      </c>
      <c r="AB68" s="71">
        <f t="shared" si="6"/>
        <v>1.4253481754307813E-2</v>
      </c>
      <c r="AC68" s="71">
        <f t="shared" si="6"/>
        <v>1.4253481754307813E-2</v>
      </c>
      <c r="AD68" s="71">
        <f t="shared" si="6"/>
        <v>1.4253481754307813E-2</v>
      </c>
      <c r="AE68" s="71">
        <f t="shared" si="6"/>
        <v>1.4253481754307813E-2</v>
      </c>
      <c r="AF68" s="71">
        <f t="shared" si="6"/>
        <v>1.4253481754307813E-2</v>
      </c>
      <c r="AG68" s="71">
        <f t="shared" si="6"/>
        <v>1.4253481754307813E-2</v>
      </c>
      <c r="AH68" s="66" t="s">
        <v>1166</v>
      </c>
    </row>
    <row r="69" spans="1:34" x14ac:dyDescent="0.35">
      <c r="A69" t="s">
        <v>1218</v>
      </c>
      <c r="B69" t="s">
        <v>2261</v>
      </c>
      <c r="C69" t="s">
        <v>161</v>
      </c>
      <c r="D69">
        <v>2022</v>
      </c>
      <c r="AA69" s="305">
        <f t="shared" si="7"/>
        <v>1.4253481754307813E-2</v>
      </c>
      <c r="AB69" s="71">
        <f t="shared" si="6"/>
        <v>1.4253481754307813E-2</v>
      </c>
      <c r="AC69" s="71">
        <f t="shared" si="6"/>
        <v>1.4253481754307813E-2</v>
      </c>
      <c r="AD69" s="71">
        <f t="shared" si="6"/>
        <v>1.4253481754307813E-2</v>
      </c>
      <c r="AE69" s="71">
        <f t="shared" si="6"/>
        <v>1.4253481754307813E-2</v>
      </c>
      <c r="AF69" s="71">
        <f t="shared" si="6"/>
        <v>1.4253481754307813E-2</v>
      </c>
      <c r="AG69" s="71">
        <f t="shared" si="6"/>
        <v>1.4253481754307813E-2</v>
      </c>
      <c r="AH69" s="66" t="s">
        <v>1166</v>
      </c>
    </row>
    <row r="70" spans="1:34" x14ac:dyDescent="0.35">
      <c r="A70" t="s">
        <v>1245</v>
      </c>
      <c r="B70" t="s">
        <v>2261</v>
      </c>
      <c r="C70" t="s">
        <v>161</v>
      </c>
      <c r="D70">
        <v>2022</v>
      </c>
      <c r="AA70" s="305">
        <f t="shared" si="7"/>
        <v>1.4253481754307813E-2</v>
      </c>
      <c r="AB70" s="71">
        <f t="shared" si="6"/>
        <v>1.4253481754307813E-2</v>
      </c>
      <c r="AC70" s="71">
        <f t="shared" si="6"/>
        <v>1.4253481754307813E-2</v>
      </c>
      <c r="AD70" s="71">
        <f t="shared" si="6"/>
        <v>1.4253481754307813E-2</v>
      </c>
      <c r="AE70" s="71">
        <f t="shared" si="6"/>
        <v>1.4253481754307813E-2</v>
      </c>
      <c r="AF70" s="71">
        <f t="shared" si="6"/>
        <v>1.4253481754307813E-2</v>
      </c>
      <c r="AG70" s="71">
        <f t="shared" si="6"/>
        <v>1.4253481754307813E-2</v>
      </c>
      <c r="AH70" s="66" t="s">
        <v>1166</v>
      </c>
    </row>
    <row r="71" spans="1:34" x14ac:dyDescent="0.35">
      <c r="A71" t="s">
        <v>1246</v>
      </c>
      <c r="B71" t="s">
        <v>2261</v>
      </c>
      <c r="C71" t="s">
        <v>161</v>
      </c>
      <c r="D71">
        <v>2022</v>
      </c>
      <c r="AA71" s="305">
        <f t="shared" si="7"/>
        <v>1.4253481754307813E-2</v>
      </c>
      <c r="AB71" s="71">
        <f t="shared" si="6"/>
        <v>1.4253481754307813E-2</v>
      </c>
      <c r="AC71" s="71">
        <f t="shared" si="6"/>
        <v>1.4253481754307813E-2</v>
      </c>
      <c r="AD71" s="71">
        <f t="shared" si="6"/>
        <v>1.4253481754307813E-2</v>
      </c>
      <c r="AE71" s="71">
        <f t="shared" si="6"/>
        <v>1.4253481754307813E-2</v>
      </c>
      <c r="AF71" s="71">
        <f t="shared" si="6"/>
        <v>1.4253481754307813E-2</v>
      </c>
      <c r="AG71" s="71">
        <f t="shared" si="6"/>
        <v>1.4253481754307813E-2</v>
      </c>
      <c r="AH71" s="66" t="s">
        <v>1166</v>
      </c>
    </row>
    <row r="72" spans="1:34" x14ac:dyDescent="0.35">
      <c r="A72" t="s">
        <v>1247</v>
      </c>
      <c r="B72" t="s">
        <v>2261</v>
      </c>
      <c r="C72" t="s">
        <v>161</v>
      </c>
      <c r="D72">
        <v>2022</v>
      </c>
      <c r="AA72" s="305">
        <f t="shared" si="7"/>
        <v>1.4253481754307813E-2</v>
      </c>
      <c r="AB72" s="71">
        <f t="shared" si="6"/>
        <v>1.4253481754307813E-2</v>
      </c>
      <c r="AC72" s="71">
        <f t="shared" si="6"/>
        <v>1.4253481754307813E-2</v>
      </c>
      <c r="AD72" s="71">
        <f t="shared" si="6"/>
        <v>1.4253481754307813E-2</v>
      </c>
      <c r="AE72" s="71">
        <f t="shared" si="6"/>
        <v>1.4253481754307813E-2</v>
      </c>
      <c r="AF72" s="71">
        <f t="shared" si="6"/>
        <v>1.4253481754307813E-2</v>
      </c>
      <c r="AG72" s="71">
        <f t="shared" si="6"/>
        <v>1.4253481754307813E-2</v>
      </c>
      <c r="AH72" s="66" t="s">
        <v>1166</v>
      </c>
    </row>
    <row r="73" spans="1:34" x14ac:dyDescent="0.35">
      <c r="A73" t="s">
        <v>1249</v>
      </c>
      <c r="B73" t="s">
        <v>2261</v>
      </c>
      <c r="C73" t="s">
        <v>161</v>
      </c>
      <c r="D73">
        <v>2022</v>
      </c>
      <c r="AA73" s="305">
        <f>$Z$19</f>
        <v>7.1950082740144056E-2</v>
      </c>
      <c r="AB73" s="71">
        <f t="shared" ref="AB73:AG78" si="8">$Z$19</f>
        <v>7.1950082740144056E-2</v>
      </c>
      <c r="AC73" s="71">
        <f t="shared" si="8"/>
        <v>7.1950082740144056E-2</v>
      </c>
      <c r="AD73" s="71">
        <f t="shared" si="8"/>
        <v>7.1950082740144056E-2</v>
      </c>
      <c r="AE73" s="71">
        <f t="shared" si="8"/>
        <v>7.1950082740144056E-2</v>
      </c>
      <c r="AF73" s="71">
        <f t="shared" si="8"/>
        <v>7.1950082740144056E-2</v>
      </c>
      <c r="AG73" s="71">
        <f t="shared" si="8"/>
        <v>7.1950082740144056E-2</v>
      </c>
      <c r="AH73" s="66" t="s">
        <v>1166</v>
      </c>
    </row>
    <row r="74" spans="1:34" x14ac:dyDescent="0.35">
      <c r="A74" t="s">
        <v>1250</v>
      </c>
      <c r="B74" t="s">
        <v>2261</v>
      </c>
      <c r="C74" t="s">
        <v>161</v>
      </c>
      <c r="D74">
        <v>2022</v>
      </c>
      <c r="AA74" s="305">
        <f t="shared" ref="AA74:AA78" si="9">$Z$19</f>
        <v>7.1950082740144056E-2</v>
      </c>
      <c r="AB74" s="71">
        <f t="shared" si="8"/>
        <v>7.1950082740144056E-2</v>
      </c>
      <c r="AC74" s="71">
        <f t="shared" si="8"/>
        <v>7.1950082740144056E-2</v>
      </c>
      <c r="AD74" s="71">
        <f t="shared" si="8"/>
        <v>7.1950082740144056E-2</v>
      </c>
      <c r="AE74" s="71">
        <f t="shared" si="8"/>
        <v>7.1950082740144056E-2</v>
      </c>
      <c r="AF74" s="71">
        <f t="shared" si="8"/>
        <v>7.1950082740144056E-2</v>
      </c>
      <c r="AG74" s="71">
        <f t="shared" si="8"/>
        <v>7.1950082740144056E-2</v>
      </c>
      <c r="AH74" s="66" t="s">
        <v>1166</v>
      </c>
    </row>
    <row r="75" spans="1:34" x14ac:dyDescent="0.35">
      <c r="A75" t="s">
        <v>1251</v>
      </c>
      <c r="B75" t="s">
        <v>2261</v>
      </c>
      <c r="C75" t="s">
        <v>161</v>
      </c>
      <c r="D75">
        <v>2022</v>
      </c>
      <c r="AA75" s="305">
        <f t="shared" si="9"/>
        <v>7.1950082740144056E-2</v>
      </c>
      <c r="AB75" s="71">
        <f t="shared" si="8"/>
        <v>7.1950082740144056E-2</v>
      </c>
      <c r="AC75" s="71">
        <f t="shared" si="8"/>
        <v>7.1950082740144056E-2</v>
      </c>
      <c r="AD75" s="71">
        <f t="shared" si="8"/>
        <v>7.1950082740144056E-2</v>
      </c>
      <c r="AE75" s="71">
        <f t="shared" si="8"/>
        <v>7.1950082740144056E-2</v>
      </c>
      <c r="AF75" s="71">
        <f t="shared" si="8"/>
        <v>7.1950082740144056E-2</v>
      </c>
      <c r="AG75" s="71">
        <f t="shared" si="8"/>
        <v>7.1950082740144056E-2</v>
      </c>
      <c r="AH75" s="66" t="s">
        <v>1166</v>
      </c>
    </row>
    <row r="76" spans="1:34" x14ac:dyDescent="0.35">
      <c r="A76" t="s">
        <v>1252</v>
      </c>
      <c r="B76" t="s">
        <v>2261</v>
      </c>
      <c r="C76" t="s">
        <v>161</v>
      </c>
      <c r="D76">
        <v>2022</v>
      </c>
      <c r="AA76" s="305">
        <f t="shared" si="9"/>
        <v>7.1950082740144056E-2</v>
      </c>
      <c r="AB76" s="71">
        <f t="shared" si="8"/>
        <v>7.1950082740144056E-2</v>
      </c>
      <c r="AC76" s="71">
        <f t="shared" si="8"/>
        <v>7.1950082740144056E-2</v>
      </c>
      <c r="AD76" s="71">
        <f t="shared" si="8"/>
        <v>7.1950082740144056E-2</v>
      </c>
      <c r="AE76" s="71">
        <f t="shared" si="8"/>
        <v>7.1950082740144056E-2</v>
      </c>
      <c r="AF76" s="71">
        <f t="shared" si="8"/>
        <v>7.1950082740144056E-2</v>
      </c>
      <c r="AG76" s="71">
        <f t="shared" si="8"/>
        <v>7.1950082740144056E-2</v>
      </c>
      <c r="AH76" s="66" t="s">
        <v>1166</v>
      </c>
    </row>
    <row r="77" spans="1:34" x14ac:dyDescent="0.35">
      <c r="A77" t="s">
        <v>1253</v>
      </c>
      <c r="B77" t="s">
        <v>2261</v>
      </c>
      <c r="C77" t="s">
        <v>161</v>
      </c>
      <c r="D77">
        <v>2022</v>
      </c>
      <c r="AA77" s="305">
        <f t="shared" si="9"/>
        <v>7.1950082740144056E-2</v>
      </c>
      <c r="AB77" s="71">
        <f t="shared" si="8"/>
        <v>7.1950082740144056E-2</v>
      </c>
      <c r="AC77" s="71">
        <f t="shared" si="8"/>
        <v>7.1950082740144056E-2</v>
      </c>
      <c r="AD77" s="71">
        <f t="shared" si="8"/>
        <v>7.1950082740144056E-2</v>
      </c>
      <c r="AE77" s="71">
        <f t="shared" si="8"/>
        <v>7.1950082740144056E-2</v>
      </c>
      <c r="AF77" s="71">
        <f t="shared" si="8"/>
        <v>7.1950082740144056E-2</v>
      </c>
      <c r="AG77" s="71">
        <f t="shared" si="8"/>
        <v>7.1950082740144056E-2</v>
      </c>
      <c r="AH77" s="66" t="s">
        <v>1166</v>
      </c>
    </row>
    <row r="78" spans="1:34" x14ac:dyDescent="0.35">
      <c r="A78" t="s">
        <v>1254</v>
      </c>
      <c r="B78" t="s">
        <v>2261</v>
      </c>
      <c r="C78" t="s">
        <v>161</v>
      </c>
      <c r="D78">
        <v>2022</v>
      </c>
      <c r="AA78" s="305">
        <f t="shared" si="9"/>
        <v>7.1950082740144056E-2</v>
      </c>
      <c r="AB78" s="71">
        <f t="shared" si="8"/>
        <v>7.1950082740144056E-2</v>
      </c>
      <c r="AC78" s="71">
        <f t="shared" si="8"/>
        <v>7.1950082740144056E-2</v>
      </c>
      <c r="AD78" s="71">
        <f t="shared" si="8"/>
        <v>7.1950082740144056E-2</v>
      </c>
      <c r="AE78" s="71">
        <f t="shared" si="8"/>
        <v>7.1950082740144056E-2</v>
      </c>
      <c r="AF78" s="71">
        <f t="shared" si="8"/>
        <v>7.1950082740144056E-2</v>
      </c>
      <c r="AG78" s="71">
        <f t="shared" si="8"/>
        <v>7.1950082740144056E-2</v>
      </c>
      <c r="AH78" s="66" t="s">
        <v>1166</v>
      </c>
    </row>
    <row r="79" spans="1:34" x14ac:dyDescent="0.35">
      <c r="A79" t="s">
        <v>1257</v>
      </c>
      <c r="B79" t="s">
        <v>2261</v>
      </c>
      <c r="C79" t="s">
        <v>161</v>
      </c>
      <c r="D79">
        <v>2022</v>
      </c>
      <c r="AA79" s="305">
        <f>$Z$20</f>
        <v>2.6249213593937852E-3</v>
      </c>
      <c r="AB79" s="71">
        <f t="shared" ref="AB79:AG80" si="10">$Z$20</f>
        <v>2.6249213593937852E-3</v>
      </c>
      <c r="AC79" s="71">
        <f t="shared" si="10"/>
        <v>2.6249213593937852E-3</v>
      </c>
      <c r="AD79" s="71">
        <f t="shared" si="10"/>
        <v>2.6249213593937852E-3</v>
      </c>
      <c r="AE79" s="71">
        <f t="shared" si="10"/>
        <v>2.6249213593937852E-3</v>
      </c>
      <c r="AF79" s="71">
        <f t="shared" si="10"/>
        <v>2.6249213593937852E-3</v>
      </c>
      <c r="AG79" s="71">
        <f t="shared" si="10"/>
        <v>2.6249213593937852E-3</v>
      </c>
      <c r="AH79" s="66" t="s">
        <v>1166</v>
      </c>
    </row>
    <row r="80" spans="1:34" x14ac:dyDescent="0.35">
      <c r="A80" t="s">
        <v>1258</v>
      </c>
      <c r="B80" t="s">
        <v>2261</v>
      </c>
      <c r="C80" t="s">
        <v>161</v>
      </c>
      <c r="D80">
        <v>2022</v>
      </c>
      <c r="AA80" s="305">
        <f>$Z$20</f>
        <v>2.6249213593937852E-3</v>
      </c>
      <c r="AB80" s="71">
        <f t="shared" si="10"/>
        <v>2.6249213593937852E-3</v>
      </c>
      <c r="AC80" s="71">
        <f t="shared" si="10"/>
        <v>2.6249213593937852E-3</v>
      </c>
      <c r="AD80" s="71">
        <f t="shared" si="10"/>
        <v>2.6249213593937852E-3</v>
      </c>
      <c r="AE80" s="71">
        <f t="shared" si="10"/>
        <v>2.6249213593937852E-3</v>
      </c>
      <c r="AF80" s="71">
        <f t="shared" si="10"/>
        <v>2.6249213593937852E-3</v>
      </c>
      <c r="AG80" s="71">
        <f t="shared" si="10"/>
        <v>2.6249213593937852E-3</v>
      </c>
      <c r="AH80" s="66" t="s">
        <v>1166</v>
      </c>
    </row>
    <row r="81" spans="1:34" x14ac:dyDescent="0.35">
      <c r="A81" t="s">
        <v>1273</v>
      </c>
      <c r="B81" t="s">
        <v>2261</v>
      </c>
      <c r="C81" t="s">
        <v>161</v>
      </c>
      <c r="D81">
        <v>2022</v>
      </c>
      <c r="AA81" s="305">
        <f>$Z$21</f>
        <v>1.6645656553661941E-2</v>
      </c>
      <c r="AB81" s="71">
        <f t="shared" ref="AB81:AG81" si="11">$Z$21</f>
        <v>1.6645656553661941E-2</v>
      </c>
      <c r="AC81" s="71">
        <f t="shared" si="11"/>
        <v>1.6645656553661941E-2</v>
      </c>
      <c r="AD81" s="71">
        <f t="shared" si="11"/>
        <v>1.6645656553661941E-2</v>
      </c>
      <c r="AE81" s="71">
        <f t="shared" si="11"/>
        <v>1.6645656553661941E-2</v>
      </c>
      <c r="AF81" s="71">
        <f t="shared" si="11"/>
        <v>1.6645656553661941E-2</v>
      </c>
      <c r="AG81" s="71">
        <f t="shared" si="11"/>
        <v>1.6645656553661941E-2</v>
      </c>
      <c r="AH81" s="66" t="s">
        <v>1166</v>
      </c>
    </row>
    <row r="82" spans="1:34" x14ac:dyDescent="0.35">
      <c r="A82" t="s">
        <v>1274</v>
      </c>
      <c r="B82" t="s">
        <v>2261</v>
      </c>
      <c r="C82" t="s">
        <v>161</v>
      </c>
      <c r="D82">
        <v>2022</v>
      </c>
      <c r="AA82" s="305">
        <f t="shared" ref="AA82:AG88" si="12">$Z$21</f>
        <v>1.6645656553661941E-2</v>
      </c>
      <c r="AB82" s="71">
        <f t="shared" si="12"/>
        <v>1.6645656553661941E-2</v>
      </c>
      <c r="AC82" s="71">
        <f t="shared" si="12"/>
        <v>1.6645656553661941E-2</v>
      </c>
      <c r="AD82" s="71">
        <f t="shared" si="12"/>
        <v>1.6645656553661941E-2</v>
      </c>
      <c r="AE82" s="71">
        <f t="shared" si="12"/>
        <v>1.6645656553661941E-2</v>
      </c>
      <c r="AF82" s="71">
        <f t="shared" si="12"/>
        <v>1.6645656553661941E-2</v>
      </c>
      <c r="AG82" s="71">
        <f t="shared" si="12"/>
        <v>1.6645656553661941E-2</v>
      </c>
      <c r="AH82" s="66" t="s">
        <v>1166</v>
      </c>
    </row>
    <row r="83" spans="1:34" x14ac:dyDescent="0.35">
      <c r="A83" t="s">
        <v>1275</v>
      </c>
      <c r="B83" t="s">
        <v>2261</v>
      </c>
      <c r="C83" t="s">
        <v>161</v>
      </c>
      <c r="D83">
        <v>2022</v>
      </c>
      <c r="AA83" s="305">
        <f t="shared" si="12"/>
        <v>1.6645656553661941E-2</v>
      </c>
      <c r="AB83" s="71">
        <f t="shared" si="12"/>
        <v>1.6645656553661941E-2</v>
      </c>
      <c r="AC83" s="71">
        <f t="shared" si="12"/>
        <v>1.6645656553661941E-2</v>
      </c>
      <c r="AD83" s="71">
        <f t="shared" si="12"/>
        <v>1.6645656553661941E-2</v>
      </c>
      <c r="AE83" s="71">
        <f t="shared" si="12"/>
        <v>1.6645656553661941E-2</v>
      </c>
      <c r="AF83" s="71">
        <f t="shared" si="12"/>
        <v>1.6645656553661941E-2</v>
      </c>
      <c r="AG83" s="71">
        <f t="shared" si="12"/>
        <v>1.6645656553661941E-2</v>
      </c>
      <c r="AH83" s="66" t="s">
        <v>1166</v>
      </c>
    </row>
    <row r="84" spans="1:34" x14ac:dyDescent="0.35">
      <c r="A84" t="s">
        <v>1276</v>
      </c>
      <c r="B84" t="s">
        <v>2261</v>
      </c>
      <c r="C84" t="s">
        <v>161</v>
      </c>
      <c r="D84">
        <v>2022</v>
      </c>
      <c r="AA84" s="305">
        <f t="shared" si="12"/>
        <v>1.6645656553661941E-2</v>
      </c>
      <c r="AB84" s="71">
        <f t="shared" si="12"/>
        <v>1.6645656553661941E-2</v>
      </c>
      <c r="AC84" s="71">
        <f t="shared" si="12"/>
        <v>1.6645656553661941E-2</v>
      </c>
      <c r="AD84" s="71">
        <f t="shared" si="12"/>
        <v>1.6645656553661941E-2</v>
      </c>
      <c r="AE84" s="71">
        <f t="shared" si="12"/>
        <v>1.6645656553661941E-2</v>
      </c>
      <c r="AF84" s="71">
        <f t="shared" si="12"/>
        <v>1.6645656553661941E-2</v>
      </c>
      <c r="AG84" s="71">
        <f t="shared" si="12"/>
        <v>1.6645656553661941E-2</v>
      </c>
      <c r="AH84" s="66" t="s">
        <v>1166</v>
      </c>
    </row>
    <row r="85" spans="1:34" x14ac:dyDescent="0.35">
      <c r="A85" t="s">
        <v>1277</v>
      </c>
      <c r="B85" t="s">
        <v>2261</v>
      </c>
      <c r="C85" t="s">
        <v>161</v>
      </c>
      <c r="D85">
        <v>2022</v>
      </c>
      <c r="AA85" s="305">
        <f t="shared" si="12"/>
        <v>1.6645656553661941E-2</v>
      </c>
      <c r="AB85" s="71">
        <f t="shared" si="12"/>
        <v>1.6645656553661941E-2</v>
      </c>
      <c r="AC85" s="71">
        <f t="shared" si="12"/>
        <v>1.6645656553661941E-2</v>
      </c>
      <c r="AD85" s="71">
        <f t="shared" si="12"/>
        <v>1.6645656553661941E-2</v>
      </c>
      <c r="AE85" s="71">
        <f t="shared" si="12"/>
        <v>1.6645656553661941E-2</v>
      </c>
      <c r="AF85" s="71">
        <f t="shared" si="12"/>
        <v>1.6645656553661941E-2</v>
      </c>
      <c r="AG85" s="71">
        <f t="shared" si="12"/>
        <v>1.6645656553661941E-2</v>
      </c>
      <c r="AH85" s="66" t="s">
        <v>1166</v>
      </c>
    </row>
    <row r="86" spans="1:34" x14ac:dyDescent="0.35">
      <c r="A86" t="s">
        <v>1278</v>
      </c>
      <c r="B86" t="s">
        <v>2261</v>
      </c>
      <c r="C86" t="s">
        <v>161</v>
      </c>
      <c r="D86">
        <v>2022</v>
      </c>
      <c r="AA86" s="305">
        <f t="shared" si="12"/>
        <v>1.6645656553661941E-2</v>
      </c>
      <c r="AB86" s="71">
        <f t="shared" si="12"/>
        <v>1.6645656553661941E-2</v>
      </c>
      <c r="AC86" s="71">
        <f t="shared" si="12"/>
        <v>1.6645656553661941E-2</v>
      </c>
      <c r="AD86" s="71">
        <f t="shared" si="12"/>
        <v>1.6645656553661941E-2</v>
      </c>
      <c r="AE86" s="71">
        <f t="shared" si="12"/>
        <v>1.6645656553661941E-2</v>
      </c>
      <c r="AF86" s="71">
        <f t="shared" si="12"/>
        <v>1.6645656553661941E-2</v>
      </c>
      <c r="AG86" s="71">
        <f t="shared" si="12"/>
        <v>1.6645656553661941E-2</v>
      </c>
      <c r="AH86" s="66" t="s">
        <v>1166</v>
      </c>
    </row>
    <row r="87" spans="1:34" x14ac:dyDescent="0.35">
      <c r="A87" t="s">
        <v>1279</v>
      </c>
      <c r="B87" t="s">
        <v>2261</v>
      </c>
      <c r="C87" t="s">
        <v>161</v>
      </c>
      <c r="D87">
        <v>2022</v>
      </c>
      <c r="AA87" s="305">
        <f t="shared" si="12"/>
        <v>1.6645656553661941E-2</v>
      </c>
      <c r="AB87" s="71">
        <f t="shared" si="12"/>
        <v>1.6645656553661941E-2</v>
      </c>
      <c r="AC87" s="71">
        <f t="shared" si="12"/>
        <v>1.6645656553661941E-2</v>
      </c>
      <c r="AD87" s="71">
        <f t="shared" si="12"/>
        <v>1.6645656553661941E-2</v>
      </c>
      <c r="AE87" s="71">
        <f t="shared" si="12"/>
        <v>1.6645656553661941E-2</v>
      </c>
      <c r="AF87" s="71">
        <f t="shared" si="12"/>
        <v>1.6645656553661941E-2</v>
      </c>
      <c r="AG87" s="71">
        <f t="shared" si="12"/>
        <v>1.6645656553661941E-2</v>
      </c>
      <c r="AH87" s="66" t="s">
        <v>1166</v>
      </c>
    </row>
    <row r="88" spans="1:34" x14ac:dyDescent="0.35">
      <c r="A88" t="s">
        <v>1280</v>
      </c>
      <c r="B88" t="s">
        <v>2261</v>
      </c>
      <c r="C88" t="s">
        <v>161</v>
      </c>
      <c r="D88">
        <v>2022</v>
      </c>
      <c r="AA88" s="305">
        <f t="shared" si="12"/>
        <v>1.6645656553661941E-2</v>
      </c>
      <c r="AB88" s="71">
        <f t="shared" si="12"/>
        <v>1.6645656553661941E-2</v>
      </c>
      <c r="AC88" s="71">
        <f t="shared" si="12"/>
        <v>1.6645656553661941E-2</v>
      </c>
      <c r="AD88" s="71">
        <f t="shared" si="12"/>
        <v>1.6645656553661941E-2</v>
      </c>
      <c r="AE88" s="71">
        <f t="shared" si="12"/>
        <v>1.6645656553661941E-2</v>
      </c>
      <c r="AF88" s="71">
        <f t="shared" si="12"/>
        <v>1.6645656553661941E-2</v>
      </c>
      <c r="AG88" s="71">
        <f t="shared" si="12"/>
        <v>1.6645656553661941E-2</v>
      </c>
      <c r="AH88" s="66" t="s">
        <v>1166</v>
      </c>
    </row>
    <row r="89" spans="1:34" x14ac:dyDescent="0.35">
      <c r="A89" t="s">
        <v>1281</v>
      </c>
      <c r="B89" t="s">
        <v>2261</v>
      </c>
      <c r="C89" t="s">
        <v>161</v>
      </c>
      <c r="D89">
        <v>2022</v>
      </c>
      <c r="AA89" s="305">
        <f>$Z$24</f>
        <v>1.7676100739328664E-2</v>
      </c>
      <c r="AB89" s="71">
        <f t="shared" ref="AB89:AG96" si="13">$Z$24</f>
        <v>1.7676100739328664E-2</v>
      </c>
      <c r="AC89" s="71">
        <f t="shared" si="13"/>
        <v>1.7676100739328664E-2</v>
      </c>
      <c r="AD89" s="71">
        <f t="shared" si="13"/>
        <v>1.7676100739328664E-2</v>
      </c>
      <c r="AE89" s="71">
        <f t="shared" si="13"/>
        <v>1.7676100739328664E-2</v>
      </c>
      <c r="AF89" s="71">
        <f t="shared" si="13"/>
        <v>1.7676100739328664E-2</v>
      </c>
      <c r="AG89" s="71">
        <f t="shared" si="13"/>
        <v>1.7676100739328664E-2</v>
      </c>
      <c r="AH89" s="66" t="s">
        <v>1166</v>
      </c>
    </row>
    <row r="90" spans="1:34" x14ac:dyDescent="0.35">
      <c r="A90" t="s">
        <v>1282</v>
      </c>
      <c r="B90" t="s">
        <v>2261</v>
      </c>
      <c r="C90" t="s">
        <v>161</v>
      </c>
      <c r="D90">
        <v>2022</v>
      </c>
      <c r="AA90" s="305">
        <f t="shared" ref="AA90:AA96" si="14">$Z$24</f>
        <v>1.7676100739328664E-2</v>
      </c>
      <c r="AB90" s="71">
        <f t="shared" si="13"/>
        <v>1.7676100739328664E-2</v>
      </c>
      <c r="AC90" s="71">
        <f t="shared" si="13"/>
        <v>1.7676100739328664E-2</v>
      </c>
      <c r="AD90" s="71">
        <f t="shared" si="13"/>
        <v>1.7676100739328664E-2</v>
      </c>
      <c r="AE90" s="71">
        <f t="shared" si="13"/>
        <v>1.7676100739328664E-2</v>
      </c>
      <c r="AF90" s="71">
        <f t="shared" si="13"/>
        <v>1.7676100739328664E-2</v>
      </c>
      <c r="AG90" s="71">
        <f t="shared" si="13"/>
        <v>1.7676100739328664E-2</v>
      </c>
      <c r="AH90" s="66" t="s">
        <v>1166</v>
      </c>
    </row>
    <row r="91" spans="1:34" x14ac:dyDescent="0.35">
      <c r="A91" t="s">
        <v>1283</v>
      </c>
      <c r="B91" t="s">
        <v>2261</v>
      </c>
      <c r="C91" t="s">
        <v>161</v>
      </c>
      <c r="D91">
        <v>2022</v>
      </c>
      <c r="AA91" s="305">
        <f t="shared" si="14"/>
        <v>1.7676100739328664E-2</v>
      </c>
      <c r="AB91" s="71">
        <f t="shared" si="13"/>
        <v>1.7676100739328664E-2</v>
      </c>
      <c r="AC91" s="71">
        <f t="shared" si="13"/>
        <v>1.7676100739328664E-2</v>
      </c>
      <c r="AD91" s="71">
        <f t="shared" si="13"/>
        <v>1.7676100739328664E-2</v>
      </c>
      <c r="AE91" s="71">
        <f t="shared" si="13"/>
        <v>1.7676100739328664E-2</v>
      </c>
      <c r="AF91" s="71">
        <f t="shared" si="13"/>
        <v>1.7676100739328664E-2</v>
      </c>
      <c r="AG91" s="71">
        <f t="shared" si="13"/>
        <v>1.7676100739328664E-2</v>
      </c>
      <c r="AH91" s="66" t="s">
        <v>1166</v>
      </c>
    </row>
    <row r="92" spans="1:34" x14ac:dyDescent="0.35">
      <c r="A92" t="s">
        <v>1284</v>
      </c>
      <c r="B92" t="s">
        <v>2261</v>
      </c>
      <c r="C92" t="s">
        <v>161</v>
      </c>
      <c r="D92">
        <v>2022</v>
      </c>
      <c r="AA92" s="305">
        <f t="shared" si="14"/>
        <v>1.7676100739328664E-2</v>
      </c>
      <c r="AB92" s="71">
        <f t="shared" si="13"/>
        <v>1.7676100739328664E-2</v>
      </c>
      <c r="AC92" s="71">
        <f t="shared" si="13"/>
        <v>1.7676100739328664E-2</v>
      </c>
      <c r="AD92" s="71">
        <f t="shared" si="13"/>
        <v>1.7676100739328664E-2</v>
      </c>
      <c r="AE92" s="71">
        <f t="shared" si="13"/>
        <v>1.7676100739328664E-2</v>
      </c>
      <c r="AF92" s="71">
        <f t="shared" si="13"/>
        <v>1.7676100739328664E-2</v>
      </c>
      <c r="AG92" s="71">
        <f t="shared" si="13"/>
        <v>1.7676100739328664E-2</v>
      </c>
      <c r="AH92" s="66" t="s">
        <v>1166</v>
      </c>
    </row>
    <row r="93" spans="1:34" x14ac:dyDescent="0.35">
      <c r="A93" t="s">
        <v>1285</v>
      </c>
      <c r="B93" t="s">
        <v>2261</v>
      </c>
      <c r="C93" t="s">
        <v>161</v>
      </c>
      <c r="D93">
        <v>2022</v>
      </c>
      <c r="AA93" s="305">
        <f t="shared" si="14"/>
        <v>1.7676100739328664E-2</v>
      </c>
      <c r="AB93" s="71">
        <f t="shared" si="13"/>
        <v>1.7676100739328664E-2</v>
      </c>
      <c r="AC93" s="71">
        <f t="shared" si="13"/>
        <v>1.7676100739328664E-2</v>
      </c>
      <c r="AD93" s="71">
        <f t="shared" si="13"/>
        <v>1.7676100739328664E-2</v>
      </c>
      <c r="AE93" s="71">
        <f t="shared" si="13"/>
        <v>1.7676100739328664E-2</v>
      </c>
      <c r="AF93" s="71">
        <f t="shared" si="13"/>
        <v>1.7676100739328664E-2</v>
      </c>
      <c r="AG93" s="71">
        <f t="shared" si="13"/>
        <v>1.7676100739328664E-2</v>
      </c>
      <c r="AH93" s="66" t="s">
        <v>1166</v>
      </c>
    </row>
    <row r="94" spans="1:34" x14ac:dyDescent="0.35">
      <c r="A94" t="s">
        <v>1286</v>
      </c>
      <c r="B94" t="s">
        <v>2261</v>
      </c>
      <c r="C94" t="s">
        <v>161</v>
      </c>
      <c r="D94">
        <v>2022</v>
      </c>
      <c r="AA94" s="305">
        <f t="shared" si="14"/>
        <v>1.7676100739328664E-2</v>
      </c>
      <c r="AB94" s="71">
        <f t="shared" si="13"/>
        <v>1.7676100739328664E-2</v>
      </c>
      <c r="AC94" s="71">
        <f t="shared" si="13"/>
        <v>1.7676100739328664E-2</v>
      </c>
      <c r="AD94" s="71">
        <f t="shared" si="13"/>
        <v>1.7676100739328664E-2</v>
      </c>
      <c r="AE94" s="71">
        <f t="shared" si="13"/>
        <v>1.7676100739328664E-2</v>
      </c>
      <c r="AF94" s="71">
        <f t="shared" si="13"/>
        <v>1.7676100739328664E-2</v>
      </c>
      <c r="AG94" s="71">
        <f t="shared" si="13"/>
        <v>1.7676100739328664E-2</v>
      </c>
      <c r="AH94" s="66" t="s">
        <v>1166</v>
      </c>
    </row>
    <row r="95" spans="1:34" x14ac:dyDescent="0.35">
      <c r="A95" t="s">
        <v>1287</v>
      </c>
      <c r="B95" t="s">
        <v>2261</v>
      </c>
      <c r="C95" t="s">
        <v>161</v>
      </c>
      <c r="D95">
        <v>2022</v>
      </c>
      <c r="AA95" s="305">
        <f t="shared" si="14"/>
        <v>1.7676100739328664E-2</v>
      </c>
      <c r="AB95" s="71">
        <f t="shared" si="13"/>
        <v>1.7676100739328664E-2</v>
      </c>
      <c r="AC95" s="71">
        <f t="shared" si="13"/>
        <v>1.7676100739328664E-2</v>
      </c>
      <c r="AD95" s="71">
        <f t="shared" si="13"/>
        <v>1.7676100739328664E-2</v>
      </c>
      <c r="AE95" s="71">
        <f t="shared" si="13"/>
        <v>1.7676100739328664E-2</v>
      </c>
      <c r="AF95" s="71">
        <f t="shared" si="13"/>
        <v>1.7676100739328664E-2</v>
      </c>
      <c r="AG95" s="71">
        <f t="shared" si="13"/>
        <v>1.7676100739328664E-2</v>
      </c>
      <c r="AH95" s="66" t="s">
        <v>1166</v>
      </c>
    </row>
    <row r="96" spans="1:34" x14ac:dyDescent="0.35">
      <c r="A96" t="s">
        <v>1288</v>
      </c>
      <c r="B96" t="s">
        <v>2261</v>
      </c>
      <c r="C96" t="s">
        <v>161</v>
      </c>
      <c r="D96">
        <v>2022</v>
      </c>
      <c r="AA96" s="305">
        <f t="shared" si="14"/>
        <v>1.7676100739328664E-2</v>
      </c>
      <c r="AB96" s="71">
        <f t="shared" si="13"/>
        <v>1.7676100739328664E-2</v>
      </c>
      <c r="AC96" s="71">
        <f t="shared" si="13"/>
        <v>1.7676100739328664E-2</v>
      </c>
      <c r="AD96" s="71">
        <f t="shared" si="13"/>
        <v>1.7676100739328664E-2</v>
      </c>
      <c r="AE96" s="71">
        <f t="shared" si="13"/>
        <v>1.7676100739328664E-2</v>
      </c>
      <c r="AF96" s="71">
        <f t="shared" si="13"/>
        <v>1.7676100739328664E-2</v>
      </c>
      <c r="AG96" s="71">
        <f t="shared" si="13"/>
        <v>1.7676100739328664E-2</v>
      </c>
      <c r="AH96" s="66" t="s">
        <v>1166</v>
      </c>
    </row>
    <row r="97" spans="1:34" x14ac:dyDescent="0.35">
      <c r="A97" t="s">
        <v>1289</v>
      </c>
      <c r="B97" t="s">
        <v>2261</v>
      </c>
      <c r="C97" t="s">
        <v>161</v>
      </c>
      <c r="D97">
        <v>2022</v>
      </c>
      <c r="AA97" s="305">
        <f>$Z$28</f>
        <v>2.0167587705168022E-2</v>
      </c>
      <c r="AB97" s="71">
        <f t="shared" ref="AB97:AG97" si="15">$Z$28</f>
        <v>2.0167587705168022E-2</v>
      </c>
      <c r="AC97" s="71">
        <f t="shared" si="15"/>
        <v>2.0167587705168022E-2</v>
      </c>
      <c r="AD97" s="71">
        <f t="shared" si="15"/>
        <v>2.0167587705168022E-2</v>
      </c>
      <c r="AE97" s="71">
        <f t="shared" si="15"/>
        <v>2.0167587705168022E-2</v>
      </c>
      <c r="AF97" s="71">
        <f t="shared" si="15"/>
        <v>2.0167587705168022E-2</v>
      </c>
      <c r="AG97" s="71">
        <f t="shared" si="15"/>
        <v>2.0167587705168022E-2</v>
      </c>
      <c r="AH97" s="66" t="s">
        <v>1166</v>
      </c>
    </row>
    <row r="98" spans="1:34" x14ac:dyDescent="0.35">
      <c r="A98" t="s">
        <v>1290</v>
      </c>
      <c r="B98" t="s">
        <v>2261</v>
      </c>
      <c r="C98" t="s">
        <v>161</v>
      </c>
      <c r="D98">
        <v>2022</v>
      </c>
      <c r="AA98" s="305">
        <f t="shared" ref="AA98:AG101" si="16">$Z$28</f>
        <v>2.0167587705168022E-2</v>
      </c>
      <c r="AB98" s="71">
        <f t="shared" si="16"/>
        <v>2.0167587705168022E-2</v>
      </c>
      <c r="AC98" s="71">
        <f t="shared" si="16"/>
        <v>2.0167587705168022E-2</v>
      </c>
      <c r="AD98" s="71">
        <f t="shared" si="16"/>
        <v>2.0167587705168022E-2</v>
      </c>
      <c r="AE98" s="71">
        <f t="shared" si="16"/>
        <v>2.0167587705168022E-2</v>
      </c>
      <c r="AF98" s="71">
        <f t="shared" si="16"/>
        <v>2.0167587705168022E-2</v>
      </c>
      <c r="AG98" s="71">
        <f t="shared" si="16"/>
        <v>2.0167587705168022E-2</v>
      </c>
      <c r="AH98" s="66" t="s">
        <v>1166</v>
      </c>
    </row>
    <row r="99" spans="1:34" x14ac:dyDescent="0.35">
      <c r="A99" t="s">
        <v>1291</v>
      </c>
      <c r="B99" t="s">
        <v>2261</v>
      </c>
      <c r="C99" t="s">
        <v>161</v>
      </c>
      <c r="D99">
        <v>2022</v>
      </c>
      <c r="AA99" s="305">
        <f t="shared" si="16"/>
        <v>2.0167587705168022E-2</v>
      </c>
      <c r="AB99" s="71">
        <f t="shared" si="16"/>
        <v>2.0167587705168022E-2</v>
      </c>
      <c r="AC99" s="71">
        <f t="shared" si="16"/>
        <v>2.0167587705168022E-2</v>
      </c>
      <c r="AD99" s="71">
        <f t="shared" si="16"/>
        <v>2.0167587705168022E-2</v>
      </c>
      <c r="AE99" s="71">
        <f t="shared" si="16"/>
        <v>2.0167587705168022E-2</v>
      </c>
      <c r="AF99" s="71">
        <f t="shared" si="16"/>
        <v>2.0167587705168022E-2</v>
      </c>
      <c r="AG99" s="71">
        <f t="shared" si="16"/>
        <v>2.0167587705168022E-2</v>
      </c>
      <c r="AH99" s="66" t="s">
        <v>1166</v>
      </c>
    </row>
    <row r="100" spans="1:34" x14ac:dyDescent="0.35">
      <c r="A100" t="s">
        <v>1292</v>
      </c>
      <c r="B100" t="s">
        <v>2261</v>
      </c>
      <c r="C100" t="s">
        <v>161</v>
      </c>
      <c r="D100">
        <v>2022</v>
      </c>
      <c r="AA100" s="305">
        <f t="shared" si="16"/>
        <v>2.0167587705168022E-2</v>
      </c>
      <c r="AB100" s="71">
        <f t="shared" si="16"/>
        <v>2.0167587705168022E-2</v>
      </c>
      <c r="AC100" s="71">
        <f t="shared" si="16"/>
        <v>2.0167587705168022E-2</v>
      </c>
      <c r="AD100" s="71">
        <f t="shared" si="16"/>
        <v>2.0167587705168022E-2</v>
      </c>
      <c r="AE100" s="71">
        <f t="shared" si="16"/>
        <v>2.0167587705168022E-2</v>
      </c>
      <c r="AF100" s="71">
        <f t="shared" si="16"/>
        <v>2.0167587705168022E-2</v>
      </c>
      <c r="AG100" s="71">
        <f t="shared" si="16"/>
        <v>2.0167587705168022E-2</v>
      </c>
      <c r="AH100" s="66" t="s">
        <v>1166</v>
      </c>
    </row>
    <row r="101" spans="1:34" x14ac:dyDescent="0.35">
      <c r="A101" t="s">
        <v>1293</v>
      </c>
      <c r="B101" t="s">
        <v>2261</v>
      </c>
      <c r="C101" t="s">
        <v>161</v>
      </c>
      <c r="D101">
        <v>2022</v>
      </c>
      <c r="AA101" s="305">
        <f t="shared" si="16"/>
        <v>2.0167587705168022E-2</v>
      </c>
      <c r="AB101" s="71">
        <f t="shared" si="16"/>
        <v>2.0167587705168022E-2</v>
      </c>
      <c r="AC101" s="71">
        <f t="shared" si="16"/>
        <v>2.0167587705168022E-2</v>
      </c>
      <c r="AD101" s="71">
        <f t="shared" si="16"/>
        <v>2.0167587705168022E-2</v>
      </c>
      <c r="AE101" s="71">
        <f t="shared" si="16"/>
        <v>2.0167587705168022E-2</v>
      </c>
      <c r="AF101" s="71">
        <f t="shared" si="16"/>
        <v>2.0167587705168022E-2</v>
      </c>
      <c r="AG101" s="71">
        <f t="shared" si="16"/>
        <v>2.0167587705168022E-2</v>
      </c>
      <c r="AH101" s="66" t="s">
        <v>1166</v>
      </c>
    </row>
  </sheetData>
  <mergeCells count="2">
    <mergeCell ref="F1:Z1"/>
    <mergeCell ref="AA1:AG1"/>
  </mergeCells>
  <conditionalFormatting sqref="F3:Z29">
    <cfRule type="cellIs" dxfId="4" priority="2" operator="lessThan">
      <formula>0</formula>
    </cfRule>
  </conditionalFormatting>
  <conditionalFormatting sqref="F3:AG101">
    <cfRule type="cellIs" dxfId="3" priority="1" operator="between">
      <formula>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E91024F0-3273-445B-A3FE-47418746251F}">
          <x14:formula1>
            <xm:f>References!$A:$A</xm:f>
          </x14:formula1>
          <xm:sqref>C103:C132 C3:C101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tabColor theme="9" tint="0.59999389629810485"/>
    <pageSetUpPr autoPageBreaks="0"/>
  </sheetPr>
  <dimension ref="A1:ER144"/>
  <sheetViews>
    <sheetView zoomScaleNormal="100" workbookViewId="0">
      <pane xSplit="1" ySplit="2" topLeftCell="Y83" activePane="bottomRight" state="frozen"/>
      <selection pane="topRight" activeCell="B1" sqref="B1"/>
      <selection pane="bottomLeft" activeCell="A3" sqref="A3"/>
      <selection pane="bottomRight" activeCell="AJ104" sqref="AJ104"/>
    </sheetView>
  </sheetViews>
  <sheetFormatPr defaultRowHeight="14.5" x14ac:dyDescent="0.35"/>
  <cols>
    <col min="1" max="1" width="24" bestFit="1" customWidth="1"/>
    <col min="2" max="2" width="17.26953125" bestFit="1" customWidth="1"/>
    <col min="3" max="3" width="17.453125" bestFit="1" customWidth="1"/>
    <col min="4" max="4" width="6.453125" bestFit="1" customWidth="1"/>
    <col min="5" max="5" width="34.26953125" customWidth="1"/>
    <col min="6" max="6" width="8.81640625" customWidth="1"/>
    <col min="7" max="7" width="8.7265625" style="63" bestFit="1" customWidth="1"/>
    <col min="8" max="28" width="8.81640625" customWidth="1"/>
    <col min="29" max="29" width="8.81640625" style="87" customWidth="1"/>
    <col min="30" max="35" width="8.81640625" customWidth="1"/>
    <col min="36" max="36" width="10.7265625" style="416" customWidth="1"/>
    <col min="37" max="37" width="183.453125" style="66" bestFit="1" customWidth="1"/>
    <col min="38" max="38" width="10" bestFit="1" customWidth="1"/>
    <col min="39" max="39" width="18.81640625" bestFit="1" customWidth="1"/>
    <col min="40" max="40" width="9.453125" bestFit="1" customWidth="1"/>
    <col min="41" max="41" width="12.7265625" bestFit="1" customWidth="1"/>
    <col min="42" max="42" width="13.26953125" bestFit="1" customWidth="1"/>
    <col min="44" max="44" width="2.26953125" style="62" customWidth="1"/>
    <col min="46" max="46" width="30.453125" customWidth="1"/>
    <col min="47" max="47" width="41.453125" customWidth="1"/>
    <col min="48" max="48" width="14.54296875" customWidth="1"/>
    <col min="49" max="49" width="8.7265625" customWidth="1"/>
    <col min="51" max="51" width="8.7265625" customWidth="1"/>
    <col min="52" max="52" width="10.1796875" customWidth="1"/>
    <col min="53" max="53" width="24.453125" customWidth="1"/>
    <col min="54" max="54" width="13.453125" customWidth="1"/>
    <col min="55" max="55" width="11.81640625" customWidth="1"/>
    <col min="56" max="59" width="8.7265625" customWidth="1"/>
    <col min="60" max="60" width="8.54296875" customWidth="1"/>
    <col min="61" max="62" width="9.453125" bestFit="1" customWidth="1"/>
    <col min="63" max="63" width="22" customWidth="1"/>
    <col min="64" max="70" width="8.7265625" customWidth="1"/>
    <col min="72" max="72" width="10.81640625" customWidth="1"/>
    <col min="73" max="73" width="20.7265625" customWidth="1"/>
    <col min="74" max="81" width="8.7265625" customWidth="1"/>
    <col min="82" max="82" width="18.81640625" customWidth="1"/>
    <col min="83" max="91" width="8.7265625" customWidth="1"/>
    <col min="92" max="92" width="29.453125" customWidth="1"/>
    <col min="93" max="98" width="8.54296875" customWidth="1"/>
    <col min="102" max="102" width="29.54296875" customWidth="1"/>
    <col min="111" max="111" width="36" customWidth="1"/>
    <col min="114" max="114" width="32.453125" customWidth="1"/>
    <col min="117" max="117" width="30.7265625" customWidth="1"/>
    <col min="120" max="120" width="8.7265625" customWidth="1"/>
    <col min="121" max="121" width="23.08984375" customWidth="1"/>
    <col min="122" max="129" width="8.7265625" customWidth="1"/>
    <col min="130" max="130" width="20.7265625" customWidth="1"/>
    <col min="138" max="138" width="8.7265625" customWidth="1"/>
    <col min="140" max="140" width="22.453125" bestFit="1" customWidth="1"/>
  </cols>
  <sheetData>
    <row r="1" spans="1:148" ht="15.5" x14ac:dyDescent="0.35">
      <c r="A1" s="1"/>
      <c r="B1" s="1"/>
      <c r="C1" s="1"/>
      <c r="D1" s="1"/>
      <c r="E1" s="1"/>
      <c r="F1" s="1"/>
      <c r="G1" s="128"/>
      <c r="H1" s="472" t="s">
        <v>1167</v>
      </c>
      <c r="I1" s="472"/>
      <c r="J1" s="472"/>
      <c r="K1" s="472"/>
      <c r="L1" s="472"/>
      <c r="M1" s="472"/>
      <c r="N1" s="472"/>
      <c r="O1" s="472"/>
      <c r="P1" s="472"/>
      <c r="Q1" s="472"/>
      <c r="R1" s="472"/>
      <c r="S1" s="472"/>
      <c r="T1" s="472"/>
      <c r="U1" s="472"/>
      <c r="V1" s="472"/>
      <c r="W1" s="472"/>
      <c r="X1" s="472"/>
      <c r="Y1" s="472"/>
      <c r="Z1" s="472"/>
      <c r="AA1" s="472"/>
      <c r="AB1" s="472"/>
      <c r="AC1" s="471" t="s">
        <v>1168</v>
      </c>
      <c r="AD1" s="472"/>
      <c r="AE1" s="472"/>
      <c r="AF1" s="472"/>
      <c r="AG1" s="472"/>
      <c r="AH1" s="472"/>
      <c r="AI1" s="473"/>
      <c r="AJ1" s="491" t="s">
        <v>2215</v>
      </c>
      <c r="AK1" s="64"/>
      <c r="AL1" s="474" t="s">
        <v>146</v>
      </c>
      <c r="AM1" s="474"/>
      <c r="AN1" s="474"/>
      <c r="AO1" s="474"/>
      <c r="AP1" s="474"/>
      <c r="AT1" s="472" t="s">
        <v>2194</v>
      </c>
      <c r="AU1" s="472"/>
      <c r="AV1" s="472"/>
      <c r="AW1" s="472"/>
      <c r="AX1" s="472"/>
      <c r="AY1" s="472"/>
      <c r="BA1" s="470" t="s">
        <v>2172</v>
      </c>
      <c r="BB1" s="470"/>
      <c r="BC1" s="470"/>
      <c r="BD1" s="470"/>
      <c r="BE1" s="470"/>
      <c r="BF1" s="470"/>
      <c r="BG1" s="470"/>
      <c r="BH1" s="470"/>
      <c r="BI1" s="189"/>
      <c r="BK1" s="470" t="s">
        <v>2170</v>
      </c>
      <c r="BL1" s="470"/>
      <c r="BM1" s="470"/>
      <c r="BN1" s="470"/>
      <c r="BO1" s="470"/>
      <c r="BP1" s="470"/>
      <c r="BQ1" s="470"/>
      <c r="BR1" s="470"/>
      <c r="BS1" s="189"/>
      <c r="BW1" s="189"/>
      <c r="BX1" s="189"/>
      <c r="BY1" s="189"/>
      <c r="BZ1" s="189"/>
      <c r="CA1" s="189"/>
      <c r="CB1" s="189"/>
      <c r="CC1" s="189"/>
      <c r="CD1" s="470" t="s">
        <v>2175</v>
      </c>
      <c r="CE1" s="470"/>
      <c r="CF1" s="470"/>
      <c r="CG1" s="470"/>
      <c r="CH1" s="470"/>
      <c r="CI1" s="470"/>
      <c r="CJ1" s="470"/>
      <c r="CK1" s="470"/>
      <c r="CL1" s="189"/>
      <c r="CM1" s="189"/>
      <c r="CN1" s="470" t="s">
        <v>2176</v>
      </c>
      <c r="CO1" s="470"/>
      <c r="CP1" s="470"/>
      <c r="CQ1" s="470"/>
      <c r="CR1" s="470"/>
      <c r="CS1" s="470"/>
      <c r="CT1" s="470"/>
      <c r="CU1" s="470"/>
      <c r="DG1" s="470" t="s">
        <v>1105</v>
      </c>
      <c r="DH1" s="470"/>
      <c r="DI1" s="470"/>
      <c r="DJ1" s="470"/>
      <c r="DK1" s="470"/>
      <c r="DL1" s="470"/>
      <c r="DM1" s="470"/>
      <c r="DN1" s="470"/>
      <c r="DO1" s="189"/>
      <c r="DZ1" s="470" t="s">
        <v>1195</v>
      </c>
      <c r="EA1" s="470"/>
      <c r="EB1" s="470"/>
      <c r="EC1" s="470"/>
      <c r="ED1" s="470"/>
      <c r="EE1" s="470"/>
      <c r="EF1" s="470"/>
      <c r="EG1" s="470"/>
      <c r="EJ1" s="470" t="s">
        <v>1220</v>
      </c>
      <c r="EK1" s="470"/>
      <c r="EL1" s="470"/>
      <c r="EM1" s="470"/>
      <c r="EN1" s="470"/>
      <c r="EO1" s="470"/>
      <c r="EP1" s="470"/>
      <c r="EQ1" s="470"/>
    </row>
    <row r="2" spans="1:148" ht="15" thickBot="1" x14ac:dyDescent="0.4">
      <c r="A2" s="12" t="s">
        <v>94</v>
      </c>
      <c r="B2" s="12" t="s">
        <v>280</v>
      </c>
      <c r="C2" s="12" t="s">
        <v>281</v>
      </c>
      <c r="D2" s="12" t="s">
        <v>95</v>
      </c>
      <c r="E2" s="12" t="s">
        <v>179</v>
      </c>
      <c r="F2" s="12" t="s">
        <v>140</v>
      </c>
      <c r="G2" s="13" t="s">
        <v>96</v>
      </c>
      <c r="H2" s="12">
        <v>2000</v>
      </c>
      <c r="I2" s="12">
        <v>2001</v>
      </c>
      <c r="J2" s="12">
        <v>2002</v>
      </c>
      <c r="K2" s="12">
        <v>2003</v>
      </c>
      <c r="L2" s="12">
        <v>2004</v>
      </c>
      <c r="M2" s="12">
        <v>2005</v>
      </c>
      <c r="N2" s="12">
        <v>2006</v>
      </c>
      <c r="O2" s="12">
        <v>2007</v>
      </c>
      <c r="P2" s="12">
        <v>2008</v>
      </c>
      <c r="Q2" s="12">
        <v>2009</v>
      </c>
      <c r="R2" s="12">
        <v>2010</v>
      </c>
      <c r="S2" s="12">
        <v>2011</v>
      </c>
      <c r="T2" s="12">
        <v>2012</v>
      </c>
      <c r="U2" s="12">
        <v>2013</v>
      </c>
      <c r="V2" s="12">
        <v>2014</v>
      </c>
      <c r="W2" s="12">
        <v>2015</v>
      </c>
      <c r="X2" s="12">
        <v>2016</v>
      </c>
      <c r="Y2" s="12">
        <v>2017</v>
      </c>
      <c r="Z2" s="12">
        <v>2018</v>
      </c>
      <c r="AA2" s="12">
        <v>2019</v>
      </c>
      <c r="AB2" s="12">
        <v>2020</v>
      </c>
      <c r="AC2" s="304">
        <v>2021</v>
      </c>
      <c r="AD2" s="12">
        <v>2025</v>
      </c>
      <c r="AE2" s="12">
        <v>2030</v>
      </c>
      <c r="AF2" s="12">
        <v>2035</v>
      </c>
      <c r="AG2" s="12">
        <v>2040</v>
      </c>
      <c r="AH2" s="12">
        <v>2045</v>
      </c>
      <c r="AI2" s="12">
        <v>2050</v>
      </c>
      <c r="AJ2" s="492"/>
      <c r="AK2" s="65" t="s">
        <v>93</v>
      </c>
      <c r="AL2" s="15" t="s">
        <v>147</v>
      </c>
      <c r="AM2" s="15" t="s">
        <v>151</v>
      </c>
      <c r="AN2" s="12" t="s">
        <v>148</v>
      </c>
      <c r="AO2" s="12" t="s">
        <v>149</v>
      </c>
      <c r="AP2" s="12" t="s">
        <v>150</v>
      </c>
      <c r="AT2" s="105" t="s">
        <v>245</v>
      </c>
      <c r="AU2" s="100" t="s">
        <v>571</v>
      </c>
      <c r="AV2" s="100" t="s">
        <v>572</v>
      </c>
      <c r="AW2" s="105">
        <v>2018</v>
      </c>
      <c r="AX2" s="105">
        <v>2020</v>
      </c>
      <c r="AY2" s="105">
        <v>2023</v>
      </c>
      <c r="BA2" s="105" t="s">
        <v>245</v>
      </c>
      <c r="BB2" s="105">
        <v>2020</v>
      </c>
      <c r="BC2" s="105">
        <v>2025</v>
      </c>
      <c r="BD2" s="105">
        <v>2030</v>
      </c>
      <c r="BE2" s="105">
        <v>2035</v>
      </c>
      <c r="BF2" s="100" t="s">
        <v>1049</v>
      </c>
      <c r="BG2" s="100" t="s">
        <v>1050</v>
      </c>
      <c r="BH2" s="105">
        <v>2050</v>
      </c>
      <c r="BI2" s="33" t="s">
        <v>1055</v>
      </c>
      <c r="BK2" s="105" t="s">
        <v>245</v>
      </c>
      <c r="BL2" s="105">
        <v>2020</v>
      </c>
      <c r="BM2" s="105">
        <v>2025</v>
      </c>
      <c r="BN2" s="105">
        <v>2030</v>
      </c>
      <c r="BO2" s="105">
        <v>2035</v>
      </c>
      <c r="BP2" s="100" t="s">
        <v>1049</v>
      </c>
      <c r="BQ2" s="100" t="s">
        <v>1050</v>
      </c>
      <c r="BR2" s="105">
        <v>2050</v>
      </c>
      <c r="BS2" s="33" t="s">
        <v>1055</v>
      </c>
      <c r="CD2" s="105" t="s">
        <v>245</v>
      </c>
      <c r="CE2" s="105">
        <v>2021</v>
      </c>
      <c r="CF2" s="105">
        <v>2025</v>
      </c>
      <c r="CG2" s="105">
        <v>2030</v>
      </c>
      <c r="CH2" s="105">
        <v>2035</v>
      </c>
      <c r="CI2" s="100" t="s">
        <v>1049</v>
      </c>
      <c r="CJ2" s="100" t="s">
        <v>1050</v>
      </c>
      <c r="CK2" s="105">
        <v>2050</v>
      </c>
      <c r="CL2" s="33" t="s">
        <v>1055</v>
      </c>
      <c r="CN2" s="105" t="s">
        <v>245</v>
      </c>
      <c r="CO2" s="105">
        <v>2021</v>
      </c>
      <c r="CP2" s="105">
        <v>2025</v>
      </c>
      <c r="CQ2" s="105">
        <v>2030</v>
      </c>
      <c r="CR2" s="105">
        <v>2035</v>
      </c>
      <c r="CS2" s="100" t="s">
        <v>1049</v>
      </c>
      <c r="CT2" s="100" t="s">
        <v>1050</v>
      </c>
      <c r="CU2" s="105">
        <v>2050</v>
      </c>
      <c r="CV2" s="33" t="s">
        <v>1055</v>
      </c>
      <c r="DG2" s="121" t="s">
        <v>638</v>
      </c>
      <c r="DH2" s="121">
        <v>2020</v>
      </c>
      <c r="DI2" s="121">
        <v>2025</v>
      </c>
      <c r="DJ2" s="121">
        <v>2030</v>
      </c>
      <c r="DK2" s="121">
        <v>2035</v>
      </c>
      <c r="DL2" s="121">
        <v>2040</v>
      </c>
      <c r="DM2" s="121">
        <v>2045</v>
      </c>
      <c r="DN2" s="121">
        <v>2050</v>
      </c>
      <c r="DO2" s="33" t="s">
        <v>1055</v>
      </c>
      <c r="DZ2" s="105" t="s">
        <v>245</v>
      </c>
      <c r="EA2" s="105">
        <v>2022</v>
      </c>
      <c r="EB2" s="105">
        <v>2025</v>
      </c>
      <c r="EC2" s="105">
        <v>2030</v>
      </c>
      <c r="ED2" s="105">
        <v>2035</v>
      </c>
      <c r="EE2" s="105">
        <v>2040</v>
      </c>
      <c r="EF2" s="105">
        <v>2045</v>
      </c>
      <c r="EG2" s="105">
        <v>2050</v>
      </c>
      <c r="EH2" s="33" t="s">
        <v>1200</v>
      </c>
      <c r="EJ2" s="105" t="s">
        <v>245</v>
      </c>
      <c r="EK2" s="105">
        <v>2018</v>
      </c>
      <c r="EL2" s="105">
        <v>2025</v>
      </c>
      <c r="EM2" s="100" t="s">
        <v>1227</v>
      </c>
      <c r="EN2" s="100" t="s">
        <v>1228</v>
      </c>
      <c r="EO2" s="100" t="s">
        <v>1049</v>
      </c>
      <c r="EP2" s="100" t="s">
        <v>1050</v>
      </c>
      <c r="EQ2" s="105">
        <v>2050</v>
      </c>
      <c r="ER2" s="33" t="s">
        <v>1223</v>
      </c>
    </row>
    <row r="3" spans="1:148" ht="15" thickTop="1" x14ac:dyDescent="0.35">
      <c r="A3" t="s">
        <v>1083</v>
      </c>
      <c r="B3" t="s">
        <v>1094</v>
      </c>
      <c r="C3" t="s">
        <v>451</v>
      </c>
      <c r="D3" t="s">
        <v>2261</v>
      </c>
      <c r="E3" t="s">
        <v>161</v>
      </c>
      <c r="F3">
        <v>2022</v>
      </c>
      <c r="G3" s="201" t="s">
        <v>282</v>
      </c>
      <c r="H3" s="71"/>
      <c r="I3" s="71"/>
      <c r="J3" s="71"/>
      <c r="K3" s="71"/>
      <c r="L3" s="71"/>
      <c r="M3" s="71"/>
      <c r="N3" s="71"/>
      <c r="O3" s="71"/>
      <c r="P3" s="71">
        <f>BC$86*$AU$33</f>
        <v>0.42547801765834026</v>
      </c>
      <c r="Q3" s="71">
        <f>BD$86*$AU$33</f>
        <v>0.42553177799872249</v>
      </c>
      <c r="R3" s="71">
        <f t="shared" ref="R3:U3" si="0">BE$86*$AV$33</f>
        <v>0.47021726921720824</v>
      </c>
      <c r="S3" s="71">
        <f t="shared" si="0"/>
        <v>0.47027663548857729</v>
      </c>
      <c r="T3" s="71">
        <f t="shared" si="0"/>
        <v>0.47033600350379823</v>
      </c>
      <c r="U3" s="71">
        <f t="shared" si="0"/>
        <v>0.47039537832446449</v>
      </c>
      <c r="V3" s="71">
        <f>BI$86*$AV$33</f>
        <v>0.47045476781872592</v>
      </c>
      <c r="W3" s="71">
        <f t="shared" ref="W3:Y3" si="1">BJ$86*$AW$33</f>
        <v>0.50513416885026274</v>
      </c>
      <c r="X3" s="71">
        <f t="shared" si="1"/>
        <v>0.50519790705870404</v>
      </c>
      <c r="Y3" s="71">
        <f t="shared" si="1"/>
        <v>0.50526166430966901</v>
      </c>
      <c r="Z3" s="71">
        <f>BM$86*$AW$33</f>
        <v>0.50532541463146319</v>
      </c>
      <c r="AA3" s="71">
        <f>BN$86*$AX$33</f>
        <v>0.50532178352282742</v>
      </c>
      <c r="AB3" s="71">
        <f>BO$86*$AX$33</f>
        <v>0.50538551596034631</v>
      </c>
      <c r="AC3" s="305"/>
      <c r="AE3" s="71"/>
      <c r="AF3" s="71"/>
      <c r="AG3" s="71"/>
      <c r="AH3" s="71"/>
      <c r="AI3" s="71"/>
      <c r="AJ3" s="415"/>
      <c r="AK3" s="66" t="s">
        <v>2238</v>
      </c>
      <c r="AL3">
        <v>2</v>
      </c>
      <c r="AM3">
        <v>1</v>
      </c>
      <c r="AN3">
        <v>1</v>
      </c>
      <c r="AO3">
        <v>1</v>
      </c>
      <c r="AP3">
        <v>1</v>
      </c>
      <c r="AT3" s="33" t="s">
        <v>32</v>
      </c>
      <c r="AU3" s="88"/>
      <c r="AV3" s="88"/>
      <c r="AW3" s="88"/>
      <c r="AX3" s="88"/>
      <c r="AY3" s="88"/>
      <c r="BA3" s="33" t="s">
        <v>2155</v>
      </c>
      <c r="BK3" s="33" t="s">
        <v>32</v>
      </c>
      <c r="CD3" s="33" t="s">
        <v>1586</v>
      </c>
      <c r="CN3" s="33" t="s">
        <v>1255</v>
      </c>
      <c r="DG3" s="33" t="s">
        <v>259</v>
      </c>
      <c r="DZ3" s="33" t="s">
        <v>1196</v>
      </c>
      <c r="EJ3" s="4" t="s">
        <v>1222</v>
      </c>
    </row>
    <row r="4" spans="1:148" x14ac:dyDescent="0.35">
      <c r="A4" t="s">
        <v>28</v>
      </c>
      <c r="B4" t="s">
        <v>10</v>
      </c>
      <c r="C4" t="s">
        <v>451</v>
      </c>
      <c r="D4" t="s">
        <v>2261</v>
      </c>
      <c r="E4" t="s">
        <v>161</v>
      </c>
      <c r="F4">
        <v>2022</v>
      </c>
      <c r="G4" s="63" t="s">
        <v>282</v>
      </c>
      <c r="H4" s="71"/>
      <c r="I4" s="71"/>
      <c r="J4" s="71"/>
      <c r="K4" s="71"/>
      <c r="L4" s="71"/>
      <c r="M4" s="71"/>
      <c r="N4" s="71"/>
      <c r="O4" s="71"/>
      <c r="P4" s="71">
        <f>BC$86*$AU$34</f>
        <v>0.61190034332224807</v>
      </c>
      <c r="Q4" s="71">
        <f>BD$86*$AU$34</f>
        <v>0.61197765864612319</v>
      </c>
      <c r="R4" s="71">
        <f>BE$86*$AV$34</f>
        <v>0.6080282603476399</v>
      </c>
      <c r="S4" s="71">
        <f>BF$86*$AV$34</f>
        <v>0.60810502564969682</v>
      </c>
      <c r="T4" s="71">
        <f>BG$86*$AV$34</f>
        <v>0.60818179320669274</v>
      </c>
      <c r="U4" s="71">
        <f>BH$86*$AV$34</f>
        <v>0.60825856956366964</v>
      </c>
      <c r="V4" s="71">
        <f>BI$86*$AV$34</f>
        <v>0.60833536489477025</v>
      </c>
      <c r="W4" s="71">
        <f t="shared" ref="W4:AB4" si="2">BJ$86*$AW$34</f>
        <v>0.70427151512276676</v>
      </c>
      <c r="X4" s="71">
        <f t="shared" si="2"/>
        <v>0.70436038063097883</v>
      </c>
      <c r="Y4" s="71">
        <f t="shared" si="2"/>
        <v>0.70444927268878477</v>
      </c>
      <c r="Z4" s="71">
        <f t="shared" si="2"/>
        <v>0.70453815508575601</v>
      </c>
      <c r="AA4" s="71">
        <f t="shared" si="2"/>
        <v>0.70462698160901061</v>
      </c>
      <c r="AB4" s="71">
        <f t="shared" si="2"/>
        <v>0.70471585091277678</v>
      </c>
      <c r="AC4" s="305"/>
      <c r="AE4" s="71"/>
      <c r="AF4" s="71"/>
      <c r="AG4" s="71"/>
      <c r="AH4" s="71"/>
      <c r="AI4" s="71"/>
      <c r="AJ4" s="415"/>
      <c r="AK4" s="66" t="s">
        <v>2238</v>
      </c>
      <c r="AL4">
        <v>2</v>
      </c>
      <c r="AM4">
        <v>1</v>
      </c>
      <c r="AN4">
        <v>1</v>
      </c>
      <c r="AO4">
        <v>1</v>
      </c>
      <c r="AP4">
        <v>1</v>
      </c>
      <c r="AT4" s="17" t="s">
        <v>110</v>
      </c>
      <c r="AU4" s="88" cm="1">
        <f t="array" ref="AU4">SUMPRODUCT(_xlfn._xlws.FILTER('NRCan Fuel Guide'!$C$4:$C$18, 'NRCan Fuel Guide'!$B$4:$B$18=$AT4),_xlfn._xlws.FILTER('NRCan Fuel Guide'!$E$4:$E$18, 'NRCan Fuel Guide'!$B$4:$B$18=$AT4))/SUM(_xlfn._xlws.FILTER('NRCan Fuel Guide'!$E$4:$E$18, 'NRCan Fuel Guide'!$B$4:$B$18=$AT4))</f>
        <v>11.087666900953566</v>
      </c>
      <c r="AV4" s="88" cm="1">
        <f t="array" ref="AV4">SUMPRODUCT(_xlfn._xlws.FILTER('NRCan Fuel Guide'!$I$4:$I$20, 'NRCan Fuel Guide'!$H$4:$H$20=$AT4),_xlfn._xlws.FILTER('NRCan Fuel Guide'!$K$4:$K$20, 'NRCan Fuel Guide'!$H$4:$H$20=$AT4))/SUM(_xlfn._xlws.FILTER('NRCan Fuel Guide'!$K$4:$K$20, 'NRCan Fuel Guide'!$H$4:$H$20=$AT4))</f>
        <v>10.035255250769071</v>
      </c>
      <c r="AW4" s="88" cm="1">
        <f t="array" ref="AW4">SUMPRODUCT(_xlfn._xlws.FILTER('NRCan Fuel Guide'!$O$4:$O$17, 'NRCan Fuel Guide'!$N$4:$N$17=$AT4),_xlfn._xlws.FILTER('NRCan Fuel Guide'!$Q$4:$Q$17, 'NRCan Fuel Guide'!$N$4:$N$17=$AT4))/SUM(_xlfn._xlws.FILTER('NRCan Fuel Guide'!$Q$4:$Q$17, 'NRCan Fuel Guide'!$N$4:$N$17=$AT4))</f>
        <v>9.3474752797889078</v>
      </c>
      <c r="AX4" s="88" cm="1">
        <f t="array" ref="AX4">SUMPRODUCT(_xlfn._xlws.FILTER('NRCan Fuel Guide'!$U$4:$U$13, 'NRCan Fuel Guide'!$T$4:$T$13=$AT4), _xlfn._xlws.FILTER('NRCan Fuel Guide'!$W$4:$W$13, 'NRCan Fuel Guide'!$T$4:$T$13=$AT4))/SUM(_xlfn._xlws.FILTER('NRCan Fuel Guide'!$W$4:$W$13, 'NRCan Fuel Guide'!$T$4:$T$13=$AT4))</f>
        <v>9.3487209645686846</v>
      </c>
      <c r="AY4" s="88" cm="1">
        <f t="array" ref="AY4">SUMPRODUCT(_xlfn._xlws.FILTER('NRCan Fuel Guide'!$AA$4:$AA$12, 'NRCan Fuel Guide'!$Z$4:$Z$12=$AT4), _xlfn._xlws.FILTER('NRCan Fuel Guide'!$AC$4:$AC$12, 'NRCan Fuel Guide'!$Z$4:$Z$12=$AT4))/SUM(_xlfn._xlws.FILTER('NRCan Fuel Guide'!$AC$4:$AC$12, 'NRCan Fuel Guide'!$Z$4:$Z$12=$AT4))</f>
        <v>9.4259902422042092</v>
      </c>
      <c r="BA4" s="17" t="s">
        <v>985</v>
      </c>
      <c r="BB4" s="73" cm="1">
        <f t="array" ref="BB4">1/AVERAGE(_xlfn._xlws.FILTER('ANL-DOE-LDV Data'!$AX:$AX, ('ANL-DOE-LDV Data'!$A:$A=$BA4)*('ANL-DOE-LDV Data'!$B:$B=BB$2-5)*('ANL-DOE-LDV Data'!$D:$D="Compact_B")))</f>
        <v>0.3790015207042044</v>
      </c>
      <c r="BC4" s="73" cm="1">
        <f t="array" ref="BC4">1/AVERAGE(_xlfn._xlws.FILTER('ANL-DOE-LDV Data'!$AX:$AX, ('ANL-DOE-LDV Data'!$A:$A=$BA4)*('ANL-DOE-LDV Data'!$B:$B=BC$2-5)*('ANL-DOE-LDV Data'!$D:$D="Compact_B")))</f>
        <v>0.37212541858856923</v>
      </c>
      <c r="BD4" s="73" cm="1">
        <f t="array" ref="BD4">1/AVERAGE(_xlfn._xlws.FILTER('ANL-DOE-LDV Data'!$AX:$AX, ('ANL-DOE-LDV Data'!$A:$A=$BA4)*('ANL-DOE-LDV Data'!$B:$B=BD$2-5)*('ANL-DOE-LDV Data'!$D:$D="Compact_B")))</f>
        <v>0.43285740940054906</v>
      </c>
      <c r="BE4" s="73" cm="1">
        <f t="array" ref="BE4">1/AVERAGE(_xlfn._xlws.FILTER('ANL-DOE-LDV Data'!$AX:$AX, ('ANL-DOE-LDV Data'!$A:$A=$BA4)*('ANL-DOE-LDV Data'!$B:$B=BE$2-5)*('ANL-DOE-LDV Data'!$D:$D="Compact_B")))</f>
        <v>0.47470735025097582</v>
      </c>
      <c r="BF4" s="73">
        <f t="shared" ref="BF4:BG15" si="3">($BH4-$BE4)/3 + BE4</f>
        <v>0.4984378945903512</v>
      </c>
      <c r="BG4" s="73">
        <f t="shared" si="3"/>
        <v>0.52216843892972664</v>
      </c>
      <c r="BH4" s="73" cm="1">
        <f t="array" ref="BH4">1/AVERAGE(_xlfn._xlws.FILTER('ANL-DOE-LDV Data'!$AX:$AX, ('ANL-DOE-LDV Data'!$A:$A=$BA4)*('ANL-DOE-LDV Data'!$B:$B=BH$2-5)*('ANL-DOE-LDV Data'!$D:$D="Compact_B")))</f>
        <v>0.54589898326910202</v>
      </c>
      <c r="BI4" s="102">
        <f t="shared" ref="BI4:BI15" si="4">(BH4-BB4)/BB4</f>
        <v>0.44036093115086589</v>
      </c>
      <c r="BK4" s="17" t="s">
        <v>985</v>
      </c>
      <c r="BL4" s="88">
        <f t="shared" ref="BL4:BR15" si="5">1/(BL33*GSL_PJ_ML*10)</f>
        <v>8.272932768160036</v>
      </c>
      <c r="BM4" s="88">
        <f t="shared" si="5"/>
        <v>8.4003221226375064</v>
      </c>
      <c r="BN4" s="88">
        <f t="shared" si="5"/>
        <v>7.2245211964767044</v>
      </c>
      <c r="BO4" s="88">
        <f t="shared" si="5"/>
        <v>6.6114264748565166</v>
      </c>
      <c r="BP4" s="88">
        <f t="shared" si="5"/>
        <v>6.2862505889034859</v>
      </c>
      <c r="BQ4" s="88">
        <f t="shared" si="5"/>
        <v>5.991562065871169</v>
      </c>
      <c r="BR4" s="88">
        <f t="shared" si="5"/>
        <v>5.7232653158456763</v>
      </c>
      <c r="BS4" s="102">
        <f t="shared" ref="BS4:BS15" si="6">(BR4-BL4)/BL4</f>
        <v>-0.30819390460022139</v>
      </c>
      <c r="CD4" s="17" t="s">
        <v>1017</v>
      </c>
      <c r="CE4" s="439" cm="1">
        <f t="array" ref="CE4">1/AVERAGE(_xlfn._xlws.FILTER('ANL-DOE-MHDV Data'!$AX:$AX,('ANL-DOE-MHDV Data'!$A:$A=$CD4)*('ANL-DOE-MHDV Data'!$B:$B=CE$2)*('ANL-DOE-MHDV Data'!$E:$E="Medium 3")*('ANL-DOE-MHDV Data'!$D:$D&lt;&gt;"Pickup")*('ANL-DOE-MHDV Data'!$D:$D&lt;&gt;"School")))</f>
        <v>0.12979375192378401</v>
      </c>
      <c r="CF4" s="439" cm="1">
        <f t="array" ref="CF4">1/AVERAGE(_xlfn._xlws.FILTER('ANL-DOE-MHDV Data'!$AX:$AX,('ANL-DOE-MHDV Data'!$A:$A=$CD4)*('ANL-DOE-MHDV Data'!$B:$B=CF$2)*('ANL-DOE-MHDV Data'!$E:$E="Medium 3")*('ANL-DOE-MHDV Data'!$D:$D&lt;&gt;"Pickup")*('ANL-DOE-MHDV Data'!$D:$D&lt;&gt;"School")))</f>
        <v>0.13956511518908324</v>
      </c>
      <c r="CG4" s="439" cm="1">
        <f t="array" ref="CG4">1/AVERAGE(_xlfn._xlws.FILTER('ANL-DOE-MHDV Data'!$AX:$AX,('ANL-DOE-MHDV Data'!$A:$A=$CD4)*('ANL-DOE-MHDV Data'!$B:$B=CG$2)*('ANL-DOE-MHDV Data'!$E:$E="Medium 3")*('ANL-DOE-MHDV Data'!$D:$D&lt;&gt;"Pickup")*('ANL-DOE-MHDV Data'!$D:$D&lt;&gt;"School")))</f>
        <v>0.14725747466392808</v>
      </c>
      <c r="CH4" s="439" cm="1">
        <f t="array" ref="CH4">1/AVERAGE(_xlfn._xlws.FILTER('ANL-DOE-MHDV Data'!$AX:$AX,('ANL-DOE-MHDV Data'!$A:$A=$CD4)*('ANL-DOE-MHDV Data'!$B:$B=CH$2)*('ANL-DOE-MHDV Data'!$E:$E="Medium 3")*('ANL-DOE-MHDV Data'!$D:$D&lt;&gt;"Pickup")*('ANL-DOE-MHDV Data'!$D:$D&lt;&gt;"School")))</f>
        <v>0.15386459411375564</v>
      </c>
      <c r="CI4" s="439">
        <f>($CK4-$CH4)/3 + CH4</f>
        <v>0.15959048510548587</v>
      </c>
      <c r="CJ4" s="439">
        <f>($CK4-$CH4)/3 + CI4</f>
        <v>0.16531637609721611</v>
      </c>
      <c r="CK4" s="439" cm="1">
        <f t="array" ref="CK4">1/AVERAGE(_xlfn._xlws.FILTER('ANL-DOE-MHDV Data'!$AX:$AX,('ANL-DOE-MHDV Data'!$A:$A=$CD4)*('ANL-DOE-MHDV Data'!$B:$B=CK$2)*('ANL-DOE-MHDV Data'!$E:$E="Medium 3")*('ANL-DOE-MHDV Data'!$D:$D&lt;&gt;"Pickup")*('ANL-DOE-MHDV Data'!$D:$D&lt;&gt;"School")))</f>
        <v>0.17104226708894632</v>
      </c>
      <c r="CL4" s="102">
        <f>(CK4-CE4)/CE4</f>
        <v>0.31780046846464377</v>
      </c>
      <c r="CN4" s="17" t="s">
        <v>1017</v>
      </c>
      <c r="CO4" s="88">
        <f t="shared" ref="CO4:CU9" si="7">1/(CO35*DSL_PJ_ML*10)</f>
        <v>22.877005021743742</v>
      </c>
      <c r="CP4" s="88">
        <f t="shared" si="7"/>
        <v>21.340048100643656</v>
      </c>
      <c r="CQ4" s="88">
        <f t="shared" si="7"/>
        <v>20.118402804011971</v>
      </c>
      <c r="CR4" s="88">
        <f t="shared" si="7"/>
        <v>19.224573269106791</v>
      </c>
      <c r="CS4" s="88">
        <f t="shared" si="7"/>
        <v>18.516242391594773</v>
      </c>
      <c r="CT4" s="88">
        <f t="shared" si="7"/>
        <v>17.858253664764501</v>
      </c>
      <c r="CU4" s="88">
        <f t="shared" si="7"/>
        <v>17.245424419110993</v>
      </c>
      <c r="CV4" s="102">
        <f>(CU4-CO4)/CO4</f>
        <v>-0.24616773905850617</v>
      </c>
      <c r="DG4" s="17" t="s">
        <v>110</v>
      </c>
      <c r="DH4" s="73">
        <f>1/('GREET-AFLEET Summary'!P4*DSL_PJ_ML*10)</f>
        <v>6.379164127875761E-2</v>
      </c>
      <c r="DI4" s="73">
        <f>1/('GREET-AFLEET Summary'!Q4*DSL_PJ_ML*10)</f>
        <v>6.8068955859450109E-2</v>
      </c>
      <c r="DJ4" s="73">
        <f>1/('GREET-AFLEET Summary'!R4*DSL_PJ_ML*10)</f>
        <v>7.2384661896542316E-2</v>
      </c>
      <c r="DK4" s="73">
        <f>1/('GREET-AFLEET Summary'!S4*DSL_PJ_ML*10)</f>
        <v>7.6013076474452254E-2</v>
      </c>
      <c r="DL4" s="73">
        <f>1/('GREET-AFLEET Summary'!T4*DSL_PJ_ML*10)</f>
        <v>7.8087590765874529E-2</v>
      </c>
      <c r="DM4" s="73">
        <f>1/('GREET-AFLEET Summary'!U4*DSL_PJ_ML*10)</f>
        <v>8.016210505729679E-2</v>
      </c>
      <c r="DN4" s="73">
        <f>1/('GREET-AFLEET Summary'!V4*DSL_PJ_ML*10)</f>
        <v>8.2236619348719064E-2</v>
      </c>
      <c r="DO4" s="102">
        <f>(DN4-DH4)/DH4</f>
        <v>0.28914412139609841</v>
      </c>
      <c r="DP4" s="95"/>
      <c r="DQ4" s="95"/>
      <c r="DR4" s="95"/>
      <c r="DS4" s="95"/>
      <c r="DT4" s="95"/>
      <c r="DU4" s="95"/>
      <c r="DV4" s="95"/>
      <c r="DW4" s="95"/>
      <c r="DX4" s="95"/>
      <c r="DY4" s="95"/>
      <c r="DZ4" s="306" t="s">
        <v>109</v>
      </c>
      <c r="EA4" s="88">
        <v>15.689984712682159</v>
      </c>
      <c r="EB4" s="88">
        <v>14.85770018983586</v>
      </c>
      <c r="EC4" s="88">
        <v>13.429133033414075</v>
      </c>
      <c r="ED4" s="88">
        <v>12.570691256541439</v>
      </c>
      <c r="EE4" s="88">
        <v>12.099970155398907</v>
      </c>
      <c r="EF4" s="88">
        <v>11.90236735324852</v>
      </c>
      <c r="EG4" s="88">
        <v>11.867687385722986</v>
      </c>
      <c r="EH4" s="102">
        <f>(EG4-EA4)/EA4</f>
        <v>-0.24361383372602166</v>
      </c>
      <c r="EJ4" s="224" t="s">
        <v>109</v>
      </c>
      <c r="EK4" s="88">
        <f>L_100km_to_mpg/'Background Data'!BC44</f>
        <v>23.288625667468132</v>
      </c>
      <c r="EL4" s="88">
        <f>L_100km_to_mpg/'Background Data'!BD44</f>
        <v>16.001028519825045</v>
      </c>
      <c r="EM4" s="88">
        <f>($EQ4-$EL4)/(6-1) + EL4</f>
        <v>15.473721898148993</v>
      </c>
      <c r="EN4" s="88">
        <f t="shared" ref="EN4:EP4" si="8">($EQ4-$EL4)/(6-1) + EM4</f>
        <v>14.946415276472941</v>
      </c>
      <c r="EO4" s="88">
        <f t="shared" si="8"/>
        <v>14.419108654796888</v>
      </c>
      <c r="EP4" s="88">
        <f t="shared" si="8"/>
        <v>13.891802033120836</v>
      </c>
      <c r="EQ4" s="88">
        <f>L_100km_to_mpg/'Background Data'!BE44</f>
        <v>13.36449541144478</v>
      </c>
      <c r="ER4" s="102">
        <f>(EQ4-EK4)/EK4</f>
        <v>-0.42613636363636365</v>
      </c>
    </row>
    <row r="5" spans="1:148" x14ac:dyDescent="0.35">
      <c r="A5" t="s">
        <v>2197</v>
      </c>
      <c r="B5" t="s">
        <v>2010</v>
      </c>
      <c r="C5" t="s">
        <v>451</v>
      </c>
      <c r="D5" t="s">
        <v>2261</v>
      </c>
      <c r="E5" t="s">
        <v>1098</v>
      </c>
      <c r="F5">
        <v>2022</v>
      </c>
      <c r="G5" s="63" t="s">
        <v>282</v>
      </c>
      <c r="H5" s="71"/>
      <c r="I5" s="71"/>
      <c r="J5" s="71"/>
      <c r="K5" s="71"/>
      <c r="L5" s="71"/>
      <c r="M5" s="71"/>
      <c r="N5" s="71"/>
      <c r="O5" s="71"/>
      <c r="P5" s="71">
        <f t="shared" ref="P5:Q5" si="9">BC$86*$AV$39</f>
        <v>2.3225859886501183</v>
      </c>
      <c r="Q5" s="71">
        <f t="shared" si="9"/>
        <v>2.3228794539012827</v>
      </c>
      <c r="R5" s="71">
        <f>BE$86*$AV$39</f>
        <v>2.323172738442131</v>
      </c>
      <c r="S5" s="71">
        <f>BF$86*$AV$39</f>
        <v>2.3234660456263976</v>
      </c>
      <c r="T5" s="71">
        <f>BG$86*$AV$39</f>
        <v>2.3237593614264029</v>
      </c>
      <c r="U5" s="71">
        <f>BH$86*$AV$39</f>
        <v>2.3240527108496414</v>
      </c>
      <c r="V5" s="71">
        <f>BI$86*$AV$39</f>
        <v>2.3243461327697843</v>
      </c>
      <c r="W5" s="71">
        <f>BJ$86*$AW$39</f>
        <v>2.324639302897753</v>
      </c>
      <c r="X5" s="71">
        <f>BK$86*$AW$39</f>
        <v>2.3249326276292326</v>
      </c>
      <c r="Y5" s="71">
        <f>BL$86*$AW$39</f>
        <v>2.3252260399948526</v>
      </c>
      <c r="Z5" s="71">
        <f>BM$86*$AW$39</f>
        <v>2.3255194204722658</v>
      </c>
      <c r="AA5" s="71">
        <f>BN$86*$AX$39</f>
        <v>2.3258126165233102</v>
      </c>
      <c r="AB5" s="71">
        <f>BO$86*$AX$39</f>
        <v>2.3261059537830464</v>
      </c>
      <c r="AC5" s="305"/>
      <c r="AE5" s="71"/>
      <c r="AF5" s="71"/>
      <c r="AG5" s="71"/>
      <c r="AH5" s="71"/>
      <c r="AI5" s="71"/>
      <c r="AJ5" s="415"/>
      <c r="AK5" s="66" t="s">
        <v>2239</v>
      </c>
      <c r="AL5">
        <v>2</v>
      </c>
      <c r="AM5">
        <v>1</v>
      </c>
      <c r="AN5">
        <v>1</v>
      </c>
      <c r="AO5">
        <v>2</v>
      </c>
      <c r="AP5">
        <v>1</v>
      </c>
      <c r="AT5" s="17" t="s">
        <v>109</v>
      </c>
      <c r="AU5" s="88" cm="1">
        <f t="array" ref="AU5">SUMPRODUCT(_xlfn._xlws.FILTER('NRCan Fuel Guide'!$C$4:$C$18, 'NRCan Fuel Guide'!$B$4:$B$18=$AT5),_xlfn._xlws.FILTER('NRCan Fuel Guide'!$E$4:$E$18, 'NRCan Fuel Guide'!$B$4:$B$18=$AT5))/SUM(_xlfn._xlws.FILTER('NRCan Fuel Guide'!$E$4:$E$18, 'NRCan Fuel Guide'!$B$4:$B$18=$AT5))</f>
        <v>7.7096844036076719</v>
      </c>
      <c r="AV5" s="88" cm="1">
        <f t="array" ref="AV5">SUMPRODUCT(_xlfn._xlws.FILTER('NRCan Fuel Guide'!$I$4:$I$20, 'NRCan Fuel Guide'!$H$4:$H$20=$AT5),_xlfn._xlws.FILTER('NRCan Fuel Guide'!$K$4:$K$20, 'NRCan Fuel Guide'!$H$4:$H$20=$AT5))/SUM(_xlfn._xlws.FILTER('NRCan Fuel Guide'!$K$4:$K$20, 'NRCan Fuel Guide'!$H$4:$H$20=$AT5))</f>
        <v>7.7607417741016507</v>
      </c>
      <c r="AW5" s="88" cm="1">
        <f t="array" ref="AW5">SUMPRODUCT(_xlfn._xlws.FILTER('NRCan Fuel Guide'!$O$4:$O$17, 'NRCan Fuel Guide'!$N$4:$N$17=$AT5),_xlfn._xlws.FILTER('NRCan Fuel Guide'!$Q$4:$Q$17, 'NRCan Fuel Guide'!$N$4:$N$17=$AT5))/SUM(_xlfn._xlws.FILTER('NRCan Fuel Guide'!$Q$4:$Q$17, 'NRCan Fuel Guide'!$N$4:$N$17=$AT5))</f>
        <v>6.7044159176045444</v>
      </c>
      <c r="AX5" s="88"/>
      <c r="AY5" s="88"/>
      <c r="BA5" s="17" t="s">
        <v>982</v>
      </c>
      <c r="BB5" s="73" cm="1">
        <f t="array" ref="BB5">1/AVERAGE(_xlfn._xlws.FILTER('ANL-DOE-LDV Data'!$AX:$AX, ('ANL-DOE-LDV Data'!$A:$A=$BA5)*('ANL-DOE-LDV Data'!$B:$B=BB$2-5)*('ANL-DOE-LDV Data'!$D:$D="Compact_B")))</f>
        <v>0.46635367194610972</v>
      </c>
      <c r="BC5" s="73" cm="1">
        <f t="array" ref="BC5">1/AVERAGE(_xlfn._xlws.FILTER('ANL-DOE-LDV Data'!$AX:$AX, ('ANL-DOE-LDV Data'!$A:$A=$BA5)*('ANL-DOE-LDV Data'!$B:$B=BC$2-5)*('ANL-DOE-LDV Data'!$D:$D="Compact_B")))</f>
        <v>0.45117711986516545</v>
      </c>
      <c r="BD5" s="73" cm="1">
        <f t="array" ref="BD5">1/AVERAGE(_xlfn._xlws.FILTER('ANL-DOE-LDV Data'!$AX:$AX, ('ANL-DOE-LDV Data'!$A:$A=$BA5)*('ANL-DOE-LDV Data'!$B:$B=BD$2-5)*('ANL-DOE-LDV Data'!$D:$D="Compact_B")))</f>
        <v>0.51882593728526705</v>
      </c>
      <c r="BE5" s="73" cm="1">
        <f t="array" ref="BE5">1/AVERAGE(_xlfn._xlws.FILTER('ANL-DOE-LDV Data'!$AX:$AX, ('ANL-DOE-LDV Data'!$A:$A=$BA5)*('ANL-DOE-LDV Data'!$B:$B=BE$2-5)*('ANL-DOE-LDV Data'!$D:$D="Compact_B")))</f>
        <v>0.54636683097290639</v>
      </c>
      <c r="BF5" s="73">
        <f t="shared" si="3"/>
        <v>0.57609863345367551</v>
      </c>
      <c r="BG5" s="73">
        <f t="shared" si="3"/>
        <v>0.60583043593444463</v>
      </c>
      <c r="BH5" s="73" cm="1">
        <f t="array" ref="BH5">1/AVERAGE(_xlfn._xlws.FILTER('ANL-DOE-LDV Data'!$AX:$AX, ('ANL-DOE-LDV Data'!$A:$A=$BA5)*('ANL-DOE-LDV Data'!$B:$B=BH$2-5)*('ANL-DOE-LDV Data'!$D:$D="Compact_B")))</f>
        <v>0.63556223841521375</v>
      </c>
      <c r="BI5" s="102">
        <f t="shared" si="4"/>
        <v>0.36283313855553223</v>
      </c>
      <c r="BK5" s="17" t="s">
        <v>982</v>
      </c>
      <c r="BL5" s="88">
        <f t="shared" si="5"/>
        <v>6.6844191233666299</v>
      </c>
      <c r="BM5" s="88">
        <f t="shared" si="5"/>
        <v>6.9018868868910772</v>
      </c>
      <c r="BN5" s="88">
        <f t="shared" si="5"/>
        <v>5.9939431395382901</v>
      </c>
      <c r="BO5" s="88">
        <f t="shared" si="5"/>
        <v>5.7163013918268666</v>
      </c>
      <c r="BP5" s="88">
        <f t="shared" si="5"/>
        <v>5.4190843414188583</v>
      </c>
      <c r="BQ5" s="88">
        <f t="shared" si="5"/>
        <v>5.1512470878475263</v>
      </c>
      <c r="BR5" s="88">
        <f t="shared" si="5"/>
        <v>4.9086385254766629</v>
      </c>
      <c r="BS5" s="102">
        <f t="shared" si="6"/>
        <v>-0.26565967290746262</v>
      </c>
      <c r="CD5" s="17" t="s">
        <v>1020</v>
      </c>
      <c r="CE5" s="439" cm="1">
        <f t="array" ref="CE5">1/AVERAGE(_xlfn._xlws.FILTER('ANL-DOE-MHDV Data'!$AX:$AX,('ANL-DOE-MHDV Data'!$A:$A=$CD5)*('ANL-DOE-MHDV Data'!$B:$B=CE$2)*('ANL-DOE-MHDV Data'!$E:$E="Medium 3")*('ANL-DOE-MHDV Data'!$D:$D&lt;&gt;"Pickup")*('ANL-DOE-MHDV Data'!$D:$D&lt;&gt;"School")))</f>
        <v>0.18318450242652989</v>
      </c>
      <c r="CF5" s="439" cm="1">
        <f t="array" ref="CF5">1/AVERAGE(_xlfn._xlws.FILTER('ANL-DOE-MHDV Data'!$AX:$AX,('ANL-DOE-MHDV Data'!$A:$A=$CD5)*('ANL-DOE-MHDV Data'!$B:$B=CF$2)*('ANL-DOE-MHDV Data'!$E:$E="Medium 3")*('ANL-DOE-MHDV Data'!$D:$D&lt;&gt;"Pickup")*('ANL-DOE-MHDV Data'!$D:$D&lt;&gt;"School")))</f>
        <v>0.19903484943440752</v>
      </c>
      <c r="CG5" s="439" cm="1">
        <f t="array" ref="CG5">1/AVERAGE(_xlfn._xlws.FILTER('ANL-DOE-MHDV Data'!$AX:$AX,('ANL-DOE-MHDV Data'!$A:$A=$CD5)*('ANL-DOE-MHDV Data'!$B:$B=CG$2)*('ANL-DOE-MHDV Data'!$E:$E="Medium 3")*('ANL-DOE-MHDV Data'!$D:$D&lt;&gt;"Pickup")*('ANL-DOE-MHDV Data'!$D:$D&lt;&gt;"School")))</f>
        <v>0.21517362978686755</v>
      </c>
      <c r="CH5" s="439" cm="1">
        <f t="array" ref="CH5">1/AVERAGE(_xlfn._xlws.FILTER('ANL-DOE-MHDV Data'!$AX:$AX,('ANL-DOE-MHDV Data'!$A:$A=$CD5)*('ANL-DOE-MHDV Data'!$B:$B=CH$2)*('ANL-DOE-MHDV Data'!$E:$E="Medium 3")*('ANL-DOE-MHDV Data'!$D:$D&lt;&gt;"Pickup")*('ANL-DOE-MHDV Data'!$D:$D&lt;&gt;"School")))</f>
        <v>0.23030782472363534</v>
      </c>
      <c r="CI5" s="439">
        <f t="shared" ref="CI5:CJ5" si="10">($CK5-$CH5)/3 + CH5</f>
        <v>0.24101036475789192</v>
      </c>
      <c r="CJ5" s="439">
        <f t="shared" si="10"/>
        <v>0.25171290479214853</v>
      </c>
      <c r="CK5" s="439" cm="1">
        <f t="array" ref="CK5">1/AVERAGE(_xlfn._xlws.FILTER('ANL-DOE-MHDV Data'!$AX:$AX,('ANL-DOE-MHDV Data'!$A:$A=$CD5)*('ANL-DOE-MHDV Data'!$B:$B=CK$2)*('ANL-DOE-MHDV Data'!$E:$E="Medium 3")*('ANL-DOE-MHDV Data'!$D:$D&lt;&gt;"Pickup")*('ANL-DOE-MHDV Data'!$D:$D&lt;&gt;"School")))</f>
        <v>0.26241544482640511</v>
      </c>
      <c r="CL5" s="102">
        <f t="shared" ref="CL5:CL51" si="11">(CK5-CE5)/CE5</f>
        <v>0.43251989851954042</v>
      </c>
      <c r="CN5" s="17" t="s">
        <v>1020</v>
      </c>
      <c r="CO5" s="88">
        <f t="shared" si="7"/>
        <v>16.793536568392984</v>
      </c>
      <c r="CP5" s="88">
        <f t="shared" si="7"/>
        <v>15.460806200017009</v>
      </c>
      <c r="CQ5" s="88">
        <f t="shared" si="7"/>
        <v>14.292757875088972</v>
      </c>
      <c r="CR5" s="88">
        <f t="shared" si="7"/>
        <v>13.456115616762622</v>
      </c>
      <c r="CS5" s="88">
        <f t="shared" si="7"/>
        <v>12.808806855760254</v>
      </c>
      <c r="CT5" s="88">
        <f t="shared" si="7"/>
        <v>12.220917512460584</v>
      </c>
      <c r="CU5" s="88">
        <f t="shared" si="7"/>
        <v>11.684625051680289</v>
      </c>
      <c r="CV5" s="102">
        <f t="shared" ref="CV5:CV30" si="12">(CU5-CO5)/CO5</f>
        <v>-0.30421891755237235</v>
      </c>
      <c r="DG5" s="17" t="s">
        <v>109</v>
      </c>
      <c r="DH5" s="73">
        <f>1/('GREET-AFLEET Summary'!P5*DSL_PJ_ML*10)</f>
        <v>7.6549969534509127E-2</v>
      </c>
      <c r="DI5" s="73">
        <f>1/('GREET-AFLEET Summary'!Q5*DSL_PJ_ML*10)</f>
        <v>8.1682747031340125E-2</v>
      </c>
      <c r="DJ5" s="73">
        <f>1/('GREET-AFLEET Summary'!R5*DSL_PJ_ML*10)</f>
        <v>8.6861594275850759E-2</v>
      </c>
      <c r="DK5" s="73">
        <f>1/('GREET-AFLEET Summary'!S5*DSL_PJ_ML*10)</f>
        <v>9.1215691769342716E-2</v>
      </c>
      <c r="DL5" s="73">
        <f>1/('GREET-AFLEET Summary'!T5*DSL_PJ_ML*10)</f>
        <v>9.3705108919049429E-2</v>
      </c>
      <c r="DM5" s="73">
        <f>1/('GREET-AFLEET Summary'!U5*DSL_PJ_ML*10)</f>
        <v>9.6194526068756156E-2</v>
      </c>
      <c r="DN5" s="73">
        <f>1/('GREET-AFLEET Summary'!V5*DSL_PJ_ML*10)</f>
        <v>9.8683943218462869E-2</v>
      </c>
      <c r="DO5" s="102">
        <f t="shared" ref="DO5:DO30" si="13">(DN5-DH5)/DH5</f>
        <v>0.28914412139609841</v>
      </c>
      <c r="DZ5" s="17" t="s">
        <v>110</v>
      </c>
      <c r="EA5" s="88">
        <v>19.069501013442572</v>
      </c>
      <c r="EB5" s="88">
        <v>17.546274726747669</v>
      </c>
      <c r="EC5" s="88">
        <v>15.74800842422375</v>
      </c>
      <c r="ED5" s="88">
        <v>14.777690266002161</v>
      </c>
      <c r="EE5" s="88">
        <v>14.179695424278123</v>
      </c>
      <c r="EF5" s="88">
        <v>13.795453670462745</v>
      </c>
      <c r="EG5" s="88">
        <v>13.609239123986161</v>
      </c>
      <c r="EH5" s="102">
        <f t="shared" ref="EH5:EH25" si="14">(EG5-EA5)/EA5</f>
        <v>-0.28633480685243601</v>
      </c>
      <c r="EJ5" s="224" t="s">
        <v>246</v>
      </c>
      <c r="EK5" s="88">
        <f>L_100km_to_mpg/'Background Data'!BC45</f>
        <v>8.2822225085009915</v>
      </c>
      <c r="EL5" s="88">
        <f>L_100km_to_mpg/'Background Data'!BD45</f>
        <v>5.6952813375648468</v>
      </c>
      <c r="EM5" s="88">
        <f t="shared" ref="EM5:EP5" si="15">($EQ5-$EL5)/(6-1) + EL5</f>
        <v>5.4557092736519852</v>
      </c>
      <c r="EN5" s="88">
        <f t="shared" si="15"/>
        <v>5.2161372097391236</v>
      </c>
      <c r="EO5" s="88">
        <f t="shared" si="15"/>
        <v>4.9765651458262621</v>
      </c>
      <c r="EP5" s="88">
        <f t="shared" si="15"/>
        <v>4.7369930819134005</v>
      </c>
      <c r="EQ5" s="88">
        <f>L_100km_to_mpg/'Background Data'!BE45</f>
        <v>4.4974210180005381</v>
      </c>
      <c r="ER5" s="102">
        <f t="shared" ref="ER5:ER30" si="16">(EQ5-EK5)/EK5</f>
        <v>-0.45697896749521993</v>
      </c>
    </row>
    <row r="6" spans="1:148" x14ac:dyDescent="0.35">
      <c r="A6" t="s">
        <v>1084</v>
      </c>
      <c r="B6" t="s">
        <v>1094</v>
      </c>
      <c r="C6" t="s">
        <v>451</v>
      </c>
      <c r="D6" t="s">
        <v>2261</v>
      </c>
      <c r="E6" t="s">
        <v>1098</v>
      </c>
      <c r="F6">
        <v>2022</v>
      </c>
      <c r="G6" s="63" t="s">
        <v>282</v>
      </c>
      <c r="H6" s="71"/>
      <c r="I6" s="71"/>
      <c r="J6" s="71"/>
      <c r="K6" s="71"/>
      <c r="L6" s="71"/>
      <c r="M6" s="71"/>
      <c r="N6" s="71"/>
      <c r="O6" s="71"/>
      <c r="P6" s="71">
        <f>BC$86*$AU$36</f>
        <v>0.74069714725620639</v>
      </c>
      <c r="Q6" s="71">
        <f>BD$86*$AU$36</f>
        <v>0.74079073641734761</v>
      </c>
      <c r="R6" s="71">
        <f>BE$86*$AV$36</f>
        <v>0.70130978155260537</v>
      </c>
      <c r="S6" s="71">
        <f>BF$86*$AV$36</f>
        <v>0.70139832391276735</v>
      </c>
      <c r="T6" s="71">
        <f>BG$86*$AV$36</f>
        <v>0.70148686887381295</v>
      </c>
      <c r="U6" s="71">
        <f>BH$86*$AV$36</f>
        <v>0.70157542398490125</v>
      </c>
      <c r="V6" s="71">
        <f>BI$86*$AV$36</f>
        <v>0.7016640009810553</v>
      </c>
      <c r="W6" s="71">
        <f>BJ$86*$AW$36</f>
        <v>0.6404605746212505</v>
      </c>
      <c r="X6" s="71">
        <f>BK$86*$AW$36</f>
        <v>0.64054138841711106</v>
      </c>
      <c r="Y6" s="71">
        <f>BL$86*$AW$36</f>
        <v>0.64062222635702371</v>
      </c>
      <c r="Z6" s="71">
        <f>BM$86*$AW$36</f>
        <v>0.64070305551142726</v>
      </c>
      <c r="AA6" s="71">
        <f>BN$86*$AX$36</f>
        <v>0.93017144312837552</v>
      </c>
      <c r="AB6" s="71">
        <f>BO$86*$AX$36</f>
        <v>0.93028875865941751</v>
      </c>
      <c r="AC6" s="305"/>
      <c r="AE6" s="71"/>
      <c r="AF6" s="71"/>
      <c r="AG6" s="71"/>
      <c r="AH6" s="71"/>
      <c r="AI6" s="71"/>
      <c r="AJ6" s="415"/>
      <c r="AK6" s="66" t="s">
        <v>2238</v>
      </c>
      <c r="AL6">
        <v>2</v>
      </c>
      <c r="AM6">
        <v>1</v>
      </c>
      <c r="AN6">
        <v>1</v>
      </c>
      <c r="AO6">
        <v>2</v>
      </c>
      <c r="AP6">
        <v>1</v>
      </c>
      <c r="AT6" s="17" t="s">
        <v>239</v>
      </c>
      <c r="AU6" s="88" cm="1">
        <f t="array" ref="AU6">SUMPRODUCT(_xlfn._xlws.FILTER('NRCan Fuel Guide'!$C$4:$C$18, 'NRCan Fuel Guide'!$B$4:$B$18=$AT6),_xlfn._xlws.FILTER('NRCan Fuel Guide'!$E$4:$E$18, 'NRCan Fuel Guide'!$B$4:$B$18=$AT6))/SUM(_xlfn._xlws.FILTER('NRCan Fuel Guide'!$E$4:$E$18, 'NRCan Fuel Guide'!$B$4:$B$18=$AT6))</f>
        <v>15.011880926363215</v>
      </c>
      <c r="AV6" s="88" cm="1">
        <f t="array" ref="AV6">SUMPRODUCT(_xlfn._xlws.FILTER('NRCan Fuel Guide'!$I$4:$I$20, 'NRCan Fuel Guide'!$H$4:$H$20=$AT6),_xlfn._xlws.FILTER('NRCan Fuel Guide'!$K$4:$K$20, 'NRCan Fuel Guide'!$H$4:$H$20=$AT6))/SUM(_xlfn._xlws.FILTER('NRCan Fuel Guide'!$K$4:$K$20, 'NRCan Fuel Guide'!$H$4:$H$20=$AT6))</f>
        <v>13.495790383564072</v>
      </c>
      <c r="AW6" s="88" cm="1">
        <f t="array" ref="AW6">SUMPRODUCT(_xlfn._xlws.FILTER('NRCan Fuel Guide'!$O$4:$O$17, 'NRCan Fuel Guide'!$N$4:$N$17=$AT6),_xlfn._xlws.FILTER('NRCan Fuel Guide'!$Q$4:$Q$17, 'NRCan Fuel Guide'!$N$4:$N$17=$AT6))/SUM(_xlfn._xlws.FILTER('NRCan Fuel Guide'!$Q$4:$Q$17, 'NRCan Fuel Guide'!$N$4:$N$17=$AT6))</f>
        <v>15.011266269631621</v>
      </c>
      <c r="AX6" s="88" cm="1">
        <f t="array" ref="AX6">SUMPRODUCT(_xlfn._xlws.FILTER('NRCan Fuel Guide'!$U$4:$U$13, 'NRCan Fuel Guide'!$T$4:$T$13=$AT6), _xlfn._xlws.FILTER('NRCan Fuel Guide'!$W$4:$W$13, 'NRCan Fuel Guide'!$T$4:$T$13=$AT6))/SUM(_xlfn._xlws.FILTER('NRCan Fuel Guide'!$W$4:$W$13, 'NRCan Fuel Guide'!$T$4:$T$13=$AT6))</f>
        <v>14.7</v>
      </c>
      <c r="AY6" s="88"/>
      <c r="BA6" s="17" t="s">
        <v>984</v>
      </c>
      <c r="BB6" s="73" cm="1">
        <f t="array" ref="BB6">1/AVERAGE(_xlfn._xlws.FILTER('ANL-DOE-LDV Data'!$AX:$AX, ('ANL-DOE-LDV Data'!$A:$A=$BA6)*('ANL-DOE-LDV Data'!$B:$B=BB$2-5)*('ANL-DOE-LDV Data'!$D:$D="Compact_B")))</f>
        <v>0.37674575563182655</v>
      </c>
      <c r="BC6" s="73" cm="1">
        <f t="array" ref="BC6">1/AVERAGE(_xlfn._xlws.FILTER('ANL-DOE-LDV Data'!$AX:$AX, ('ANL-DOE-LDV Data'!$A:$A=$BA6)*('ANL-DOE-LDV Data'!$B:$B=BC$2-5)*('ANL-DOE-LDV Data'!$D:$D="Compact_B")))</f>
        <v>0.40097212738599447</v>
      </c>
      <c r="BD6" s="73" cm="1">
        <f t="array" ref="BD6">1/AVERAGE(_xlfn._xlws.FILTER('ANL-DOE-LDV Data'!$AX:$AX, ('ANL-DOE-LDV Data'!$A:$A=$BA6)*('ANL-DOE-LDV Data'!$B:$B=BD$2-5)*('ANL-DOE-LDV Data'!$D:$D="Compact_B")))</f>
        <v>0.45368767479817423</v>
      </c>
      <c r="BE6" s="73" cm="1">
        <f t="array" ref="BE6">1/AVERAGE(_xlfn._xlws.FILTER('ANL-DOE-LDV Data'!$AX:$AX, ('ANL-DOE-LDV Data'!$A:$A=$BA6)*('ANL-DOE-LDV Data'!$B:$B=BE$2-5)*('ANL-DOE-LDV Data'!$D:$D="Compact_B")))</f>
        <v>0.48671188025270123</v>
      </c>
      <c r="BF6" s="73">
        <f t="shared" si="3"/>
        <v>0.51290602617463399</v>
      </c>
      <c r="BG6" s="73">
        <f t="shared" si="3"/>
        <v>0.5391001720965668</v>
      </c>
      <c r="BH6" s="73" cm="1">
        <f t="array" ref="BH6">1/AVERAGE(_xlfn._xlws.FILTER('ANL-DOE-LDV Data'!$AX:$AX, ('ANL-DOE-LDV Data'!$A:$A=$BA6)*('ANL-DOE-LDV Data'!$B:$B=BH$2-5)*('ANL-DOE-LDV Data'!$D:$D="Compact_B")))</f>
        <v>0.56529431801849961</v>
      </c>
      <c r="BI6" s="102">
        <f t="shared" si="4"/>
        <v>0.50046632130059476</v>
      </c>
      <c r="BK6" s="17" t="s">
        <v>984</v>
      </c>
      <c r="BL6" s="88">
        <f t="shared" si="5"/>
        <v>8.2422026322128321</v>
      </c>
      <c r="BM6" s="88">
        <f t="shared" si="5"/>
        <v>7.7375218519145408</v>
      </c>
      <c r="BN6" s="88">
        <f t="shared" si="5"/>
        <v>6.8412268426921745</v>
      </c>
      <c r="BO6" s="88">
        <f t="shared" si="5"/>
        <v>6.3816981257676524</v>
      </c>
      <c r="BP6" s="88">
        <f t="shared" si="5"/>
        <v>6.0557104284917038</v>
      </c>
      <c r="BQ6" s="88">
        <f t="shared" si="5"/>
        <v>5.7614081683631539</v>
      </c>
      <c r="BR6" s="88">
        <f t="shared" si="5"/>
        <v>5.4943857971305725</v>
      </c>
      <c r="BS6" s="102">
        <f t="shared" si="6"/>
        <v>-0.3333838001437896</v>
      </c>
      <c r="CD6" s="17" t="s">
        <v>1021</v>
      </c>
      <c r="CE6" s="439" cm="1">
        <f t="array" ref="CE6">1/AVERAGE(_xlfn._xlws.FILTER('ANL-DOE-MHDV Data'!$AX:$AX,('ANL-DOE-MHDV Data'!$A:$A=$CD6)*('ANL-DOE-MHDV Data'!$B:$B=CE$2)*('ANL-DOE-MHDV Data'!$E:$E="Medium 3")*('ANL-DOE-MHDV Data'!$D:$D&lt;&gt;"Pickup")*('ANL-DOE-MHDV Data'!$D:$D&lt;&gt;"School")))</f>
        <v>0.47339289416595914</v>
      </c>
      <c r="CF6" s="439" cm="1">
        <f t="array" ref="CF6">1/AVERAGE(_xlfn._xlws.FILTER('ANL-DOE-MHDV Data'!$AX:$AX,('ANL-DOE-MHDV Data'!$A:$A=$CD6)*('ANL-DOE-MHDV Data'!$B:$B=CF$2)*('ANL-DOE-MHDV Data'!$E:$E="Medium 3")*('ANL-DOE-MHDV Data'!$D:$D&lt;&gt;"Pickup")*('ANL-DOE-MHDV Data'!$D:$D&lt;&gt;"School")))</f>
        <v>0.51960289389156944</v>
      </c>
      <c r="CG6" s="439" cm="1">
        <f t="array" ref="CG6">1/AVERAGE(_xlfn._xlws.FILTER('ANL-DOE-MHDV Data'!$AX:$AX,('ANL-DOE-MHDV Data'!$A:$A=$CD6)*('ANL-DOE-MHDV Data'!$B:$B=CG$2)*('ANL-DOE-MHDV Data'!$E:$E="Medium 3")*('ANL-DOE-MHDV Data'!$D:$D&lt;&gt;"Pickup")*('ANL-DOE-MHDV Data'!$D:$D&lt;&gt;"School")))</f>
        <v>0.56158143263937754</v>
      </c>
      <c r="CH6" s="439" cm="1">
        <f t="array" ref="CH6">1/AVERAGE(_xlfn._xlws.FILTER('ANL-DOE-MHDV Data'!$AX:$AX,('ANL-DOE-MHDV Data'!$A:$A=$CD6)*('ANL-DOE-MHDV Data'!$B:$B=CH$2)*('ANL-DOE-MHDV Data'!$E:$E="Medium 3")*('ANL-DOE-MHDV Data'!$D:$D&lt;&gt;"Pickup")*('ANL-DOE-MHDV Data'!$D:$D&lt;&gt;"School")))</f>
        <v>0.60537053671475194</v>
      </c>
      <c r="CI6" s="439">
        <f t="shared" ref="CI6:CJ6" si="17">($CK6-$CH6)/3 + CH6</f>
        <v>0.63507514890011396</v>
      </c>
      <c r="CJ6" s="439">
        <f t="shared" si="17"/>
        <v>0.66477976108547598</v>
      </c>
      <c r="CK6" s="439" cm="1">
        <f t="array" ref="CK6">1/AVERAGE(_xlfn._xlws.FILTER('ANL-DOE-MHDV Data'!$AX:$AX,('ANL-DOE-MHDV Data'!$A:$A=$CD6)*('ANL-DOE-MHDV Data'!$B:$B=CK$2)*('ANL-DOE-MHDV Data'!$E:$E="Medium 3")*('ANL-DOE-MHDV Data'!$D:$D&lt;&gt;"Pickup")*('ANL-DOE-MHDV Data'!$D:$D&lt;&gt;"School")))</f>
        <v>0.6944843732708379</v>
      </c>
      <c r="CL6" s="102">
        <f t="shared" si="11"/>
        <v>0.46703590575520948</v>
      </c>
      <c r="CN6" s="17" t="s">
        <v>1021</v>
      </c>
      <c r="CO6" s="88">
        <f t="shared" si="7"/>
        <v>6.3166662703136529</v>
      </c>
      <c r="CP6" s="88">
        <f t="shared" si="7"/>
        <v>5.7527473347922422</v>
      </c>
      <c r="CQ6" s="88">
        <f t="shared" si="7"/>
        <v>5.3335184500677126</v>
      </c>
      <c r="CR6" s="88">
        <f t="shared" si="7"/>
        <v>4.9683115263869171</v>
      </c>
      <c r="CS6" s="88">
        <f t="shared" si="7"/>
        <v>4.7390498696485999</v>
      </c>
      <c r="CT6" s="88">
        <f t="shared" si="7"/>
        <v>4.5300133854662157</v>
      </c>
      <c r="CU6" s="88">
        <f t="shared" si="7"/>
        <v>4.3386387804810278</v>
      </c>
      <c r="CV6" s="102">
        <f t="shared" si="12"/>
        <v>-0.31314421328996483</v>
      </c>
      <c r="DG6" s="17" t="s">
        <v>239</v>
      </c>
      <c r="DH6" s="73">
        <f>1/('GREET-AFLEET Summary'!P6*DSL_PJ_ML*10)</f>
        <v>6.379164127875761E-2</v>
      </c>
      <c r="DI6" s="73">
        <f>1/('GREET-AFLEET Summary'!Q6*DSL_PJ_ML*10)</f>
        <v>6.8068955859450109E-2</v>
      </c>
      <c r="DJ6" s="73">
        <f>1/('GREET-AFLEET Summary'!R6*DSL_PJ_ML*10)</f>
        <v>7.2384661896542316E-2</v>
      </c>
      <c r="DK6" s="73">
        <f>1/('GREET-AFLEET Summary'!S6*DSL_PJ_ML*10)</f>
        <v>7.6013076474452254E-2</v>
      </c>
      <c r="DL6" s="73">
        <f>1/('GREET-AFLEET Summary'!T6*DSL_PJ_ML*10)</f>
        <v>7.8087590765874529E-2</v>
      </c>
      <c r="DM6" s="73">
        <f>1/('GREET-AFLEET Summary'!U6*DSL_PJ_ML*10)</f>
        <v>8.016210505729679E-2</v>
      </c>
      <c r="DN6" s="73">
        <f>1/('GREET-AFLEET Summary'!V6*DSL_PJ_ML*10)</f>
        <v>8.2236619348719064E-2</v>
      </c>
      <c r="DO6" s="102">
        <f t="shared" si="13"/>
        <v>0.28914412139609841</v>
      </c>
      <c r="DZ6" s="17" t="s">
        <v>240</v>
      </c>
      <c r="EA6" s="88">
        <v>20.380078514294048</v>
      </c>
      <c r="EB6" s="88">
        <v>20.372578644751275</v>
      </c>
      <c r="EC6" s="88">
        <v>20.358505169796835</v>
      </c>
      <c r="ED6" s="88">
        <v>20.242570295715957</v>
      </c>
      <c r="EE6" s="88">
        <v>19.907963144768889</v>
      </c>
      <c r="EF6" s="88">
        <v>20.400175717759129</v>
      </c>
      <c r="EG6" s="88">
        <v>20.076715447677891</v>
      </c>
      <c r="EH6" s="102">
        <f t="shared" si="14"/>
        <v>-1.4885274676610605E-2</v>
      </c>
      <c r="EJ6" s="224" t="s">
        <v>627</v>
      </c>
      <c r="EK6" s="88">
        <f>L_100km_to_mpg/'Background Data'!BC46</f>
        <v>10.691596329155825</v>
      </c>
      <c r="EL6" s="88">
        <f>L_100km_to_mpg/'Background Data'!BD46</f>
        <v>7.4435164316907638</v>
      </c>
      <c r="EM6" s="88">
        <f t="shared" ref="EM6:EP6" si="18">($EQ6-$EL6)/(6-1) + EL6</f>
        <v>7.1641453779563546</v>
      </c>
      <c r="EN6" s="88">
        <f t="shared" si="18"/>
        <v>6.8847743242219455</v>
      </c>
      <c r="EO6" s="88">
        <f t="shared" si="18"/>
        <v>6.6054032704875363</v>
      </c>
      <c r="EP6" s="88">
        <f t="shared" si="18"/>
        <v>6.3260322167531271</v>
      </c>
      <c r="EQ6" s="88">
        <f>L_100km_to_mpg/'Background Data'!BE46</f>
        <v>6.0466611630187188</v>
      </c>
      <c r="ER6" s="102">
        <f t="shared" si="16"/>
        <v>-0.43444730077120819</v>
      </c>
    </row>
    <row r="7" spans="1:148" x14ac:dyDescent="0.35">
      <c r="A7" t="s">
        <v>1095</v>
      </c>
      <c r="B7" t="s">
        <v>2071</v>
      </c>
      <c r="C7" t="s">
        <v>451</v>
      </c>
      <c r="D7" t="s">
        <v>2261</v>
      </c>
      <c r="E7" t="s">
        <v>1098</v>
      </c>
      <c r="F7">
        <v>2022</v>
      </c>
      <c r="G7" s="63" t="s">
        <v>282</v>
      </c>
      <c r="H7" s="71"/>
      <c r="I7" s="71"/>
      <c r="J7" s="71"/>
      <c r="K7" s="71"/>
      <c r="L7" s="71"/>
      <c r="M7" s="71"/>
      <c r="N7" s="71"/>
      <c r="O7" s="71"/>
      <c r="P7" s="71">
        <f t="shared" ref="P7:V7" si="19">BC$86*$AV$37</f>
        <v>1.4310803384350317</v>
      </c>
      <c r="Q7" s="71">
        <f t="shared" si="19"/>
        <v>1.4312611594479059</v>
      </c>
      <c r="R7" s="71">
        <f t="shared" si="19"/>
        <v>1.4314418691146422</v>
      </c>
      <c r="S7" s="71">
        <f t="shared" si="19"/>
        <v>1.4316225927333053</v>
      </c>
      <c r="T7" s="71">
        <f t="shared" si="19"/>
        <v>1.4318033216606265</v>
      </c>
      <c r="U7" s="71">
        <f t="shared" si="19"/>
        <v>1.4319840713051777</v>
      </c>
      <c r="V7" s="71">
        <f t="shared" si="19"/>
        <v>1.4321648656192889</v>
      </c>
      <c r="W7" s="71">
        <f>BJ$86*$AW$37</f>
        <v>1.4323455047895943</v>
      </c>
      <c r="X7" s="71">
        <f>BK$86*$AW$37</f>
        <v>1.4325262392201161</v>
      </c>
      <c r="Y7" s="71">
        <f>BL$86*$AW$37</f>
        <v>1.4327070276471301</v>
      </c>
      <c r="Z7" s="71">
        <f>BM$86*$AW$37</f>
        <v>1.4328877964259648</v>
      </c>
      <c r="AA7" s="71">
        <f>BN$86*$AX$37</f>
        <v>1.4330684515689851</v>
      </c>
      <c r="AB7" s="71">
        <f>BO$86*$AX$37</f>
        <v>1.4332491937188947</v>
      </c>
      <c r="AC7" s="305"/>
      <c r="AE7" s="71"/>
      <c r="AF7" s="71"/>
      <c r="AG7" s="71"/>
      <c r="AH7" s="71"/>
      <c r="AI7" s="71"/>
      <c r="AJ7" s="415"/>
      <c r="AK7" s="66" t="s">
        <v>2240</v>
      </c>
      <c r="AL7">
        <v>2</v>
      </c>
      <c r="AM7">
        <v>1</v>
      </c>
      <c r="AN7">
        <v>1</v>
      </c>
      <c r="AO7">
        <v>2</v>
      </c>
      <c r="AP7">
        <v>1</v>
      </c>
      <c r="AT7" s="17" t="s">
        <v>556</v>
      </c>
      <c r="AU7" s="88" cm="1">
        <f t="array" ref="AU7">SUMPRODUCT(_xlfn._xlws.FILTER('NRCan Fuel Guide'!$C$4:$C$18, 'NRCan Fuel Guide'!$B$4:$B$18=$AT7),_xlfn._xlws.FILTER('NRCan Fuel Guide'!$E$4:$E$18, 'NRCan Fuel Guide'!$B$4:$B$18=$AT7))/SUM(_xlfn._xlws.FILTER('NRCan Fuel Guide'!$E$4:$E$18, 'NRCan Fuel Guide'!$B$4:$B$18=$AT7))</f>
        <v>6.3690788481488738</v>
      </c>
      <c r="AV7" s="88" cm="1">
        <f t="array" ref="AV7">SUMPRODUCT(_xlfn._xlws.FILTER('NRCan Fuel Guide'!$I$4:$I$20, 'NRCan Fuel Guide'!$H$4:$H$20=$AT7),_xlfn._xlws.FILTER('NRCan Fuel Guide'!$K$4:$K$20, 'NRCan Fuel Guide'!$H$4:$H$20=$AT7))/SUM(_xlfn._xlws.FILTER('NRCan Fuel Guide'!$K$4:$K$20, 'NRCan Fuel Guide'!$H$4:$H$20=$AT7))</f>
        <v>6.7284821116676934</v>
      </c>
      <c r="AW7" s="88" cm="1">
        <f t="array" ref="AW7">SUMPRODUCT(_xlfn._xlws.FILTER('NRCan Fuel Guide'!$O$4:$O$17, 'NRCan Fuel Guide'!$N$4:$N$17=$AT7),_xlfn._xlws.FILTER('NRCan Fuel Guide'!$Q$4:$Q$17, 'NRCan Fuel Guide'!$N$4:$N$17=$AT7))/SUM(_xlfn._xlws.FILTER('NRCan Fuel Guide'!$Q$4:$Q$17, 'NRCan Fuel Guide'!$N$4:$N$17=$AT7))</f>
        <v>7.3723962776269847</v>
      </c>
      <c r="AX7" s="88" cm="1">
        <f t="array" ref="AX7">SUMPRODUCT(_xlfn._xlws.FILTER('NRCan Fuel Guide'!$U$4:$U$13, 'NRCan Fuel Guide'!$T$4:$T$13=$AT7), _xlfn._xlws.FILTER('NRCan Fuel Guide'!$W$4:$W$13, 'NRCan Fuel Guide'!$T$4:$T$13=$AT7))/SUM(_xlfn._xlws.FILTER('NRCan Fuel Guide'!$W$4:$W$13, 'NRCan Fuel Guide'!$T$4:$T$13=$AT7))</f>
        <v>5.0787544450782578</v>
      </c>
      <c r="AY7" s="88" cm="1">
        <f t="array" ref="AY7">SUMPRODUCT(_xlfn._xlws.FILTER('NRCan Fuel Guide'!$AA$4:$AA$12, 'NRCan Fuel Guide'!$Z$4:$Z$12=$AT7), _xlfn._xlws.FILTER('NRCan Fuel Guide'!$AC$4:$AC$12, 'NRCan Fuel Guide'!$Z$4:$Z$12=$AT7))/SUM(_xlfn._xlws.FILTER('NRCan Fuel Guide'!$AC$4:$AC$12, 'NRCan Fuel Guide'!$Z$4:$Z$12=$AT7))</f>
        <v>4.9823611736069502</v>
      </c>
      <c r="BA7" s="17" t="s">
        <v>991</v>
      </c>
      <c r="BB7" s="73" cm="1">
        <f t="array" ref="BB7">1/AVERAGE(_xlfn._xlws.FILTER('ANL-DOE-LDV Data'!$AX:$AX, ('ANL-DOE-LDV Data'!$A:$A=$BA7)*('ANL-DOE-LDV Data'!$B:$B=BB$2-5)*('ANL-DOE-LDV Data'!$D:$D="Compact_B")))</f>
        <v>0.62510007617684504</v>
      </c>
      <c r="BC7" s="73" cm="1">
        <f t="array" ref="BC7">1/AVERAGE(_xlfn._xlws.FILTER('ANL-DOE-LDV Data'!$AX:$AX, ('ANL-DOE-LDV Data'!$A:$A=$BA7)*('ANL-DOE-LDV Data'!$B:$B=BC$2-5)*('ANL-DOE-LDV Data'!$D:$D="Compact_B")))</f>
        <v>0.64476640619877801</v>
      </c>
      <c r="BD7" s="73" cm="1">
        <f t="array" ref="BD7">1/AVERAGE(_xlfn._xlws.FILTER('ANL-DOE-LDV Data'!$AX:$AX, ('ANL-DOE-LDV Data'!$A:$A=$BA7)*('ANL-DOE-LDV Data'!$B:$B=BD$2-5)*('ANL-DOE-LDV Data'!$D:$D="Compact_B")))</f>
        <v>0.65953680616943156</v>
      </c>
      <c r="BE7" s="73" cm="1">
        <f t="array" ref="BE7">1/AVERAGE(_xlfn._xlws.FILTER('ANL-DOE-LDV Data'!$AX:$AX, ('ANL-DOE-LDV Data'!$A:$A=$BA7)*('ANL-DOE-LDV Data'!$B:$B=BE$2-5)*('ANL-DOE-LDV Data'!$D:$D="Compact_B")))</f>
        <v>0.70356758875613534</v>
      </c>
      <c r="BF7" s="73">
        <f t="shared" si="3"/>
        <v>0.73323467952178623</v>
      </c>
      <c r="BG7" s="73">
        <f t="shared" si="3"/>
        <v>0.76290177028743711</v>
      </c>
      <c r="BH7" s="73" cm="1">
        <f t="array" ref="BH7">1/AVERAGE(_xlfn._xlws.FILTER('ANL-DOE-LDV Data'!$AX:$AX, ('ANL-DOE-LDV Data'!$A:$A=$BA7)*('ANL-DOE-LDV Data'!$B:$B=BH$2-5)*('ANL-DOE-LDV Data'!$D:$D="Compact_B")))</f>
        <v>0.79256886105308788</v>
      </c>
      <c r="BI7" s="102">
        <f t="shared" si="4"/>
        <v>0.26790715800339271</v>
      </c>
      <c r="BK7" s="17" t="s">
        <v>991</v>
      </c>
      <c r="BL7" s="88">
        <f t="shared" si="5"/>
        <v>4.9052234890292228</v>
      </c>
      <c r="BM7" s="88">
        <f t="shared" si="5"/>
        <v>4.7648624410242402</v>
      </c>
      <c r="BN7" s="88">
        <f t="shared" si="5"/>
        <v>4.6507297011441411</v>
      </c>
      <c r="BO7" s="88">
        <f t="shared" si="5"/>
        <v>4.3650506417875894</v>
      </c>
      <c r="BP7" s="88">
        <f t="shared" si="5"/>
        <v>4.1901187089036824</v>
      </c>
      <c r="BQ7" s="88">
        <f t="shared" si="5"/>
        <v>4.0286675242998333</v>
      </c>
      <c r="BR7" s="88">
        <f t="shared" si="5"/>
        <v>3.8791966068859383</v>
      </c>
      <c r="BS7" s="102">
        <f t="shared" si="6"/>
        <v>-0.20917026195402613</v>
      </c>
      <c r="CD7" s="17" t="s">
        <v>246</v>
      </c>
      <c r="CE7" s="439" cm="1">
        <f t="array" ref="CE7">1/AVERAGE(_xlfn._xlws.FILTER('ANL-DOE-MHDV Data'!$AX:$AX,('ANL-DOE-MHDV Data'!$A:$A=$CD7)*('ANL-DOE-MHDV Data'!$B:$B=CE$2)*('ANL-DOE-MHDV Data'!$E:$E="Medium 3")*('ANL-DOE-MHDV Data'!$D:$D&lt;&gt;"Pickup")*('ANL-DOE-MHDV Data'!$D:$D&lt;&gt;"School")))</f>
        <v>0.70510865755345242</v>
      </c>
      <c r="CF7" s="439" cm="1">
        <f t="array" ref="CF7">1/AVERAGE(_xlfn._xlws.FILTER('ANL-DOE-MHDV Data'!$AX:$AX,('ANL-DOE-MHDV Data'!$A:$A=$CD7)*('ANL-DOE-MHDV Data'!$B:$B=CF$2)*('ANL-DOE-MHDV Data'!$E:$E="Medium 3")*('ANL-DOE-MHDV Data'!$D:$D&lt;&gt;"Pickup")*('ANL-DOE-MHDV Data'!$D:$D&lt;&gt;"School")))</f>
        <v>0.76091725768321528</v>
      </c>
      <c r="CG7" s="439" cm="1">
        <f t="array" ref="CG7">1/AVERAGE(_xlfn._xlws.FILTER('ANL-DOE-MHDV Data'!$AX:$AX,('ANL-DOE-MHDV Data'!$A:$A=$CD7)*('ANL-DOE-MHDV Data'!$B:$B=CG$2)*('ANL-DOE-MHDV Data'!$E:$E="Medium 3")*('ANL-DOE-MHDV Data'!$D:$D&lt;&gt;"Pickup")*('ANL-DOE-MHDV Data'!$D:$D&lt;&gt;"School")))</f>
        <v>0.81875254375254369</v>
      </c>
      <c r="CH7" s="439" cm="1">
        <f t="array" ref="CH7">1/AVERAGE(_xlfn._xlws.FILTER('ANL-DOE-MHDV Data'!$AX:$AX,('ANL-DOE-MHDV Data'!$A:$A=$CD7)*('ANL-DOE-MHDV Data'!$B:$B=CH$2)*('ANL-DOE-MHDV Data'!$E:$E="Medium 3")*('ANL-DOE-MHDV Data'!$D:$D&lt;&gt;"Pickup")*('ANL-DOE-MHDV Data'!$D:$D&lt;&gt;"School")))</f>
        <v>0.87057232500270476</v>
      </c>
      <c r="CI7" s="439">
        <f t="shared" ref="CI7:CJ7" si="20">($CK7-$CH7)/3 + CH7</f>
        <v>0.9053825597356373</v>
      </c>
      <c r="CJ7" s="439">
        <f t="shared" si="20"/>
        <v>0.94019279446856985</v>
      </c>
      <c r="CK7" s="439" cm="1">
        <f t="array" ref="CK7">1/AVERAGE(_xlfn._xlws.FILTER('ANL-DOE-MHDV Data'!$AX:$AX,('ANL-DOE-MHDV Data'!$A:$A=$CD7)*('ANL-DOE-MHDV Data'!$B:$B=CK$2)*('ANL-DOE-MHDV Data'!$E:$E="Medium 3")*('ANL-DOE-MHDV Data'!$D:$D&lt;&gt;"Pickup")*('ANL-DOE-MHDV Data'!$D:$D&lt;&gt;"School")))</f>
        <v>0.97500302920150239</v>
      </c>
      <c r="CL7" s="102">
        <f t="shared" si="11"/>
        <v>0.38276990185387133</v>
      </c>
      <c r="CN7" s="17" t="s">
        <v>246</v>
      </c>
      <c r="CO7" s="88">
        <f t="shared" si="7"/>
        <v>4.2932912456999697</v>
      </c>
      <c r="CP7" s="88">
        <f t="shared" si="7"/>
        <v>3.9804270979187746</v>
      </c>
      <c r="CQ7" s="88">
        <f t="shared" si="7"/>
        <v>3.7090983491846354</v>
      </c>
      <c r="CR7" s="88">
        <f t="shared" si="7"/>
        <v>3.4920518527436193</v>
      </c>
      <c r="CS7" s="88">
        <f t="shared" si="7"/>
        <v>3.3584394552230523</v>
      </c>
      <c r="CT7" s="88">
        <f t="shared" si="7"/>
        <v>3.2346747829957985</v>
      </c>
      <c r="CU7" s="88">
        <f t="shared" si="7"/>
        <v>3.1197078110358945</v>
      </c>
      <c r="CV7" s="102">
        <f t="shared" si="12"/>
        <v>-0.27335285856497643</v>
      </c>
      <c r="DG7" s="17" t="s">
        <v>240</v>
      </c>
      <c r="DH7" s="73">
        <f>1/('GREET-AFLEET Summary'!P7*DSL_PJ_ML*10)</f>
        <v>6.5067474104332765E-2</v>
      </c>
      <c r="DI7" s="73">
        <f>1/('GREET-AFLEET Summary'!Q7*DSL_PJ_ML*10)</f>
        <v>6.9430334976639099E-2</v>
      </c>
      <c r="DJ7" s="73">
        <f>1/('GREET-AFLEET Summary'!R7*DSL_PJ_ML*10)</f>
        <v>7.3832355134473143E-2</v>
      </c>
      <c r="DK7" s="73">
        <f>1/('GREET-AFLEET Summary'!S7*DSL_PJ_ML*10)</f>
        <v>7.7533338003941299E-2</v>
      </c>
      <c r="DL7" s="73">
        <f>1/('GREET-AFLEET Summary'!T7*DSL_PJ_ML*10)</f>
        <v>7.9649342581192009E-2</v>
      </c>
      <c r="DM7" s="73">
        <f>1/('GREET-AFLEET Summary'!U7*DSL_PJ_ML*10)</f>
        <v>8.1765347158442733E-2</v>
      </c>
      <c r="DN7" s="73">
        <f>1/('GREET-AFLEET Summary'!V7*DSL_PJ_ML*10)</f>
        <v>8.3881351735693443E-2</v>
      </c>
      <c r="DO7" s="102">
        <f t="shared" si="13"/>
        <v>0.28914412139609835</v>
      </c>
      <c r="DZ7" s="17" t="s">
        <v>239</v>
      </c>
      <c r="EA7" s="88">
        <v>19.818982025202708</v>
      </c>
      <c r="EB7" s="88">
        <v>18.888115255953966</v>
      </c>
      <c r="EC7" s="88">
        <v>17.423432924539334</v>
      </c>
      <c r="ED7" s="88">
        <v>16.29171936152666</v>
      </c>
      <c r="EE7" s="88">
        <v>15.067270534020311</v>
      </c>
      <c r="EF7" s="88">
        <v>14.281176375484174</v>
      </c>
      <c r="EG7" s="88">
        <v>13.957373859857377</v>
      </c>
      <c r="EH7" s="102">
        <f t="shared" si="14"/>
        <v>-0.2957572774369262</v>
      </c>
      <c r="EJ7" s="224" t="s">
        <v>828</v>
      </c>
      <c r="EK7" s="88">
        <f>L_100km_to_mpg/'Background Data'!BC47</f>
        <v>18.093470710879089</v>
      </c>
      <c r="EL7" s="88">
        <f>L_100km_to_mpg/'Background Data'!BD47</f>
        <v>12.445244404308369</v>
      </c>
      <c r="EM7" s="88">
        <f t="shared" ref="EM7:EP7" si="21">($EQ7-$EL7)/(6-1) + EL7</f>
        <v>12.019486043108346</v>
      </c>
      <c r="EN7" s="88">
        <f t="shared" si="21"/>
        <v>11.593727681908323</v>
      </c>
      <c r="EO7" s="88">
        <f t="shared" si="21"/>
        <v>11.1679693207083</v>
      </c>
      <c r="EP7" s="88">
        <f t="shared" si="21"/>
        <v>10.742210959508277</v>
      </c>
      <c r="EQ7" s="88">
        <f>L_100km_to_mpg/'Background Data'!BE47</f>
        <v>10.316452598308251</v>
      </c>
      <c r="ER7" s="102">
        <f t="shared" si="16"/>
        <v>-0.42982456140350883</v>
      </c>
    </row>
    <row r="8" spans="1:148" x14ac:dyDescent="0.35">
      <c r="A8" t="s">
        <v>1085</v>
      </c>
      <c r="B8" t="s">
        <v>1094</v>
      </c>
      <c r="C8" t="s">
        <v>452</v>
      </c>
      <c r="D8" t="s">
        <v>2261</v>
      </c>
      <c r="E8" t="s">
        <v>161</v>
      </c>
      <c r="F8">
        <v>2022</v>
      </c>
      <c r="G8" s="63" t="s">
        <v>282</v>
      </c>
      <c r="H8" s="71"/>
      <c r="I8" s="71"/>
      <c r="J8" s="71"/>
      <c r="K8" s="71"/>
      <c r="L8" s="71"/>
      <c r="M8" s="71"/>
      <c r="N8" s="71">
        <f>BA$87*$AU$43</f>
        <v>0.36750118274991839</v>
      </c>
      <c r="O8" s="71">
        <f>BB$87*$AU$43</f>
        <v>0.3675872880146876</v>
      </c>
      <c r="P8" s="71">
        <f>BC$87*$AU$43</f>
        <v>0.36767369373981973</v>
      </c>
      <c r="Q8" s="71">
        <f>BD$87*$AU$43</f>
        <v>0.36775975883451884</v>
      </c>
      <c r="R8" s="71">
        <f>BE$87*$AV$43</f>
        <v>0.41621795821799512</v>
      </c>
      <c r="S8" s="71">
        <f>BF$87*$AV$43</f>
        <v>0.41631540501650416</v>
      </c>
      <c r="T8" s="71">
        <f>BG$87*$AV$43</f>
        <v>0.41641285071526646</v>
      </c>
      <c r="U8" s="71">
        <f>BH$87*$AV$43</f>
        <v>0.4165103462695296</v>
      </c>
      <c r="V8" s="71">
        <f>BI$87*$AV$43</f>
        <v>0.41660778269306165</v>
      </c>
      <c r="W8" s="71">
        <f>BJ$87*$AW$43</f>
        <v>0.44706737193083007</v>
      </c>
      <c r="X8" s="71">
        <f>BK$87*$AW$43</f>
        <v>0.4471717285216133</v>
      </c>
      <c r="Y8" s="71">
        <f>BL$87*$AW$43</f>
        <v>0.44727622125240774</v>
      </c>
      <c r="Z8" s="71">
        <f>BM$87*$AW$43</f>
        <v>0.4473809220756777</v>
      </c>
      <c r="AA8" s="71">
        <f>BN$87*$AX$43</f>
        <v>0.45175469882583807</v>
      </c>
      <c r="AB8" s="71">
        <f>BO$87*$AX$43</f>
        <v>0.45186017374764637</v>
      </c>
      <c r="AC8" s="305"/>
      <c r="AE8" s="71"/>
      <c r="AF8" s="71"/>
      <c r="AG8" s="71"/>
      <c r="AH8" s="71"/>
      <c r="AI8" s="71"/>
      <c r="AJ8" s="415"/>
      <c r="AK8" s="66" t="s">
        <v>2238</v>
      </c>
      <c r="AL8">
        <v>2</v>
      </c>
      <c r="AM8">
        <v>1</v>
      </c>
      <c r="AN8">
        <v>1</v>
      </c>
      <c r="AO8">
        <v>1</v>
      </c>
      <c r="AP8">
        <v>1</v>
      </c>
      <c r="AT8" s="17" t="s">
        <v>578</v>
      </c>
      <c r="AU8" s="88"/>
      <c r="AV8" s="88" cm="1">
        <f t="array" ref="AV8">SUMPRODUCT(_xlfn._xlws.FILTER('NRCan Fuel Guide'!$AM$4:$AM$14, 'NRCan Fuel Guide'!$AL$4:$AL$14=35), _xlfn._xlws.FILTER('NRCan Fuel Guide'!$AQ$4:$AQ$14, 'NRCan Fuel Guide'!$AL$4:$AL$14=35))/SUM(_xlfn._xlws.FILTER('NRCan Fuel Guide'!$AQ$4:$AQ$14, 'NRCan Fuel Guide'!$AL$4:$AL$14=35))</f>
        <v>3.2965015357786522</v>
      </c>
      <c r="AW8" s="88" cm="1">
        <f t="array" ref="AW8">SUMPRODUCT(_xlfn._xlws.FILTER('NRCan Fuel Guide'!$AM$4:$AM$14, 'NRCan Fuel Guide'!$AL$4:$AL$14=35), _xlfn._xlws.FILTER('NRCan Fuel Guide'!$AQ$4:$AQ$14, 'NRCan Fuel Guide'!$AL$4:$AL$14=35))/SUM(_xlfn._xlws.FILTER('NRCan Fuel Guide'!$AQ$4:$AQ$14, 'NRCan Fuel Guide'!$AL$4:$AL$14=35))</f>
        <v>3.2965015357786522</v>
      </c>
      <c r="AX8" s="88" cm="1">
        <f t="array" ref="AX8">SUMPRODUCT(_xlfn._xlws.FILTER('NRCan Fuel Guide'!$AM$4:$AM$14, 'NRCan Fuel Guide'!$AL$4:$AL$14=35), _xlfn._xlws.FILTER('NRCan Fuel Guide'!$AQ$4:$AQ$14, 'NRCan Fuel Guide'!$AL$4:$AL$14=35))/SUM(_xlfn._xlws.FILTER('NRCan Fuel Guide'!$AQ$4:$AQ$14, 'NRCan Fuel Guide'!$AL$4:$AL$14=35))</f>
        <v>3.2965015357786522</v>
      </c>
      <c r="AY8" s="88" cm="1">
        <f t="array" ref="AY8">SUMPRODUCT(_xlfn._xlws.FILTER('NRCan Fuel Guide'!$AM$4:$AM$14, 'NRCan Fuel Guide'!$AL$4:$AL$14=35), _xlfn._xlws.FILTER('NRCan Fuel Guide'!$AQ$4:$AQ$14, 'NRCan Fuel Guide'!$AL$4:$AL$14=35))/SUM(_xlfn._xlws.FILTER('NRCan Fuel Guide'!$AQ$4:$AQ$14, 'NRCan Fuel Guide'!$AL$4:$AL$14=35))</f>
        <v>3.2965015357786522</v>
      </c>
      <c r="BA8" s="17" t="s">
        <v>992</v>
      </c>
      <c r="BB8" s="73" cm="1">
        <f t="array" ref="BB8">1/AVERAGE(_xlfn._xlws.FILTER('ANL-DOE-LDV Data'!$AX:$AX, ('ANL-DOE-LDV Data'!$A:$A=$BA8)*('ANL-DOE-LDV Data'!$B:$B=BB$2-5)*('ANL-DOE-LDV Data'!$D:$D="Compact_B")))</f>
        <v>0.9015425968900721</v>
      </c>
      <c r="BC8" s="73" cm="1">
        <f t="array" ref="BC8">1/AVERAGE(_xlfn._xlws.FILTER('ANL-DOE-LDV Data'!$AX:$AX, ('ANL-DOE-LDV Data'!$A:$A=$BA8)*('ANL-DOE-LDV Data'!$B:$B=BC$2-5)*('ANL-DOE-LDV Data'!$D:$D="Compact_B")))</f>
        <v>0.94650869961195028</v>
      </c>
      <c r="BD8" s="73" cm="1">
        <f t="array" ref="BD8">1/AVERAGE(_xlfn._xlws.FILTER('ANL-DOE-LDV Data'!$AX:$AX, ('ANL-DOE-LDV Data'!$A:$A=$BA8)*('ANL-DOE-LDV Data'!$B:$B=BD$2-5)*('ANL-DOE-LDV Data'!$D:$D="Compact_B")))</f>
        <v>0.96769151220227245</v>
      </c>
      <c r="BE8" s="73" cm="1">
        <f t="array" ref="BE8">1/AVERAGE(_xlfn._xlws.FILTER('ANL-DOE-LDV Data'!$AX:$AX, ('ANL-DOE-LDV Data'!$A:$A=$BA8)*('ANL-DOE-LDV Data'!$B:$B=BE$2-5)*('ANL-DOE-LDV Data'!$D:$D="Compact_B")))</f>
        <v>1.0555850905915585</v>
      </c>
      <c r="BF8" s="73">
        <f t="shared" si="3"/>
        <v>1.1049670625748416</v>
      </c>
      <c r="BG8" s="73">
        <f t="shared" si="3"/>
        <v>1.1543490345581247</v>
      </c>
      <c r="BH8" s="73" cm="1">
        <f t="array" ref="BH8">1/AVERAGE(_xlfn._xlws.FILTER('ANL-DOE-LDV Data'!$AX:$AX, ('ANL-DOE-LDV Data'!$A:$A=$BA8)*('ANL-DOE-LDV Data'!$B:$B=BH$2-5)*('ANL-DOE-LDV Data'!$D:$D="Compact_B")))</f>
        <v>1.2037310065414077</v>
      </c>
      <c r="BI8" s="102">
        <f t="shared" si="4"/>
        <v>0.33519038445188676</v>
      </c>
      <c r="BK8" s="17" t="s">
        <v>992</v>
      </c>
      <c r="BL8" s="88">
        <f t="shared" si="5"/>
        <v>3.4270325266409536</v>
      </c>
      <c r="BM8" s="88">
        <f t="shared" si="5"/>
        <v>3.2631204745413251</v>
      </c>
      <c r="BN8" s="88">
        <f t="shared" si="5"/>
        <v>3.1939453017965507</v>
      </c>
      <c r="BO8" s="88">
        <f t="shared" si="5"/>
        <v>2.9191714503441419</v>
      </c>
      <c r="BP8" s="88">
        <f t="shared" si="5"/>
        <v>2.7906799571359087</v>
      </c>
      <c r="BQ8" s="88">
        <f t="shared" si="5"/>
        <v>2.6730230372598802</v>
      </c>
      <c r="BR8" s="88">
        <f t="shared" si="5"/>
        <v>2.5648857510302383</v>
      </c>
      <c r="BS8" s="102">
        <f t="shared" si="6"/>
        <v>-0.25157239358208211</v>
      </c>
      <c r="CD8" s="17" t="s">
        <v>627</v>
      </c>
      <c r="CE8" s="439" cm="1">
        <f t="array" ref="CE8">1/AVERAGE(_xlfn._xlws.FILTER('ANL-DOE-MHDV Data'!$AX:$AX,('ANL-DOE-MHDV Data'!$A:$A=$CD8)*('ANL-DOE-MHDV Data'!$B:$B=CE$2)*('ANL-DOE-MHDV Data'!$E:$E="Medium 3")*('ANL-DOE-MHDV Data'!$D:$D&lt;&gt;"Pickup")*('ANL-DOE-MHDV Data'!$D:$D&lt;&gt;"School")))</f>
        <v>0.35626528288649884</v>
      </c>
      <c r="CF8" s="439" cm="1">
        <f t="array" ref="CF8">1/AVERAGE(_xlfn._xlws.FILTER('ANL-DOE-MHDV Data'!$AX:$AX,('ANL-DOE-MHDV Data'!$A:$A=$CD8)*('ANL-DOE-MHDV Data'!$B:$B=CF$2)*('ANL-DOE-MHDV Data'!$E:$E="Medium 3")*('ANL-DOE-MHDV Data'!$D:$D&lt;&gt;"Pickup")*('ANL-DOE-MHDV Data'!$D:$D&lt;&gt;"School")))</f>
        <v>0.37968721260703397</v>
      </c>
      <c r="CG8" s="439" cm="1">
        <f t="array" ref="CG8">1/AVERAGE(_xlfn._xlws.FILTER('ANL-DOE-MHDV Data'!$AX:$AX,('ANL-DOE-MHDV Data'!$A:$A=$CD8)*('ANL-DOE-MHDV Data'!$B:$B=CG$2)*('ANL-DOE-MHDV Data'!$E:$E="Medium 3")*('ANL-DOE-MHDV Data'!$D:$D&lt;&gt;"Pickup")*('ANL-DOE-MHDV Data'!$D:$D&lt;&gt;"School")))</f>
        <v>0.40621122012712579</v>
      </c>
      <c r="CH8" s="439" cm="1">
        <f t="array" ref="CH8">1/AVERAGE(_xlfn._xlws.FILTER('ANL-DOE-MHDV Data'!$AX:$AX,('ANL-DOE-MHDV Data'!$A:$A=$CD8)*('ANL-DOE-MHDV Data'!$B:$B=CH$2)*('ANL-DOE-MHDV Data'!$E:$E="Medium 3")*('ANL-DOE-MHDV Data'!$D:$D&lt;&gt;"Pickup")*('ANL-DOE-MHDV Data'!$D:$D&lt;&gt;"School")))</f>
        <v>0.42787129890764408</v>
      </c>
      <c r="CI8" s="439">
        <f t="shared" ref="CI8:CJ8" si="22">($CK8-$CH8)/3 + CH8</f>
        <v>0.44282866105137153</v>
      </c>
      <c r="CJ8" s="439">
        <f t="shared" si="22"/>
        <v>0.45778602319509898</v>
      </c>
      <c r="CK8" s="439" cm="1">
        <f t="array" ref="CK8">1/AVERAGE(_xlfn._xlws.FILTER('ANL-DOE-MHDV Data'!$AX:$AX,('ANL-DOE-MHDV Data'!$A:$A=$CD8)*('ANL-DOE-MHDV Data'!$B:$B=CK$2)*('ANL-DOE-MHDV Data'!$E:$E="Medium 3")*('ANL-DOE-MHDV Data'!$D:$D&lt;&gt;"Pickup")*('ANL-DOE-MHDV Data'!$D:$D&lt;&gt;"School")))</f>
        <v>0.47274338533882648</v>
      </c>
      <c r="CL8" s="102">
        <f t="shared" si="11"/>
        <v>0.32694205146403771</v>
      </c>
      <c r="CN8" s="17" t="s">
        <v>627</v>
      </c>
      <c r="CO8" s="88">
        <f t="shared" si="7"/>
        <v>8.6677222653299282</v>
      </c>
      <c r="CP8" s="88">
        <f t="shared" si="7"/>
        <v>8.1404334089603267</v>
      </c>
      <c r="CQ8" s="88">
        <f t="shared" si="7"/>
        <v>7.6179695456405998</v>
      </c>
      <c r="CR8" s="88">
        <f t="shared" si="7"/>
        <v>7.2535877292149147</v>
      </c>
      <c r="CS8" s="88">
        <f t="shared" si="7"/>
        <v>7.0068368860326995</v>
      </c>
      <c r="CT8" s="88">
        <f t="shared" si="7"/>
        <v>6.7763215708932334</v>
      </c>
      <c r="CU8" s="88">
        <f t="shared" si="7"/>
        <v>6.5604904410847658</v>
      </c>
      <c r="CV8" s="102">
        <f t="shared" si="12"/>
        <v>-0.24311252249900658</v>
      </c>
      <c r="DG8" s="17" t="s">
        <v>231</v>
      </c>
      <c r="DH8" s="73">
        <f>1/('GREET-AFLEET Summary'!P8*DSL_PJ_ML*10)</f>
        <v>6.379164127875761E-2</v>
      </c>
      <c r="DI8" s="73">
        <f>1/('GREET-AFLEET Summary'!Q8*DSL_PJ_ML*10)</f>
        <v>6.9430334976639099E-2</v>
      </c>
      <c r="DJ8" s="73">
        <f>1/('GREET-AFLEET Summary'!R8*DSL_PJ_ML*10)</f>
        <v>7.3832355134473143E-2</v>
      </c>
      <c r="DK8" s="73">
        <f>1/('GREET-AFLEET Summary'!S8*DSL_PJ_ML*10)</f>
        <v>7.7533338003941299E-2</v>
      </c>
      <c r="DL8" s="73">
        <f>1/('GREET-AFLEET Summary'!T8*DSL_PJ_ML*10)</f>
        <v>7.9649342581192009E-2</v>
      </c>
      <c r="DM8" s="73">
        <f>1/('GREET-AFLEET Summary'!U8*DSL_PJ_ML*10)</f>
        <v>8.1765347158442733E-2</v>
      </c>
      <c r="DN8" s="73">
        <f>1/('GREET-AFLEET Summary'!V8*DSL_PJ_ML*10)</f>
        <v>8.3881351735693443E-2</v>
      </c>
      <c r="DO8" s="102">
        <f t="shared" si="13"/>
        <v>0.31492700382402034</v>
      </c>
      <c r="DZ8" s="17" t="s">
        <v>246</v>
      </c>
      <c r="EA8" s="88">
        <v>9.7516506775895326</v>
      </c>
      <c r="EB8" s="88">
        <v>9.7514351967546116</v>
      </c>
      <c r="EC8" s="88">
        <v>9.7517323444845072</v>
      </c>
      <c r="ED8" s="88">
        <v>9.7534420031945501</v>
      </c>
      <c r="EE8" s="88">
        <v>9.7510944087961544</v>
      </c>
      <c r="EF8" s="88">
        <v>9.7511239185551641</v>
      </c>
      <c r="EG8" s="88">
        <v>9.7511231100662368</v>
      </c>
      <c r="EH8" s="102">
        <f t="shared" si="14"/>
        <v>-5.4100330368505854E-5</v>
      </c>
      <c r="EJ8" s="224" t="s">
        <v>829</v>
      </c>
      <c r="EK8" s="88">
        <f>L_100km_to_mpg/'Background Data'!BC48</f>
        <v>18.376181190736574</v>
      </c>
      <c r="EL8" s="88">
        <f>L_100km_to_mpg/'Background Data'!BD48</f>
        <v>11.939853768600413</v>
      </c>
      <c r="EM8" s="88">
        <f t="shared" ref="EM8:EP8" si="23">($EQ8-$EL8)/(6-1) + EL8</f>
        <v>11.49580962018139</v>
      </c>
      <c r="EN8" s="88">
        <f t="shared" si="23"/>
        <v>11.051765471762367</v>
      </c>
      <c r="EO8" s="88">
        <f t="shared" si="23"/>
        <v>10.607721323343345</v>
      </c>
      <c r="EP8" s="88">
        <f t="shared" si="23"/>
        <v>10.163677174924322</v>
      </c>
      <c r="EQ8" s="88">
        <f>L_100km_to_mpg/'Background Data'!BE48</f>
        <v>9.7196330265052957</v>
      </c>
      <c r="ER8" s="102">
        <f t="shared" si="16"/>
        <v>-0.47107438016528924</v>
      </c>
    </row>
    <row r="9" spans="1:148" x14ac:dyDescent="0.35">
      <c r="A9" t="s">
        <v>408</v>
      </c>
      <c r="B9" t="s">
        <v>10</v>
      </c>
      <c r="C9" t="s">
        <v>452</v>
      </c>
      <c r="D9" t="s">
        <v>2261</v>
      </c>
      <c r="E9" t="s">
        <v>161</v>
      </c>
      <c r="F9">
        <v>2022</v>
      </c>
      <c r="G9" s="63" t="s">
        <v>282</v>
      </c>
      <c r="H9" s="71"/>
      <c r="I9" s="71"/>
      <c r="J9" s="71"/>
      <c r="K9" s="71"/>
      <c r="L9" s="71"/>
      <c r="M9" s="71"/>
      <c r="N9" s="71">
        <f>BA$87*$AU$44</f>
        <v>0.44057246317849097</v>
      </c>
      <c r="O9" s="71">
        <f>BB$87*$AU$44</f>
        <v>0.44067568899210102</v>
      </c>
      <c r="P9" s="71">
        <f>BC$87*$AU$44</f>
        <v>0.44077927500744202</v>
      </c>
      <c r="Q9" s="71">
        <f>BD$87*$AU$44</f>
        <v>0.4408824526638554</v>
      </c>
      <c r="R9" s="71">
        <f>BE$87*$AV$44</f>
        <v>0.53857151089728716</v>
      </c>
      <c r="S9" s="71">
        <f>BF$87*$AV$44</f>
        <v>0.53869760365342345</v>
      </c>
      <c r="T9" s="71">
        <f>BG$87*$AV$44</f>
        <v>0.53882369498652583</v>
      </c>
      <c r="U9" s="71">
        <f>BH$87*$AV$44</f>
        <v>0.53894985083090619</v>
      </c>
      <c r="V9" s="71">
        <f>BI$87*$AV$44</f>
        <v>0.53907593016218436</v>
      </c>
      <c r="W9" s="71">
        <f>BJ$87*$AW$44</f>
        <v>0.58522414749555463</v>
      </c>
      <c r="X9" s="71">
        <f>BK$87*$AW$44</f>
        <v>0.58536075329752324</v>
      </c>
      <c r="Y9" s="71">
        <f>BL$87*$AW$44</f>
        <v>0.58549753731071252</v>
      </c>
      <c r="Z9" s="71">
        <f>BM$87*$AW$44</f>
        <v>0.58563459372298354</v>
      </c>
      <c r="AA9" s="71">
        <f>BN$87*$AX$44</f>
        <v>0.53055933594056903</v>
      </c>
      <c r="AB9" s="71">
        <f>BO$87*$AX$44</f>
        <v>0.53068321003555563</v>
      </c>
      <c r="AC9" s="305"/>
      <c r="AE9" s="71"/>
      <c r="AF9" s="71"/>
      <c r="AG9" s="71"/>
      <c r="AH9" s="71"/>
      <c r="AI9" s="71"/>
      <c r="AJ9" s="415"/>
      <c r="AK9" s="66" t="s">
        <v>2238</v>
      </c>
      <c r="AL9">
        <v>2</v>
      </c>
      <c r="AM9">
        <v>1</v>
      </c>
      <c r="AN9">
        <v>1</v>
      </c>
      <c r="AO9">
        <v>1</v>
      </c>
      <c r="AP9">
        <v>1</v>
      </c>
      <c r="AT9" s="17" t="s">
        <v>579</v>
      </c>
      <c r="AV9" s="88" cm="1">
        <f t="array" ref="AV9">SUMPRODUCT(_xlfn._xlws.FILTER('NRCan Fuel Guide'!$AM$4:$AM$14, 'NRCan Fuel Guide'!$AL$4:$AL$14=90), _xlfn._xlws.FILTER('NRCan Fuel Guide'!$AQ$4:$AQ$14, 'NRCan Fuel Guide'!$AL$4:$AL$14=90))/SUM(_xlfn._xlws.FILTER('NRCan Fuel Guide'!$AQ$4:$AQ$14, 'NRCan Fuel Guide'!$AL$4:$AL$14=90))</f>
        <v>2.6425735089250844</v>
      </c>
      <c r="AW9" s="88" cm="1">
        <f t="array" ref="AW9">SUMPRODUCT(_xlfn._xlws.FILTER('NRCan Fuel Guide'!$AM$4:$AM$14, 'NRCan Fuel Guide'!$AL$4:$AL$14=90), _xlfn._xlws.FILTER('NRCan Fuel Guide'!$AQ$4:$AQ$14, 'NRCan Fuel Guide'!$AL$4:$AL$14=90))/SUM(_xlfn._xlws.FILTER('NRCan Fuel Guide'!$AQ$4:$AQ$14, 'NRCan Fuel Guide'!$AL$4:$AL$14=90))</f>
        <v>2.6425735089250844</v>
      </c>
      <c r="AX9" s="88" cm="1">
        <f t="array" ref="AX9">SUMPRODUCT(_xlfn._xlws.FILTER('NRCan Fuel Guide'!$AM$4:$AM$14, 'NRCan Fuel Guide'!$AL$4:$AL$14=90), _xlfn._xlws.FILTER('NRCan Fuel Guide'!$AQ$4:$AQ$14, 'NRCan Fuel Guide'!$AL$4:$AL$14=90))/SUM(_xlfn._xlws.FILTER('NRCan Fuel Guide'!$AQ$4:$AQ$14, 'NRCan Fuel Guide'!$AL$4:$AL$14=90))</f>
        <v>2.6425735089250844</v>
      </c>
      <c r="AY9" s="88" cm="1">
        <f t="array" ref="AY9">SUMPRODUCT(_xlfn._xlws.FILTER('NRCan Fuel Guide'!$AM$4:$AM$14, 'NRCan Fuel Guide'!$AL$4:$AL$14=90), _xlfn._xlws.FILTER('NRCan Fuel Guide'!$AQ$4:$AQ$14, 'NRCan Fuel Guide'!$AL$4:$AL$14=90))/SUM(_xlfn._xlws.FILTER('NRCan Fuel Guide'!$AQ$4:$AQ$14, 'NRCan Fuel Guide'!$AL$4:$AL$14=90))</f>
        <v>2.6425735089250844</v>
      </c>
      <c r="BA9" s="17" t="s">
        <v>987</v>
      </c>
      <c r="BB9" s="73" cm="1">
        <f t="array" ref="BB9">1/AVERAGE(_xlfn._xlws.FILTER('ANL-DOE-LDV Data'!$AX:$AX, ('ANL-DOE-LDV Data'!$A:$A=$BA9)*('ANL-DOE-LDV Data'!$B:$B=BB$2-5)*('ANL-DOE-LDV Data'!$D:$D="Compact_B")))</f>
        <v>1.2266984391574198</v>
      </c>
      <c r="BC9" s="73" cm="1">
        <f t="array" ref="BC9">1/AVERAGE(_xlfn._xlws.FILTER('ANL-DOE-LDV Data'!$AX:$AX, ('ANL-DOE-LDV Data'!$A:$A=$BA9)*('ANL-DOE-LDV Data'!$B:$B=BC$2-5)*('ANL-DOE-LDV Data'!$D:$D="Compact_B")))</f>
        <v>1.2992551160294517</v>
      </c>
      <c r="BD9" s="73" cm="1">
        <f t="array" ref="BD9">1/AVERAGE(_xlfn._xlws.FILTER('ANL-DOE-LDV Data'!$AX:$AX, ('ANL-DOE-LDV Data'!$A:$A=$BA9)*('ANL-DOE-LDV Data'!$B:$B=BD$2-5)*('ANL-DOE-LDV Data'!$D:$D="Compact_B")))</f>
        <v>1.319137310073319</v>
      </c>
      <c r="BE9" s="73" cm="1">
        <f t="array" ref="BE9">1/AVERAGE(_xlfn._xlws.FILTER('ANL-DOE-LDV Data'!$AX:$AX, ('ANL-DOE-LDV Data'!$A:$A=$BA9)*('ANL-DOE-LDV Data'!$B:$B=BE$2-5)*('ANL-DOE-LDV Data'!$D:$D="Compact_B")))</f>
        <v>1.4460086747469165</v>
      </c>
      <c r="BF9" s="73">
        <f t="shared" si="3"/>
        <v>1.5082449153247361</v>
      </c>
      <c r="BG9" s="73">
        <f t="shared" si="3"/>
        <v>1.5704811559025558</v>
      </c>
      <c r="BH9" s="73" cm="1">
        <f t="array" ref="BH9">1/AVERAGE(_xlfn._xlws.FILTER('ANL-DOE-LDV Data'!$AX:$AX, ('ANL-DOE-LDV Data'!$A:$A=$BA9)*('ANL-DOE-LDV Data'!$B:$B=BH$2-5)*('ANL-DOE-LDV Data'!$D:$D="Compact_B")))</f>
        <v>1.6327173964803752</v>
      </c>
      <c r="BI9" s="102">
        <f t="shared" si="4"/>
        <v>0.33098514220156411</v>
      </c>
      <c r="BK9" s="17" t="s">
        <v>987</v>
      </c>
      <c r="BL9" s="88">
        <f t="shared" si="5"/>
        <v>2.4982863797684569</v>
      </c>
      <c r="BM9" s="88">
        <f t="shared" si="5"/>
        <v>2.3583759903832484</v>
      </c>
      <c r="BN9" s="88">
        <f t="shared" si="5"/>
        <v>2.3211607523275926</v>
      </c>
      <c r="BO9" s="88">
        <f t="shared" si="5"/>
        <v>2.118970060162241</v>
      </c>
      <c r="BP9" s="88">
        <f t="shared" si="5"/>
        <v>2.0327942133992218</v>
      </c>
      <c r="BQ9" s="88">
        <f t="shared" si="5"/>
        <v>1.9533537727079746</v>
      </c>
      <c r="BR9" s="88">
        <f t="shared" si="5"/>
        <v>1.8798887889622884</v>
      </c>
      <c r="BS9" s="102">
        <f t="shared" si="6"/>
        <v>-0.24752870440076694</v>
      </c>
      <c r="CD9" s="17" t="s">
        <v>1065</v>
      </c>
      <c r="CE9" s="439" cm="1">
        <f t="array" ref="CE9">1/AVERAGE(_xlfn._xlws.FILTER('ANL-DOE-MHDV Data'!$AX:$AX,('ANL-DOE-MHDV Data'!$A:$A=$CD9)*('ANL-DOE-MHDV Data'!$B:$B=CE$2)*('ANL-DOE-MHDV Data'!$E:$E="Medium 3")*('ANL-DOE-MHDV Data'!$D:$D&lt;&gt;"Pickup")*('ANL-DOE-MHDV Data'!$D:$D&lt;&gt;"School")))</f>
        <v>0.37009683444932306</v>
      </c>
      <c r="CF9" s="439" cm="1">
        <f t="array" ref="CF9">1/AVERAGE(_xlfn._xlws.FILTER('ANL-DOE-MHDV Data'!$AX:$AX,('ANL-DOE-MHDV Data'!$A:$A=$CD9)*('ANL-DOE-MHDV Data'!$B:$B=CF$2)*('ANL-DOE-MHDV Data'!$E:$E="Medium 3")*('ANL-DOE-MHDV Data'!$D:$D&lt;&gt;"Pickup")*('ANL-DOE-MHDV Data'!$D:$D&lt;&gt;"School")))</f>
        <v>0.39777523400540155</v>
      </c>
      <c r="CG9" s="439" cm="1">
        <f t="array" ref="CG9">1/AVERAGE(_xlfn._xlws.FILTER('ANL-DOE-MHDV Data'!$AX:$AX,('ANL-DOE-MHDV Data'!$A:$A=$CD9)*('ANL-DOE-MHDV Data'!$B:$B=CG$2)*('ANL-DOE-MHDV Data'!$E:$E="Medium 3")*('ANL-DOE-MHDV Data'!$D:$D&lt;&gt;"Pickup")*('ANL-DOE-MHDV Data'!$D:$D&lt;&gt;"School")))</f>
        <v>0.42720997404385569</v>
      </c>
      <c r="CH9" s="439" cm="1">
        <f t="array" ref="CH9">1/AVERAGE(_xlfn._xlws.FILTER('ANL-DOE-MHDV Data'!$AX:$AX,('ANL-DOE-MHDV Data'!$A:$A=$CD9)*('ANL-DOE-MHDV Data'!$B:$B=CH$2)*('ANL-DOE-MHDV Data'!$E:$E="Medium 3")*('ANL-DOE-MHDV Data'!$D:$D&lt;&gt;"Pickup")*('ANL-DOE-MHDV Data'!$D:$D&lt;&gt;"School")))</f>
        <v>0.45198006701751059</v>
      </c>
      <c r="CI9" s="439">
        <f t="shared" ref="CI9:CJ9" si="24">($CK9-$CH9)/3 + CH9</f>
        <v>0.47015469826916173</v>
      </c>
      <c r="CJ9" s="439">
        <f t="shared" si="24"/>
        <v>0.48832932952081287</v>
      </c>
      <c r="CK9" s="439" cm="1">
        <f t="array" ref="CK9">1/AVERAGE(_xlfn._xlws.FILTER('ANL-DOE-MHDV Data'!$AX:$AX,('ANL-DOE-MHDV Data'!$A:$A=$CD9)*('ANL-DOE-MHDV Data'!$B:$B=CK$2)*('ANL-DOE-MHDV Data'!$E:$E="Medium 3")*('ANL-DOE-MHDV Data'!$D:$D&lt;&gt;"Pickup")*('ANL-DOE-MHDV Data'!$D:$D&lt;&gt;"School")))</f>
        <v>0.50650396077246407</v>
      </c>
      <c r="CL9" s="102">
        <f t="shared" si="11"/>
        <v>0.36857144840513106</v>
      </c>
      <c r="CN9" s="17" t="s">
        <v>1065</v>
      </c>
      <c r="CO9" s="88">
        <f t="shared" si="7"/>
        <v>8.277543656127385</v>
      </c>
      <c r="CP9" s="88">
        <f t="shared" si="7"/>
        <v>7.6805172540232505</v>
      </c>
      <c r="CQ9" s="88">
        <f t="shared" si="7"/>
        <v>7.1412043905319882</v>
      </c>
      <c r="CR9" s="88">
        <f t="shared" si="7"/>
        <v>6.7381162952171785</v>
      </c>
      <c r="CS9" s="88">
        <f t="shared" si="7"/>
        <v>6.4693862975045722</v>
      </c>
      <c r="CT9" s="88">
        <f t="shared" si="7"/>
        <v>6.2212692285338136</v>
      </c>
      <c r="CU9" s="88">
        <f t="shared" si="7"/>
        <v>5.9914810167458805</v>
      </c>
      <c r="CV9" s="102">
        <f t="shared" si="12"/>
        <v>-0.27617645213979208</v>
      </c>
      <c r="DG9" s="17" t="s">
        <v>244</v>
      </c>
      <c r="DH9" s="73">
        <f>1/('GREET-AFLEET Summary'!P9*DSL_PJ_ML*10)</f>
        <v>7.6549969534509127E-2</v>
      </c>
      <c r="DI9" s="73">
        <f>1/('GREET-AFLEET Summary'!Q9*DSL_PJ_ML*10)</f>
        <v>8.1682747031340125E-2</v>
      </c>
      <c r="DJ9" s="73">
        <f>1/('GREET-AFLEET Summary'!R9*DSL_PJ_ML*10)</f>
        <v>8.6861594275850759E-2</v>
      </c>
      <c r="DK9" s="73">
        <f>1/('GREET-AFLEET Summary'!S9*DSL_PJ_ML*10)</f>
        <v>9.1215691769342716E-2</v>
      </c>
      <c r="DL9" s="73">
        <f>1/('GREET-AFLEET Summary'!T9*DSL_PJ_ML*10)</f>
        <v>9.3705108919049429E-2</v>
      </c>
      <c r="DM9" s="73">
        <f>1/('GREET-AFLEET Summary'!U9*DSL_PJ_ML*10)</f>
        <v>9.6194526068756156E-2</v>
      </c>
      <c r="DN9" s="73">
        <f>1/('GREET-AFLEET Summary'!V9*DSL_PJ_ML*10)</f>
        <v>9.8683943218462869E-2</v>
      </c>
      <c r="DO9" s="102">
        <f t="shared" si="13"/>
        <v>0.28914412139609841</v>
      </c>
      <c r="DZ9" s="17" t="s">
        <v>1197</v>
      </c>
      <c r="EA9" s="88"/>
      <c r="EB9" s="88">
        <v>9.9190891033044313</v>
      </c>
      <c r="EC9" s="88">
        <v>9.3797425514469186</v>
      </c>
      <c r="ED9" s="88">
        <v>8.7208053191056454</v>
      </c>
      <c r="EE9" s="88">
        <v>8.3602468673900265</v>
      </c>
      <c r="EF9" s="88">
        <v>8.2100945154798204</v>
      </c>
      <c r="EG9" s="88">
        <v>8.1303703785618726</v>
      </c>
      <c r="EH9" s="102">
        <f>(EG9-EB9)/EB9</f>
        <v>-0.1803309463312178</v>
      </c>
      <c r="EJ9" s="224" t="s">
        <v>240</v>
      </c>
      <c r="EK9" s="88">
        <f>L_100km_to_mpg/'Background Data'!BC49</f>
        <v>26.42866508330653</v>
      </c>
      <c r="EL9" s="88">
        <f>L_100km_to_mpg/'Background Data'!BD49</f>
        <v>18.376181190736574</v>
      </c>
      <c r="EM9" s="88">
        <f t="shared" ref="EM9:EP9" si="25">($EQ9-$EL9)/(6-1) + EL9</f>
        <v>17.622871899687745</v>
      </c>
      <c r="EN9" s="88">
        <f t="shared" si="25"/>
        <v>16.869562608638915</v>
      </c>
      <c r="EO9" s="88">
        <f t="shared" si="25"/>
        <v>16.116253317590086</v>
      </c>
      <c r="EP9" s="88">
        <f t="shared" si="25"/>
        <v>15.362944026541257</v>
      </c>
      <c r="EQ9" s="88">
        <f>L_100km_to_mpg/'Background Data'!BE49</f>
        <v>14.609634735492429</v>
      </c>
      <c r="ER9" s="102">
        <f t="shared" si="16"/>
        <v>-0.44720496894409939</v>
      </c>
    </row>
    <row r="10" spans="1:148" x14ac:dyDescent="0.35">
      <c r="A10" t="s">
        <v>2198</v>
      </c>
      <c r="B10" t="s">
        <v>2010</v>
      </c>
      <c r="C10" t="s">
        <v>452</v>
      </c>
      <c r="D10" t="s">
        <v>2261</v>
      </c>
      <c r="E10" t="s">
        <v>1098</v>
      </c>
      <c r="F10">
        <v>2022</v>
      </c>
      <c r="G10" s="63" t="s">
        <v>282</v>
      </c>
      <c r="H10" s="71"/>
      <c r="I10" s="71"/>
      <c r="J10" s="71"/>
      <c r="K10" s="71"/>
      <c r="L10" s="71"/>
      <c r="M10" s="71"/>
      <c r="N10" s="71">
        <f t="shared" ref="N10:Q10" si="26">BA$87*$AV$50</f>
        <v>1.9061957666206961</v>
      </c>
      <c r="O10" s="71">
        <f t="shared" si="26"/>
        <v>1.906642386928034</v>
      </c>
      <c r="P10" s="71">
        <f t="shared" si="26"/>
        <v>1.9070905656964019</v>
      </c>
      <c r="Q10" s="71">
        <f t="shared" si="26"/>
        <v>1.9075369776451792</v>
      </c>
      <c r="R10" s="71">
        <f>BE$87*$AV$50</f>
        <v>1.9079822122921493</v>
      </c>
      <c r="S10" s="71">
        <f>BF$87*$AV$50</f>
        <v>1.9084289175688656</v>
      </c>
      <c r="T10" s="71">
        <f>BG$87*$AV$50</f>
        <v>1.9088756178042396</v>
      </c>
      <c r="U10" s="71">
        <f>BH$87*$AV$50</f>
        <v>1.9093225465819119</v>
      </c>
      <c r="V10" s="71">
        <f>BI$87*$AV$50</f>
        <v>1.9097692042987593</v>
      </c>
      <c r="W10" s="71">
        <f>BJ$87*$AW$50</f>
        <v>1.9102164158321187</v>
      </c>
      <c r="X10" s="71">
        <f>BK$87*$AW$50</f>
        <v>1.9106623076268014</v>
      </c>
      <c r="Y10" s="71">
        <f>BL$87*$AW$50</f>
        <v>1.9111087811165499</v>
      </c>
      <c r="Z10" s="71">
        <f>BM$87*$AW$50</f>
        <v>1.9115561437377533</v>
      </c>
      <c r="AA10" s="71">
        <f>BN$87*$AX$50</f>
        <v>1.9120025670611911</v>
      </c>
      <c r="AB10" s="71">
        <f>BO$87*$AX$50</f>
        <v>1.9124489781816116</v>
      </c>
      <c r="AC10" s="305"/>
      <c r="AE10" s="71"/>
      <c r="AF10" s="71"/>
      <c r="AG10" s="71"/>
      <c r="AH10" s="71"/>
      <c r="AI10" s="71"/>
      <c r="AJ10" s="415"/>
      <c r="AK10" s="66" t="s">
        <v>2239</v>
      </c>
      <c r="AL10">
        <v>2</v>
      </c>
      <c r="AM10">
        <v>1</v>
      </c>
      <c r="AN10">
        <v>1</v>
      </c>
      <c r="AO10">
        <v>2</v>
      </c>
      <c r="AP10">
        <v>1</v>
      </c>
      <c r="AT10" s="17" t="s">
        <v>575</v>
      </c>
      <c r="AU10" s="88"/>
      <c r="AV10" s="88" cm="1">
        <f t="array" ref="AV10">SUMPRODUCT(_xlfn._xlws.FILTER('NRCan Fuel Guide'!$AG$4:$AG$15, 'NRCan Fuel Guide'!$AF$4:$AF$15=250), _xlfn._xlws.FILTER('NRCan Fuel Guide'!$AI$4:$AI$15, 'NRCan Fuel Guide'!$AF$4:$AF$15=250))/SUM(_xlfn._xlws.FILTER('NRCan Fuel Guide'!$AI$4:$AI$15, 'NRCan Fuel Guide'!$AF$4:$AF$15=250))</f>
        <v>18.939616269146214</v>
      </c>
      <c r="AW10" s="88" cm="1">
        <f t="array" ref="AW10">SUMPRODUCT(_xlfn._xlws.FILTER('NRCan Fuel Guide'!$AG$4:$AG$15, 'NRCan Fuel Guide'!$AF$4:$AF$15=250), _xlfn._xlws.FILTER('NRCan Fuel Guide'!$AI$4:$AI$15, 'NRCan Fuel Guide'!$AF$4:$AF$15=250))/SUM(_xlfn._xlws.FILTER('NRCan Fuel Guide'!$AI$4:$AI$15, 'NRCan Fuel Guide'!$AF$4:$AF$15=250))</f>
        <v>18.939616269146214</v>
      </c>
      <c r="AX10" s="88" cm="1">
        <f t="array" ref="AX10">SUMPRODUCT(_xlfn._xlws.FILTER('NRCan Fuel Guide'!$AG$4:$AG$15, 'NRCan Fuel Guide'!$AF$4:$AF$15=250), _xlfn._xlws.FILTER('NRCan Fuel Guide'!$AI$4:$AI$15, 'NRCan Fuel Guide'!$AF$4:$AF$15=250))/SUM(_xlfn._xlws.FILTER('NRCan Fuel Guide'!$AI$4:$AI$15, 'NRCan Fuel Guide'!$AF$4:$AF$15=250))</f>
        <v>18.939616269146214</v>
      </c>
      <c r="AY10" s="88" cm="1">
        <f t="array" ref="AY10">SUMPRODUCT(_xlfn._xlws.FILTER('NRCan Fuel Guide'!$AG$4:$AG$15, 'NRCan Fuel Guide'!$AF$4:$AF$15=250), _xlfn._xlws.FILTER('NRCan Fuel Guide'!$AI$4:$AI$15, 'NRCan Fuel Guide'!$AF$4:$AF$15=250))/SUM(_xlfn._xlws.FILTER('NRCan Fuel Guide'!$AI$4:$AI$15, 'NRCan Fuel Guide'!$AF$4:$AF$15=250))</f>
        <v>18.939616269146214</v>
      </c>
      <c r="BA10" s="17" t="s">
        <v>975</v>
      </c>
      <c r="BB10" s="73" cm="1">
        <f t="array" ref="BB10">1/AVERAGE(_xlfn._xlws.FILTER('ANL-DOE-LDV Data'!$AX:$AX, ('ANL-DOE-LDV Data'!$A:$A=$BA10)*('ANL-DOE-LDV Data'!$B:$B=BB$2-5)*('ANL-DOE-LDV Data'!$D:$D="Compact_B")))</f>
        <v>2.0658697865539684</v>
      </c>
      <c r="BC10" s="73" cm="1">
        <f t="array" ref="BC10">1/AVERAGE(_xlfn._xlws.FILTER('ANL-DOE-LDV Data'!$AX:$AX, ('ANL-DOE-LDV Data'!$A:$A=$BA10)*('ANL-DOE-LDV Data'!$B:$B=BC$2-5)*('ANL-DOE-LDV Data'!$D:$D="Compact_B")))</f>
        <v>2.1584856141225357</v>
      </c>
      <c r="BD10" s="73" cm="1">
        <f t="array" ref="BD10">1/AVERAGE(_xlfn._xlws.FILTER('ANL-DOE-LDV Data'!$AX:$AX, ('ANL-DOE-LDV Data'!$A:$A=$BA10)*('ANL-DOE-LDV Data'!$B:$B=BD$2-5)*('ANL-DOE-LDV Data'!$D:$D="Compact_B")))</f>
        <v>2.2119604054526678</v>
      </c>
      <c r="BE10" s="73" cm="1">
        <f t="array" ref="BE10">1/AVERAGE(_xlfn._xlws.FILTER('ANL-DOE-LDV Data'!$AX:$AX, ('ANL-DOE-LDV Data'!$A:$A=$BA10)*('ANL-DOE-LDV Data'!$B:$B=BE$2-5)*('ANL-DOE-LDV Data'!$D:$D="Compact_B")))</f>
        <v>2.4277371302858928</v>
      </c>
      <c r="BF10" s="73">
        <f t="shared" si="3"/>
        <v>2.514127047834287</v>
      </c>
      <c r="BG10" s="73">
        <f t="shared" si="3"/>
        <v>2.6005169653826812</v>
      </c>
      <c r="BH10" s="73" cm="1">
        <f t="array" ref="BH10">1/AVERAGE(_xlfn._xlws.FILTER('ANL-DOE-LDV Data'!$AX:$AX, ('ANL-DOE-LDV Data'!$A:$A=$BA10)*('ANL-DOE-LDV Data'!$B:$B=BH$2-5)*('ANL-DOE-LDV Data'!$D:$D="Compact_B")))</f>
        <v>2.6869068829310749</v>
      </c>
      <c r="BI10" s="102">
        <f t="shared" si="4"/>
        <v>0.30061773516376594</v>
      </c>
      <c r="BK10" s="17" t="s">
        <v>975</v>
      </c>
      <c r="BL10" s="88">
        <f t="shared" si="5"/>
        <v>1.4703157352162044</v>
      </c>
      <c r="BM10" s="88">
        <f t="shared" si="5"/>
        <v>1.4070609741784621</v>
      </c>
      <c r="BN10" s="88">
        <f t="shared" si="5"/>
        <v>1.3753805257504772</v>
      </c>
      <c r="BO10" s="88">
        <f t="shared" si="5"/>
        <v>1.2509996881361485</v>
      </c>
      <c r="BP10" s="88">
        <f t="shared" si="5"/>
        <v>1.2081324104344453</v>
      </c>
      <c r="BQ10" s="88">
        <f t="shared" si="5"/>
        <v>1.1681056156356575</v>
      </c>
      <c r="BR10" s="88">
        <f t="shared" si="5"/>
        <v>1.1306460322873759</v>
      </c>
      <c r="BS10" s="102">
        <f t="shared" si="6"/>
        <v>-0.23101820567735495</v>
      </c>
      <c r="CD10" s="33" t="s">
        <v>1587</v>
      </c>
      <c r="CL10" s="102"/>
      <c r="CN10" s="33" t="s">
        <v>1256</v>
      </c>
      <c r="CV10" s="102"/>
      <c r="DG10" s="17" t="s">
        <v>641</v>
      </c>
      <c r="DH10" s="73">
        <f>1/('GREET-AFLEET Summary'!P10*DSL_PJ_ML*10)</f>
        <v>0.10257695917624225</v>
      </c>
      <c r="DI10" s="73">
        <f>1/('GREET-AFLEET Summary'!Q10*DSL_PJ_ML*10)</f>
        <v>0.11467190839014792</v>
      </c>
      <c r="DJ10" s="73">
        <f>1/('GREET-AFLEET Summary'!R10*DSL_PJ_ML*10)</f>
        <v>0.1240705889190676</v>
      </c>
      <c r="DK10" s="73">
        <f>1/('GREET-AFLEET Summary'!S10*DSL_PJ_ML*10)</f>
        <v>0.12969858788668912</v>
      </c>
      <c r="DL10" s="73">
        <f>1/('GREET-AFLEET Summary'!T10*DSL_PJ_ML*10)</f>
        <v>0.13447336973405141</v>
      </c>
      <c r="DM10" s="73">
        <f>1/('GREET-AFLEET Summary'!U10*DSL_PJ_ML*10)</f>
        <v>0.13931377653199625</v>
      </c>
      <c r="DN10" s="73">
        <f>1/('GREET-AFLEET Summary'!V10*DSL_PJ_ML*10)</f>
        <v>0.14421980828052355</v>
      </c>
      <c r="DO10" s="102">
        <f t="shared" si="13"/>
        <v>0.40596689001798913</v>
      </c>
      <c r="DZ10" s="17" t="s">
        <v>1198</v>
      </c>
      <c r="EA10" s="88"/>
      <c r="EB10" s="88">
        <v>12.236854654262048</v>
      </c>
      <c r="EC10" s="88">
        <v>11.954336113050873</v>
      </c>
      <c r="ED10" s="88">
        <v>11.592806910871198</v>
      </c>
      <c r="EE10" s="88">
        <v>11.352324856466664</v>
      </c>
      <c r="EF10" s="88">
        <v>11.252811909447294</v>
      </c>
      <c r="EG10" s="88">
        <v>11.175385365254499</v>
      </c>
      <c r="EH10" s="102">
        <f t="shared" ref="EH10:EH11" si="27">(EG10-EB10)/EB10</f>
        <v>-8.6743637887195441E-2</v>
      </c>
      <c r="EJ10" s="4" t="s">
        <v>1224</v>
      </c>
      <c r="EK10" s="88"/>
      <c r="EL10" s="88"/>
      <c r="EM10" s="88"/>
      <c r="EN10" s="88"/>
      <c r="EO10" s="88"/>
      <c r="EP10" s="88"/>
      <c r="EQ10" s="88"/>
      <c r="ER10" s="102"/>
    </row>
    <row r="11" spans="1:148" x14ac:dyDescent="0.35">
      <c r="A11" t="s">
        <v>1086</v>
      </c>
      <c r="B11" t="s">
        <v>1094</v>
      </c>
      <c r="C11" t="s">
        <v>452</v>
      </c>
      <c r="D11" t="s">
        <v>2261</v>
      </c>
      <c r="E11" t="s">
        <v>1098</v>
      </c>
      <c r="F11">
        <v>2022</v>
      </c>
      <c r="G11" s="63" t="s">
        <v>282</v>
      </c>
      <c r="H11" s="71"/>
      <c r="I11" s="71"/>
      <c r="J11" s="71"/>
      <c r="K11" s="71"/>
      <c r="L11" s="71"/>
      <c r="M11" s="71"/>
      <c r="N11" s="71">
        <f>BA$87*$AU$46</f>
        <v>0.47888701050825122</v>
      </c>
      <c r="O11" s="71">
        <f>BB$87*$AU$46</f>
        <v>0.47899921339294893</v>
      </c>
      <c r="P11" s="71">
        <f>BC$87*$AU$46</f>
        <v>0.47911180780445439</v>
      </c>
      <c r="Q11" s="71">
        <f>BD$87*$AU$46</f>
        <v>0.47922395834394704</v>
      </c>
      <c r="R11" s="71">
        <f>BE$87*$AV$46</f>
        <v>0.53815616348409212</v>
      </c>
      <c r="S11" s="71">
        <f>BF$87*$AV$46</f>
        <v>0.53828215899724574</v>
      </c>
      <c r="T11" s="71">
        <f>BG$87*$AV$46</f>
        <v>0.5384081530884629</v>
      </c>
      <c r="U11" s="71">
        <f>BH$87*$AV$46</f>
        <v>0.53853421164120685</v>
      </c>
      <c r="V11" s="71">
        <f>BI$87*$AV$46</f>
        <v>0.53866019373985574</v>
      </c>
      <c r="W11" s="71">
        <f>BJ$87*$AW$46</f>
        <v>0.6233302147944072</v>
      </c>
      <c r="X11" s="71">
        <f>BK$87*$AW$46</f>
        <v>0.62347571549571579</v>
      </c>
      <c r="Y11" s="71">
        <f>BL$87*$AW$46</f>
        <v>0.62362140601222393</v>
      </c>
      <c r="Z11" s="71">
        <f>BM$87*$AW$46</f>
        <v>0.62376738666470632</v>
      </c>
      <c r="AA11" s="71">
        <f>BN$87*$AX$46</f>
        <v>0.74459588542454336</v>
      </c>
      <c r="AB11" s="71">
        <f>BO$87*$AX$46</f>
        <v>0.74476973241052502</v>
      </c>
      <c r="AC11" s="305"/>
      <c r="AE11" s="71"/>
      <c r="AF11" s="71"/>
      <c r="AG11" s="71"/>
      <c r="AH11" s="71"/>
      <c r="AI11" s="71"/>
      <c r="AJ11" s="415"/>
      <c r="AK11" s="66" t="s">
        <v>2238</v>
      </c>
      <c r="AL11">
        <v>2</v>
      </c>
      <c r="AM11">
        <v>1</v>
      </c>
      <c r="AN11">
        <v>1</v>
      </c>
      <c r="AO11">
        <v>2</v>
      </c>
      <c r="AP11">
        <v>1</v>
      </c>
      <c r="AT11" s="17" t="s">
        <v>576</v>
      </c>
      <c r="AU11" s="88"/>
      <c r="AV11" s="88" cm="1">
        <f t="array" ref="AV11">SUMPRODUCT(_xlfn._xlws.FILTER('NRCan Fuel Guide'!$AG$4:$AG$15, 'NRCan Fuel Guide'!$AF$4:$AF$15=500), _xlfn._xlws.FILTER('NRCan Fuel Guide'!$AI$4:$AI$15, 'NRCan Fuel Guide'!$AF$4:$AF$15=500))/SUM(_xlfn._xlws.FILTER('NRCan Fuel Guide'!$AI$4:$AI$15, 'NRCan Fuel Guide'!$AF$4:$AF$15=500))</f>
        <v>24.330432090968444</v>
      </c>
      <c r="AW11" s="88" cm="1">
        <f t="array" ref="AW11">SUMPRODUCT(_xlfn._xlws.FILTER('NRCan Fuel Guide'!$AG$4:$AG$15, 'NRCan Fuel Guide'!$AF$4:$AF$15=500), _xlfn._xlws.FILTER('NRCan Fuel Guide'!$AI$4:$AI$15, 'NRCan Fuel Guide'!$AF$4:$AF$15=500))/SUM(_xlfn._xlws.FILTER('NRCan Fuel Guide'!$AI$4:$AI$15, 'NRCan Fuel Guide'!$AF$4:$AF$15=500))</f>
        <v>24.330432090968444</v>
      </c>
      <c r="AX11" s="88" cm="1">
        <f t="array" ref="AX11">SUMPRODUCT(_xlfn._xlws.FILTER('NRCan Fuel Guide'!$AG$4:$AG$15, 'NRCan Fuel Guide'!$AF$4:$AF$15=500), _xlfn._xlws.FILTER('NRCan Fuel Guide'!$AI$4:$AI$15, 'NRCan Fuel Guide'!$AF$4:$AF$15=500))/SUM(_xlfn._xlws.FILTER('NRCan Fuel Guide'!$AI$4:$AI$15, 'NRCan Fuel Guide'!$AF$4:$AF$15=500))</f>
        <v>24.330432090968444</v>
      </c>
      <c r="AY11" s="88" cm="1">
        <f t="array" ref="AY11">SUMPRODUCT(_xlfn._xlws.FILTER('NRCan Fuel Guide'!$AG$4:$AG$15, 'NRCan Fuel Guide'!$AF$4:$AF$15=500), _xlfn._xlws.FILTER('NRCan Fuel Guide'!$AI$4:$AI$15, 'NRCan Fuel Guide'!$AF$4:$AF$15=500))/SUM(_xlfn._xlws.FILTER('NRCan Fuel Guide'!$AI$4:$AI$15, 'NRCan Fuel Guide'!$AF$4:$AF$15=500))</f>
        <v>24.330432090968444</v>
      </c>
      <c r="BA11" s="17" t="s">
        <v>979</v>
      </c>
      <c r="BB11" s="73" cm="1">
        <f t="array" ref="BB11">1/AVERAGE(_xlfn._xlws.FILTER('ANL-DOE-LDV Data'!$AX:$AX, ('ANL-DOE-LDV Data'!$A:$A=$BA11)*('ANL-DOE-LDV Data'!$B:$B=BB$2-5)*('ANL-DOE-LDV Data'!$D:$D="Compact_B")))</f>
        <v>1.9708572616642168</v>
      </c>
      <c r="BC11" s="73" cm="1">
        <f t="array" ref="BC11">1/AVERAGE(_xlfn._xlws.FILTER('ANL-DOE-LDV Data'!$AX:$AX, ('ANL-DOE-LDV Data'!$A:$A=$BA11)*('ANL-DOE-LDV Data'!$B:$B=BC$2-5)*('ANL-DOE-LDV Data'!$D:$D="Compact_B")))</f>
        <v>2.0646113273395343</v>
      </c>
      <c r="BD11" s="73" cm="1">
        <f t="array" ref="BD11">1/AVERAGE(_xlfn._xlws.FILTER('ANL-DOE-LDV Data'!$AX:$AX, ('ANL-DOE-LDV Data'!$A:$A=$BA11)*('ANL-DOE-LDV Data'!$B:$B=BD$2-5)*('ANL-DOE-LDV Data'!$D:$D="Compact_B")))</f>
        <v>2.1296759364026698</v>
      </c>
      <c r="BE11" s="73" cm="1">
        <f t="array" ref="BE11">1/AVERAGE(_xlfn._xlws.FILTER('ANL-DOE-LDV Data'!$AX:$AX, ('ANL-DOE-LDV Data'!$A:$A=$BA11)*('ANL-DOE-LDV Data'!$B:$B=BE$2-5)*('ANL-DOE-LDV Data'!$D:$D="Compact_B")))</f>
        <v>2.3493337344324106</v>
      </c>
      <c r="BF11" s="73">
        <f t="shared" si="3"/>
        <v>2.4347499053763308</v>
      </c>
      <c r="BG11" s="73">
        <f t="shared" si="3"/>
        <v>2.5201660763202511</v>
      </c>
      <c r="BH11" s="73" cm="1">
        <f t="array" ref="BH11">1/AVERAGE(_xlfn._xlws.FILTER('ANL-DOE-LDV Data'!$AX:$AX, ('ANL-DOE-LDV Data'!$A:$A=$BA11)*('ANL-DOE-LDV Data'!$B:$B=BH$2-5)*('ANL-DOE-LDV Data'!$D:$D="Compact_B")))</f>
        <v>2.6055822472641719</v>
      </c>
      <c r="BI11" s="102">
        <f t="shared" si="4"/>
        <v>0.32205527916516147</v>
      </c>
      <c r="BK11" s="17" t="s">
        <v>979</v>
      </c>
      <c r="BL11" s="88">
        <f t="shared" si="5"/>
        <v>1.5403315694962498</v>
      </c>
      <c r="BM11" s="88">
        <f t="shared" si="5"/>
        <v>1.4712799640370724</v>
      </c>
      <c r="BN11" s="88">
        <f t="shared" si="5"/>
        <v>1.4267718323804761</v>
      </c>
      <c r="BO11" s="88">
        <f t="shared" si="5"/>
        <v>1.2931259618144111</v>
      </c>
      <c r="BP11" s="88">
        <f t="shared" si="5"/>
        <v>1.2476474897420853</v>
      </c>
      <c r="BQ11" s="88">
        <f t="shared" si="5"/>
        <v>1.2052592381556249</v>
      </c>
      <c r="BR11" s="88">
        <f t="shared" si="5"/>
        <v>1.1656565898125388</v>
      </c>
      <c r="BS11" s="102">
        <f t="shared" si="6"/>
        <v>-0.24324306993606884</v>
      </c>
      <c r="CD11" s="17" t="s">
        <v>1017</v>
      </c>
      <c r="CE11" s="439" cm="1">
        <f t="array" ref="CE11">1/AVERAGE(_xlfn._xlws.FILTER('ANL-DOE-MHDV Data'!$AX:$AX,('ANL-DOE-MHDV Data'!$A:$A=$CD11)*('ANL-DOE-MHDV Data'!$B:$B=CE$2)*('ANL-DOE-MHDV Data'!$E:$E="Medium 4")))</f>
        <v>0.12424478267661861</v>
      </c>
      <c r="CF11" s="439" cm="1">
        <f t="array" ref="CF11">1/AVERAGE(_xlfn._xlws.FILTER('ANL-DOE-MHDV Data'!$AX:$AX,('ANL-DOE-MHDV Data'!$A:$A=$CD11)*('ANL-DOE-MHDV Data'!$B:$B=CF$2)*('ANL-DOE-MHDV Data'!$E:$E="Medium 4")))</f>
        <v>0.13288485986037787</v>
      </c>
      <c r="CG11" s="439" cm="1">
        <f t="array" ref="CG11">1/AVERAGE(_xlfn._xlws.FILTER('ANL-DOE-MHDV Data'!$AX:$AX,('ANL-DOE-MHDV Data'!$A:$A=$CD11)*('ANL-DOE-MHDV Data'!$B:$B=CG$2)*('ANL-DOE-MHDV Data'!$E:$E="Medium 4")))</f>
        <v>0.14186480225127218</v>
      </c>
      <c r="CH11" s="439" cm="1">
        <f t="array" ref="CH11">1/AVERAGE(_xlfn._xlws.FILTER('ANL-DOE-MHDV Data'!$AX:$AX,('ANL-DOE-MHDV Data'!$A:$A=$CD11)*('ANL-DOE-MHDV Data'!$B:$B=CH$2)*('ANL-DOE-MHDV Data'!$E:$E="Medium 4")))</f>
        <v>0.14826844640198306</v>
      </c>
      <c r="CI11" s="439">
        <f t="shared" ref="CI11:CJ11" si="28">($CK11-$CH11)/3 + CH11</f>
        <v>0.15397854784251408</v>
      </c>
      <c r="CJ11" s="439">
        <f t="shared" si="28"/>
        <v>0.1596886492830451</v>
      </c>
      <c r="CK11" s="439" cm="1">
        <f t="array" ref="CK11">1/AVERAGE(_xlfn._xlws.FILTER('ANL-DOE-MHDV Data'!$AX:$AX,('ANL-DOE-MHDV Data'!$A:$A=$CD11)*('ANL-DOE-MHDV Data'!$B:$B=CK$2)*('ANL-DOE-MHDV Data'!$E:$E="Medium 4")))</f>
        <v>0.16539875072357613</v>
      </c>
      <c r="CL11" s="102">
        <f t="shared" si="11"/>
        <v>0.33123296737595898</v>
      </c>
      <c r="CN11" s="17" t="s">
        <v>1017</v>
      </c>
      <c r="CO11" s="88">
        <f t="shared" ref="CO11:CU16" si="29">1/(CO42*DSL_PJ_ML*10)</f>
        <v>53.648726818689241</v>
      </c>
      <c r="CP11" s="88">
        <f t="shared" si="29"/>
        <v>50.698033541401237</v>
      </c>
      <c r="CQ11" s="88">
        <f t="shared" si="29"/>
        <v>47.99915406045784</v>
      </c>
      <c r="CR11" s="88">
        <f t="shared" si="29"/>
        <v>46.161099460789984</v>
      </c>
      <c r="CS11" s="88">
        <f t="shared" si="29"/>
        <v>44.927487169457699</v>
      </c>
      <c r="CT11" s="88">
        <f t="shared" si="29"/>
        <v>43.758092983018003</v>
      </c>
      <c r="CU11" s="88">
        <f t="shared" si="29"/>
        <v>42.648029611290973</v>
      </c>
      <c r="CV11" s="102">
        <f t="shared" si="12"/>
        <v>-0.2050504804070398</v>
      </c>
      <c r="DG11" s="17" t="s">
        <v>246</v>
      </c>
      <c r="DH11" s="73">
        <f>1/('GREET-AFLEET Summary'!P11*DSL_PJ_ML*10)</f>
        <v>0.29165538392647977</v>
      </c>
      <c r="DI11" s="73">
        <f>1/('GREET-AFLEET Summary'!Q11*DSL_PJ_ML*10)</f>
        <v>0.32871607948773396</v>
      </c>
      <c r="DJ11" s="73">
        <f>1/('GREET-AFLEET Summary'!R11*DSL_PJ_ML*10)</f>
        <v>0.36301686934428395</v>
      </c>
      <c r="DK11" s="73">
        <f>1/('GREET-AFLEET Summary'!S11*DSL_PJ_ML*10)</f>
        <v>0.38944547571339322</v>
      </c>
      <c r="DL11" s="73">
        <f>1/('GREET-AFLEET Summary'!T11*DSL_PJ_ML*10)</f>
        <v>0.40632344121728042</v>
      </c>
      <c r="DM11" s="73">
        <f>1/('GREET-AFLEET Summary'!U11*DSL_PJ_ML*10)</f>
        <v>0.42353345597159864</v>
      </c>
      <c r="DN11" s="73">
        <f>1/('GREET-AFLEET Summary'!V11*DSL_PJ_ML*10)</f>
        <v>0.44107551997634792</v>
      </c>
      <c r="DO11" s="102">
        <f t="shared" si="13"/>
        <v>0.51231742763759114</v>
      </c>
      <c r="DZ11" s="17" t="s">
        <v>627</v>
      </c>
      <c r="EA11" s="88"/>
      <c r="EB11" s="88">
        <v>13.582143080610157</v>
      </c>
      <c r="EC11" s="88">
        <v>14.245966188199413</v>
      </c>
      <c r="ED11" s="88">
        <v>14.374562426993016</v>
      </c>
      <c r="EE11" s="88">
        <v>14.417946789637236</v>
      </c>
      <c r="EF11" s="88">
        <v>14.437559649554949</v>
      </c>
      <c r="EG11" s="88">
        <v>14.463464804137375</v>
      </c>
      <c r="EH11" s="102">
        <f t="shared" si="27"/>
        <v>6.4888266770314895E-2</v>
      </c>
      <c r="EJ11" s="224" t="s">
        <v>109</v>
      </c>
      <c r="EK11" s="88">
        <f>L_100km_to_mpg/'Background Data'!BC37</f>
        <v>35.638654430519416</v>
      </c>
      <c r="EL11" s="88">
        <f>L_100km_to_mpg/'Background Data'!BD37</f>
        <v>28.684770639198558</v>
      </c>
      <c r="EM11" s="88">
        <f t="shared" ref="EM11:EP11" si="30">($EQ11-$EL11)/(6-1) + EL11</f>
        <v>27.344360796245354</v>
      </c>
      <c r="EN11" s="88">
        <f t="shared" si="30"/>
        <v>26.003950953292151</v>
      </c>
      <c r="EO11" s="88">
        <f t="shared" si="30"/>
        <v>24.663541110338947</v>
      </c>
      <c r="EP11" s="88">
        <f t="shared" si="30"/>
        <v>23.323131267385744</v>
      </c>
      <c r="EQ11" s="88">
        <f>L_100km_to_mpg/'Background Data'!BE37</f>
        <v>21.982721424432537</v>
      </c>
      <c r="ER11" s="102">
        <f t="shared" si="16"/>
        <v>-0.38317757009345793</v>
      </c>
    </row>
    <row r="12" spans="1:148" x14ac:dyDescent="0.35">
      <c r="A12" t="s">
        <v>1096</v>
      </c>
      <c r="B12" t="s">
        <v>2071</v>
      </c>
      <c r="C12" t="s">
        <v>452</v>
      </c>
      <c r="D12" t="s">
        <v>2261</v>
      </c>
      <c r="E12" t="s">
        <v>1098</v>
      </c>
      <c r="F12">
        <v>2022</v>
      </c>
      <c r="G12" s="63" t="s">
        <v>282</v>
      </c>
      <c r="H12" s="71"/>
      <c r="I12" s="71"/>
      <c r="J12" s="71"/>
      <c r="K12" s="71"/>
      <c r="L12" s="71"/>
      <c r="M12" s="71"/>
      <c r="N12" s="71">
        <f t="shared" ref="N12:V12" si="31">BA$87*$AV$47</f>
        <v>1.2978892382138771</v>
      </c>
      <c r="O12" s="71">
        <f t="shared" si="31"/>
        <v>1.2981933327358628</v>
      </c>
      <c r="P12" s="71">
        <f t="shared" si="31"/>
        <v>1.2984984883817028</v>
      </c>
      <c r="Q12" s="71">
        <f t="shared" si="31"/>
        <v>1.2988024410366577</v>
      </c>
      <c r="R12" s="71">
        <f t="shared" si="31"/>
        <v>1.2991055920911829</v>
      </c>
      <c r="S12" s="71">
        <f t="shared" si="31"/>
        <v>1.2994097444670594</v>
      </c>
      <c r="T12" s="71">
        <f t="shared" si="31"/>
        <v>1.2997138934103902</v>
      </c>
      <c r="U12" s="71">
        <f t="shared" si="31"/>
        <v>1.3000181979634411</v>
      </c>
      <c r="V12" s="71">
        <f t="shared" si="31"/>
        <v>1.3003223179567875</v>
      </c>
      <c r="W12" s="71">
        <f>BJ$87*$AW$47</f>
        <v>1.3006268150323324</v>
      </c>
      <c r="X12" s="71">
        <f>BK$87*$AW$47</f>
        <v>1.3009304135251318</v>
      </c>
      <c r="Y12" s="71">
        <f>BL$87*$AW$47</f>
        <v>1.3012344080820599</v>
      </c>
      <c r="Z12" s="71">
        <f>BM$87*$AW$47</f>
        <v>1.3015390080301905</v>
      </c>
      <c r="AA12" s="71">
        <f>BN$87*$AX$47</f>
        <v>1.3018429684299162</v>
      </c>
      <c r="AB12" s="71">
        <f>BO$87*$AX$47</f>
        <v>1.3021469205208602</v>
      </c>
      <c r="AC12" s="305"/>
      <c r="AE12" s="71"/>
      <c r="AF12" s="71"/>
      <c r="AG12" s="71"/>
      <c r="AH12" s="71"/>
      <c r="AI12" s="71"/>
      <c r="AJ12" s="415"/>
      <c r="AK12" s="66" t="s">
        <v>2240</v>
      </c>
      <c r="AL12">
        <v>2</v>
      </c>
      <c r="AM12">
        <v>1</v>
      </c>
      <c r="AN12">
        <v>1</v>
      </c>
      <c r="AO12">
        <v>2</v>
      </c>
      <c r="AP12">
        <v>1</v>
      </c>
      <c r="AT12" s="17" t="s">
        <v>577</v>
      </c>
      <c r="AU12" s="88"/>
      <c r="AV12" s="88" cm="1">
        <f t="array" ref="AV12">SUMPRODUCT(_xlfn._xlws.FILTER('NRCan Fuel Guide'!$AG$4:$AG$15, 'NRCan Fuel Guide'!$AF$4:$AF$15=800), _xlfn._xlws.FILTER('NRCan Fuel Guide'!$AI$4:$AI$15, 'NRCan Fuel Guide'!$AF$4:$AF$15=800))/SUM(_xlfn._xlws.FILTER('NRCan Fuel Guide'!$AI$4:$AI$15, 'NRCan Fuel Guide'!$AF$4:$AF$15=800))</f>
        <v>17.278703763989107</v>
      </c>
      <c r="AW12" s="88" cm="1">
        <f t="array" ref="AW12">SUMPRODUCT(_xlfn._xlws.FILTER('NRCan Fuel Guide'!$AG$4:$AG$15, 'NRCan Fuel Guide'!$AF$4:$AF$15=800), _xlfn._xlws.FILTER('NRCan Fuel Guide'!$AI$4:$AI$15, 'NRCan Fuel Guide'!$AF$4:$AF$15=800))/SUM(_xlfn._xlws.FILTER('NRCan Fuel Guide'!$AI$4:$AI$15, 'NRCan Fuel Guide'!$AF$4:$AF$15=800))</f>
        <v>17.278703763989107</v>
      </c>
      <c r="AX12" s="88" cm="1">
        <f t="array" ref="AX12">SUMPRODUCT(_xlfn._xlws.FILTER('NRCan Fuel Guide'!$AG$4:$AG$15, 'NRCan Fuel Guide'!$AF$4:$AF$15=800), _xlfn._xlws.FILTER('NRCan Fuel Guide'!$AI$4:$AI$15, 'NRCan Fuel Guide'!$AF$4:$AF$15=800))/SUM(_xlfn._xlws.FILTER('NRCan Fuel Guide'!$AI$4:$AI$15, 'NRCan Fuel Guide'!$AF$4:$AF$15=800))</f>
        <v>17.278703763989107</v>
      </c>
      <c r="AY12" s="88" cm="1">
        <f t="array" ref="AY12">SUMPRODUCT(_xlfn._xlws.FILTER('NRCan Fuel Guide'!$AG$4:$AG$15, 'NRCan Fuel Guide'!$AF$4:$AF$15=800), _xlfn._xlws.FILTER('NRCan Fuel Guide'!$AI$4:$AI$15, 'NRCan Fuel Guide'!$AF$4:$AF$15=800))/SUM(_xlfn._xlws.FILTER('NRCan Fuel Guide'!$AI$4:$AI$15, 'NRCan Fuel Guide'!$AF$4:$AF$15=800))</f>
        <v>17.278703763989107</v>
      </c>
      <c r="BA12" s="17" t="s">
        <v>980</v>
      </c>
      <c r="BB12" s="73" cm="1">
        <f t="array" ref="BB12">1/AVERAGE(_xlfn._xlws.FILTER('ANL-DOE-LDV Data'!$AX:$AX, ('ANL-DOE-LDV Data'!$A:$A=$BA12)*('ANL-DOE-LDV Data'!$B:$B=BB$2-5)*('ANL-DOE-LDV Data'!$D:$D="Compact_B")))</f>
        <v>1.7716934964510747</v>
      </c>
      <c r="BC12" s="73" cm="1">
        <f t="array" ref="BC12">1/AVERAGE(_xlfn._xlws.FILTER('ANL-DOE-LDV Data'!$AX:$AX, ('ANL-DOE-LDV Data'!$A:$A=$BA12)*('ANL-DOE-LDV Data'!$B:$B=BC$2-5)*('ANL-DOE-LDV Data'!$D:$D="Compact_B")))</f>
        <v>1.8547451551475196</v>
      </c>
      <c r="BD12" s="73" cm="1">
        <f t="array" ref="BD12">1/AVERAGE(_xlfn._xlws.FILTER('ANL-DOE-LDV Data'!$AX:$AX, ('ANL-DOE-LDV Data'!$A:$A=$BA12)*('ANL-DOE-LDV Data'!$B:$B=BD$2-5)*('ANL-DOE-LDV Data'!$D:$D="Compact_B")))</f>
        <v>1.941383318816799</v>
      </c>
      <c r="BE12" s="73" cm="1">
        <f t="array" ref="BE12">1/AVERAGE(_xlfn._xlws.FILTER('ANL-DOE-LDV Data'!$AX:$AX, ('ANL-DOE-LDV Data'!$A:$A=$BA12)*('ANL-DOE-LDV Data'!$B:$B=BE$2-5)*('ANL-DOE-LDV Data'!$D:$D="Compact_B")))</f>
        <v>2.1451089600435145</v>
      </c>
      <c r="BF12" s="73">
        <f t="shared" si="3"/>
        <v>2.229795534880167</v>
      </c>
      <c r="BG12" s="73">
        <f t="shared" si="3"/>
        <v>2.3144821097168196</v>
      </c>
      <c r="BH12" s="73" cm="1">
        <f t="array" ref="BH12">1/AVERAGE(_xlfn._xlws.FILTER('ANL-DOE-LDV Data'!$AX:$AX, ('ANL-DOE-LDV Data'!$A:$A=$BA12)*('ANL-DOE-LDV Data'!$B:$B=BH$2-5)*('ANL-DOE-LDV Data'!$D:$D="Compact_B")))</f>
        <v>2.3991686845534717</v>
      </c>
      <c r="BI12" s="102">
        <f t="shared" si="4"/>
        <v>0.35416689701650361</v>
      </c>
      <c r="BK12" s="17" t="s">
        <v>980</v>
      </c>
      <c r="BL12" s="88">
        <f t="shared" si="5"/>
        <v>1.7176704782258811</v>
      </c>
      <c r="BM12" s="88">
        <f t="shared" si="5"/>
        <v>1.6405115577690155</v>
      </c>
      <c r="BN12" s="88">
        <f t="shared" si="5"/>
        <v>1.5664676144245471</v>
      </c>
      <c r="BO12" s="88">
        <f t="shared" si="5"/>
        <v>1.4181368428311563</v>
      </c>
      <c r="BP12" s="88">
        <f t="shared" si="5"/>
        <v>1.3642079247704815</v>
      </c>
      <c r="BQ12" s="88">
        <f t="shared" si="5"/>
        <v>1.3142303630696384</v>
      </c>
      <c r="BR12" s="88">
        <f t="shared" si="5"/>
        <v>1.2677852328602173</v>
      </c>
      <c r="BS12" s="102">
        <f t="shared" si="6"/>
        <v>-0.26191592105042977</v>
      </c>
      <c r="CD12" s="17" t="s">
        <v>1020</v>
      </c>
      <c r="CE12" s="439" cm="1">
        <f t="array" ref="CE12">1/AVERAGE(_xlfn._xlws.FILTER('ANL-DOE-MHDV Data'!$AX:$AX,('ANL-DOE-MHDV Data'!$A:$A=$CD12)*('ANL-DOE-MHDV Data'!$B:$B=CE$2)*('ANL-DOE-MHDV Data'!$E:$E="Medium 4")))</f>
        <v>0.17448466812500196</v>
      </c>
      <c r="CF12" s="439" cm="1">
        <f t="array" ref="CF12">1/AVERAGE(_xlfn._xlws.FILTER('ANL-DOE-MHDV Data'!$AX:$AX,('ANL-DOE-MHDV Data'!$A:$A=$CD12)*('ANL-DOE-MHDV Data'!$B:$B=CF$2)*('ANL-DOE-MHDV Data'!$E:$E="Medium 4")))</f>
        <v>0.19021828243044536</v>
      </c>
      <c r="CG12" s="439" cm="1">
        <f t="array" ref="CG12">1/AVERAGE(_xlfn._xlws.FILTER('ANL-DOE-MHDV Data'!$AX:$AX,('ANL-DOE-MHDV Data'!$A:$A=$CD12)*('ANL-DOE-MHDV Data'!$B:$B=CG$2)*('ANL-DOE-MHDV Data'!$E:$E="Medium 4")))</f>
        <v>0.20459075307778493</v>
      </c>
      <c r="CH12" s="439" cm="1">
        <f t="array" ref="CH12">1/AVERAGE(_xlfn._xlws.FILTER('ANL-DOE-MHDV Data'!$AX:$AX,('ANL-DOE-MHDV Data'!$A:$A=$CD12)*('ANL-DOE-MHDV Data'!$B:$B=CH$2)*('ANL-DOE-MHDV Data'!$E:$E="Medium 4")))</f>
        <v>0.21787477717063494</v>
      </c>
      <c r="CI12" s="439">
        <f t="shared" ref="CI12:CJ12" si="32">($CK12-$CH12)/3 + CH12</f>
        <v>0.22843636574627008</v>
      </c>
      <c r="CJ12" s="439">
        <f t="shared" si="32"/>
        <v>0.23899795432190521</v>
      </c>
      <c r="CK12" s="439" cm="1">
        <f t="array" ref="CK12">1/AVERAGE(_xlfn._xlws.FILTER('ANL-DOE-MHDV Data'!$AX:$AX,('ANL-DOE-MHDV Data'!$A:$A=$CD12)*('ANL-DOE-MHDV Data'!$B:$B=CK$2)*('ANL-DOE-MHDV Data'!$E:$E="Medium 4")))</f>
        <v>0.24955954289754032</v>
      </c>
      <c r="CL12" s="102">
        <f t="shared" si="11"/>
        <v>0.43026631267541637</v>
      </c>
      <c r="CN12" s="17" t="s">
        <v>1020</v>
      </c>
      <c r="CO12" s="88">
        <f t="shared" si="29"/>
        <v>41.927839747845915</v>
      </c>
      <c r="CP12" s="88">
        <f t="shared" si="29"/>
        <v>38.950597476418366</v>
      </c>
      <c r="CQ12" s="88">
        <f t="shared" si="29"/>
        <v>36.476615091940559</v>
      </c>
      <c r="CR12" s="88">
        <f t="shared" si="29"/>
        <v>35.510453183258178</v>
      </c>
      <c r="CS12" s="88">
        <f t="shared" si="29"/>
        <v>34.04009039425668</v>
      </c>
      <c r="CT12" s="88">
        <f t="shared" si="29"/>
        <v>32.68665129525175</v>
      </c>
      <c r="CU12" s="88">
        <f t="shared" si="29"/>
        <v>31.436722494368624</v>
      </c>
      <c r="CV12" s="102">
        <f t="shared" si="12"/>
        <v>-0.25021840659024852</v>
      </c>
      <c r="DG12" s="17" t="s">
        <v>627</v>
      </c>
      <c r="DH12" s="73">
        <f>1/('GREET-AFLEET Summary'!P12*DSL_PJ_ML*10)</f>
        <v>0.15922393663177903</v>
      </c>
      <c r="DI12" s="73">
        <f>1/('GREET-AFLEET Summary'!Q12*DSL_PJ_ML*10)</f>
        <v>0.17823628381242046</v>
      </c>
      <c r="DJ12" s="73">
        <f>1/('GREET-AFLEET Summary'!R12*DSL_PJ_ML*10)</f>
        <v>0.19649135494264541</v>
      </c>
      <c r="DK12" s="73">
        <f>1/('GREET-AFLEET Summary'!S12*DSL_PJ_ML*10)</f>
        <v>0.21131218213488409</v>
      </c>
      <c r="DL12" s="73">
        <f>1/('GREET-AFLEET Summary'!T12*DSL_PJ_ML*10)</f>
        <v>0.22122499832885237</v>
      </c>
      <c r="DM12" s="73">
        <f>1/('GREET-AFLEET Summary'!U12*DSL_PJ_ML*10)</f>
        <v>0.23135809229961507</v>
      </c>
      <c r="DN12" s="73">
        <f>1/('GREET-AFLEET Summary'!V12*DSL_PJ_ML*10)</f>
        <v>0.241711464047172</v>
      </c>
      <c r="DO12" s="102">
        <f t="shared" si="13"/>
        <v>0.51805984175704356</v>
      </c>
      <c r="DZ12" s="33" t="s">
        <v>1199</v>
      </c>
      <c r="EA12" s="88"/>
      <c r="EB12" s="88"/>
      <c r="EC12" s="88"/>
      <c r="ED12" s="88"/>
      <c r="EE12" s="88"/>
      <c r="EF12" s="88"/>
      <c r="EG12" s="88"/>
      <c r="EH12" s="102"/>
      <c r="EJ12" s="224" t="s">
        <v>246</v>
      </c>
      <c r="EK12" s="88">
        <f>L_100km_to_mpg/'Background Data'!BC38</f>
        <v>14.793403725875983</v>
      </c>
      <c r="EL12" s="88">
        <f>L_100km_to_mpg/'Background Data'!BD38</f>
        <v>12.578348622536264</v>
      </c>
      <c r="EM12" s="88">
        <f t="shared" ref="EM12:EP12" si="33">($EQ12-$EL12)/(6-1) + EL12</f>
        <v>11.922086955273503</v>
      </c>
      <c r="EN12" s="88">
        <f t="shared" si="33"/>
        <v>11.265825288010742</v>
      </c>
      <c r="EO12" s="88">
        <f t="shared" si="33"/>
        <v>10.609563620747981</v>
      </c>
      <c r="EP12" s="88">
        <f t="shared" si="33"/>
        <v>9.9533019534852194</v>
      </c>
      <c r="EQ12" s="88">
        <f>L_100km_to_mpg/'Background Data'!BE38</f>
        <v>9.2970402862224564</v>
      </c>
      <c r="ER12" s="102">
        <f t="shared" si="16"/>
        <v>-0.37154150197628455</v>
      </c>
    </row>
    <row r="13" spans="1:148" x14ac:dyDescent="0.35">
      <c r="A13" t="s">
        <v>1087</v>
      </c>
      <c r="B13" t="s">
        <v>1094</v>
      </c>
      <c r="C13" t="s">
        <v>453</v>
      </c>
      <c r="D13" t="s">
        <v>2261</v>
      </c>
      <c r="E13" t="s">
        <v>161</v>
      </c>
      <c r="F13">
        <v>2022</v>
      </c>
      <c r="G13" s="63" t="s">
        <v>283</v>
      </c>
      <c r="H13" s="71"/>
      <c r="I13" s="71"/>
      <c r="J13" s="71"/>
      <c r="K13" s="71"/>
      <c r="L13" s="71"/>
      <c r="M13" s="71"/>
      <c r="N13" s="71">
        <f>BA$88*$AU$43</f>
        <v>0.11912062277373552</v>
      </c>
      <c r="O13" s="71">
        <f>BB$88*$AU$43</f>
        <v>0.11983822108639762</v>
      </c>
      <c r="P13" s="71">
        <f>BC$88*$AU$43</f>
        <v>0.11983802167217632</v>
      </c>
      <c r="Q13" s="71">
        <f>BD$88*$AU$43</f>
        <v>0.11983805305191085</v>
      </c>
      <c r="R13" s="71">
        <f>BE$88*$AV$43</f>
        <v>0.13559718252161898</v>
      </c>
      <c r="S13" s="71">
        <f>BF$88*$AV$43</f>
        <v>0.13559717464218943</v>
      </c>
      <c r="T13" s="71">
        <f>BG$88*$AV$43</f>
        <v>0.13559716765493054</v>
      </c>
      <c r="U13" s="71">
        <f>BH$88*$AV$43</f>
        <v>0.13559712664224396</v>
      </c>
      <c r="V13" s="71">
        <f>BI$88*$AV$43</f>
        <v>0.13559712569386875</v>
      </c>
      <c r="W13" s="71">
        <f>BJ$88*$AW$43</f>
        <v>0.14547693011875124</v>
      </c>
      <c r="X13" s="71">
        <f>BK$88*$AW$43</f>
        <v>0.14547705046411932</v>
      </c>
      <c r="Y13" s="71">
        <f>BL$88*$AW$43</f>
        <v>0.1454770784069955</v>
      </c>
      <c r="Z13" s="71">
        <f>BM$88*$AW$43</f>
        <v>0.14547696601080951</v>
      </c>
      <c r="AA13" s="71">
        <f>BN$88*$AX$43</f>
        <v>0.14686494522628868</v>
      </c>
      <c r="AB13" s="71">
        <f>BO$88*$AX$43</f>
        <v>0.14686498324670749</v>
      </c>
      <c r="AC13" s="305"/>
      <c r="AE13" s="71"/>
      <c r="AF13" s="71"/>
      <c r="AG13" s="71"/>
      <c r="AH13" s="71"/>
      <c r="AI13" s="71"/>
      <c r="AJ13" s="415"/>
      <c r="AK13" s="66" t="s">
        <v>2238</v>
      </c>
      <c r="AL13">
        <v>2</v>
      </c>
      <c r="AM13">
        <v>1</v>
      </c>
      <c r="AN13">
        <v>1</v>
      </c>
      <c r="AO13">
        <v>1</v>
      </c>
      <c r="AP13">
        <v>1</v>
      </c>
      <c r="AT13" s="33" t="s">
        <v>573</v>
      </c>
      <c r="AU13" s="88"/>
      <c r="AV13" s="88"/>
      <c r="AW13" s="88"/>
      <c r="AX13" s="88"/>
      <c r="AY13" s="88"/>
      <c r="BA13" s="17" t="s">
        <v>981</v>
      </c>
      <c r="BB13" s="73" cm="1">
        <f t="array" ref="BB13">1/AVERAGE(_xlfn._xlws.FILTER('ANL-DOE-LDV Data'!$AX:$AX, ('ANL-DOE-LDV Data'!$A:$A=$BA13)*('ANL-DOE-LDV Data'!$B:$B=BB$2-5)*('ANL-DOE-LDV Data'!$D:$D="Compact_B")))</f>
        <v>1.5968523523739984</v>
      </c>
      <c r="BC13" s="73" cm="1">
        <f t="array" ref="BC13">1/AVERAGE(_xlfn._xlws.FILTER('ANL-DOE-LDV Data'!$AX:$AX, ('ANL-DOE-LDV Data'!$A:$A=$BA13)*('ANL-DOE-LDV Data'!$B:$B=BC$2-5)*('ANL-DOE-LDV Data'!$D:$D="Compact_B")))</f>
        <v>1.6692146363573503</v>
      </c>
      <c r="BD13" s="73" cm="1">
        <f t="array" ref="BD13">1/AVERAGE(_xlfn._xlws.FILTER('ANL-DOE-LDV Data'!$AX:$AX, ('ANL-DOE-LDV Data'!$A:$A=$BA13)*('ANL-DOE-LDV Data'!$B:$B=BD$2-5)*('ANL-DOE-LDV Data'!$D:$D="Compact_B")))</f>
        <v>1.787319837041706</v>
      </c>
      <c r="BE13" s="73" cm="1">
        <f t="array" ref="BE13">1/AVERAGE(_xlfn._xlws.FILTER('ANL-DOE-LDV Data'!$AX:$AX, ('ANL-DOE-LDV Data'!$A:$A=$BA13)*('ANL-DOE-LDV Data'!$B:$B=BE$2-5)*('ANL-DOE-LDV Data'!$D:$D="Compact_B")))</f>
        <v>1.9697961621335771</v>
      </c>
      <c r="BF13" s="73">
        <f t="shared" si="3"/>
        <v>2.0498299466492407</v>
      </c>
      <c r="BG13" s="73">
        <f t="shared" si="3"/>
        <v>2.129863731164904</v>
      </c>
      <c r="BH13" s="73" cm="1">
        <f t="array" ref="BH13">1/AVERAGE(_xlfn._xlws.FILTER('ANL-DOE-LDV Data'!$AX:$AX, ('ANL-DOE-LDV Data'!$A:$A=$BA13)*('ANL-DOE-LDV Data'!$B:$B=BH$2-5)*('ANL-DOE-LDV Data'!$D:$D="Compact_B")))</f>
        <v>2.2098975156805678</v>
      </c>
      <c r="BI13" s="102">
        <f t="shared" si="4"/>
        <v>0.38390848245623421</v>
      </c>
      <c r="BK13" s="17" t="s">
        <v>981</v>
      </c>
      <c r="BL13" s="88">
        <f t="shared" si="5"/>
        <v>1.9097843494178706</v>
      </c>
      <c r="BM13" s="88">
        <f t="shared" si="5"/>
        <v>1.826539209001135</v>
      </c>
      <c r="BN13" s="88">
        <f t="shared" si="5"/>
        <v>1.7051897091232644</v>
      </c>
      <c r="BO13" s="88">
        <f t="shared" si="5"/>
        <v>1.5473431861668101</v>
      </c>
      <c r="BP13" s="88">
        <f t="shared" si="5"/>
        <v>1.4869681548402809</v>
      </c>
      <c r="BQ13" s="88">
        <f t="shared" si="5"/>
        <v>1.4311276798408707</v>
      </c>
      <c r="BR13" s="88">
        <f t="shared" si="5"/>
        <v>1.3793293894492604</v>
      </c>
      <c r="BS13" s="102">
        <f t="shared" si="6"/>
        <v>-0.27775647032100792</v>
      </c>
      <c r="CD13" s="17" t="s">
        <v>1021</v>
      </c>
      <c r="CE13" s="439" cm="1">
        <f t="array" ref="CE13">1/AVERAGE(_xlfn._xlws.FILTER('ANL-DOE-MHDV Data'!$AX:$AX,('ANL-DOE-MHDV Data'!$A:$A=$CD13)*('ANL-DOE-MHDV Data'!$B:$B=CE$2)*('ANL-DOE-MHDV Data'!$E:$E="Medium 4")))</f>
        <v>0.45646288014147091</v>
      </c>
      <c r="CF13" s="439" cm="1">
        <f t="array" ref="CF13">1/AVERAGE(_xlfn._xlws.FILTER('ANL-DOE-MHDV Data'!$AX:$AX,('ANL-DOE-MHDV Data'!$A:$A=$CD13)*('ANL-DOE-MHDV Data'!$B:$B=CF$2)*('ANL-DOE-MHDV Data'!$E:$E="Medium 4")))</f>
        <v>0.50351449552886318</v>
      </c>
      <c r="CG13" s="439" cm="1">
        <f t="array" ref="CG13">1/AVERAGE(_xlfn._xlws.FILTER('ANL-DOE-MHDV Data'!$AX:$AX,('ANL-DOE-MHDV Data'!$A:$A=$CD13)*('ANL-DOE-MHDV Data'!$B:$B=CG$2)*('ANL-DOE-MHDV Data'!$E:$E="Medium 4")))</f>
        <v>0.54555475363892392</v>
      </c>
      <c r="CH13" s="439" cm="1">
        <f t="array" ref="CH13">1/AVERAGE(_xlfn._xlws.FILTER('ANL-DOE-MHDV Data'!$AX:$AX,('ANL-DOE-MHDV Data'!$A:$A=$CD13)*('ANL-DOE-MHDV Data'!$B:$B=CH$2)*('ANL-DOE-MHDV Data'!$E:$E="Medium 4")))</f>
        <v>0.58834334498436636</v>
      </c>
      <c r="CI13" s="439">
        <f t="shared" ref="CI13:CJ13" si="34">($CK13-$CH13)/3 + CH13</f>
        <v>0.61743676233234046</v>
      </c>
      <c r="CJ13" s="439">
        <f t="shared" si="34"/>
        <v>0.64653017968031457</v>
      </c>
      <c r="CK13" s="439" cm="1">
        <f t="array" ref="CK13">1/AVERAGE(_xlfn._xlws.FILTER('ANL-DOE-MHDV Data'!$AX:$AX,('ANL-DOE-MHDV Data'!$A:$A=$CD13)*('ANL-DOE-MHDV Data'!$B:$B=CK$2)*('ANL-DOE-MHDV Data'!$E:$E="Medium 4")))</f>
        <v>0.67562359702828878</v>
      </c>
      <c r="CL13" s="102">
        <f t="shared" si="11"/>
        <v>0.48012823478415967</v>
      </c>
      <c r="CN13" s="17" t="s">
        <v>1021</v>
      </c>
      <c r="CO13" s="88">
        <f t="shared" si="29"/>
        <v>18.541428614666149</v>
      </c>
      <c r="CP13" s="88">
        <f t="shared" si="29"/>
        <v>16.923938579049931</v>
      </c>
      <c r="CQ13" s="88">
        <f t="shared" si="29"/>
        <v>15.566174513097012</v>
      </c>
      <c r="CR13" s="88">
        <f t="shared" si="29"/>
        <v>14.568271059701704</v>
      </c>
      <c r="CS13" s="88">
        <f t="shared" si="29"/>
        <v>13.917314834104905</v>
      </c>
      <c r="CT13" s="88">
        <f t="shared" si="29"/>
        <v>13.322043959636616</v>
      </c>
      <c r="CU13" s="88">
        <f t="shared" si="29"/>
        <v>12.775606204380285</v>
      </c>
      <c r="CV13" s="102">
        <f t="shared" si="12"/>
        <v>-0.31096969549180997</v>
      </c>
      <c r="DG13" s="33" t="s">
        <v>284</v>
      </c>
      <c r="DH13" s="73"/>
      <c r="DI13" s="73"/>
      <c r="DJ13" s="73"/>
      <c r="DK13" s="73"/>
      <c r="DL13" s="73"/>
      <c r="DM13" s="73"/>
      <c r="DN13" s="73"/>
      <c r="DO13" s="102"/>
      <c r="DZ13" s="306" t="s">
        <v>109</v>
      </c>
      <c r="EA13" s="88">
        <v>25.584400005680866</v>
      </c>
      <c r="EB13" s="88">
        <v>24.10473564496705</v>
      </c>
      <c r="EC13" s="88">
        <v>21.522299103709507</v>
      </c>
      <c r="ED13" s="88">
        <v>19.579648899313064</v>
      </c>
      <c r="EE13" s="88">
        <v>18.442538308062968</v>
      </c>
      <c r="EF13" s="88">
        <v>17.802999706589407</v>
      </c>
      <c r="EG13" s="88">
        <v>17.444209316865646</v>
      </c>
      <c r="EH13" s="102">
        <f t="shared" si="14"/>
        <v>-0.31817008360593718</v>
      </c>
      <c r="EJ13" s="224" t="s">
        <v>627</v>
      </c>
      <c r="EK13" s="88">
        <f>L_100km_to_mpg/'Background Data'!BC39</f>
        <v>19.439266053010591</v>
      </c>
      <c r="EL13" s="88">
        <f>L_100km_to_mpg/'Background Data'!BD39</f>
        <v>16.564445017001983</v>
      </c>
      <c r="EM13" s="88">
        <f t="shared" ref="EM13:EP13" si="35">($EQ13-$EL13)/(6-1) + EL13</f>
        <v>15.753844516169972</v>
      </c>
      <c r="EN13" s="88">
        <f t="shared" si="35"/>
        <v>14.94324401533796</v>
      </c>
      <c r="EO13" s="88">
        <f t="shared" si="35"/>
        <v>14.132643514505949</v>
      </c>
      <c r="EP13" s="88">
        <f t="shared" si="35"/>
        <v>13.322043013673937</v>
      </c>
      <c r="EQ13" s="88">
        <f>L_100km_to_mpg/'Background Data'!BE39</f>
        <v>12.511442512841922</v>
      </c>
      <c r="ER13" s="102">
        <f t="shared" si="16"/>
        <v>-0.3563829787234043</v>
      </c>
    </row>
    <row r="14" spans="1:148" x14ac:dyDescent="0.35">
      <c r="A14" t="s">
        <v>409</v>
      </c>
      <c r="B14" t="s">
        <v>10</v>
      </c>
      <c r="C14" t="s">
        <v>453</v>
      </c>
      <c r="D14" t="s">
        <v>2261</v>
      </c>
      <c r="E14" t="s">
        <v>161</v>
      </c>
      <c r="F14">
        <v>2022</v>
      </c>
      <c r="G14" s="63" t="s">
        <v>283</v>
      </c>
      <c r="H14" s="71"/>
      <c r="I14" s="71"/>
      <c r="J14" s="71"/>
      <c r="K14" s="71"/>
      <c r="L14" s="71"/>
      <c r="M14" s="71"/>
      <c r="N14" s="71">
        <f>BA$88*$AU$44</f>
        <v>0.14280570690433284</v>
      </c>
      <c r="O14" s="71">
        <f>BB$88*$AU$44</f>
        <v>0.14366598728170896</v>
      </c>
      <c r="P14" s="71">
        <f>BC$88*$AU$44</f>
        <v>0.14366574821740441</v>
      </c>
      <c r="Q14" s="71">
        <f>BD$88*$AU$44</f>
        <v>0.14366578583645867</v>
      </c>
      <c r="R14" s="71">
        <f>BE$88*$AV$44</f>
        <v>0.17545802150572889</v>
      </c>
      <c r="S14" s="71">
        <f>BF$88*$AV$44</f>
        <v>0.17545801131002206</v>
      </c>
      <c r="T14" s="71">
        <f>BG$88*$AV$44</f>
        <v>0.17545800226875294</v>
      </c>
      <c r="U14" s="71">
        <f>BH$88*$AV$44</f>
        <v>0.17545794919976793</v>
      </c>
      <c r="V14" s="71">
        <f>BI$88*$AV$44</f>
        <v>0.17545794797260353</v>
      </c>
      <c r="W14" s="71">
        <f>BJ$88*$AW$44</f>
        <v>0.19043351797587421</v>
      </c>
      <c r="X14" s="71">
        <f>BK$88*$AW$44</f>
        <v>0.19043367551144907</v>
      </c>
      <c r="Y14" s="71">
        <f>BL$88*$AW$44</f>
        <v>0.19043371208948387</v>
      </c>
      <c r="Z14" s="71">
        <f>BM$88*$AW$44</f>
        <v>0.19043356495961875</v>
      </c>
      <c r="AA14" s="71">
        <f>BN$88*$AX$44</f>
        <v>0.1724842442474471</v>
      </c>
      <c r="AB14" s="71">
        <f>BO$88*$AX$44</f>
        <v>0.17248428890019388</v>
      </c>
      <c r="AC14" s="305"/>
      <c r="AE14" s="71"/>
      <c r="AF14" s="71"/>
      <c r="AG14" s="71"/>
      <c r="AH14" s="71"/>
      <c r="AI14" s="71"/>
      <c r="AJ14" s="415"/>
      <c r="AK14" s="66" t="s">
        <v>2238</v>
      </c>
      <c r="AL14">
        <v>2</v>
      </c>
      <c r="AM14">
        <v>1</v>
      </c>
      <c r="AN14">
        <v>1</v>
      </c>
      <c r="AO14">
        <v>1</v>
      </c>
      <c r="AP14">
        <v>1</v>
      </c>
      <c r="AT14" s="17" t="s">
        <v>110</v>
      </c>
      <c r="AU14" s="88" cm="1">
        <f t="array" ref="AU14">SUMPRODUCT(_xlfn._xlws.FILTER('NRCan Fuel Guide'!$C$22:$C$35, 'NRCan Fuel Guide'!$B$22:$B$35=$AT14),_xlfn._xlws.FILTER('NRCan Fuel Guide'!$E$22:$E$35, 'NRCan Fuel Guide'!$B$22:$B$35=$AT14))/SUM(_xlfn._xlws.FILTER('NRCan Fuel Guide'!$E$22:$E$35, 'NRCan Fuel Guide'!$B$22:$B$35=$AT14))</f>
        <v>13.837955474027982</v>
      </c>
      <c r="AV14" s="88" cm="1">
        <f t="array" ref="AV14">SUMPRODUCT(_xlfn._xlws.FILTER('NRCan Fuel Guide'!$I$22:$I$40, 'NRCan Fuel Guide'!$H$22:$H$40=$AT14),_xlfn._xlws.FILTER('NRCan Fuel Guide'!$K$22:$K$40, 'NRCan Fuel Guide'!$H$22:$H$40=$AT14))/SUM(_xlfn._xlws.FILTER('NRCan Fuel Guide'!$K$22:$K$40, 'NRCan Fuel Guide'!$H$22:$H$40=$AT14))</f>
        <v>12.229724574489094</v>
      </c>
      <c r="AW14" s="88" cm="1">
        <f t="array" ref="AW14">SUMPRODUCT(_xlfn._xlws.FILTER('NRCan Fuel Guide'!$O$19:$O$34, 'NRCan Fuel Guide'!$N$19:$N$34=$AT14),_xlfn._xlws.FILTER('NRCan Fuel Guide'!$Q$19:$Q$34, 'NRCan Fuel Guide'!$N$19:$N$34=$AT14))/SUM(_xlfn._xlws.FILTER('NRCan Fuel Guide'!$Q$19:$Q$34, 'NRCan Fuel Guide'!$N$19:$N$34=$AT14))</f>
        <v>11.399157836197276</v>
      </c>
      <c r="AX14" s="88" cm="1">
        <f t="array" ref="AX14">SUMPRODUCT(_xlfn._xlws.FILTER('NRCan Fuel Guide'!$U$15:$U$29, 'NRCan Fuel Guide'!$T$15:$T$29=$AT14), _xlfn._xlws.FILTER('NRCan Fuel Guide'!$W$15:$W$29, 'NRCan Fuel Guide'!$T$15:$T$29=$AT14))/SUM(_xlfn._xlws.FILTER('NRCan Fuel Guide'!$W$15:$W$29, 'NRCan Fuel Guide'!$T$15:$T$29=$AT14))</f>
        <v>11.29143039839191</v>
      </c>
      <c r="AY14" s="88" cm="1">
        <f t="array" ref="AY14">SUMPRODUCT(_xlfn._xlws.FILTER('NRCan Fuel Guide'!$AA$14:$AA$26, 'NRCan Fuel Guide'!$Z$14:$Z$26=$AT14), _xlfn._xlws.FILTER('NRCan Fuel Guide'!$AC$14:$AC$26, 'NRCan Fuel Guide'!$Z$14:$Z$26=$AT14))/SUM(_xlfn._xlws.FILTER('NRCan Fuel Guide'!$AC$14:$AC$26, 'NRCan Fuel Guide'!$Z$14:$Z$26=$AT14))</f>
        <v>11.042558267163377</v>
      </c>
      <c r="BA14" s="17" t="s">
        <v>988</v>
      </c>
      <c r="BB14" s="73" cm="1">
        <f t="array" ref="BB14">1/AVERAGE(_xlfn._xlws.FILTER('ANL-DOE-LDV Data'!$AX:$AX, ('ANL-DOE-LDV Data'!$A:$A=$BA14)*('ANL-DOE-LDV Data'!$B:$B=BB$2-5)*('ANL-DOE-LDV Data'!$D:$D="Compact_B")))</f>
        <v>0.95328011859151784</v>
      </c>
      <c r="BC14" s="73" cm="1">
        <f t="array" ref="BC14">1/AVERAGE(_xlfn._xlws.FILTER('ANL-DOE-LDV Data'!$AX:$AX, ('ANL-DOE-LDV Data'!$A:$A=$BA14)*('ANL-DOE-LDV Data'!$B:$B=BC$2-5)*('ANL-DOE-LDV Data'!$D:$D="Compact_B")))</f>
        <v>0.98852821020096993</v>
      </c>
      <c r="BD14" s="73" cm="1">
        <f t="array" ref="BD14">1/AVERAGE(_xlfn._xlws.FILTER('ANL-DOE-LDV Data'!$AX:$AX, ('ANL-DOE-LDV Data'!$A:$A=$BA14)*('ANL-DOE-LDV Data'!$B:$B=BD$2-5)*('ANL-DOE-LDV Data'!$D:$D="Compact_B")))</f>
        <v>1.0103198931293342</v>
      </c>
      <c r="BE14" s="73" cm="1">
        <f t="array" ref="BE14">1/AVERAGE(_xlfn._xlws.FILTER('ANL-DOE-LDV Data'!$AX:$AX, ('ANL-DOE-LDV Data'!$A:$A=$BA14)*('ANL-DOE-LDV Data'!$B:$B=BE$2-5)*('ANL-DOE-LDV Data'!$D:$D="Compact_B")))</f>
        <v>1.0821485518520737</v>
      </c>
      <c r="BF14" s="73">
        <f t="shared" si="3"/>
        <v>1.110735132658023</v>
      </c>
      <c r="BG14" s="73">
        <f t="shared" si="3"/>
        <v>1.1393217134639724</v>
      </c>
      <c r="BH14" s="73" cm="1">
        <f t="array" ref="BH14">1/AVERAGE(_xlfn._xlws.FILTER('ANL-DOE-LDV Data'!$AX:$AX, ('ANL-DOE-LDV Data'!$A:$A=$BA14)*('ANL-DOE-LDV Data'!$B:$B=BH$2-5)*('ANL-DOE-LDV Data'!$D:$D="Compact_B")))</f>
        <v>1.1679082942699217</v>
      </c>
      <c r="BI14" s="102">
        <f t="shared" si="4"/>
        <v>0.225147017642117</v>
      </c>
      <c r="BK14" s="17" t="s">
        <v>988</v>
      </c>
      <c r="BL14" s="88">
        <f t="shared" si="5"/>
        <v>3.2461813088264462</v>
      </c>
      <c r="BM14" s="88">
        <f t="shared" si="5"/>
        <v>3.1313008160814029</v>
      </c>
      <c r="BN14" s="88">
        <f t="shared" si="5"/>
        <v>3.0661793250634637</v>
      </c>
      <c r="BO14" s="88">
        <f t="shared" si="5"/>
        <v>2.8700664045741306</v>
      </c>
      <c r="BP14" s="88">
        <f t="shared" si="5"/>
        <v>2.7991923901925793</v>
      </c>
      <c r="BQ14" s="88">
        <f t="shared" si="5"/>
        <v>2.7317343755927168</v>
      </c>
      <c r="BR14" s="88">
        <f t="shared" si="5"/>
        <v>2.6674512048637</v>
      </c>
      <c r="BS14" s="102">
        <f t="shared" si="6"/>
        <v>-0.17828027731820303</v>
      </c>
      <c r="CD14" s="17" t="s">
        <v>246</v>
      </c>
      <c r="CE14" s="439" cm="1">
        <f t="array" ref="CE14">1/AVERAGE(_xlfn._xlws.FILTER('ANL-DOE-MHDV Data'!$AX:$AX,('ANL-DOE-MHDV Data'!$A:$A=$CD14)*('ANL-DOE-MHDV Data'!$B:$B=CE$2)*('ANL-DOE-MHDV Data'!$E:$E="Medium 4")))</f>
        <v>0.67223893065998319</v>
      </c>
      <c r="CF14" s="439" cm="1">
        <f t="array" ref="CF14">1/AVERAGE(_xlfn._xlws.FILTER('ANL-DOE-MHDV Data'!$AX:$AX,('ANL-DOE-MHDV Data'!$A:$A=$CD14)*('ANL-DOE-MHDV Data'!$B:$B=CF$2)*('ANL-DOE-MHDV Data'!$E:$E="Medium 4")))</f>
        <v>0.72728669558929859</v>
      </c>
      <c r="CG14" s="439" cm="1">
        <f t="array" ref="CG14">1/AVERAGE(_xlfn._xlws.FILTER('ANL-DOE-MHDV Data'!$AX:$AX,('ANL-DOE-MHDV Data'!$A:$A=$CD14)*('ANL-DOE-MHDV Data'!$B:$B=CG$2)*('ANL-DOE-MHDV Data'!$E:$E="Medium 4")))</f>
        <v>0.78473766335088746</v>
      </c>
      <c r="CH14" s="439" cm="1">
        <f t="array" ref="CH14">1/AVERAGE(_xlfn._xlws.FILTER('ANL-DOE-MHDV Data'!$AX:$AX,('ANL-DOE-MHDV Data'!$A:$A=$CD14)*('ANL-DOE-MHDV Data'!$B:$B=CH$2)*('ANL-DOE-MHDV Data'!$E:$E="Medium 4")))</f>
        <v>0.83610764754779698</v>
      </c>
      <c r="CI14" s="439">
        <f t="shared" ref="CI14:CJ14" si="36">($CK14-$CH14)/3 + CH14</f>
        <v>0.86980124713451235</v>
      </c>
      <c r="CJ14" s="439">
        <f t="shared" si="36"/>
        <v>0.90349484672122771</v>
      </c>
      <c r="CK14" s="439" cm="1">
        <f t="array" ref="CK14">1/AVERAGE(_xlfn._xlws.FILTER('ANL-DOE-MHDV Data'!$AX:$AX,('ANL-DOE-MHDV Data'!$A:$A=$CD14)*('ANL-DOE-MHDV Data'!$B:$B=CK$2)*('ANL-DOE-MHDV Data'!$E:$E="Medium 4")))</f>
        <v>0.93718844630794307</v>
      </c>
      <c r="CL14" s="102">
        <f t="shared" si="11"/>
        <v>0.39412997903563946</v>
      </c>
      <c r="CN14" s="17" t="s">
        <v>246</v>
      </c>
      <c r="CO14" s="88">
        <f t="shared" si="29"/>
        <v>13.436144021843662</v>
      </c>
      <c r="CP14" s="88">
        <f t="shared" si="29"/>
        <v>12.339112386691408</v>
      </c>
      <c r="CQ14" s="88">
        <f t="shared" si="29"/>
        <v>11.275196949257552</v>
      </c>
      <c r="CR14" s="88">
        <f t="shared" si="29"/>
        <v>10.516999527955464</v>
      </c>
      <c r="CS14" s="88">
        <f t="shared" si="29"/>
        <v>10.068089598635725</v>
      </c>
      <c r="CT14" s="88">
        <f t="shared" si="29"/>
        <v>9.6559335975564125</v>
      </c>
      <c r="CU14" s="88">
        <f t="shared" si="29"/>
        <v>9.2761952660077274</v>
      </c>
      <c r="CV14" s="102">
        <f>(CU14-CO14)/CO14</f>
        <v>-0.3096088244568489</v>
      </c>
      <c r="DG14" s="17" t="s">
        <v>110</v>
      </c>
      <c r="DH14" s="73">
        <f>1/('GREET-AFLEET Summary'!P14*DSL_PJ_ML*10)</f>
        <v>5.8039565109293215E-2</v>
      </c>
      <c r="DI14" s="73">
        <f>1/('GREET-AFLEET Summary'!Q14*DSL_PJ_ML*10)</f>
        <v>6.1842923049216063E-2</v>
      </c>
      <c r="DJ14" s="73">
        <f>1/('GREET-AFLEET Summary'!R14*DSL_PJ_ML*10)</f>
        <v>6.5278873061581075E-2</v>
      </c>
      <c r="DK14" s="73">
        <f>1/('GREET-AFLEET Summary'!S14*DSL_PJ_ML*10)</f>
        <v>6.7835991465587039E-2</v>
      </c>
      <c r="DL14" s="73">
        <f>1/('GREET-AFLEET Summary'!T14*DSL_PJ_ML*10)</f>
        <v>7.0192523970379866E-2</v>
      </c>
      <c r="DM14" s="73">
        <f>1/('GREET-AFLEET Summary'!U14*DSL_PJ_ML*10)</f>
        <v>7.254905647517268E-2</v>
      </c>
      <c r="DN14" s="73">
        <f>1/('GREET-AFLEET Summary'!V14*DSL_PJ_ML*10)</f>
        <v>7.4905588979965507E-2</v>
      </c>
      <c r="DO14" s="102">
        <f t="shared" si="13"/>
        <v>0.29059528338836099</v>
      </c>
      <c r="DZ14" s="17" t="s">
        <v>110</v>
      </c>
      <c r="EA14" s="88">
        <v>30.306301869077586</v>
      </c>
      <c r="EB14" s="88">
        <v>29.277892380702852</v>
      </c>
      <c r="EC14" s="88">
        <v>27.094903709442359</v>
      </c>
      <c r="ED14" s="88">
        <v>25.108196152132884</v>
      </c>
      <c r="EE14" s="88">
        <v>23.704691307492173</v>
      </c>
      <c r="EF14" s="88">
        <v>22.830340227438551</v>
      </c>
      <c r="EG14" s="88">
        <v>22.274028901580273</v>
      </c>
      <c r="EH14" s="102">
        <f>(EG14-EA14)/EA14</f>
        <v>-0.26503639415315394</v>
      </c>
      <c r="EJ14" s="224" t="s">
        <v>828</v>
      </c>
      <c r="EK14" s="88">
        <f>L_100km_to_mpg/'Background Data'!BC40</f>
        <v>28.001799909693826</v>
      </c>
      <c r="EL14" s="88">
        <f>L_100km_to_mpg/'Background Data'!BD40</f>
        <v>21.982721424432537</v>
      </c>
      <c r="EM14" s="88">
        <f t="shared" ref="EM14:EP14" si="37">($EQ14-$EL14)/(6-1) + EL14</f>
        <v>20.764759831997761</v>
      </c>
      <c r="EN14" s="88">
        <f t="shared" si="37"/>
        <v>19.546798239562985</v>
      </c>
      <c r="EO14" s="88">
        <f t="shared" si="37"/>
        <v>18.32883664712821</v>
      </c>
      <c r="EP14" s="88">
        <f t="shared" si="37"/>
        <v>17.110875054693434</v>
      </c>
      <c r="EQ14" s="88">
        <f>L_100km_to_mpg/'Background Data'!BE40</f>
        <v>15.892913462258658</v>
      </c>
      <c r="ER14" s="102">
        <f t="shared" si="16"/>
        <v>-0.43243243243243246</v>
      </c>
    </row>
    <row r="15" spans="1:148" x14ac:dyDescent="0.35">
      <c r="A15" t="s">
        <v>1088</v>
      </c>
      <c r="B15" t="s">
        <v>1094</v>
      </c>
      <c r="C15" t="s">
        <v>453</v>
      </c>
      <c r="D15" t="s">
        <v>2261</v>
      </c>
      <c r="E15" t="s">
        <v>1098</v>
      </c>
      <c r="F15">
        <v>2022</v>
      </c>
      <c r="G15" s="63" t="s">
        <v>283</v>
      </c>
      <c r="H15" s="71"/>
      <c r="I15" s="71"/>
      <c r="J15" s="71"/>
      <c r="K15" s="71"/>
      <c r="L15" s="71"/>
      <c r="M15" s="71"/>
      <c r="N15" s="71">
        <f>BA$88*$AU$46</f>
        <v>0.15522485806206013</v>
      </c>
      <c r="O15" s="71">
        <f>BB$88*$AU$46</f>
        <v>0.15615995304087105</v>
      </c>
      <c r="P15" s="71">
        <f>BC$88*$AU$46</f>
        <v>0.15615969318625078</v>
      </c>
      <c r="Q15" s="71">
        <f>BD$88*$AU$46</f>
        <v>0.15615973407686004</v>
      </c>
      <c r="R15" s="71">
        <f>BE$88*$AV$46</f>
        <v>0.17532270793291233</v>
      </c>
      <c r="S15" s="71">
        <f>BF$88*$AV$46</f>
        <v>0.17532269774506845</v>
      </c>
      <c r="T15" s="71">
        <f>BG$88*$AV$46</f>
        <v>0.17532268871077197</v>
      </c>
      <c r="U15" s="71">
        <f>BH$88*$AV$46</f>
        <v>0.17532263568271386</v>
      </c>
      <c r="V15" s="71">
        <f>BI$88*$AV$46</f>
        <v>0.17532263445649585</v>
      </c>
      <c r="W15" s="71">
        <f>BJ$88*$AW$46</f>
        <v>0.20283333517924931</v>
      </c>
      <c r="X15" s="71">
        <f>BK$88*$AW$46</f>
        <v>0.20283350297253697</v>
      </c>
      <c r="Y15" s="71">
        <f>BL$88*$AW$46</f>
        <v>0.20283354193230033</v>
      </c>
      <c r="Z15" s="71">
        <f>BM$88*$AW$46</f>
        <v>0.20283338522227592</v>
      </c>
      <c r="AA15" s="71">
        <f>BN$88*$AX$46</f>
        <v>0.24206728610199663</v>
      </c>
      <c r="AB15" s="71">
        <f>BO$88*$AX$46</f>
        <v>0.24206734876841163</v>
      </c>
      <c r="AC15" s="305"/>
      <c r="AE15" s="71"/>
      <c r="AF15" s="71"/>
      <c r="AG15" s="71"/>
      <c r="AH15" s="71"/>
      <c r="AI15" s="71"/>
      <c r="AJ15" s="415"/>
      <c r="AK15" s="66" t="s">
        <v>2238</v>
      </c>
      <c r="AL15">
        <v>2</v>
      </c>
      <c r="AM15">
        <v>1</v>
      </c>
      <c r="AN15">
        <v>1</v>
      </c>
      <c r="AO15">
        <v>2</v>
      </c>
      <c r="AP15">
        <v>1</v>
      </c>
      <c r="AT15" s="17" t="s">
        <v>109</v>
      </c>
      <c r="AU15" s="88" cm="1">
        <f t="array" ref="AU15">SUMPRODUCT(_xlfn._xlws.FILTER('NRCan Fuel Guide'!$C$22:$C$35, 'NRCan Fuel Guide'!$B$22:$B$35=$AT15),_xlfn._xlws.FILTER('NRCan Fuel Guide'!$E$22:$E$35, 'NRCan Fuel Guide'!$B$22:$B$35=$AT15))/SUM(_xlfn._xlws.FILTER('NRCan Fuel Guide'!$E$22:$E$35, 'NRCan Fuel Guide'!$B$22:$B$35=$AT15))</f>
        <v>11.5428571428571</v>
      </c>
      <c r="AV15" s="88" cm="1">
        <f t="array" ref="AV15">SUMPRODUCT(_xlfn._xlws.FILTER('NRCan Fuel Guide'!$I$22:$I$40, 'NRCan Fuel Guide'!$H$22:$H$40=$AT15),_xlfn._xlws.FILTER('NRCan Fuel Guide'!$K$22:$K$40, 'NRCan Fuel Guide'!$H$22:$H$40=$AT15))/SUM(_xlfn._xlws.FILTER('NRCan Fuel Guide'!$K$22:$K$40, 'NRCan Fuel Guide'!$H$22:$H$40=$AT15))</f>
        <v>9.4513558347743079</v>
      </c>
      <c r="AW15" s="88" cm="1">
        <f t="array" ref="AW15">SUMPRODUCT(_xlfn._xlws.FILTER('NRCan Fuel Guide'!$O$19:$O$34, 'NRCan Fuel Guide'!$N$19:$N$34=$AT15),_xlfn._xlws.FILTER('NRCan Fuel Guide'!$Q$19:$Q$34, 'NRCan Fuel Guide'!$N$19:$N$34=$AT15))/SUM(_xlfn._xlws.FILTER('NRCan Fuel Guide'!$Q$19:$Q$34, 'NRCan Fuel Guide'!$N$19:$N$34=$AT15))</f>
        <v>8.7081019432680762</v>
      </c>
      <c r="AX15" s="88" cm="1">
        <f t="array" ref="AX15">SUMPRODUCT(_xlfn._xlws.FILTER('NRCan Fuel Guide'!$U$15:$U$29, 'NRCan Fuel Guide'!$T$15:$T$29=$AT15), _xlfn._xlws.FILTER('NRCan Fuel Guide'!$W$15:$W$29, 'NRCan Fuel Guide'!$T$15:$T$29=$AT15))/SUM(_xlfn._xlws.FILTER('NRCan Fuel Guide'!$W$15:$W$29, 'NRCan Fuel Guide'!$T$15:$T$29=$AT15))</f>
        <v>9.6143002175157974</v>
      </c>
      <c r="AY15" s="88" cm="1">
        <f t="array" ref="AY15">SUMPRODUCT(_xlfn._xlws.FILTER('NRCan Fuel Guide'!$AA$14:$AA$26, 'NRCan Fuel Guide'!$Z$14:$Z$26=$AT15), _xlfn._xlws.FILTER('NRCan Fuel Guide'!$AC$14:$AC$26, 'NRCan Fuel Guide'!$Z$14:$Z$26=$AT15))/SUM(_xlfn._xlws.FILTER('NRCan Fuel Guide'!$AC$14:$AC$26, 'NRCan Fuel Guide'!$Z$14:$Z$26=$AT15))</f>
        <v>9.9164639176002929</v>
      </c>
      <c r="BA15" s="17" t="s">
        <v>990</v>
      </c>
      <c r="BB15" s="73" cm="1">
        <f t="array" ref="BB15">1/AVERAGE(_xlfn._xlws.FILTER('ANL-DOE-LDV Data'!$AX:$AX, ('ANL-DOE-LDV Data'!$A:$A=$BA15)*('ANL-DOE-LDV Data'!$B:$B=BB$2-5)*('ANL-DOE-LDV Data'!$D:$D="Compact_B")))</f>
        <v>0.94421564836719274</v>
      </c>
      <c r="BC15" s="73" cm="1">
        <f t="array" ref="BC15">1/AVERAGE(_xlfn._xlws.FILTER('ANL-DOE-LDV Data'!$AX:$AX, ('ANL-DOE-LDV Data'!$A:$A=$BA15)*('ANL-DOE-LDV Data'!$B:$B=BC$2-5)*('ANL-DOE-LDV Data'!$D:$D="Compact_B")))</f>
        <v>0.978784444693239</v>
      </c>
      <c r="BD15" s="73" cm="1">
        <f t="array" ref="BD15">1/AVERAGE(_xlfn._xlws.FILTER('ANL-DOE-LDV Data'!$AX:$AX, ('ANL-DOE-LDV Data'!$A:$A=$BA15)*('ANL-DOE-LDV Data'!$B:$B=BD$2-5)*('ANL-DOE-LDV Data'!$D:$D="Compact_B")))</f>
        <v>0.99799007390234284</v>
      </c>
      <c r="BE15" s="73" cm="1">
        <f t="array" ref="BE15">1/AVERAGE(_xlfn._xlws.FILTER('ANL-DOE-LDV Data'!$AX:$AX, ('ANL-DOE-LDV Data'!$A:$A=$BA15)*('ANL-DOE-LDV Data'!$B:$B=BE$2-5)*('ANL-DOE-LDV Data'!$D:$D="Compact_B")))</f>
        <v>1.0704826793731752</v>
      </c>
      <c r="BF15" s="73">
        <f t="shared" si="3"/>
        <v>1.0984323609178388</v>
      </c>
      <c r="BG15" s="73">
        <f t="shared" si="3"/>
        <v>1.1263820424625024</v>
      </c>
      <c r="BH15" s="73" cm="1">
        <f t="array" ref="BH15">1/AVERAGE(_xlfn._xlws.FILTER('ANL-DOE-LDV Data'!$AX:$AX, ('ANL-DOE-LDV Data'!$A:$A=$BA15)*('ANL-DOE-LDV Data'!$B:$B=BH$2-5)*('ANL-DOE-LDV Data'!$D:$D="Compact_B")))</f>
        <v>1.1543317240071662</v>
      </c>
      <c r="BI15" s="102">
        <f t="shared" si="4"/>
        <v>0.22252975366731284</v>
      </c>
      <c r="BK15" s="17" t="s">
        <v>990</v>
      </c>
      <c r="BL15" s="88">
        <f t="shared" si="5"/>
        <v>3.2853704980885525</v>
      </c>
      <c r="BM15" s="88">
        <f t="shared" si="5"/>
        <v>3.1704833233544489</v>
      </c>
      <c r="BN15" s="88">
        <f t="shared" si="5"/>
        <v>3.1059175202637377</v>
      </c>
      <c r="BO15" s="88">
        <f t="shared" si="5"/>
        <v>2.9033494539758453</v>
      </c>
      <c r="BP15" s="88">
        <f t="shared" si="5"/>
        <v>2.8322971847993785</v>
      </c>
      <c r="BQ15" s="88">
        <f t="shared" si="5"/>
        <v>2.7646394974077655</v>
      </c>
      <c r="BR15" s="88">
        <f t="shared" si="5"/>
        <v>2.7001387989107575</v>
      </c>
      <c r="BS15" s="102">
        <f t="shared" si="6"/>
        <v>-0.17813263360046797</v>
      </c>
      <c r="BW15" s="102"/>
      <c r="BX15" s="102"/>
      <c r="BY15" s="102"/>
      <c r="BZ15" s="102"/>
      <c r="CA15" s="102"/>
      <c r="CB15" s="102"/>
      <c r="CC15" s="102"/>
      <c r="CD15" s="17" t="s">
        <v>627</v>
      </c>
      <c r="CE15" s="439" cm="1">
        <f t="array" ref="CE15">1/AVERAGE(_xlfn._xlws.FILTER('ANL-DOE-MHDV Data'!$AX:$AX,('ANL-DOE-MHDV Data'!$A:$A=$CD15)*('ANL-DOE-MHDV Data'!$B:$B=CE$2)*('ANL-DOE-MHDV Data'!$E:$E="Medium 4")))</f>
        <v>0.33801926121852627</v>
      </c>
      <c r="CF15" s="439" cm="1">
        <f t="array" ref="CF15">1/AVERAGE(_xlfn._xlws.FILTER('ANL-DOE-MHDV Data'!$AX:$AX,('ANL-DOE-MHDV Data'!$A:$A=$CD15)*('ANL-DOE-MHDV Data'!$B:$B=CF$2)*('ANL-DOE-MHDV Data'!$E:$E="Medium 4")))</f>
        <v>0.36063614191389171</v>
      </c>
      <c r="CG15" s="439" cm="1">
        <f t="array" ref="CG15">1/AVERAGE(_xlfn._xlws.FILTER('ANL-DOE-MHDV Data'!$AX:$AX,('ANL-DOE-MHDV Data'!$A:$A=$CD15)*('ANL-DOE-MHDV Data'!$B:$B=CG$2)*('ANL-DOE-MHDV Data'!$E:$E="Medium 4")))</f>
        <v>0.38641069474159606</v>
      </c>
      <c r="CH15" s="439" cm="1">
        <f t="array" ref="CH15">1/AVERAGE(_xlfn._xlws.FILTER('ANL-DOE-MHDV Data'!$AX:$AX,('ANL-DOE-MHDV Data'!$A:$A=$CD15)*('ANL-DOE-MHDV Data'!$B:$B=CH$2)*('ANL-DOE-MHDV Data'!$E:$E="Medium 4")))</f>
        <v>0.40736404604852039</v>
      </c>
      <c r="CI15" s="439">
        <f t="shared" ref="CI15:CJ15" si="38">($CK15-$CH15)/3 + CH15</f>
        <v>0.42135384427960609</v>
      </c>
      <c r="CJ15" s="439">
        <f t="shared" si="38"/>
        <v>0.4353436425106918</v>
      </c>
      <c r="CK15" s="439" cm="1">
        <f t="array" ref="CK15">1/AVERAGE(_xlfn._xlws.FILTER('ANL-DOE-MHDV Data'!$AX:$AX,('ANL-DOE-MHDV Data'!$A:$A=$CD15)*('ANL-DOE-MHDV Data'!$B:$B=CK$2)*('ANL-DOE-MHDV Data'!$E:$E="Medium 4")))</f>
        <v>0.44933344074177745</v>
      </c>
      <c r="CL15" s="102">
        <f t="shared" si="11"/>
        <v>0.32931312589103495</v>
      </c>
      <c r="CM15" s="102"/>
      <c r="CN15" s="17" t="s">
        <v>627</v>
      </c>
      <c r="CO15" s="88">
        <f t="shared" si="29"/>
        <v>34.761160261180279</v>
      </c>
      <c r="CP15" s="88">
        <f t="shared" si="29"/>
        <v>31.942738010465018</v>
      </c>
      <c r="CQ15" s="88">
        <f t="shared" si="29"/>
        <v>29.196189257773103</v>
      </c>
      <c r="CR15" s="88">
        <f t="shared" si="29"/>
        <v>27.679286018399814</v>
      </c>
      <c r="CS15" s="88">
        <f t="shared" si="29"/>
        <v>26.398567406686414</v>
      </c>
      <c r="CT15" s="88">
        <f t="shared" si="29"/>
        <v>25.231125031171096</v>
      </c>
      <c r="CU15" s="88">
        <f t="shared" si="29"/>
        <v>24.162566876543551</v>
      </c>
      <c r="CV15" s="102">
        <f t="shared" si="12"/>
        <v>-0.30489757260699862</v>
      </c>
      <c r="DG15" s="17" t="s">
        <v>109</v>
      </c>
      <c r="DH15" s="73">
        <f>1/('GREET-AFLEET Summary'!P15*DSL_PJ_ML*10)</f>
        <v>6.9647478131151866E-2</v>
      </c>
      <c r="DI15" s="73">
        <f>1/('GREET-AFLEET Summary'!Q15*DSL_PJ_ML*10)</f>
        <v>7.4211507659059275E-2</v>
      </c>
      <c r="DJ15" s="73">
        <f>1/('GREET-AFLEET Summary'!R15*DSL_PJ_ML*10)</f>
        <v>7.8334647673897292E-2</v>
      </c>
      <c r="DK15" s="73">
        <f>1/('GREET-AFLEET Summary'!S15*DSL_PJ_ML*10)</f>
        <v>8.1403189758704461E-2</v>
      </c>
      <c r="DL15" s="73">
        <f>1/('GREET-AFLEET Summary'!T15*DSL_PJ_ML*10)</f>
        <v>8.4231028764455831E-2</v>
      </c>
      <c r="DM15" s="73">
        <f>1/('GREET-AFLEET Summary'!U15*DSL_PJ_ML*10)</f>
        <v>8.7058867770207216E-2</v>
      </c>
      <c r="DN15" s="73">
        <f>1/('GREET-AFLEET Summary'!V15*DSL_PJ_ML*10)</f>
        <v>8.9886706775958614E-2</v>
      </c>
      <c r="DO15" s="102">
        <f t="shared" si="13"/>
        <v>0.29059528338836094</v>
      </c>
      <c r="DZ15" s="17" t="s">
        <v>240</v>
      </c>
      <c r="EA15" s="88">
        <v>30.610368147303753</v>
      </c>
      <c r="EB15" s="88">
        <v>29.771275705141381</v>
      </c>
      <c r="EC15" s="88">
        <v>28.503997441764742</v>
      </c>
      <c r="ED15" s="88">
        <v>27.707940805145409</v>
      </c>
      <c r="EE15" s="88">
        <v>27.371295269233869</v>
      </c>
      <c r="EF15" s="88">
        <v>26.971542848725104</v>
      </c>
      <c r="EG15" s="88">
        <v>26.248501423647628</v>
      </c>
      <c r="EH15" s="102">
        <f t="shared" si="14"/>
        <v>-0.14249638235861367</v>
      </c>
      <c r="EJ15" s="224" t="s">
        <v>829</v>
      </c>
      <c r="EK15" s="88">
        <f>L_100km_to_mpg/'Background Data'!BC41</f>
        <v>28.001799909693826</v>
      </c>
      <c r="EL15" s="88">
        <f>L_100km_to_mpg/'Background Data'!BD41</f>
        <v>23.060305807983152</v>
      </c>
      <c r="EM15" s="88">
        <f t="shared" ref="EM15:EP15" si="39">($EQ15-$EL15)/(6-1) + EL15</f>
        <v>22.039315169156417</v>
      </c>
      <c r="EN15" s="88">
        <f t="shared" si="39"/>
        <v>21.018324530329682</v>
      </c>
      <c r="EO15" s="88">
        <f t="shared" si="39"/>
        <v>19.997333891502947</v>
      </c>
      <c r="EP15" s="88">
        <f t="shared" si="39"/>
        <v>18.976343252676212</v>
      </c>
      <c r="EQ15" s="88">
        <f>L_100km_to_mpg/'Background Data'!BE41</f>
        <v>17.955352613849477</v>
      </c>
      <c r="ER15" s="102">
        <f t="shared" si="16"/>
        <v>-0.35877862595419846</v>
      </c>
    </row>
    <row r="16" spans="1:148" x14ac:dyDescent="0.35">
      <c r="A16" t="s">
        <v>1097</v>
      </c>
      <c r="B16" t="s">
        <v>2071</v>
      </c>
      <c r="C16" t="s">
        <v>453</v>
      </c>
      <c r="D16" t="s">
        <v>2261</v>
      </c>
      <c r="E16" t="s">
        <v>1098</v>
      </c>
      <c r="F16">
        <v>2022</v>
      </c>
      <c r="G16" s="63" t="s">
        <v>283</v>
      </c>
      <c r="H16" s="71"/>
      <c r="I16" s="71"/>
      <c r="J16" s="71"/>
      <c r="K16" s="71"/>
      <c r="L16" s="71"/>
      <c r="M16" s="71"/>
      <c r="N16" s="71">
        <f t="shared" ref="N16:V16" si="40">BA$88*$AV$47</f>
        <v>0.42069354223704342</v>
      </c>
      <c r="O16" s="71">
        <f t="shared" si="40"/>
        <v>0.42322785551569858</v>
      </c>
      <c r="P16" s="71">
        <f t="shared" si="40"/>
        <v>0.42322715125246368</v>
      </c>
      <c r="Q16" s="71">
        <f t="shared" si="40"/>
        <v>0.42322726207501793</v>
      </c>
      <c r="R16" s="71">
        <f t="shared" si="40"/>
        <v>0.42322791366292373</v>
      </c>
      <c r="S16" s="71">
        <f t="shared" si="40"/>
        <v>0.42322788906953274</v>
      </c>
      <c r="T16" s="71">
        <f t="shared" si="40"/>
        <v>0.42322786726079786</v>
      </c>
      <c r="U16" s="71">
        <f t="shared" si="40"/>
        <v>0.42322773925139928</v>
      </c>
      <c r="V16" s="71">
        <f t="shared" si="40"/>
        <v>0.42322773629131677</v>
      </c>
      <c r="W16" s="71">
        <f>BJ$88*$AW$47</f>
        <v>0.42322747791647658</v>
      </c>
      <c r="X16" s="71">
        <f>BK$88*$AW$47</f>
        <v>0.42322782803017894</v>
      </c>
      <c r="Y16" s="71">
        <f>BL$88*$AW$47</f>
        <v>0.42322790932274545</v>
      </c>
      <c r="Z16" s="71">
        <f>BM$88*$AW$47</f>
        <v>0.42322758233513103</v>
      </c>
      <c r="AA16" s="71">
        <f>BN$88*$AX$47</f>
        <v>0.42322768694742202</v>
      </c>
      <c r="AB16" s="71">
        <f>BO$88*$AX$47</f>
        <v>0.42322779651266845</v>
      </c>
      <c r="AC16" s="305"/>
      <c r="AE16" s="71"/>
      <c r="AF16" s="71"/>
      <c r="AG16" s="71"/>
      <c r="AH16" s="71"/>
      <c r="AI16" s="71"/>
      <c r="AJ16" s="415"/>
      <c r="AK16" s="66" t="s">
        <v>2240</v>
      </c>
      <c r="AL16">
        <v>2</v>
      </c>
      <c r="AM16">
        <v>1</v>
      </c>
      <c r="AN16">
        <v>1</v>
      </c>
      <c r="AO16">
        <v>2</v>
      </c>
      <c r="AP16">
        <v>1</v>
      </c>
      <c r="AT16" s="17" t="s">
        <v>239</v>
      </c>
      <c r="AU16" s="88" cm="1">
        <f t="array" ref="AU16">SUMPRODUCT(_xlfn._xlws.FILTER('NRCan Fuel Guide'!$C$22:$C$35, 'NRCan Fuel Guide'!$B$22:$B$35=$AT16),_xlfn._xlws.FILTER('NRCan Fuel Guide'!$E$22:$E$35, 'NRCan Fuel Guide'!$B$22:$B$35=$AT16))/SUM(_xlfn._xlws.FILTER('NRCan Fuel Guide'!$E$22:$E$35, 'NRCan Fuel Guide'!$B$22:$B$35=$AT16))</f>
        <v>20.129475235956509</v>
      </c>
      <c r="AV16" s="88" cm="1">
        <f t="array" ref="AV16">SUMPRODUCT(_xlfn._xlws.FILTER('NRCan Fuel Guide'!$I$22:$I$40, 'NRCan Fuel Guide'!$H$22:$H$40=$AT16),_xlfn._xlws.FILTER('NRCan Fuel Guide'!$K$22:$K$40, 'NRCan Fuel Guide'!$H$22:$H$40=$AT16))/SUM(_xlfn._xlws.FILTER('NRCan Fuel Guide'!$K$22:$K$40, 'NRCan Fuel Guide'!$H$22:$H$40=$AT16))</f>
        <v>17.637464356619702</v>
      </c>
      <c r="AW16" s="88" cm="1">
        <f t="array" ref="AW16">SUMPRODUCT(_xlfn._xlws.FILTER('NRCan Fuel Guide'!$O$19:$O$34, 'NRCan Fuel Guide'!$N$19:$N$34=$AT16),_xlfn._xlws.FILTER('NRCan Fuel Guide'!$Q$19:$Q$34, 'NRCan Fuel Guide'!$N$19:$N$34=$AT16))/SUM(_xlfn._xlws.FILTER('NRCan Fuel Guide'!$Q$19:$Q$34, 'NRCan Fuel Guide'!$N$19:$N$34=$AT16))</f>
        <v>15.399717157571379</v>
      </c>
      <c r="AX16" s="88" cm="1">
        <f t="array" ref="AX16">SUMPRODUCT(_xlfn._xlws.FILTER('NRCan Fuel Guide'!$U$15:$U$29, 'NRCan Fuel Guide'!$T$15:$T$29=$AT16), _xlfn._xlws.FILTER('NRCan Fuel Guide'!$W$15:$W$29, 'NRCan Fuel Guide'!$T$15:$T$29=$AT16))/SUM(_xlfn._xlws.FILTER('NRCan Fuel Guide'!$W$15:$W$29, 'NRCan Fuel Guide'!$T$15:$T$29=$AT16))</f>
        <v>18.252652313197515</v>
      </c>
      <c r="AY16" s="88" cm="1">
        <f t="array" ref="AY16">SUMPRODUCT(_xlfn._xlws.FILTER('NRCan Fuel Guide'!$AA$14:$AA$26, 'NRCan Fuel Guide'!$Z$14:$Z$26=$AT16), _xlfn._xlws.FILTER('NRCan Fuel Guide'!$AC$14:$AC$26, 'NRCan Fuel Guide'!$Z$14:$Z$26=$AT16))/SUM(_xlfn._xlws.FILTER('NRCan Fuel Guide'!$AC$14:$AC$26, 'NRCan Fuel Guide'!$Z$14:$Z$26=$AT16))</f>
        <v>17.486666666666601</v>
      </c>
      <c r="BA16" s="33" t="s">
        <v>2156</v>
      </c>
      <c r="BB16" s="73"/>
      <c r="BC16" s="73"/>
      <c r="BD16" s="73"/>
      <c r="BE16" s="73"/>
      <c r="BF16" s="73"/>
      <c r="BG16" s="73"/>
      <c r="BH16" s="73"/>
      <c r="BI16" s="102"/>
      <c r="BK16" s="33" t="s">
        <v>573</v>
      </c>
      <c r="BL16" s="88"/>
      <c r="BM16" s="88"/>
      <c r="BN16" s="88"/>
      <c r="BO16" s="88"/>
      <c r="BP16" s="88"/>
      <c r="BQ16" s="88"/>
      <c r="BR16" s="88"/>
      <c r="BS16" s="102"/>
      <c r="CD16" s="17" t="s">
        <v>1065</v>
      </c>
      <c r="CE16" s="439" cm="1">
        <f t="array" ref="CE16">1/AVERAGE(_xlfn._xlws.FILTER('ANL-DOE-MHDV Data'!$AX:$AX,('ANL-DOE-MHDV Data'!$A:$A=$CD16)*('ANL-DOE-MHDV Data'!$B:$B=CE$2)*('ANL-DOE-MHDV Data'!$E:$E="Medium 4")))</f>
        <v>0.35648045092770397</v>
      </c>
      <c r="CF16" s="439" cm="1">
        <f t="array" ref="CF16">1/AVERAGE(_xlfn._xlws.FILTER('ANL-DOE-MHDV Data'!$AX:$AX,('ANL-DOE-MHDV Data'!$A:$A=$CD16)*('ANL-DOE-MHDV Data'!$B:$B=CF$2)*('ANL-DOE-MHDV Data'!$E:$E="Medium 4")))</f>
        <v>0.38415455569582285</v>
      </c>
      <c r="CG16" s="439" cm="1">
        <f t="array" ref="CG16">1/AVERAGE(_xlfn._xlws.FILTER('ANL-DOE-MHDV Data'!$AX:$AX,('ANL-DOE-MHDV Data'!$A:$A=$CD16)*('ANL-DOE-MHDV Data'!$B:$B=CG$2)*('ANL-DOE-MHDV Data'!$E:$E="Medium 4")))</f>
        <v>0.41349336417801708</v>
      </c>
      <c r="CH16" s="439" cm="1">
        <f t="array" ref="CH16">1/AVERAGE(_xlfn._xlws.FILTER('ANL-DOE-MHDV Data'!$AX:$AX,('ANL-DOE-MHDV Data'!$A:$A=$CD16)*('ANL-DOE-MHDV Data'!$B:$B=CH$2)*('ANL-DOE-MHDV Data'!$E:$E="Medium 4")))</f>
        <v>0.43892163184017136</v>
      </c>
      <c r="CI16" s="439">
        <f t="shared" ref="CI16:CJ16" si="41">($CK16-$CH16)/3 + CH16</f>
        <v>0.45682858004886107</v>
      </c>
      <c r="CJ16" s="439">
        <f t="shared" si="41"/>
        <v>0.47473552825755078</v>
      </c>
      <c r="CK16" s="439" cm="1">
        <f t="array" ref="CK16">1/AVERAGE(_xlfn._xlws.FILTER('ANL-DOE-MHDV Data'!$AX:$AX,('ANL-DOE-MHDV Data'!$A:$A=$CD16)*('ANL-DOE-MHDV Data'!$B:$B=CK$2)*('ANL-DOE-MHDV Data'!$E:$E="Medium 4")))</f>
        <v>0.49264247646624043</v>
      </c>
      <c r="CL16" s="102">
        <f t="shared" si="11"/>
        <v>0.38196211092133858</v>
      </c>
      <c r="CN16" s="17" t="s">
        <v>1065</v>
      </c>
      <c r="CO16" s="88">
        <f t="shared" si="29"/>
        <v>30.078002937837599</v>
      </c>
      <c r="CP16" s="88">
        <f t="shared" si="29"/>
        <v>27.014028406016333</v>
      </c>
      <c r="CQ16" s="88">
        <f t="shared" si="29"/>
        <v>24.739851599130535</v>
      </c>
      <c r="CR16" s="88">
        <f t="shared" si="29"/>
        <v>22.892470939156755</v>
      </c>
      <c r="CS16" s="88">
        <f t="shared" si="29"/>
        <v>21.778714899316274</v>
      </c>
      <c r="CT16" s="88">
        <f t="shared" si="29"/>
        <v>20.768303089068095</v>
      </c>
      <c r="CU16" s="88">
        <f t="shared" si="29"/>
        <v>19.847489448973622</v>
      </c>
      <c r="CV16" s="102">
        <f t="shared" si="12"/>
        <v>-0.34013273786851622</v>
      </c>
      <c r="DG16" s="17" t="s">
        <v>239</v>
      </c>
      <c r="DH16" s="73">
        <f>1/('GREET-AFLEET Summary'!P16*DSL_PJ_ML*10)</f>
        <v>5.8039565109293215E-2</v>
      </c>
      <c r="DI16" s="73">
        <f>1/('GREET-AFLEET Summary'!Q16*DSL_PJ_ML*10)</f>
        <v>6.1842923049216063E-2</v>
      </c>
      <c r="DJ16" s="73">
        <f>1/('GREET-AFLEET Summary'!R16*DSL_PJ_ML*10)</f>
        <v>6.5278873061581075E-2</v>
      </c>
      <c r="DK16" s="73">
        <f>1/('GREET-AFLEET Summary'!S16*DSL_PJ_ML*10)</f>
        <v>6.7835991465587039E-2</v>
      </c>
      <c r="DL16" s="73">
        <f>1/('GREET-AFLEET Summary'!T16*DSL_PJ_ML*10)</f>
        <v>7.0192523970379866E-2</v>
      </c>
      <c r="DM16" s="73">
        <f>1/('GREET-AFLEET Summary'!U16*DSL_PJ_ML*10)</f>
        <v>7.254905647517268E-2</v>
      </c>
      <c r="DN16" s="73">
        <f>1/('GREET-AFLEET Summary'!V16*DSL_PJ_ML*10)</f>
        <v>7.4905588979965507E-2</v>
      </c>
      <c r="DO16" s="102">
        <f t="shared" si="13"/>
        <v>0.29059528338836099</v>
      </c>
      <c r="DZ16" s="17" t="s">
        <v>239</v>
      </c>
      <c r="EA16" s="88">
        <v>29.750730111218676</v>
      </c>
      <c r="EB16" s="88">
        <v>28.57716058092419</v>
      </c>
      <c r="EC16" s="88">
        <v>25.950270449740302</v>
      </c>
      <c r="ED16" s="88">
        <v>23.907658419025413</v>
      </c>
      <c r="EE16" s="88">
        <v>22.957572560863547</v>
      </c>
      <c r="EF16" s="88">
        <v>22.549955684481329</v>
      </c>
      <c r="EG16" s="88">
        <v>22.32832760394124</v>
      </c>
      <c r="EH16" s="102">
        <f t="shared" si="14"/>
        <v>-0.24948639846921031</v>
      </c>
      <c r="EJ16" s="224" t="s">
        <v>240</v>
      </c>
      <c r="EK16" s="88">
        <f>L_100km_to_mpg/'Background Data'!BC42</f>
        <v>45.233676777197715</v>
      </c>
      <c r="EL16" s="88">
        <f>L_100km_to_mpg/'Background Data'!BD42</f>
        <v>36.752362381473148</v>
      </c>
      <c r="EM16" s="88">
        <f t="shared" ref="EM16:EP16" si="42">($EQ16-$EL16)/(6-1) + EL16</f>
        <v>34.872008957304757</v>
      </c>
      <c r="EN16" s="88">
        <f t="shared" si="42"/>
        <v>32.991655533136367</v>
      </c>
      <c r="EO16" s="88">
        <f t="shared" si="42"/>
        <v>31.111302108967973</v>
      </c>
      <c r="EP16" s="88">
        <f t="shared" si="42"/>
        <v>29.230948684799579</v>
      </c>
      <c r="EQ16" s="88">
        <f>L_100km_to_mpg/'Background Data'!BE42</f>
        <v>27.350595260631181</v>
      </c>
      <c r="ER16" s="102">
        <f t="shared" si="16"/>
        <v>-0.39534883720930225</v>
      </c>
    </row>
    <row r="17" spans="1:148" x14ac:dyDescent="0.35">
      <c r="A17" t="s">
        <v>1089</v>
      </c>
      <c r="B17" t="s">
        <v>1094</v>
      </c>
      <c r="C17" t="s">
        <v>14</v>
      </c>
      <c r="D17" t="s">
        <v>2261</v>
      </c>
      <c r="E17" t="s">
        <v>161</v>
      </c>
      <c r="F17">
        <v>2022</v>
      </c>
      <c r="G17" s="63" t="s">
        <v>283</v>
      </c>
      <c r="H17" s="71"/>
      <c r="I17" s="71"/>
      <c r="J17" s="71"/>
      <c r="K17" s="71"/>
      <c r="L17" s="71"/>
      <c r="M17" s="71"/>
      <c r="N17" s="71">
        <f>BA$89/('Background Data'!H120*GSL_PJ_ML*10)</f>
        <v>0.16318871777119487</v>
      </c>
      <c r="O17" s="71">
        <f>BB$89/('Background Data'!I120*GSL_PJ_ML*10)</f>
        <v>0.17186567994040561</v>
      </c>
      <c r="P17" s="71">
        <f>BC$89/('Background Data'!J120*GSL_PJ_ML*10)</f>
        <v>0.16348220299519456</v>
      </c>
      <c r="Q17" s="71">
        <f>BD$89/('Background Data'!K120*GSL_PJ_ML*10)</f>
        <v>0.14972283113553195</v>
      </c>
      <c r="R17" s="71">
        <f>BE$89/('Background Data'!L120*GSL_PJ_ML*10)</f>
        <v>0.16405381901283264</v>
      </c>
      <c r="S17" s="71">
        <f>BF$89/('Background Data'!M120*GSL_PJ_ML*10)</f>
        <v>0.16320066022003485</v>
      </c>
      <c r="T17" s="71">
        <f>BG$89/('Background Data'!N120*GSL_PJ_ML*10)</f>
        <v>0.16436406308458529</v>
      </c>
      <c r="U17" s="71">
        <f>BH$89/('Background Data'!O120*GSL_PJ_ML*10)</f>
        <v>0.16790282221499014</v>
      </c>
      <c r="V17" s="71">
        <f>BI$89/('Background Data'!P120*GSL_PJ_ML*10)</f>
        <v>0.16985123933086402</v>
      </c>
      <c r="W17" s="71">
        <f>BJ$89/('Background Data'!Q120*GSL_PJ_ML*10)</f>
        <v>0.17597521655463175</v>
      </c>
      <c r="X17" s="71">
        <f>BK$89/('Background Data'!R120*GSL_PJ_ML*10)</f>
        <v>0.17857047431555995</v>
      </c>
      <c r="Y17" s="71">
        <f>BL$89/('Background Data'!S120*GSL_PJ_ML*10)</f>
        <v>0.18124342723492956</v>
      </c>
      <c r="Z17" s="71">
        <f>BM$89/('Background Data'!T120*GSL_PJ_ML*10)</f>
        <v>0.18399761671432008</v>
      </c>
      <c r="AA17" s="71">
        <f>BN$89/('Background Data'!U120*GSL_PJ_ML*10)</f>
        <v>0.18683680287296817</v>
      </c>
      <c r="AB17" s="71">
        <f>BO$89/('Background Data'!V120*GSL_PJ_ML*10)</f>
        <v>0.18976498363118802</v>
      </c>
      <c r="AC17" s="305"/>
      <c r="AE17" s="71"/>
      <c r="AF17" s="71"/>
      <c r="AG17" s="71"/>
      <c r="AH17" s="71"/>
      <c r="AI17" s="71"/>
      <c r="AJ17" s="415"/>
      <c r="AK17" s="66" t="s">
        <v>2241</v>
      </c>
      <c r="AL17">
        <v>2</v>
      </c>
      <c r="AM17">
        <v>1</v>
      </c>
      <c r="AN17">
        <v>1</v>
      </c>
      <c r="AO17">
        <v>1</v>
      </c>
      <c r="AP17">
        <v>1</v>
      </c>
      <c r="AT17" s="17" t="s">
        <v>556</v>
      </c>
      <c r="AU17" s="88" cm="1">
        <f t="array" ref="AU17">SUMPRODUCT(_xlfn._xlws.FILTER('NRCan Fuel Guide'!$C$22:$C$35, 'NRCan Fuel Guide'!$B$22:$B$35=$AT17),_xlfn._xlws.FILTER('NRCan Fuel Guide'!$E$22:$E$35, 'NRCan Fuel Guide'!$B$22:$B$35=$AT17))/SUM(_xlfn._xlws.FILTER('NRCan Fuel Guide'!$E$22:$E$35, 'NRCan Fuel Guide'!$B$22:$B$35=$AT17))</f>
        <v>10.619342124457912</v>
      </c>
      <c r="AV17" s="88" cm="1">
        <f t="array" ref="AV17">SUMPRODUCT(_xlfn._xlws.FILTER('NRCan Fuel Guide'!$I$22:$I$40, 'NRCan Fuel Guide'!$H$22:$H$40=$AT17),_xlfn._xlws.FILTER('NRCan Fuel Guide'!$K$22:$K$40, 'NRCan Fuel Guide'!$H$22:$H$40=$AT17))/SUM(_xlfn._xlws.FILTER('NRCan Fuel Guide'!$K$22:$K$40, 'NRCan Fuel Guide'!$H$22:$H$40=$AT17))</f>
        <v>9.4586503646218247</v>
      </c>
      <c r="AW17" s="88" cm="1">
        <f t="array" ref="AW17">SUMPRODUCT(_xlfn._xlws.FILTER('NRCan Fuel Guide'!$O$19:$O$34, 'NRCan Fuel Guide'!$N$19:$N$34=$AT17),_xlfn._xlws.FILTER('NRCan Fuel Guide'!$Q$19:$Q$34, 'NRCan Fuel Guide'!$N$19:$N$34=$AT17))/SUM(_xlfn._xlws.FILTER('NRCan Fuel Guide'!$Q$19:$Q$34, 'NRCan Fuel Guide'!$N$19:$N$34=$AT17))</f>
        <v>8.1757492499129345</v>
      </c>
      <c r="AX17" s="88" cm="1">
        <f t="array" ref="AX17">SUMPRODUCT(_xlfn._xlws.FILTER('NRCan Fuel Guide'!$U$15:$U$29, 'NRCan Fuel Guide'!$T$15:$T$29=$AT17), _xlfn._xlws.FILTER('NRCan Fuel Guide'!$W$15:$W$29, 'NRCan Fuel Guide'!$T$15:$T$29=$AT17))/SUM(_xlfn._xlws.FILTER('NRCan Fuel Guide'!$W$15:$W$29, 'NRCan Fuel Guide'!$T$15:$T$29=$AT17))</f>
        <v>6.850637827564757</v>
      </c>
      <c r="AY17" s="88" cm="1">
        <f t="array" ref="AY17">SUMPRODUCT(_xlfn._xlws.FILTER('NRCan Fuel Guide'!$AA$14:$AA$26, 'NRCan Fuel Guide'!$Z$14:$Z$26=$AT17), _xlfn._xlws.FILTER('NRCan Fuel Guide'!$AC$14:$AC$26, 'NRCan Fuel Guide'!$Z$14:$Z$26=$AT17))/SUM(_xlfn._xlws.FILTER('NRCan Fuel Guide'!$AC$14:$AC$26, 'NRCan Fuel Guide'!$Z$14:$Z$26=$AT17))</f>
        <v>7.6751917510430561</v>
      </c>
      <c r="BA17" s="17" t="s">
        <v>985</v>
      </c>
      <c r="BB17" s="73" cm="1">
        <f t="array" ref="BB17">1/AVERAGE(_xlfn._xlws.FILTER('ANL-DOE-LDV Data'!$AX:$AX, ('ANL-DOE-LDV Data'!$A:$A=$BA17)*('ANL-DOE-LDV Data'!$B:$B=BB$2-5)*('ANL-DOE-LDV Data'!$D:$D="Midsize_B")))</f>
        <v>0.33743967810796066</v>
      </c>
      <c r="BC17" s="73" cm="1">
        <f t="array" ref="BC17">1/AVERAGE(_xlfn._xlws.FILTER('ANL-DOE-LDV Data'!$AX:$AX, ('ANL-DOE-LDV Data'!$A:$A=$BA17)*('ANL-DOE-LDV Data'!$B:$B=BC$2-5)*('ANL-DOE-LDV Data'!$D:$D="Midsize_B")))</f>
        <v>0.33367434381032374</v>
      </c>
      <c r="BD17" s="73" cm="1">
        <f t="array" ref="BD17">1/AVERAGE(_xlfn._xlws.FILTER('ANL-DOE-LDV Data'!$AX:$AX, ('ANL-DOE-LDV Data'!$A:$A=$BA17)*('ANL-DOE-LDV Data'!$B:$B=BD$2-5)*('ANL-DOE-LDV Data'!$D:$D="Midsize_B")))</f>
        <v>0.38777900559480105</v>
      </c>
      <c r="BE17" s="73" cm="1">
        <f t="array" ref="BE17">1/AVERAGE(_xlfn._xlws.FILTER('ANL-DOE-LDV Data'!$AX:$AX, ('ANL-DOE-LDV Data'!$A:$A=$BA17)*('ANL-DOE-LDV Data'!$B:$B=BE$2-5)*('ANL-DOE-LDV Data'!$D:$D="Midsize_B")))</f>
        <v>0.42169054268921669</v>
      </c>
      <c r="BF17" s="73">
        <f t="shared" ref="BF17:BG17" si="43">($BH17-$BE17)/3 + BE17</f>
        <v>0.44449220717083604</v>
      </c>
      <c r="BG17" s="73">
        <f t="shared" si="43"/>
        <v>0.46729387165245539</v>
      </c>
      <c r="BH17" s="73" cm="1">
        <f t="array" ref="BH17">1/AVERAGE(_xlfn._xlws.FILTER('ANL-DOE-LDV Data'!$AX:$AX, ('ANL-DOE-LDV Data'!$A:$A=$BA17)*('ANL-DOE-LDV Data'!$B:$B=BH$2-5)*('ANL-DOE-LDV Data'!$D:$D="Midsize_B")))</f>
        <v>0.49009553613407481</v>
      </c>
      <c r="BI17" s="102">
        <f t="shared" ref="BI17:BI28" si="44">(BH17-BB17)/BB17</f>
        <v>0.4523945105746377</v>
      </c>
      <c r="BK17" s="17" t="s">
        <v>985</v>
      </c>
      <c r="BL17" s="88">
        <f t="shared" ref="BL17:BR28" si="45">1/(BL46*GSL_PJ_ML*10)</f>
        <v>10.316086286595052</v>
      </c>
      <c r="BM17" s="88">
        <f t="shared" si="45"/>
        <v>10.438420900512599</v>
      </c>
      <c r="BN17" s="88">
        <f t="shared" si="45"/>
        <v>9.0443812284515914</v>
      </c>
      <c r="BO17" s="88">
        <f t="shared" si="45"/>
        <v>8.2850053133369048</v>
      </c>
      <c r="BP17" s="88">
        <f t="shared" si="45"/>
        <v>7.8812414040111269</v>
      </c>
      <c r="BQ17" s="88">
        <f t="shared" si="45"/>
        <v>7.5150030153422502</v>
      </c>
      <c r="BR17" s="88">
        <f t="shared" si="45"/>
        <v>7.1812910615859691</v>
      </c>
      <c r="BS17" s="102">
        <f t="shared" ref="BS17:BS28" si="46">(BR17-BL17)/BL17</f>
        <v>-0.30387446730476697</v>
      </c>
      <c r="CD17" s="33" t="s">
        <v>1588</v>
      </c>
      <c r="CL17" s="102"/>
      <c r="CN17" s="33" t="s">
        <v>1295</v>
      </c>
      <c r="CV17" s="102"/>
      <c r="DG17" s="17" t="s">
        <v>240</v>
      </c>
      <c r="DH17" s="73">
        <f>1/('GREET-AFLEET Summary'!P17*DSL_PJ_ML*10)</f>
        <v>5.9200356411479069E-2</v>
      </c>
      <c r="DI17" s="73">
        <f>1/('GREET-AFLEET Summary'!Q17*DSL_PJ_ML*10)</f>
        <v>6.3079781510200383E-2</v>
      </c>
      <c r="DJ17" s="73">
        <f>1/('GREET-AFLEET Summary'!R17*DSL_PJ_ML*10)</f>
        <v>6.6584450522812699E-2</v>
      </c>
      <c r="DK17" s="73">
        <f>1/('GREET-AFLEET Summary'!S17*DSL_PJ_ML*10)</f>
        <v>6.919271129489879E-2</v>
      </c>
      <c r="DL17" s="73">
        <f>1/('GREET-AFLEET Summary'!T17*DSL_PJ_ML*10)</f>
        <v>7.1596374449787462E-2</v>
      </c>
      <c r="DM17" s="73">
        <f>1/('GREET-AFLEET Summary'!U17*DSL_PJ_ML*10)</f>
        <v>7.4000037604676133E-2</v>
      </c>
      <c r="DN17" s="73">
        <f>1/('GREET-AFLEET Summary'!V17*DSL_PJ_ML*10)</f>
        <v>7.6403700759564819E-2</v>
      </c>
      <c r="DO17" s="102">
        <f t="shared" si="13"/>
        <v>0.29059528338836127</v>
      </c>
      <c r="DZ17" s="17" t="s">
        <v>246</v>
      </c>
      <c r="EA17" s="88">
        <v>11.751473557746067</v>
      </c>
      <c r="EB17" s="88">
        <v>11.62636236922785</v>
      </c>
      <c r="EC17" s="88">
        <v>11.180483064993775</v>
      </c>
      <c r="ED17" s="88">
        <v>10.830981674726489</v>
      </c>
      <c r="EE17" s="88">
        <v>10.622701180414854</v>
      </c>
      <c r="EF17" s="88">
        <v>10.533002381662305</v>
      </c>
      <c r="EG17" s="88">
        <v>10.538979924149086</v>
      </c>
      <c r="EH17" s="102">
        <f t="shared" si="14"/>
        <v>-0.10317800807182667</v>
      </c>
      <c r="EJ17" s="4" t="s">
        <v>1225</v>
      </c>
      <c r="EK17" s="88"/>
      <c r="EL17" s="88"/>
      <c r="EM17" s="88"/>
      <c r="EN17" s="88"/>
      <c r="EO17" s="88"/>
      <c r="EP17" s="88"/>
      <c r="EQ17" s="88"/>
      <c r="ER17" s="102"/>
    </row>
    <row r="18" spans="1:148" x14ac:dyDescent="0.35">
      <c r="A18" t="s">
        <v>29</v>
      </c>
      <c r="B18" t="s">
        <v>10</v>
      </c>
      <c r="C18" t="s">
        <v>14</v>
      </c>
      <c r="D18" t="s">
        <v>2261</v>
      </c>
      <c r="E18" t="s">
        <v>161</v>
      </c>
      <c r="F18">
        <v>2022</v>
      </c>
      <c r="G18" s="63" t="s">
        <v>283</v>
      </c>
      <c r="H18" s="71"/>
      <c r="I18" s="71"/>
      <c r="J18" s="71"/>
      <c r="K18" s="71"/>
      <c r="L18" s="71"/>
      <c r="M18" s="71"/>
      <c r="N18" s="71">
        <f>BA$89/('Background Data'!H126*GSL_PJ_ML*10)</f>
        <v>0.16045723279562552</v>
      </c>
      <c r="O18" s="71">
        <f>BB$89/('Background Data'!I126*GSL_PJ_ML*10)</f>
        <v>0.15911600041960397</v>
      </c>
      <c r="P18" s="71">
        <f>BC$89/('Background Data'!J126*GSL_PJ_ML*10)</f>
        <v>0.161027515262534</v>
      </c>
      <c r="Q18" s="71">
        <f>BD$89/('Background Data'!K126*GSL_PJ_ML*10)</f>
        <v>0.15414995386315344</v>
      </c>
      <c r="R18" s="71">
        <f>BE$89/('Background Data'!L126*GSL_PJ_ML*10)</f>
        <v>0.1620704395083597</v>
      </c>
      <c r="S18" s="71">
        <f>BF$89/('Background Data'!M126*GSL_PJ_ML*10)</f>
        <v>0.16462944621064279</v>
      </c>
      <c r="T18" s="71">
        <f>BG$89/('Background Data'!N126*GSL_PJ_ML*10)</f>
        <v>0.16727056027552928</v>
      </c>
      <c r="U18" s="71">
        <f>BH$89/('Background Data'!O126*GSL_PJ_ML*10)</f>
        <v>0.16999779774114085</v>
      </c>
      <c r="V18" s="71">
        <f>BI$89/('Background Data'!P126*GSL_PJ_ML*10)</f>
        <v>0.17281544061865606</v>
      </c>
      <c r="W18" s="71">
        <f>BJ$89/('Background Data'!Q126*GSL_PJ_ML*10)</f>
        <v>0.17572806035160557</v>
      </c>
      <c r="X18" s="71">
        <f>BK$89/('Background Data'!R126*GSL_PJ_ML*10)</f>
        <v>0.17874054143395571</v>
      </c>
      <c r="Y18" s="71">
        <f>BL$89/('Background Data'!S126*GSL_PJ_ML*10)</f>
        <v>0.18185810940093952</v>
      </c>
      <c r="Z18" s="71">
        <f>BM$89/('Background Data'!T126*GSL_PJ_ML*10)</f>
        <v>0.1850863600084876</v>
      </c>
      <c r="AA18" s="71">
        <f>BN$89/('Background Data'!U126*GSL_PJ_ML*10)</f>
        <v>0.18843129366053865</v>
      </c>
      <c r="AB18" s="71">
        <f>BO$89/('Background Data'!V126*GSL_PJ_ML*10)</f>
        <v>0.19189935461272495</v>
      </c>
      <c r="AC18" s="305"/>
      <c r="AE18" s="71"/>
      <c r="AF18" s="71"/>
      <c r="AG18" s="71"/>
      <c r="AH18" s="71"/>
      <c r="AI18" s="71"/>
      <c r="AJ18" s="415"/>
      <c r="AK18" s="66" t="s">
        <v>2242</v>
      </c>
      <c r="AL18">
        <v>2</v>
      </c>
      <c r="AM18">
        <v>1</v>
      </c>
      <c r="AN18">
        <v>1</v>
      </c>
      <c r="AO18">
        <v>1</v>
      </c>
      <c r="AP18">
        <v>1</v>
      </c>
      <c r="AT18" s="17" t="s">
        <v>578</v>
      </c>
      <c r="AU18" s="88"/>
      <c r="AV18" s="88" cm="1">
        <f t="array" ref="AV18">SUMPRODUCT(_xlfn._xlws.FILTER('NRCan Fuel Guide'!$AM$15:$AM$19, 'NRCan Fuel Guide'!$AL$15:$AL$19=35), _xlfn._xlws.FILTER('NRCan Fuel Guide'!$AQ$15:$AQ$19, 'NRCan Fuel Guide'!$AL$15:$AL$19=35))/SUM(_xlfn._xlws.FILTER('NRCan Fuel Guide'!$AQ$15:$AQ$19, 'NRCan Fuel Guide'!$AL$15:$AL$19=35))</f>
        <v>3.9182580869107766</v>
      </c>
      <c r="AW18" s="88" cm="1">
        <f t="array" ref="AW18">SUMPRODUCT(_xlfn._xlws.FILTER('NRCan Fuel Guide'!$AM$15:$AM$19, 'NRCan Fuel Guide'!$AL$15:$AL$19=35), _xlfn._xlws.FILTER('NRCan Fuel Guide'!$AQ$15:$AQ$19, 'NRCan Fuel Guide'!$AL$15:$AL$19=35))/SUM(_xlfn._xlws.FILTER('NRCan Fuel Guide'!$AQ$15:$AQ$19, 'NRCan Fuel Guide'!$AL$15:$AL$19=35))</f>
        <v>3.9182580869107766</v>
      </c>
      <c r="AX18" s="88" cm="1">
        <f t="array" ref="AX18">SUMPRODUCT(_xlfn._xlws.FILTER('NRCan Fuel Guide'!$AM$15:$AM$19, 'NRCan Fuel Guide'!$AL$15:$AL$19=35), _xlfn._xlws.FILTER('NRCan Fuel Guide'!$AQ$15:$AQ$19, 'NRCan Fuel Guide'!$AL$15:$AL$19=35))/SUM(_xlfn._xlws.FILTER('NRCan Fuel Guide'!$AQ$15:$AQ$19, 'NRCan Fuel Guide'!$AL$15:$AL$19=35))</f>
        <v>3.9182580869107766</v>
      </c>
      <c r="AY18" s="88" cm="1">
        <f t="array" ref="AY18">SUMPRODUCT(_xlfn._xlws.FILTER('NRCan Fuel Guide'!$AM$15:$AM$19, 'NRCan Fuel Guide'!$AL$15:$AL$19=35), _xlfn._xlws.FILTER('NRCan Fuel Guide'!$AQ$15:$AQ$19, 'NRCan Fuel Guide'!$AL$15:$AL$19=35))/SUM(_xlfn._xlws.FILTER('NRCan Fuel Guide'!$AQ$15:$AQ$19, 'NRCan Fuel Guide'!$AL$15:$AL$19=35))</f>
        <v>3.9182580869107766</v>
      </c>
      <c r="BA18" s="17" t="s">
        <v>982</v>
      </c>
      <c r="BB18" s="73" cm="1">
        <f t="array" ref="BB18">1/AVERAGE(_xlfn._xlws.FILTER('ANL-DOE-LDV Data'!$AX:$AX, ('ANL-DOE-LDV Data'!$A:$A=$BA18)*('ANL-DOE-LDV Data'!$B:$B=BB$2-5)*('ANL-DOE-LDV Data'!$D:$D="Midsize_B")))</f>
        <v>0.42088280396114525</v>
      </c>
      <c r="BC18" s="73" cm="1">
        <f t="array" ref="BC18">1/AVERAGE(_xlfn._xlws.FILTER('ANL-DOE-LDV Data'!$AX:$AX, ('ANL-DOE-LDV Data'!$A:$A=$BA18)*('ANL-DOE-LDV Data'!$B:$B=BC$2-5)*('ANL-DOE-LDV Data'!$D:$D="Midsize_B")))</f>
        <v>0.40819935214005421</v>
      </c>
      <c r="BD18" s="73" cm="1">
        <f t="array" ref="BD18">1/AVERAGE(_xlfn._xlws.FILTER('ANL-DOE-LDV Data'!$AX:$AX, ('ANL-DOE-LDV Data'!$A:$A=$BA18)*('ANL-DOE-LDV Data'!$B:$B=BD$2-5)*('ANL-DOE-LDV Data'!$D:$D="Midsize_B")))</f>
        <v>0.47086349709089698</v>
      </c>
      <c r="BE18" s="73" cm="1">
        <f t="array" ref="BE18">1/AVERAGE(_xlfn._xlws.FILTER('ANL-DOE-LDV Data'!$AX:$AX, ('ANL-DOE-LDV Data'!$A:$A=$BA18)*('ANL-DOE-LDV Data'!$B:$B=BE$2-5)*('ANL-DOE-LDV Data'!$D:$D="Midsize_B")))</f>
        <v>0.49092880586995769</v>
      </c>
      <c r="BF18" s="73">
        <f t="shared" ref="BF18:BG18" si="47">($BH18-$BE18)/3 + BE18</f>
        <v>0.51813526841906576</v>
      </c>
      <c r="BG18" s="73">
        <f t="shared" si="47"/>
        <v>0.54534173096817384</v>
      </c>
      <c r="BH18" s="73" cm="1">
        <f t="array" ref="BH18">1/AVERAGE(_xlfn._xlws.FILTER('ANL-DOE-LDV Data'!$AX:$AX, ('ANL-DOE-LDV Data'!$A:$A=$BA18)*('ANL-DOE-LDV Data'!$B:$B=BH$2-5)*('ANL-DOE-LDV Data'!$D:$D="Midsize_B")))</f>
        <v>0.57254819351728181</v>
      </c>
      <c r="BI18" s="102">
        <f t="shared" si="44"/>
        <v>0.36035064423809982</v>
      </c>
      <c r="BK18" s="17" t="s">
        <v>982</v>
      </c>
      <c r="BL18" s="88">
        <f t="shared" si="45"/>
        <v>8.4018661833387736</v>
      </c>
      <c r="BM18" s="88">
        <f t="shared" si="45"/>
        <v>8.5907484845955526</v>
      </c>
      <c r="BN18" s="88">
        <f t="shared" si="45"/>
        <v>7.5301717838933859</v>
      </c>
      <c r="BO18" s="88">
        <f t="shared" si="45"/>
        <v>6.917114129355733</v>
      </c>
      <c r="BP18" s="88">
        <f t="shared" si="45"/>
        <v>6.5719491052802548</v>
      </c>
      <c r="BQ18" s="88">
        <f t="shared" si="45"/>
        <v>6.2595944128728247</v>
      </c>
      <c r="BR18" s="88">
        <f t="shared" si="45"/>
        <v>5.9755840401631142</v>
      </c>
      <c r="BS18" s="102">
        <f t="shared" si="46"/>
        <v>-0.28877895579759066</v>
      </c>
      <c r="CD18" s="17" t="s">
        <v>1017</v>
      </c>
      <c r="CE18" s="439" cm="1">
        <f t="array" ref="CE18">1/AVERAGE(_xlfn._xlws.FILTER('ANL-DOE-MHDV Data'!$AX:$AX,('ANL-DOE-MHDV Data'!$A:$A=$CD18)*('ANL-DOE-MHDV Data'!$B:$B=CE$2)*('ANL-DOE-MHDV Data'!$E:$E="Medium 5")))</f>
        <v>0.12127172259627103</v>
      </c>
      <c r="CF18" s="439" cm="1">
        <f t="array" ref="CF18">1/AVERAGE(_xlfn._xlws.FILTER('ANL-DOE-MHDV Data'!$AX:$AX,('ANL-DOE-MHDV Data'!$A:$A=$CD18)*('ANL-DOE-MHDV Data'!$B:$B=CF$2)*('ANL-DOE-MHDV Data'!$E:$E="Medium 5")))</f>
        <v>0.12981664155126946</v>
      </c>
      <c r="CG18" s="439" cm="1">
        <f t="array" ref="CG18">1/AVERAGE(_xlfn._xlws.FILTER('ANL-DOE-MHDV Data'!$AX:$AX,('ANL-DOE-MHDV Data'!$A:$A=$CD18)*('ANL-DOE-MHDV Data'!$B:$B=CG$2)*('ANL-DOE-MHDV Data'!$E:$E="Medium 5")))</f>
        <v>0.13802393706432167</v>
      </c>
      <c r="CH18" s="439" cm="1">
        <f t="array" ref="CH18">1/AVERAGE(_xlfn._xlws.FILTER('ANL-DOE-MHDV Data'!$AX:$AX,('ANL-DOE-MHDV Data'!$A:$A=$CD18)*('ANL-DOE-MHDV Data'!$B:$B=CH$2)*('ANL-DOE-MHDV Data'!$E:$E="Medium 5")))</f>
        <v>0.14453665189003673</v>
      </c>
      <c r="CI18" s="439">
        <f t="shared" ref="CI18:CJ18" si="48">($CK18-$CH18)/3 + CH18</f>
        <v>0.15029724421337523</v>
      </c>
      <c r="CJ18" s="439">
        <f t="shared" si="48"/>
        <v>0.15605783653671373</v>
      </c>
      <c r="CK18" s="439" cm="1">
        <f t="array" ref="CK18">1/AVERAGE(_xlfn._xlws.FILTER('ANL-DOE-MHDV Data'!$AX:$AX,('ANL-DOE-MHDV Data'!$A:$A=$CD18)*('ANL-DOE-MHDV Data'!$B:$B=CK$2)*('ANL-DOE-MHDV Data'!$E:$E="Medium 5")))</f>
        <v>0.16181842886005224</v>
      </c>
      <c r="CL18" s="102">
        <f t="shared" si="11"/>
        <v>0.33434592496691368</v>
      </c>
      <c r="CN18" s="17" t="s">
        <v>1017</v>
      </c>
      <c r="CO18" s="88">
        <f t="shared" ref="CO18:CU23" si="49">1/(CO49*DSL_PJ_ML*10)</f>
        <v>26.466229770286475</v>
      </c>
      <c r="CP18" s="88">
        <f t="shared" si="49"/>
        <v>24.87558701186645</v>
      </c>
      <c r="CQ18" s="88">
        <f t="shared" si="49"/>
        <v>23.524999380077418</v>
      </c>
      <c r="CR18" s="88">
        <f t="shared" si="49"/>
        <v>22.566527084156093</v>
      </c>
      <c r="CS18" s="88">
        <f t="shared" si="49"/>
        <v>21.74043090953008</v>
      </c>
      <c r="CT18" s="88">
        <f t="shared" si="49"/>
        <v>20.972680896613447</v>
      </c>
      <c r="CU18" s="88">
        <f t="shared" si="49"/>
        <v>20.257306514083336</v>
      </c>
      <c r="CV18" s="102">
        <f t="shared" si="12"/>
        <v>-0.23459795029716968</v>
      </c>
      <c r="DG18" s="17" t="s">
        <v>231</v>
      </c>
      <c r="DH18" s="73">
        <f>1/('GREET-AFLEET Summary'!P18*DSL_PJ_ML*10)</f>
        <v>5.8039565109293215E-2</v>
      </c>
      <c r="DI18" s="73">
        <f>1/('GREET-AFLEET Summary'!Q18*DSL_PJ_ML*10)</f>
        <v>6.3079781510200383E-2</v>
      </c>
      <c r="DJ18" s="73">
        <f>1/('GREET-AFLEET Summary'!R18*DSL_PJ_ML*10)</f>
        <v>6.6584450522812699E-2</v>
      </c>
      <c r="DK18" s="73">
        <f>1/('GREET-AFLEET Summary'!S18*DSL_PJ_ML*10)</f>
        <v>6.919271129489879E-2</v>
      </c>
      <c r="DL18" s="73">
        <f>1/('GREET-AFLEET Summary'!T18*DSL_PJ_ML*10)</f>
        <v>7.1596374449787462E-2</v>
      </c>
      <c r="DM18" s="73">
        <f>1/('GREET-AFLEET Summary'!U18*DSL_PJ_ML*10)</f>
        <v>7.4000037604676133E-2</v>
      </c>
      <c r="DN18" s="73">
        <f>1/('GREET-AFLEET Summary'!V18*DSL_PJ_ML*10)</f>
        <v>7.6403700759564819E-2</v>
      </c>
      <c r="DO18" s="102">
        <f t="shared" si="13"/>
        <v>0.31640718905612825</v>
      </c>
      <c r="DZ18" s="17" t="s">
        <v>1197</v>
      </c>
      <c r="EA18" s="88"/>
      <c r="EB18" s="88">
        <v>13.807357884898968</v>
      </c>
      <c r="EC18" s="88">
        <v>12.992123203471456</v>
      </c>
      <c r="ED18" s="88">
        <v>12.13997918746748</v>
      </c>
      <c r="EE18" s="88">
        <v>11.530196182330714</v>
      </c>
      <c r="EF18" s="88">
        <v>11.237484234929386</v>
      </c>
      <c r="EG18" s="88">
        <v>11.111649217372001</v>
      </c>
      <c r="EH18" s="102">
        <f>(EG18-EB18)/EB18</f>
        <v>-0.1952371112561114</v>
      </c>
      <c r="EJ18" s="224" t="s">
        <v>109</v>
      </c>
      <c r="EK18" s="88">
        <f>L_100km_to_mpg/'Background Data'!BC30</f>
        <v>28.001799909693826</v>
      </c>
      <c r="EL18" s="88">
        <f>L_100km_to_mpg/'Background Data'!BD30</f>
        <v>23.060305807983152</v>
      </c>
      <c r="EM18" s="88">
        <f t="shared" ref="EM18:EP18" si="50">($EQ18-$EL18)/(6-1) + EL18</f>
        <v>22.094990681137347</v>
      </c>
      <c r="EN18" s="88">
        <f t="shared" si="50"/>
        <v>21.129675554291541</v>
      </c>
      <c r="EO18" s="88">
        <f t="shared" si="50"/>
        <v>20.164360427445736</v>
      </c>
      <c r="EP18" s="88">
        <f t="shared" si="50"/>
        <v>19.199045300599931</v>
      </c>
      <c r="EQ18" s="88">
        <f>L_100km_to_mpg/'Background Data'!BE30</f>
        <v>18.233730173754118</v>
      </c>
      <c r="ER18" s="102">
        <f t="shared" si="16"/>
        <v>-0.34883720930232565</v>
      </c>
    </row>
    <row r="19" spans="1:148" x14ac:dyDescent="0.35">
      <c r="A19" t="s">
        <v>30</v>
      </c>
      <c r="B19" t="s">
        <v>10</v>
      </c>
      <c r="C19" t="s">
        <v>15</v>
      </c>
      <c r="D19" t="s">
        <v>2261</v>
      </c>
      <c r="E19" t="s">
        <v>161</v>
      </c>
      <c r="F19">
        <v>2022</v>
      </c>
      <c r="G19" s="63" t="s">
        <v>283</v>
      </c>
      <c r="H19" s="71"/>
      <c r="I19" s="71"/>
      <c r="J19" s="71"/>
      <c r="K19" s="71">
        <f>AX$90/('Background Data'!E127*GSL_PJ_ML*10)</f>
        <v>0.58801114145125144</v>
      </c>
      <c r="L19" s="71">
        <f>AY$90/('Background Data'!F127*GSL_PJ_ML*10)</f>
        <v>0.59801356785766091</v>
      </c>
      <c r="M19" s="71">
        <f>AZ$90/('Background Data'!G127*GSL_PJ_ML*10)</f>
        <v>0.58310179536473072</v>
      </c>
      <c r="N19" s="71">
        <f>BA$90/('Background Data'!H127*GSL_PJ_ML*10)</f>
        <v>0.58538751071436779</v>
      </c>
      <c r="O19" s="71">
        <f>BB$90/('Background Data'!I127*GSL_PJ_ML*10)</f>
        <v>0.57957013079633835</v>
      </c>
      <c r="P19" s="71">
        <f>BC$90/('Background Data'!J127*GSL_PJ_ML*10)</f>
        <v>0.55873598563960181</v>
      </c>
      <c r="Q19" s="71">
        <f>BD$90/('Background Data'!K127*GSL_PJ_ML*10)</f>
        <v>0.5336089065969315</v>
      </c>
      <c r="R19" s="71">
        <f>BE$90/('Background Data'!L127*GSL_PJ_ML*10)</f>
        <v>0.54873182968750578</v>
      </c>
      <c r="S19" s="71">
        <f>BF$90/('Background Data'!M127*GSL_PJ_ML*10)</f>
        <v>0.54736742206405176</v>
      </c>
      <c r="T19" s="71">
        <f>BG$90/('Background Data'!N127*GSL_PJ_ML*10)</f>
        <v>0.57062688380169657</v>
      </c>
      <c r="U19" s="71">
        <f>BH$90/('Background Data'!O127*GSL_PJ_ML*10)</f>
        <v>0.59127099853714193</v>
      </c>
      <c r="V19" s="71">
        <f>BI$90/('Background Data'!P127*GSL_PJ_ML*10)</f>
        <v>0.62983862209031227</v>
      </c>
      <c r="W19" s="71">
        <f>BJ$90/('Background Data'!Q127*GSL_PJ_ML*10)</f>
        <v>0.69117485666242107</v>
      </c>
      <c r="X19" s="71">
        <f>BK$90/('Background Data'!R127*GSL_PJ_ML*10)</f>
        <v>0.78814136719700867</v>
      </c>
      <c r="Y19" s="71">
        <f>BL$90/('Background Data'!S127*GSL_PJ_ML*10)</f>
        <v>0.75848059726121253</v>
      </c>
      <c r="Z19" s="71">
        <f>BM$90/('Background Data'!T127*GSL_PJ_ML*10)</f>
        <v>0.65546007200807377</v>
      </c>
      <c r="AA19" s="71">
        <f>BN$90/('Background Data'!U127*GSL_PJ_ML*10)</f>
        <v>0.68497153360237273</v>
      </c>
      <c r="AB19" s="71">
        <f>BO$90/('Background Data'!V127*GSL_PJ_ML*10)</f>
        <v>0.6952609637813485</v>
      </c>
      <c r="AC19" s="305"/>
      <c r="AE19" s="71"/>
      <c r="AF19" s="71"/>
      <c r="AG19" s="71"/>
      <c r="AH19" s="71"/>
      <c r="AI19" s="71"/>
      <c r="AJ19" s="415"/>
      <c r="AK19" s="66" t="s">
        <v>2242</v>
      </c>
      <c r="AL19">
        <v>2</v>
      </c>
      <c r="AM19">
        <v>1</v>
      </c>
      <c r="AN19">
        <v>1</v>
      </c>
      <c r="AO19">
        <v>1</v>
      </c>
      <c r="AP19">
        <v>1</v>
      </c>
      <c r="AT19" s="17" t="s">
        <v>579</v>
      </c>
      <c r="AU19" s="88"/>
      <c r="AV19" s="88" cm="1">
        <f t="array" ref="AV19">SUMPRODUCT(_xlfn._xlws.FILTER('NRCan Fuel Guide'!$AM$15:$AM$19, 'NRCan Fuel Guide'!$AL$15:$AL$19=90), _xlfn._xlws.FILTER('NRCan Fuel Guide'!$AQ$15:$AQ$19, 'NRCan Fuel Guide'!$AL$15:$AL$19=90))/SUM(_xlfn._xlws.FILTER('NRCan Fuel Guide'!$AQ$15:$AQ$19, 'NRCan Fuel Guide'!$AL$15:$AL$19=90))</f>
        <v>3.1503971971364435</v>
      </c>
      <c r="AW19" s="88" cm="1">
        <f t="array" ref="AW19">SUMPRODUCT(_xlfn._xlws.FILTER('NRCan Fuel Guide'!$AM$15:$AM$19, 'NRCan Fuel Guide'!$AL$15:$AL$19=90), _xlfn._xlws.FILTER('NRCan Fuel Guide'!$AQ$15:$AQ$19, 'NRCan Fuel Guide'!$AL$15:$AL$19=90))/SUM(_xlfn._xlws.FILTER('NRCan Fuel Guide'!$AQ$15:$AQ$19, 'NRCan Fuel Guide'!$AL$15:$AL$19=90))</f>
        <v>3.1503971971364435</v>
      </c>
      <c r="AX19" s="88" cm="1">
        <f t="array" ref="AX19">SUMPRODUCT(_xlfn._xlws.FILTER('NRCan Fuel Guide'!$AM$15:$AM$19, 'NRCan Fuel Guide'!$AL$15:$AL$19=90), _xlfn._xlws.FILTER('NRCan Fuel Guide'!$AQ$15:$AQ$19, 'NRCan Fuel Guide'!$AL$15:$AL$19=90))/SUM(_xlfn._xlws.FILTER('NRCan Fuel Guide'!$AQ$15:$AQ$19, 'NRCan Fuel Guide'!$AL$15:$AL$19=90))</f>
        <v>3.1503971971364435</v>
      </c>
      <c r="AY19" s="88" cm="1">
        <f t="array" ref="AY19">SUMPRODUCT(_xlfn._xlws.FILTER('NRCan Fuel Guide'!$AM$15:$AM$19, 'NRCan Fuel Guide'!$AL$15:$AL$19=90), _xlfn._xlws.FILTER('NRCan Fuel Guide'!$AQ$15:$AQ$19, 'NRCan Fuel Guide'!$AL$15:$AL$19=90))/SUM(_xlfn._xlws.FILTER('NRCan Fuel Guide'!$AQ$15:$AQ$19, 'NRCan Fuel Guide'!$AL$15:$AL$19=90))</f>
        <v>3.1503971971364435</v>
      </c>
      <c r="BA19" s="17" t="s">
        <v>984</v>
      </c>
      <c r="BB19" s="73" cm="1">
        <f t="array" ref="BB19">1/AVERAGE(_xlfn._xlws.FILTER('ANL-DOE-LDV Data'!$AX:$AX, ('ANL-DOE-LDV Data'!$A:$A=$BA19)*('ANL-DOE-LDV Data'!$B:$B=BB$2-5)*('ANL-DOE-LDV Data'!$D:$D="Midsize_B")))</f>
        <v>0.34309238765237304</v>
      </c>
      <c r="BC19" s="73" cm="1">
        <f t="array" ref="BC19">1/AVERAGE(_xlfn._xlws.FILTER('ANL-DOE-LDV Data'!$AX:$AX, ('ANL-DOE-LDV Data'!$A:$A=$BA19)*('ANL-DOE-LDV Data'!$B:$B=BC$2-5)*('ANL-DOE-LDV Data'!$D:$D="Midsize_B")))</f>
        <v>0.36588617133172635</v>
      </c>
      <c r="BD19" s="73" cm="1">
        <f t="array" ref="BD19">1/AVERAGE(_xlfn._xlws.FILTER('ANL-DOE-LDV Data'!$AX:$AX, ('ANL-DOE-LDV Data'!$A:$A=$BA19)*('ANL-DOE-LDV Data'!$B:$B=BD$2-5)*('ANL-DOE-LDV Data'!$D:$D="Midsize_B")))</f>
        <v>0.41360349422721532</v>
      </c>
      <c r="BE19" s="73" cm="1">
        <f t="array" ref="BE19">1/AVERAGE(_xlfn._xlws.FILTER('ANL-DOE-LDV Data'!$AX:$AX, ('ANL-DOE-LDV Data'!$A:$A=$BA19)*('ANL-DOE-LDV Data'!$B:$B=BE$2-5)*('ANL-DOE-LDV Data'!$D:$D="Midsize_B")))</f>
        <v>0.44296026203396804</v>
      </c>
      <c r="BF19" s="73">
        <f t="shared" ref="BF19:BG19" si="51">($BH19-$BE19)/3 + BE19</f>
        <v>0.46681295807020456</v>
      </c>
      <c r="BG19" s="73">
        <f t="shared" si="51"/>
        <v>0.49066565410644108</v>
      </c>
      <c r="BH19" s="73" cm="1">
        <f t="array" ref="BH19">1/AVERAGE(_xlfn._xlws.FILTER('ANL-DOE-LDV Data'!$AX:$AX, ('ANL-DOE-LDV Data'!$A:$A=$BA19)*('ANL-DOE-LDV Data'!$B:$B=BH$2-5)*('ANL-DOE-LDV Data'!$D:$D="Midsize_B")))</f>
        <v>0.51451835014267766</v>
      </c>
      <c r="BI19" s="102">
        <f t="shared" si="44"/>
        <v>0.49964956571404984</v>
      </c>
      <c r="BK19" s="17" t="s">
        <v>984</v>
      </c>
      <c r="BL19" s="88">
        <f t="shared" si="45"/>
        <v>10.312121148467391</v>
      </c>
      <c r="BM19" s="88">
        <f t="shared" si="45"/>
        <v>9.5703912994555438</v>
      </c>
      <c r="BN19" s="88">
        <f t="shared" si="45"/>
        <v>8.5732031406796416</v>
      </c>
      <c r="BO19" s="88">
        <f t="shared" si="45"/>
        <v>7.9882472891332839</v>
      </c>
      <c r="BP19" s="88">
        <f t="shared" si="45"/>
        <v>7.6001318515336864</v>
      </c>
      <c r="BQ19" s="88">
        <f t="shared" si="45"/>
        <v>7.2479827630088218</v>
      </c>
      <c r="BR19" s="88">
        <f t="shared" si="45"/>
        <v>6.9270219540439051</v>
      </c>
      <c r="BS19" s="102">
        <f t="shared" si="46"/>
        <v>-0.32826410257278504</v>
      </c>
      <c r="CD19" s="17" t="s">
        <v>1020</v>
      </c>
      <c r="CE19" s="439" cm="1">
        <f t="array" ref="CE19">1/AVERAGE(_xlfn._xlws.FILTER('ANL-DOE-MHDV Data'!$AX:$AX,('ANL-DOE-MHDV Data'!$A:$A=$CD19)*('ANL-DOE-MHDV Data'!$B:$B=CE$2)*('ANL-DOE-MHDV Data'!$E:$E="Medium 5")))</f>
        <v>0.16527529533611979</v>
      </c>
      <c r="CF19" s="439" cm="1">
        <f t="array" ref="CF19">1/AVERAGE(_xlfn._xlws.FILTER('ANL-DOE-MHDV Data'!$AX:$AX,('ANL-DOE-MHDV Data'!$A:$A=$CD19)*('ANL-DOE-MHDV Data'!$B:$B=CF$2)*('ANL-DOE-MHDV Data'!$E:$E="Medium 5")))</f>
        <v>0.17907496530183056</v>
      </c>
      <c r="CG19" s="439" cm="1">
        <f t="array" ref="CG19">1/AVERAGE(_xlfn._xlws.FILTER('ANL-DOE-MHDV Data'!$AX:$AX,('ANL-DOE-MHDV Data'!$A:$A=$CD19)*('ANL-DOE-MHDV Data'!$B:$B=CG$2)*('ANL-DOE-MHDV Data'!$E:$E="Medium 5")))</f>
        <v>0.19507678194826961</v>
      </c>
      <c r="CH19" s="439" cm="1">
        <f t="array" ref="CH19">1/AVERAGE(_xlfn._xlws.FILTER('ANL-DOE-MHDV Data'!$AX:$AX,('ANL-DOE-MHDV Data'!$A:$A=$CD19)*('ANL-DOE-MHDV Data'!$B:$B=CH$2)*('ANL-DOE-MHDV Data'!$E:$E="Medium 5")))</f>
        <v>0.20568577491262158</v>
      </c>
      <c r="CI19" s="439">
        <f t="shared" ref="CI19:CJ19" si="52">($CK19-$CH19)/3 + CH19</f>
        <v>0.21841527480965992</v>
      </c>
      <c r="CJ19" s="439">
        <f t="shared" si="52"/>
        <v>0.23114477470669825</v>
      </c>
      <c r="CK19" s="439" cm="1">
        <f t="array" ref="CK19">1/AVERAGE(_xlfn._xlws.FILTER('ANL-DOE-MHDV Data'!$AX:$AX,('ANL-DOE-MHDV Data'!$A:$A=$CD19)*('ANL-DOE-MHDV Data'!$B:$B=CK$2)*('ANL-DOE-MHDV Data'!$E:$E="Medium 5")))</f>
        <v>0.24387427460373656</v>
      </c>
      <c r="CL19" s="102">
        <f t="shared" si="11"/>
        <v>0.47556399223350537</v>
      </c>
      <c r="CN19" s="17" t="s">
        <v>1020</v>
      </c>
      <c r="CO19" s="88">
        <f t="shared" si="49"/>
        <v>21.374288656304518</v>
      </c>
      <c r="CP19" s="88">
        <f t="shared" si="49"/>
        <v>19.414637714584838</v>
      </c>
      <c r="CQ19" s="88">
        <f t="shared" si="49"/>
        <v>18.597858081391312</v>
      </c>
      <c r="CR19" s="88">
        <f t="shared" si="49"/>
        <v>18.044727628869666</v>
      </c>
      <c r="CS19" s="88">
        <f t="shared" si="49"/>
        <v>17.18383775826484</v>
      </c>
      <c r="CT19" s="88">
        <f t="shared" si="49"/>
        <v>16.401351184387096</v>
      </c>
      <c r="CU19" s="88">
        <f t="shared" si="49"/>
        <v>15.687023820705008</v>
      </c>
      <c r="CV19" s="102">
        <f t="shared" si="12"/>
        <v>-0.26607972443199907</v>
      </c>
      <c r="DG19" s="17" t="s">
        <v>244</v>
      </c>
      <c r="DH19" s="73">
        <f>1/('GREET-AFLEET Summary'!P19*DSL_PJ_ML*10)</f>
        <v>6.9647478131151866E-2</v>
      </c>
      <c r="DI19" s="73">
        <f>1/('GREET-AFLEET Summary'!Q19*DSL_PJ_ML*10)</f>
        <v>7.4211507659059275E-2</v>
      </c>
      <c r="DJ19" s="73">
        <f>1/('GREET-AFLEET Summary'!R19*DSL_PJ_ML*10)</f>
        <v>7.8334647673897292E-2</v>
      </c>
      <c r="DK19" s="73">
        <f>1/('GREET-AFLEET Summary'!S19*DSL_PJ_ML*10)</f>
        <v>8.1403189758704461E-2</v>
      </c>
      <c r="DL19" s="73">
        <f>1/('GREET-AFLEET Summary'!T19*DSL_PJ_ML*10)</f>
        <v>8.4231028764455831E-2</v>
      </c>
      <c r="DM19" s="73">
        <f>1/('GREET-AFLEET Summary'!U19*DSL_PJ_ML*10)</f>
        <v>8.7058867770207216E-2</v>
      </c>
      <c r="DN19" s="73">
        <f>1/('GREET-AFLEET Summary'!V19*DSL_PJ_ML*10)</f>
        <v>8.9886706775958614E-2</v>
      </c>
      <c r="DO19" s="102">
        <f t="shared" si="13"/>
        <v>0.29059528338836094</v>
      </c>
      <c r="DZ19" s="17" t="s">
        <v>1198</v>
      </c>
      <c r="EA19" s="88"/>
      <c r="EB19" s="88">
        <v>19.189492632467793</v>
      </c>
      <c r="EC19" s="88">
        <v>18.267228834995223</v>
      </c>
      <c r="ED19" s="88">
        <v>17.050112962701998</v>
      </c>
      <c r="EE19" s="88">
        <v>16.145347210236292</v>
      </c>
      <c r="EF19" s="88">
        <v>15.752715076450754</v>
      </c>
      <c r="EG19" s="88">
        <v>15.611364146542655</v>
      </c>
      <c r="EH19" s="102">
        <f t="shared" ref="EH19:EH20" si="53">(EG19-EB19)/EB19</f>
        <v>-0.18646290209211155</v>
      </c>
      <c r="EJ19" s="224" t="s">
        <v>246</v>
      </c>
      <c r="EK19" s="88">
        <f>L_100km_to_mpg/'Background Data'!BC31</f>
        <v>15.474678897462379</v>
      </c>
      <c r="EL19" s="88">
        <f>L_100km_to_mpg/'Background Data'!BD31</f>
        <v>12.995310455327521</v>
      </c>
      <c r="EM19" s="88">
        <f t="shared" ref="EM19:EP19" si="54">($EQ19-$EL19)/(6-1) + EL19</f>
        <v>12.340174969563076</v>
      </c>
      <c r="EN19" s="88">
        <f t="shared" si="54"/>
        <v>11.685039483798631</v>
      </c>
      <c r="EO19" s="88">
        <f t="shared" si="54"/>
        <v>11.029903998034186</v>
      </c>
      <c r="EP19" s="88">
        <f t="shared" si="54"/>
        <v>10.374768512269741</v>
      </c>
      <c r="EQ19" s="88">
        <f>L_100km_to_mpg/'Background Data'!BE31</f>
        <v>9.7196330265052957</v>
      </c>
      <c r="ER19" s="102">
        <f t="shared" si="16"/>
        <v>-0.37190082644628103</v>
      </c>
    </row>
    <row r="20" spans="1:148" x14ac:dyDescent="0.35">
      <c r="A20" t="s">
        <v>1090</v>
      </c>
      <c r="B20" t="s">
        <v>1094</v>
      </c>
      <c r="C20" t="s">
        <v>462</v>
      </c>
      <c r="D20" t="s">
        <v>2261</v>
      </c>
      <c r="E20" t="s">
        <v>161</v>
      </c>
      <c r="F20">
        <v>2022</v>
      </c>
      <c r="G20" s="63" t="s">
        <v>282</v>
      </c>
      <c r="H20" s="71"/>
      <c r="I20" s="71"/>
      <c r="J20" s="71"/>
      <c r="K20" s="71"/>
      <c r="L20" s="71"/>
      <c r="M20" s="71">
        <f>AZ$91/('Background Data'!G121*GSL_PJ_ML*10)</f>
        <v>0.87987456504595518</v>
      </c>
      <c r="N20" s="71">
        <f>BA$91/('Background Data'!H121*GSL_PJ_ML*10)</f>
        <v>0.87989119090395995</v>
      </c>
      <c r="O20" s="71">
        <f>BB$91/('Background Data'!I121*GSL_PJ_ML*10)</f>
        <v>0.90076083106778837</v>
      </c>
      <c r="P20" s="71">
        <f>BC$91/('Background Data'!J121*GSL_PJ_ML*10)</f>
        <v>0.90081119186415237</v>
      </c>
      <c r="Q20" s="71">
        <f>BD$91/('Background Data'!K121*GSL_PJ_ML*10)</f>
        <v>0.59421851705471651</v>
      </c>
      <c r="R20" s="71">
        <f>BE$91/('Background Data'!L121*GSL_PJ_ML*10)</f>
        <v>0.59422127522494295</v>
      </c>
      <c r="S20" s="71">
        <f>BF$91/('Background Data'!M121*GSL_PJ_ML*10)</f>
        <v>0.59421410373842365</v>
      </c>
      <c r="T20" s="71">
        <f>BG$91/('Background Data'!N121*GSL_PJ_ML*10)</f>
        <v>0.59420748430619064</v>
      </c>
      <c r="U20" s="71">
        <f>BH$91/('Background Data'!O121*GSL_PJ_ML*10)</f>
        <v>0.59422293084666766</v>
      </c>
      <c r="V20" s="71">
        <f>BI$91/('Background Data'!P121*GSL_PJ_ML*10)</f>
        <v>0.59421079452748182</v>
      </c>
      <c r="W20" s="71">
        <f>BJ$91/('Background Data'!Q121*GSL_PJ_ML*10)</f>
        <v>0.59421244844439636</v>
      </c>
      <c r="X20" s="71">
        <f>BK$91/('Background Data'!R121*GSL_PJ_ML*10)</f>
        <v>0.63207786032155533</v>
      </c>
      <c r="Y20" s="71">
        <f>BL$91/('Background Data'!S121*GSL_PJ_ML*10)</f>
        <v>0.65226526764968573</v>
      </c>
      <c r="Z20" s="71">
        <f>BM$91/('Background Data'!T121*GSL_PJ_ML*10)</f>
        <v>0.65225683667241374</v>
      </c>
      <c r="AA20" s="71">
        <f>BN$91/('Background Data'!U121*GSL_PJ_ML*10)</f>
        <v>0.65337761868232358</v>
      </c>
      <c r="AB20" s="71">
        <f>BO$91/('Background Data'!V121*GSL_PJ_ML*10)</f>
        <v>0.67699834974136475</v>
      </c>
      <c r="AC20" s="305"/>
      <c r="AE20" s="71"/>
      <c r="AF20" s="71"/>
      <c r="AG20" s="71"/>
      <c r="AH20" s="71"/>
      <c r="AI20" s="71"/>
      <c r="AJ20" s="415"/>
      <c r="AK20" s="66" t="s">
        <v>2241</v>
      </c>
      <c r="AL20">
        <v>2</v>
      </c>
      <c r="AM20">
        <v>1</v>
      </c>
      <c r="AN20">
        <v>1</v>
      </c>
      <c r="AO20">
        <v>1</v>
      </c>
      <c r="AP20">
        <v>1</v>
      </c>
      <c r="AT20" s="17" t="s">
        <v>575</v>
      </c>
      <c r="AU20" s="88"/>
      <c r="AV20" s="88"/>
      <c r="AW20" s="88"/>
      <c r="AX20" s="88"/>
      <c r="AY20" s="88"/>
      <c r="BA20" s="17" t="s">
        <v>991</v>
      </c>
      <c r="BB20" s="73" cm="1">
        <f t="array" ref="BB20">1/AVERAGE(_xlfn._xlws.FILTER('ANL-DOE-LDV Data'!$AX:$AX, ('ANL-DOE-LDV Data'!$A:$A=$BA20)*('ANL-DOE-LDV Data'!$B:$B=BB$2-5)*('ANL-DOE-LDV Data'!$D:$D="Midsize_B")))</f>
        <v>0.58600861900275369</v>
      </c>
      <c r="BC20" s="73" cm="1">
        <f t="array" ref="BC20">1/AVERAGE(_xlfn._xlws.FILTER('ANL-DOE-LDV Data'!$AX:$AX, ('ANL-DOE-LDV Data'!$A:$A=$BA20)*('ANL-DOE-LDV Data'!$B:$B=BC$2-5)*('ANL-DOE-LDV Data'!$D:$D="Midsize_B")))</f>
        <v>0.601770794585614</v>
      </c>
      <c r="BD20" s="73" cm="1">
        <f t="array" ref="BD20">1/AVERAGE(_xlfn._xlws.FILTER('ANL-DOE-LDV Data'!$AX:$AX, ('ANL-DOE-LDV Data'!$A:$A=$BA20)*('ANL-DOE-LDV Data'!$B:$B=BD$2-5)*('ANL-DOE-LDV Data'!$D:$D="Midsize_B")))</f>
        <v>0.6177996912920245</v>
      </c>
      <c r="BE20" s="73" cm="1">
        <f t="array" ref="BE20">1/AVERAGE(_xlfn._xlws.FILTER('ANL-DOE-LDV Data'!$AX:$AX, ('ANL-DOE-LDV Data'!$A:$A=$BA20)*('ANL-DOE-LDV Data'!$B:$B=BE$2-5)*('ANL-DOE-LDV Data'!$D:$D="Midsize_B")))</f>
        <v>0.65719528960614548</v>
      </c>
      <c r="BF20" s="73">
        <f t="shared" ref="BF20:BG20" si="55">($BH20-$BE20)/3 + BE20</f>
        <v>0.68428008171280041</v>
      </c>
      <c r="BG20" s="73">
        <f t="shared" si="55"/>
        <v>0.71136487381945535</v>
      </c>
      <c r="BH20" s="73" cm="1">
        <f t="array" ref="BH20">1/AVERAGE(_xlfn._xlws.FILTER('ANL-DOE-LDV Data'!$AX:$AX, ('ANL-DOE-LDV Data'!$A:$A=$BA20)*('ANL-DOE-LDV Data'!$B:$B=BH$2-5)*('ANL-DOE-LDV Data'!$D:$D="Midsize_B")))</f>
        <v>0.73844966592611017</v>
      </c>
      <c r="BI20" s="102">
        <f t="shared" si="44"/>
        <v>0.2601344792210985</v>
      </c>
      <c r="BK20" s="17" t="s">
        <v>991</v>
      </c>
      <c r="BL20" s="88">
        <f t="shared" si="45"/>
        <v>6.3309100289268248</v>
      </c>
      <c r="BM20" s="88">
        <f t="shared" si="45"/>
        <v>6.1372941311138769</v>
      </c>
      <c r="BN20" s="88">
        <f t="shared" si="45"/>
        <v>5.989845427780673</v>
      </c>
      <c r="BO20" s="88">
        <f t="shared" si="45"/>
        <v>5.6306353595340646</v>
      </c>
      <c r="BP20" s="88">
        <f t="shared" si="45"/>
        <v>5.3862204974986572</v>
      </c>
      <c r="BQ20" s="88">
        <f t="shared" si="45"/>
        <v>5.1621420147386035</v>
      </c>
      <c r="BR20" s="88">
        <f t="shared" si="45"/>
        <v>4.9559631721270412</v>
      </c>
      <c r="BS20" s="102">
        <f t="shared" si="46"/>
        <v>-0.21717997104957371</v>
      </c>
      <c r="CD20" s="17" t="s">
        <v>1021</v>
      </c>
      <c r="CE20" s="439" cm="1">
        <f t="array" ref="CE20">1/AVERAGE(_xlfn._xlws.FILTER('ANL-DOE-MHDV Data'!$AX:$AX,('ANL-DOE-MHDV Data'!$A:$A=$CD20)*('ANL-DOE-MHDV Data'!$B:$B=CE$2)*('ANL-DOE-MHDV Data'!$E:$E="Medium 5")))</f>
        <v>0.47679248079523417</v>
      </c>
      <c r="CF20" s="439" cm="1">
        <f t="array" ref="CF20">1/AVERAGE(_xlfn._xlws.FILTER('ANL-DOE-MHDV Data'!$AX:$AX,('ANL-DOE-MHDV Data'!$A:$A=$CD20)*('ANL-DOE-MHDV Data'!$B:$B=CF$2)*('ANL-DOE-MHDV Data'!$E:$E="Medium 5")))</f>
        <v>0.52487837065129617</v>
      </c>
      <c r="CG20" s="439" cm="1">
        <f t="array" ref="CG20">1/AVERAGE(_xlfn._xlws.FILTER('ANL-DOE-MHDV Data'!$AX:$AX,('ANL-DOE-MHDV Data'!$A:$A=$CD20)*('ANL-DOE-MHDV Data'!$B:$B=CG$2)*('ANL-DOE-MHDV Data'!$E:$E="Medium 5")))</f>
        <v>0.56504688115949819</v>
      </c>
      <c r="CH20" s="439" cm="1">
        <f t="array" ref="CH20">1/AVERAGE(_xlfn._xlws.FILTER('ANL-DOE-MHDV Data'!$AX:$AX,('ANL-DOE-MHDV Data'!$A:$A=$CD20)*('ANL-DOE-MHDV Data'!$B:$B=CH$2)*('ANL-DOE-MHDV Data'!$E:$E="Medium 5")))</f>
        <v>0.60455742621523167</v>
      </c>
      <c r="CI20" s="439">
        <f t="shared" ref="CI20:CJ20" si="56">($CK20-$CH20)/3 + CH20</f>
        <v>0.63417980141699581</v>
      </c>
      <c r="CJ20" s="439">
        <f t="shared" si="56"/>
        <v>0.66380217661875995</v>
      </c>
      <c r="CK20" s="439" cm="1">
        <f t="array" ref="CK20">1/AVERAGE(_xlfn._xlws.FILTER('ANL-DOE-MHDV Data'!$AX:$AX,('ANL-DOE-MHDV Data'!$A:$A=$CD20)*('ANL-DOE-MHDV Data'!$B:$B=CK$2)*('ANL-DOE-MHDV Data'!$E:$E="Medium 5")))</f>
        <v>0.69342455182052398</v>
      </c>
      <c r="CL20" s="102">
        <f t="shared" si="11"/>
        <v>0.45435295175790696</v>
      </c>
      <c r="CN20" s="17" t="s">
        <v>1021</v>
      </c>
      <c r="CO20" s="88">
        <f t="shared" si="49"/>
        <v>8.4789324809575657</v>
      </c>
      <c r="CP20" s="88">
        <f t="shared" si="49"/>
        <v>7.7758773657230948</v>
      </c>
      <c r="CQ20" s="88">
        <f t="shared" si="49"/>
        <v>7.2302201945125244</v>
      </c>
      <c r="CR20" s="88">
        <f t="shared" si="49"/>
        <v>6.7913629418575914</v>
      </c>
      <c r="CS20" s="88">
        <f t="shared" si="49"/>
        <v>6.4828116877568469</v>
      </c>
      <c r="CT20" s="88">
        <f t="shared" si="49"/>
        <v>6.2010787511116385</v>
      </c>
      <c r="CU20" s="88">
        <f t="shared" si="49"/>
        <v>5.9428133062187669</v>
      </c>
      <c r="CV20" s="102">
        <f t="shared" si="12"/>
        <v>-0.29910831115055453</v>
      </c>
      <c r="DG20" s="17" t="s">
        <v>641</v>
      </c>
      <c r="DH20" s="73">
        <f>1/('GREET-AFLEET Summary'!P20*DSL_PJ_ML*10)</f>
        <v>8.4273448538693757E-2</v>
      </c>
      <c r="DI20" s="73">
        <f>1/('GREET-AFLEET Summary'!Q20*DSL_PJ_ML*10)</f>
        <v>9.3167117413064909E-2</v>
      </c>
      <c r="DJ20" s="73">
        <f>1/('GREET-AFLEET Summary'!R20*DSL_PJ_ML*10)</f>
        <v>9.7891715252824904E-2</v>
      </c>
      <c r="DK20" s="73">
        <f>1/('GREET-AFLEET Summary'!S20*DSL_PJ_ML*10)</f>
        <v>9.8409431069665182E-2</v>
      </c>
      <c r="DL20" s="73">
        <f>1/('GREET-AFLEET Summary'!T20*DSL_PJ_ML*10)</f>
        <v>0.10319261912515455</v>
      </c>
      <c r="DM20" s="73">
        <f>1/('GREET-AFLEET Summary'!U20*DSL_PJ_ML*10)</f>
        <v>0.10806743131862831</v>
      </c>
      <c r="DN20" s="73">
        <f>1/('GREET-AFLEET Summary'!V20*DSL_PJ_ML*10)</f>
        <v>0.11303386765008647</v>
      </c>
      <c r="DO20" s="102">
        <f t="shared" si="13"/>
        <v>0.34127497580910671</v>
      </c>
      <c r="DZ20" s="17" t="s">
        <v>627</v>
      </c>
      <c r="EA20" s="88"/>
      <c r="EB20" s="88">
        <v>17.761630803935731</v>
      </c>
      <c r="EC20" s="88">
        <v>17.76148429196488</v>
      </c>
      <c r="ED20" s="88">
        <v>17.761379421722637</v>
      </c>
      <c r="EE20" s="88">
        <v>17.76136245753511</v>
      </c>
      <c r="EF20" s="88">
        <v>17.761328529257277</v>
      </c>
      <c r="EG20" s="88">
        <v>17.761300769853641</v>
      </c>
      <c r="EH20" s="102">
        <f t="shared" si="53"/>
        <v>-1.858129389880402E-5</v>
      </c>
      <c r="EJ20" s="224" t="s">
        <v>627</v>
      </c>
      <c r="EK20" s="88">
        <f>L_100km_to_mpg/'Background Data'!BC32</f>
        <v>19.601259936785677</v>
      </c>
      <c r="EL20" s="88">
        <f>L_100km_to_mpg/'Background Data'!BD32</f>
        <v>16.681923350455897</v>
      </c>
      <c r="EM20" s="88">
        <f t="shared" ref="EM20:EP20" si="57">($EQ20-$EL20)/(6-1) + EL20</f>
        <v>15.930320210490301</v>
      </c>
      <c r="EN20" s="88">
        <f t="shared" si="57"/>
        <v>15.178717070524705</v>
      </c>
      <c r="EO20" s="88">
        <f t="shared" si="57"/>
        <v>14.427113930559109</v>
      </c>
      <c r="EP20" s="88">
        <f t="shared" si="57"/>
        <v>13.675510790593513</v>
      </c>
      <c r="EQ20" s="88">
        <f>L_100km_to_mpg/'Background Data'!BE32</f>
        <v>12.923907650627921</v>
      </c>
      <c r="ER20" s="102">
        <f t="shared" si="16"/>
        <v>-0.34065934065934056</v>
      </c>
    </row>
    <row r="21" spans="1:148" x14ac:dyDescent="0.35">
      <c r="A21" t="s">
        <v>1091</v>
      </c>
      <c r="B21" t="s">
        <v>1094</v>
      </c>
      <c r="C21" t="s">
        <v>467</v>
      </c>
      <c r="D21" t="s">
        <v>2261</v>
      </c>
      <c r="E21" t="s">
        <v>161</v>
      </c>
      <c r="F21">
        <v>2022</v>
      </c>
      <c r="G21" s="63" t="s">
        <v>282</v>
      </c>
      <c r="H21" s="71"/>
      <c r="I21" s="71"/>
      <c r="J21" s="71"/>
      <c r="K21" s="71"/>
      <c r="L21" s="71"/>
      <c r="M21" s="71"/>
      <c r="N21" s="71"/>
      <c r="O21" s="71">
        <f>1/('Background Data'!I$113*1.2)</f>
        <v>1.6191573516544226</v>
      </c>
      <c r="P21" s="71">
        <f>1/('Background Data'!J$113*1.2)</f>
        <v>1.5643459281952705</v>
      </c>
      <c r="Q21" s="71">
        <f>1/('Background Data'!K$113*1.2)</f>
        <v>1.8628259666017661</v>
      </c>
      <c r="R21" s="71">
        <f>1/('Background Data'!L$113*1.2)</f>
        <v>1.9501434135466322</v>
      </c>
      <c r="S21" s="71">
        <f>1/('Background Data'!M$113*1.2)</f>
        <v>1.8780400773752512</v>
      </c>
      <c r="T21" s="71">
        <f>1/('Background Data'!N$113*1.2)</f>
        <v>2.0062917308680022</v>
      </c>
      <c r="U21" s="71">
        <f>1/('Background Data'!O$113*1.2)</f>
        <v>2.052211545249623</v>
      </c>
      <c r="V21" s="71">
        <f>1/('Background Data'!P$113*1.2)</f>
        <v>1.9750230682694374</v>
      </c>
      <c r="W21" s="71">
        <f>1/('Background Data'!Q$113*1.2)</f>
        <v>1.9336495237034494</v>
      </c>
      <c r="X21" s="71">
        <f>1/('Background Data'!R$113*1.2)</f>
        <v>1.8624720815434976</v>
      </c>
      <c r="Y21" s="71">
        <f>1/('Background Data'!S$113*1.2)</f>
        <v>3.4465597130256524</v>
      </c>
      <c r="Z21" s="71">
        <f>1/('Background Data'!T$113*1.2)</f>
        <v>2.3961439334907118</v>
      </c>
      <c r="AA21" s="71">
        <f>1/('Background Data'!U$113*1.2)</f>
        <v>2.0530053123565462</v>
      </c>
      <c r="AB21" s="71">
        <f>1/('Background Data'!V$113*1.2)</f>
        <v>2.4349242154187194</v>
      </c>
      <c r="AC21" s="305"/>
      <c r="AE21" s="71"/>
      <c r="AF21" s="71"/>
      <c r="AG21" s="71"/>
      <c r="AH21" s="71"/>
      <c r="AI21" s="71"/>
      <c r="AJ21" s="415"/>
      <c r="AK21" s="66" t="s">
        <v>2243</v>
      </c>
      <c r="AL21">
        <v>2</v>
      </c>
      <c r="AM21">
        <v>1</v>
      </c>
      <c r="AN21">
        <v>1</v>
      </c>
      <c r="AO21">
        <v>1</v>
      </c>
      <c r="AP21">
        <v>2</v>
      </c>
      <c r="AT21" s="17" t="s">
        <v>576</v>
      </c>
      <c r="AU21" s="88"/>
      <c r="AV21" s="88" cm="1">
        <f t="array" ref="AV21">SUMPRODUCT(_xlfn._xlws.FILTER('NRCan Fuel Guide'!$AG$16:$AG$21, 'NRCan Fuel Guide'!$AF$16:$AF$21=500), _xlfn._xlws.FILTER('NRCan Fuel Guide'!$AI$16:$AI$21, 'NRCan Fuel Guide'!$AF$16:$AF$21=500))/SUM(_xlfn._xlws.FILTER('NRCan Fuel Guide'!$AI$16:$AI$21, 'NRCan Fuel Guide'!$AF$16:$AF$21=500))</f>
        <v>24.876475485037957</v>
      </c>
      <c r="AW21" s="88" cm="1">
        <f t="array" ref="AW21">SUMPRODUCT(_xlfn._xlws.FILTER('NRCan Fuel Guide'!$AG$16:$AG$21, 'NRCan Fuel Guide'!$AF$16:$AF$21=500), _xlfn._xlws.FILTER('NRCan Fuel Guide'!$AI$16:$AI$21, 'NRCan Fuel Guide'!$AF$16:$AF$21=500))/SUM(_xlfn._xlws.FILTER('NRCan Fuel Guide'!$AI$16:$AI$21, 'NRCan Fuel Guide'!$AF$16:$AF$21=500))</f>
        <v>24.876475485037957</v>
      </c>
      <c r="AX21" s="88" cm="1">
        <f t="array" ref="AX21">SUMPRODUCT(_xlfn._xlws.FILTER('NRCan Fuel Guide'!$AG$16:$AG$21, 'NRCan Fuel Guide'!$AF$16:$AF$21=500), _xlfn._xlws.FILTER('NRCan Fuel Guide'!$AI$16:$AI$21, 'NRCan Fuel Guide'!$AF$16:$AF$21=500))/SUM(_xlfn._xlws.FILTER('NRCan Fuel Guide'!$AI$16:$AI$21, 'NRCan Fuel Guide'!$AF$16:$AF$21=500))</f>
        <v>24.876475485037957</v>
      </c>
      <c r="AY21" s="88" cm="1">
        <f t="array" ref="AY21">SUMPRODUCT(_xlfn._xlws.FILTER('NRCan Fuel Guide'!$AG$16:$AG$21, 'NRCan Fuel Guide'!$AF$16:$AF$21=500), _xlfn._xlws.FILTER('NRCan Fuel Guide'!$AI$16:$AI$21, 'NRCan Fuel Guide'!$AF$16:$AF$21=500))/SUM(_xlfn._xlws.FILTER('NRCan Fuel Guide'!$AI$16:$AI$21, 'NRCan Fuel Guide'!$AF$16:$AF$21=500))</f>
        <v>24.876475485037957</v>
      </c>
      <c r="BA21" s="17" t="s">
        <v>992</v>
      </c>
      <c r="BB21" s="73" cm="1">
        <f t="array" ref="BB21">1/AVERAGE(_xlfn._xlws.FILTER('ANL-DOE-LDV Data'!$AX:$AX, ('ANL-DOE-LDV Data'!$A:$A=$BA21)*('ANL-DOE-LDV Data'!$B:$B=BB$2-5)*('ANL-DOE-LDV Data'!$D:$D="Midsize_B")))</f>
        <v>0.8306083588489801</v>
      </c>
      <c r="BC21" s="73" cm="1">
        <f t="array" ref="BC21">1/AVERAGE(_xlfn._xlws.FILTER('ANL-DOE-LDV Data'!$AX:$AX, ('ANL-DOE-LDV Data'!$A:$A=$BA21)*('ANL-DOE-LDV Data'!$B:$B=BC$2-5)*('ANL-DOE-LDV Data'!$D:$D="Midsize_B")))</f>
        <v>0.87271440778270593</v>
      </c>
      <c r="BD21" s="73" cm="1">
        <f t="array" ref="BD21">1/AVERAGE(_xlfn._xlws.FILTER('ANL-DOE-LDV Data'!$AX:$AX, ('ANL-DOE-LDV Data'!$A:$A=$BA21)*('ANL-DOE-LDV Data'!$B:$B=BD$2-5)*('ANL-DOE-LDV Data'!$D:$D="Midsize_B")))</f>
        <v>0.89079759564609295</v>
      </c>
      <c r="BE21" s="73" cm="1">
        <f t="array" ref="BE21">1/AVERAGE(_xlfn._xlws.FILTER('ANL-DOE-LDV Data'!$AX:$AX, ('ANL-DOE-LDV Data'!$A:$A=$BA21)*('ANL-DOE-LDV Data'!$B:$B=BE$2-5)*('ANL-DOE-LDV Data'!$D:$D="Midsize_B")))</f>
        <v>0.97847023333084171</v>
      </c>
      <c r="BF21" s="73">
        <f t="shared" ref="BF21:BG21" si="58">($BH21-$BE21)/3 + BE21</f>
        <v>1.0225882092262704</v>
      </c>
      <c r="BG21" s="73">
        <f t="shared" si="58"/>
        <v>1.066706185121699</v>
      </c>
      <c r="BH21" s="73" cm="1">
        <f t="array" ref="BH21">1/AVERAGE(_xlfn._xlws.FILTER('ANL-DOE-LDV Data'!$AX:$AX, ('ANL-DOE-LDV Data'!$A:$A=$BA21)*('ANL-DOE-LDV Data'!$B:$B=BH$2-5)*('ANL-DOE-LDV Data'!$D:$D="Midsize_B")))</f>
        <v>1.1108241610171279</v>
      </c>
      <c r="BI21" s="102">
        <f t="shared" si="44"/>
        <v>0.33736212642557356</v>
      </c>
      <c r="BK21" s="17" t="s">
        <v>992</v>
      </c>
      <c r="BL21" s="88">
        <f t="shared" si="45"/>
        <v>4.6876736120096414</v>
      </c>
      <c r="BM21" s="88">
        <f t="shared" si="45"/>
        <v>4.4632332842340725</v>
      </c>
      <c r="BN21" s="88">
        <f t="shared" si="45"/>
        <v>4.3524458265438719</v>
      </c>
      <c r="BO21" s="88">
        <f t="shared" si="45"/>
        <v>3.9866805259980227</v>
      </c>
      <c r="BP21" s="88">
        <f t="shared" si="45"/>
        <v>3.8059825016117625</v>
      </c>
      <c r="BQ21" s="88">
        <f t="shared" si="45"/>
        <v>3.6409546524314886</v>
      </c>
      <c r="BR21" s="88">
        <f t="shared" si="45"/>
        <v>3.4896433079184157</v>
      </c>
      <c r="BS21" s="102">
        <f t="shared" si="46"/>
        <v>-0.25557033258926509</v>
      </c>
      <c r="CD21" s="17" t="s">
        <v>246</v>
      </c>
      <c r="CE21" s="439" cm="1">
        <f t="array" ref="CE21">1/AVERAGE(_xlfn._xlws.FILTER('ANL-DOE-MHDV Data'!$AX:$AX,('ANL-DOE-MHDV Data'!$A:$A=$CD21)*('ANL-DOE-MHDV Data'!$B:$B=CE$2)*('ANL-DOE-MHDV Data'!$E:$E="Medium 5")))</f>
        <v>0.6984982638888888</v>
      </c>
      <c r="CF21" s="439" cm="1">
        <f t="array" ref="CF21">1/AVERAGE(_xlfn._xlws.FILTER('ANL-DOE-MHDV Data'!$AX:$AX,('ANL-DOE-MHDV Data'!$A:$A=$CD21)*('ANL-DOE-MHDV Data'!$B:$B=CF$2)*('ANL-DOE-MHDV Data'!$E:$E="Medium 5")))</f>
        <v>0.75385984635563041</v>
      </c>
      <c r="CG21" s="439" cm="1">
        <f t="array" ref="CG21">1/AVERAGE(_xlfn._xlws.FILTER('ANL-DOE-MHDV Data'!$AX:$AX,('ANL-DOE-MHDV Data'!$A:$A=$CD21)*('ANL-DOE-MHDV Data'!$B:$B=CG$2)*('ANL-DOE-MHDV Data'!$E:$E="Medium 5")))</f>
        <v>0.80692940232651422</v>
      </c>
      <c r="CH21" s="439" cm="1">
        <f t="array" ref="CH21">1/AVERAGE(_xlfn._xlws.FILTER('ANL-DOE-MHDV Data'!$AX:$AX,('ANL-DOE-MHDV Data'!$A:$A=$CD21)*('ANL-DOE-MHDV Data'!$B:$B=CH$2)*('ANL-DOE-MHDV Data'!$E:$E="Medium 5")))</f>
        <v>0.85639633886760325</v>
      </c>
      <c r="CI21" s="439">
        <f t="shared" ref="CI21:CJ21" si="59">($CK21-$CH21)/3 + CH21</f>
        <v>0.89070119936587633</v>
      </c>
      <c r="CJ21" s="439">
        <f t="shared" si="59"/>
        <v>0.92500605986414941</v>
      </c>
      <c r="CK21" s="439" cm="1">
        <f t="array" ref="CK21">1/AVERAGE(_xlfn._xlws.FILTER('ANL-DOE-MHDV Data'!$AX:$AX,('ANL-DOE-MHDV Data'!$A:$A=$CD21)*('ANL-DOE-MHDV Data'!$B:$B=CK$2)*('ANL-DOE-MHDV Data'!$E:$E="Medium 5")))</f>
        <v>0.9593109203624226</v>
      </c>
      <c r="CL21" s="102">
        <f t="shared" si="11"/>
        <v>0.37339055793991449</v>
      </c>
      <c r="CN21" s="17" t="s">
        <v>246</v>
      </c>
      <c r="CO21" s="88">
        <f t="shared" si="49"/>
        <v>5.8387371497661489</v>
      </c>
      <c r="CP21" s="88">
        <f t="shared" si="49"/>
        <v>5.4475562489133313</v>
      </c>
      <c r="CQ21" s="88">
        <f t="shared" si="49"/>
        <v>5.111430437810168</v>
      </c>
      <c r="CR21" s="88">
        <f t="shared" si="49"/>
        <v>4.8390526253645012</v>
      </c>
      <c r="CS21" s="88">
        <f t="shared" si="49"/>
        <v>4.6562116502541215</v>
      </c>
      <c r="CT21" s="88">
        <f t="shared" si="49"/>
        <v>4.4866847056027508</v>
      </c>
      <c r="CU21" s="88">
        <f t="shared" si="49"/>
        <v>4.3290686361045294</v>
      </c>
      <c r="CV21" s="102">
        <f t="shared" si="12"/>
        <v>-0.25856079404466498</v>
      </c>
      <c r="DG21" s="17" t="s">
        <v>246</v>
      </c>
      <c r="DH21" s="73">
        <f>1/('GREET-AFLEET Summary'!P21*DSL_PJ_ML*10)</f>
        <v>0.20754948483083255</v>
      </c>
      <c r="DI21" s="73">
        <f>1/('GREET-AFLEET Summary'!Q21*DSL_PJ_ML*10)</f>
        <v>0.23376069158555624</v>
      </c>
      <c r="DJ21" s="73">
        <f>1/('GREET-AFLEET Summary'!R21*DSL_PJ_ML*10)</f>
        <v>0.25809979066582545</v>
      </c>
      <c r="DK21" s="73">
        <f>1/('GREET-AFLEET Summary'!S21*DSL_PJ_ML*10)</f>
        <v>0.27700118854683164</v>
      </c>
      <c r="DL21" s="73">
        <f>1/('GREET-AFLEET Summary'!T21*DSL_PJ_ML*10)</f>
        <v>0.2881892378759221</v>
      </c>
      <c r="DM21" s="73">
        <f>1/('GREET-AFLEET Summary'!U21*DSL_PJ_ML*10)</f>
        <v>0.29948239537673993</v>
      </c>
      <c r="DN21" s="73">
        <f>1/('GREET-AFLEET Summary'!V21*DSL_PJ_ML*10)</f>
        <v>0.31088066104928519</v>
      </c>
      <c r="DO21" s="102">
        <f t="shared" si="13"/>
        <v>0.49786284125289365</v>
      </c>
      <c r="DZ21" s="33" t="s">
        <v>1201</v>
      </c>
      <c r="EA21" s="88"/>
      <c r="EB21" s="88"/>
      <c r="EC21" s="88"/>
      <c r="ED21" s="88"/>
      <c r="EE21" s="88"/>
      <c r="EF21" s="88"/>
      <c r="EG21" s="88"/>
      <c r="EH21" s="102"/>
      <c r="EJ21" s="224" t="s">
        <v>828</v>
      </c>
      <c r="EK21" s="88">
        <f>L_100km_to_mpg/'Background Data'!BC33</f>
        <v>25.566860787111757</v>
      </c>
      <c r="EL21" s="88">
        <f>L_100km_to_mpg/'Background Data'!BD33</f>
        <v>20.815497278002489</v>
      </c>
      <c r="EM21" s="88">
        <f t="shared" ref="EM21:EP21" si="60">($EQ21-$EL21)/(6-1) + EL21</f>
        <v>19.919274478532937</v>
      </c>
      <c r="EN21" s="88">
        <f t="shared" si="60"/>
        <v>19.023051679063386</v>
      </c>
      <c r="EO21" s="88">
        <f t="shared" si="60"/>
        <v>18.126828879593834</v>
      </c>
      <c r="EP21" s="88">
        <f t="shared" si="60"/>
        <v>17.230606080124282</v>
      </c>
      <c r="EQ21" s="88">
        <f>L_100km_to_mpg/'Background Data'!BE33</f>
        <v>16.33438328065473</v>
      </c>
      <c r="ER21" s="102">
        <f t="shared" si="16"/>
        <v>-0.36111111111111122</v>
      </c>
    </row>
    <row r="22" spans="1:148" x14ac:dyDescent="0.35">
      <c r="A22" t="s">
        <v>403</v>
      </c>
      <c r="B22" t="s">
        <v>10</v>
      </c>
      <c r="C22" t="s">
        <v>467</v>
      </c>
      <c r="D22" t="s">
        <v>2261</v>
      </c>
      <c r="E22" t="s">
        <v>161</v>
      </c>
      <c r="F22">
        <v>2022</v>
      </c>
      <c r="G22" s="63" t="s">
        <v>282</v>
      </c>
      <c r="H22" s="71"/>
      <c r="I22" s="71"/>
      <c r="J22" s="71"/>
      <c r="K22" s="71"/>
      <c r="L22" s="71"/>
      <c r="M22" s="71"/>
      <c r="N22" s="71"/>
      <c r="O22" s="71">
        <f>1/'Background Data'!I$113</f>
        <v>1.9429888219853071</v>
      </c>
      <c r="P22" s="71">
        <f>1/'Background Data'!J$113</f>
        <v>1.8772151138343247</v>
      </c>
      <c r="Q22" s="71">
        <f>1/'Background Data'!K$113</f>
        <v>2.235391159922119</v>
      </c>
      <c r="R22" s="71">
        <f>1/'Background Data'!L$113</f>
        <v>2.3401720962559587</v>
      </c>
      <c r="S22" s="71">
        <f>1/'Background Data'!M$113</f>
        <v>2.2536480928503013</v>
      </c>
      <c r="T22" s="71">
        <f>1/'Background Data'!N$113</f>
        <v>2.4075500770416025</v>
      </c>
      <c r="U22" s="71">
        <f>1/'Background Data'!O$113</f>
        <v>2.4626538542995475</v>
      </c>
      <c r="V22" s="71">
        <f>1/'Background Data'!P$113</f>
        <v>2.3700276819233248</v>
      </c>
      <c r="W22" s="71">
        <f>1/'Background Data'!Q$113</f>
        <v>2.3203794284441392</v>
      </c>
      <c r="X22" s="71">
        <f>1/'Background Data'!R$113</f>
        <v>2.2349664978521973</v>
      </c>
      <c r="Y22" s="71">
        <f>1/'Background Data'!S$113</f>
        <v>4.1358716556307824</v>
      </c>
      <c r="Z22" s="71">
        <f>1/'Background Data'!T$113</f>
        <v>2.8753727201888544</v>
      </c>
      <c r="AA22" s="71">
        <f>1/'Background Data'!U$113</f>
        <v>2.4636063748278554</v>
      </c>
      <c r="AB22" s="71">
        <f>1/'Background Data'!V$113</f>
        <v>2.9219090585024632</v>
      </c>
      <c r="AC22" s="305"/>
      <c r="AE22" s="71"/>
      <c r="AF22" s="71"/>
      <c r="AG22" s="71"/>
      <c r="AH22" s="71"/>
      <c r="AI22" s="71"/>
      <c r="AJ22" s="415"/>
      <c r="AK22" s="66" t="s">
        <v>2244</v>
      </c>
      <c r="AL22">
        <v>2</v>
      </c>
      <c r="AM22">
        <v>1</v>
      </c>
      <c r="AN22">
        <v>1</v>
      </c>
      <c r="AO22">
        <v>1</v>
      </c>
      <c r="AP22">
        <v>1</v>
      </c>
      <c r="AT22" s="17" t="s">
        <v>577</v>
      </c>
      <c r="AV22" s="88" cm="1">
        <f t="array" ref="AV22">SUMPRODUCT(_xlfn._xlws.FILTER('NRCan Fuel Guide'!$AG$16:$AG$21, 'NRCan Fuel Guide'!$AF$16:$AF$21=800), _xlfn._xlws.FILTER('NRCan Fuel Guide'!$AI$16:$AI$21, 'NRCan Fuel Guide'!$AF$16:$AF$21=800))/SUM(_xlfn._xlws.FILTER('NRCan Fuel Guide'!$AI$16:$AI$21, 'NRCan Fuel Guide'!$AF$16:$AF$21=800))</f>
        <v>22.132545287579276</v>
      </c>
      <c r="AW22" s="88" cm="1">
        <f t="array" ref="AW22">SUMPRODUCT(_xlfn._xlws.FILTER('NRCan Fuel Guide'!$AG$16:$AG$21, 'NRCan Fuel Guide'!$AF$16:$AF$21=800), _xlfn._xlws.FILTER('NRCan Fuel Guide'!$AI$16:$AI$21, 'NRCan Fuel Guide'!$AF$16:$AF$21=800))/SUM(_xlfn._xlws.FILTER('NRCan Fuel Guide'!$AI$16:$AI$21, 'NRCan Fuel Guide'!$AF$16:$AF$21=800))</f>
        <v>22.132545287579276</v>
      </c>
      <c r="AX22" s="88" cm="1">
        <f t="array" ref="AX22">SUMPRODUCT(_xlfn._xlws.FILTER('NRCan Fuel Guide'!$AG$16:$AG$21, 'NRCan Fuel Guide'!$AF$16:$AF$21=800), _xlfn._xlws.FILTER('NRCan Fuel Guide'!$AI$16:$AI$21, 'NRCan Fuel Guide'!$AF$16:$AF$21=800))/SUM(_xlfn._xlws.FILTER('NRCan Fuel Guide'!$AI$16:$AI$21, 'NRCan Fuel Guide'!$AF$16:$AF$21=800))</f>
        <v>22.132545287579276</v>
      </c>
      <c r="AY22" s="88" cm="1">
        <f t="array" ref="AY22">SUMPRODUCT(_xlfn._xlws.FILTER('NRCan Fuel Guide'!$AG$16:$AG$21, 'NRCan Fuel Guide'!$AF$16:$AF$21=800), _xlfn._xlws.FILTER('NRCan Fuel Guide'!$AI$16:$AI$21, 'NRCan Fuel Guide'!$AF$16:$AF$21=800))/SUM(_xlfn._xlws.FILTER('NRCan Fuel Guide'!$AI$16:$AI$21, 'NRCan Fuel Guide'!$AF$16:$AF$21=800))</f>
        <v>22.132545287579276</v>
      </c>
      <c r="BA22" s="17" t="s">
        <v>987</v>
      </c>
      <c r="BB22" s="73" cm="1">
        <f t="array" ref="BB22">1/AVERAGE(_xlfn._xlws.FILTER('ANL-DOE-LDV Data'!$AX:$AX, ('ANL-DOE-LDV Data'!$A:$A=$BA22)*('ANL-DOE-LDV Data'!$B:$B=BB$2-5)*('ANL-DOE-LDV Data'!$D:$D="Midsize_B")))</f>
        <v>1.1513626475604868</v>
      </c>
      <c r="BC22" s="73" cm="1">
        <f t="array" ref="BC22">1/AVERAGE(_xlfn._xlws.FILTER('ANL-DOE-LDV Data'!$AX:$AX, ('ANL-DOE-LDV Data'!$A:$A=$BA22)*('ANL-DOE-LDV Data'!$B:$B=BC$2-5)*('ANL-DOE-LDV Data'!$D:$D="Midsize_B")))</f>
        <v>1.2199271171943755</v>
      </c>
      <c r="BD22" s="73" cm="1">
        <f t="array" ref="BD22">1/AVERAGE(_xlfn._xlws.FILTER('ANL-DOE-LDV Data'!$AX:$AX, ('ANL-DOE-LDV Data'!$A:$A=$BA22)*('ANL-DOE-LDV Data'!$B:$B=BD$2-5)*('ANL-DOE-LDV Data'!$D:$D="Midsize_B")))</f>
        <v>1.2406227385618331</v>
      </c>
      <c r="BE22" s="73" cm="1">
        <f t="array" ref="BE22">1/AVERAGE(_xlfn._xlws.FILTER('ANL-DOE-LDV Data'!$AX:$AX, ('ANL-DOE-LDV Data'!$A:$A=$BA22)*('ANL-DOE-LDV Data'!$B:$B=BE$2-5)*('ANL-DOE-LDV Data'!$D:$D="Midsize_B")))</f>
        <v>1.3578040933748523</v>
      </c>
      <c r="BF22" s="73">
        <f t="shared" ref="BF22:BG22" si="61">($BH22-$BE22)/3 + BE22</f>
        <v>1.4142442013317553</v>
      </c>
      <c r="BG22" s="73">
        <f t="shared" si="61"/>
        <v>1.4706843092886583</v>
      </c>
      <c r="BH22" s="73" cm="1">
        <f t="array" ref="BH22">1/AVERAGE(_xlfn._xlws.FILTER('ANL-DOE-LDV Data'!$AX:$AX, ('ANL-DOE-LDV Data'!$A:$A=$BA22)*('ANL-DOE-LDV Data'!$B:$B=BH$2-5)*('ANL-DOE-LDV Data'!$D:$D="Midsize_B")))</f>
        <v>1.5271244172455614</v>
      </c>
      <c r="BI22" s="102">
        <f t="shared" si="44"/>
        <v>0.32636265426991279</v>
      </c>
      <c r="BK22" s="17" t="s">
        <v>987</v>
      </c>
      <c r="BL22" s="88">
        <f t="shared" si="45"/>
        <v>3.4187062972654907</v>
      </c>
      <c r="BM22" s="88">
        <f t="shared" si="45"/>
        <v>3.2261800968624237</v>
      </c>
      <c r="BN22" s="88">
        <f t="shared" si="45"/>
        <v>3.1652202342108025</v>
      </c>
      <c r="BO22" s="88">
        <f t="shared" si="45"/>
        <v>2.8826539001182785</v>
      </c>
      <c r="BP22" s="88">
        <f t="shared" si="45"/>
        <v>2.7632917248579454</v>
      </c>
      <c r="BQ22" s="88">
        <f t="shared" si="45"/>
        <v>2.653421390097555</v>
      </c>
      <c r="BR22" s="88">
        <f t="shared" si="45"/>
        <v>2.5519539857739959</v>
      </c>
      <c r="BS22" s="102">
        <f t="shared" si="46"/>
        <v>-0.25353225346815578</v>
      </c>
      <c r="CD22" s="17" t="s">
        <v>627</v>
      </c>
      <c r="CE22" s="439" cm="1">
        <f t="array" ref="CE22">1/AVERAGE(_xlfn._xlws.FILTER('ANL-DOE-MHDV Data'!$AX:$AX,('ANL-DOE-MHDV Data'!$A:$A=$CD22)*('ANL-DOE-MHDV Data'!$B:$B=CE$2)*('ANL-DOE-MHDV Data'!$E:$E="Medium 5")))</f>
        <v>0.34871629355590011</v>
      </c>
      <c r="CF22" s="439" cm="1">
        <f t="array" ref="CF22">1/AVERAGE(_xlfn._xlws.FILTER('ANL-DOE-MHDV Data'!$AX:$AX,('ANL-DOE-MHDV Data'!$A:$A=$CD22)*('ANL-DOE-MHDV Data'!$B:$B=CF$2)*('ANL-DOE-MHDV Data'!$E:$E="Medium 5")))</f>
        <v>0.37014000879478259</v>
      </c>
      <c r="CG22" s="439" cm="1">
        <f t="array" ref="CG22">1/AVERAGE(_xlfn._xlws.FILTER('ANL-DOE-MHDV Data'!$AX:$AX,('ANL-DOE-MHDV Data'!$A:$A=$CD22)*('ANL-DOE-MHDV Data'!$B:$B=CG$2)*('ANL-DOE-MHDV Data'!$E:$E="Medium 5")))</f>
        <v>0.39419256696420635</v>
      </c>
      <c r="CH22" s="439" cm="1">
        <f t="array" ref="CH22">1/AVERAGE(_xlfn._xlws.FILTER('ANL-DOE-MHDV Data'!$AX:$AX,('ANL-DOE-MHDV Data'!$A:$A=$CD22)*('ANL-DOE-MHDV Data'!$B:$B=CH$2)*('ANL-DOE-MHDV Data'!$E:$E="Medium 5")))</f>
        <v>0.41275986038355555</v>
      </c>
      <c r="CI22" s="439">
        <f t="shared" ref="CI22:CJ22" si="62">($CK22-$CH22)/3 + CH22</f>
        <v>0.42707889254082526</v>
      </c>
      <c r="CJ22" s="439">
        <f t="shared" si="62"/>
        <v>0.44139792469809497</v>
      </c>
      <c r="CK22" s="439" cm="1">
        <f t="array" ref="CK22">1/AVERAGE(_xlfn._xlws.FILTER('ANL-DOE-MHDV Data'!$AX:$AX,('ANL-DOE-MHDV Data'!$A:$A=$CD22)*('ANL-DOE-MHDV Data'!$B:$B=CK$2)*('ANL-DOE-MHDV Data'!$E:$E="Medium 5")))</f>
        <v>0.45571695685536462</v>
      </c>
      <c r="CL22" s="102">
        <f t="shared" si="11"/>
        <v>0.30684159380213194</v>
      </c>
      <c r="CN22" s="17" t="s">
        <v>627</v>
      </c>
      <c r="CO22" s="88">
        <f t="shared" si="49"/>
        <v>11.917364180060128</v>
      </c>
      <c r="CP22" s="88">
        <f t="shared" si="49"/>
        <v>11.243041942252113</v>
      </c>
      <c r="CQ22" s="88">
        <f t="shared" si="49"/>
        <v>10.550451943157976</v>
      </c>
      <c r="CR22" s="88">
        <f t="shared" si="49"/>
        <v>10.097793468450801</v>
      </c>
      <c r="CS22" s="88">
        <f t="shared" si="49"/>
        <v>9.7438618673541733</v>
      </c>
      <c r="CT22" s="88">
        <f t="shared" si="49"/>
        <v>9.4139009653376053</v>
      </c>
      <c r="CU22" s="88">
        <f t="shared" si="49"/>
        <v>9.1055553327876808</v>
      </c>
      <c r="CV22" s="102">
        <f t="shared" si="12"/>
        <v>-0.23594217687641902</v>
      </c>
      <c r="DG22" s="17" t="s">
        <v>627</v>
      </c>
      <c r="DH22" s="73">
        <f>1/('GREET-AFLEET Summary'!P22*DSL_PJ_ML*10)</f>
        <v>0.11700776326033512</v>
      </c>
      <c r="DI22" s="73">
        <f>1/('GREET-AFLEET Summary'!Q22*DSL_PJ_ML*10)</f>
        <v>0.12976051676635844</v>
      </c>
      <c r="DJ22" s="73">
        <f>1/('GREET-AFLEET Summary'!R22*DSL_PJ_ML*10)</f>
        <v>0.14245788866828951</v>
      </c>
      <c r="DK22" s="73">
        <f>1/('GREET-AFLEET Summary'!S22*DSL_PJ_ML*10)</f>
        <v>0.1527475936319774</v>
      </c>
      <c r="DL22" s="73">
        <f>1/('GREET-AFLEET Summary'!T22*DSL_PJ_ML*10)</f>
        <v>0.15963332041926737</v>
      </c>
      <c r="DM22" s="73">
        <f>1/('GREET-AFLEET Summary'!U22*DSL_PJ_ML*10)</f>
        <v>0.16662510096481334</v>
      </c>
      <c r="DN22" s="73">
        <f>1/('GREET-AFLEET Summary'!V22*DSL_PJ_ML*10)</f>
        <v>0.17372293526861529</v>
      </c>
      <c r="DO22" s="102">
        <f t="shared" si="13"/>
        <v>0.48471289791338362</v>
      </c>
      <c r="DZ22" s="306" t="s">
        <v>109</v>
      </c>
      <c r="EA22" s="88">
        <v>38.092763397511646</v>
      </c>
      <c r="EB22" s="88">
        <v>36.323775879633359</v>
      </c>
      <c r="EC22" s="88">
        <v>33.244750330083903</v>
      </c>
      <c r="ED22" s="88">
        <v>31.170487797568665</v>
      </c>
      <c r="EE22" s="88">
        <v>30.167627245647989</v>
      </c>
      <c r="EF22" s="88">
        <v>29.710335177406556</v>
      </c>
      <c r="EG22" s="88">
        <v>29.41316249970653</v>
      </c>
      <c r="EH22" s="102">
        <f t="shared" si="14"/>
        <v>-0.22785432517012139</v>
      </c>
      <c r="EJ22" s="224" t="s">
        <v>829</v>
      </c>
      <c r="EK22" s="88">
        <f>L_100km_to_mpg/'Background Data'!BC34</f>
        <v>29.038903610052859</v>
      </c>
      <c r="EL22" s="88">
        <f>L_100km_to_mpg/'Background Data'!BD34</f>
        <v>23.060305807983152</v>
      </c>
      <c r="EM22" s="88">
        <f t="shared" ref="EM22:EP22" si="63">($EQ22-$EL22)/(6-1) + EL22</f>
        <v>21.958918067900374</v>
      </c>
      <c r="EN22" s="88">
        <f t="shared" si="63"/>
        <v>20.857530327817596</v>
      </c>
      <c r="EO22" s="88">
        <f t="shared" si="63"/>
        <v>19.756142587734818</v>
      </c>
      <c r="EP22" s="88">
        <f t="shared" si="63"/>
        <v>18.65475484765204</v>
      </c>
      <c r="EQ22" s="88">
        <f>L_100km_to_mpg/'Background Data'!BE34</f>
        <v>17.553367107569265</v>
      </c>
      <c r="ER22" s="102">
        <f t="shared" si="16"/>
        <v>-0.39552238805970152</v>
      </c>
    </row>
    <row r="23" spans="1:148" x14ac:dyDescent="0.35">
      <c r="A23" t="s">
        <v>404</v>
      </c>
      <c r="B23" t="s">
        <v>11</v>
      </c>
      <c r="C23" t="s">
        <v>467</v>
      </c>
      <c r="D23" t="s">
        <v>2261</v>
      </c>
      <c r="E23" t="s">
        <v>161</v>
      </c>
      <c r="F23">
        <v>2022</v>
      </c>
      <c r="G23" s="63" t="s">
        <v>282</v>
      </c>
      <c r="H23" s="71"/>
      <c r="I23" s="71"/>
      <c r="J23" s="71"/>
      <c r="K23" s="71"/>
      <c r="L23" s="71"/>
      <c r="M23" s="71"/>
      <c r="N23" s="71"/>
      <c r="O23" s="71">
        <f>0.85/'Background Data'!I$113</f>
        <v>1.6515404986875111</v>
      </c>
      <c r="P23" s="71">
        <f>0.85/'Background Data'!J$113</f>
        <v>1.5956328467591758</v>
      </c>
      <c r="Q23" s="71">
        <f>0.85/'Background Data'!K$113</f>
        <v>1.900082485933801</v>
      </c>
      <c r="R23" s="71">
        <f>0.85/'Background Data'!L$113</f>
        <v>1.9891462818175647</v>
      </c>
      <c r="S23" s="71">
        <f>0.85/'Background Data'!M$113</f>
        <v>1.9156008789227563</v>
      </c>
      <c r="T23" s="71">
        <f>0.85/'Background Data'!N$113</f>
        <v>2.046417565485362</v>
      </c>
      <c r="U23" s="71">
        <f>0.85/'Background Data'!O$113</f>
        <v>2.0932557761546153</v>
      </c>
      <c r="V23" s="71">
        <f>0.85/'Background Data'!P$113</f>
        <v>2.0145235296348263</v>
      </c>
      <c r="W23" s="71">
        <f>0.85/'Background Data'!Q$113</f>
        <v>1.9723225141775182</v>
      </c>
      <c r="X23" s="71">
        <f>0.85/'Background Data'!R$113</f>
        <v>1.8997215231743676</v>
      </c>
      <c r="Y23" s="71">
        <f>0.85/'Background Data'!S$113</f>
        <v>3.5154909072861651</v>
      </c>
      <c r="Z23" s="71">
        <f>0.85/'Background Data'!T$113</f>
        <v>2.4440668121605262</v>
      </c>
      <c r="AA23" s="71">
        <f>0.85/'Background Data'!U$113</f>
        <v>2.0940654186036771</v>
      </c>
      <c r="AB23" s="71">
        <f>0.85/'Background Data'!V$113</f>
        <v>2.4836226997270936</v>
      </c>
      <c r="AC23" s="305"/>
      <c r="AE23" s="71"/>
      <c r="AF23" s="71"/>
      <c r="AG23" s="71"/>
      <c r="AH23" s="71"/>
      <c r="AI23" s="71"/>
      <c r="AJ23" s="415"/>
      <c r="AK23" s="66" t="s">
        <v>2245</v>
      </c>
      <c r="AL23">
        <v>2</v>
      </c>
      <c r="AM23">
        <v>1</v>
      </c>
      <c r="AN23">
        <v>1</v>
      </c>
      <c r="AO23">
        <v>1</v>
      </c>
      <c r="AP23">
        <v>2</v>
      </c>
      <c r="AT23" s="493" t="s">
        <v>2195</v>
      </c>
      <c r="AU23" s="493"/>
      <c r="AV23" s="493"/>
      <c r="AW23" s="493"/>
      <c r="AX23" s="493"/>
      <c r="AY23" s="493"/>
      <c r="BA23" s="17" t="s">
        <v>975</v>
      </c>
      <c r="BB23" s="73" cm="1">
        <f t="array" ref="BB23">1/AVERAGE(_xlfn._xlws.FILTER('ANL-DOE-LDV Data'!$AX:$AX, ('ANL-DOE-LDV Data'!$A:$A=$BA23)*('ANL-DOE-LDV Data'!$B:$B=BB$2-5)*('ANL-DOE-LDV Data'!$D:$D="Midsize_B")))</f>
        <v>1.9784663604773871</v>
      </c>
      <c r="BC23" s="73" cm="1">
        <f t="array" ref="BC23">1/AVERAGE(_xlfn._xlws.FILTER('ANL-DOE-LDV Data'!$AX:$AX, ('ANL-DOE-LDV Data'!$A:$A=$BA23)*('ANL-DOE-LDV Data'!$B:$B=BC$2-5)*('ANL-DOE-LDV Data'!$D:$D="Midsize_B")))</f>
        <v>2.0677152378508215</v>
      </c>
      <c r="BD23" s="73" cm="1">
        <f t="array" ref="BD23">1/AVERAGE(_xlfn._xlws.FILTER('ANL-DOE-LDV Data'!$AX:$AX, ('ANL-DOE-LDV Data'!$A:$A=$BA23)*('ANL-DOE-LDV Data'!$B:$B=BD$2-5)*('ANL-DOE-LDV Data'!$D:$D="Midsize_B")))</f>
        <v>2.110843468179858</v>
      </c>
      <c r="BE23" s="73" cm="1">
        <f t="array" ref="BE23">1/AVERAGE(_xlfn._xlws.FILTER('ANL-DOE-LDV Data'!$AX:$AX, ('ANL-DOE-LDV Data'!$A:$A=$BA23)*('ANL-DOE-LDV Data'!$B:$B=BE$2-5)*('ANL-DOE-LDV Data'!$D:$D="Midsize_B")))</f>
        <v>2.3256827073794484</v>
      </c>
      <c r="BF23" s="73">
        <f t="shared" ref="BF23:BG23" si="64">($BH23-$BE23)/3 + BE23</f>
        <v>2.4079057866090863</v>
      </c>
      <c r="BG23" s="73">
        <f t="shared" si="64"/>
        <v>2.4901288658387242</v>
      </c>
      <c r="BH23" s="73" cm="1">
        <f t="array" ref="BH23">1/AVERAGE(_xlfn._xlws.FILTER('ANL-DOE-LDV Data'!$AX:$AX, ('ANL-DOE-LDV Data'!$A:$A=$BA23)*('ANL-DOE-LDV Data'!$B:$B=BH$2-5)*('ANL-DOE-LDV Data'!$D:$D="Midsize_B")))</f>
        <v>2.5723519450683621</v>
      </c>
      <c r="BI23" s="102">
        <f t="shared" si="44"/>
        <v>0.30017471939612633</v>
      </c>
      <c r="BK23" s="17" t="s">
        <v>975</v>
      </c>
      <c r="BL23" s="88">
        <f t="shared" si="45"/>
        <v>2.0098032472017353</v>
      </c>
      <c r="BM23" s="88">
        <f t="shared" si="45"/>
        <v>1.9213089230426601</v>
      </c>
      <c r="BN23" s="88">
        <f t="shared" si="45"/>
        <v>1.8817989027490871</v>
      </c>
      <c r="BO23" s="88">
        <f t="shared" si="45"/>
        <v>1.7024461410547382</v>
      </c>
      <c r="BP23" s="88">
        <f t="shared" si="45"/>
        <v>1.6426635384667787</v>
      </c>
      <c r="BQ23" s="88">
        <f t="shared" si="45"/>
        <v>1.5869371171039661</v>
      </c>
      <c r="BR23" s="88">
        <f t="shared" si="45"/>
        <v>1.5348676109506834</v>
      </c>
      <c r="BS23" s="102">
        <f t="shared" si="46"/>
        <v>-0.23630951781588996</v>
      </c>
      <c r="CD23" s="17" t="s">
        <v>1065</v>
      </c>
      <c r="CE23" s="439" cm="1">
        <f t="array" ref="CE23">1/AVERAGE(_xlfn._xlws.FILTER('ANL-DOE-MHDV Data'!$AX:$AX,('ANL-DOE-MHDV Data'!$A:$A=$CD23)*('ANL-DOE-MHDV Data'!$B:$B=CE$2)*('ANL-DOE-MHDV Data'!$E:$E="Medium 5")))</f>
        <v>0.37062718448401927</v>
      </c>
      <c r="CF23" s="439" cm="1">
        <f t="array" ref="CF23">1/AVERAGE(_xlfn._xlws.FILTER('ANL-DOE-MHDV Data'!$AX:$AX,('ANL-DOE-MHDV Data'!$A:$A=$CD23)*('ANL-DOE-MHDV Data'!$B:$B=CF$2)*('ANL-DOE-MHDV Data'!$E:$E="Medium 5")))</f>
        <v>0.39846013006802056</v>
      </c>
      <c r="CG23" s="439" cm="1">
        <f t="array" ref="CG23">1/AVERAGE(_xlfn._xlws.FILTER('ANL-DOE-MHDV Data'!$AX:$AX,('ANL-DOE-MHDV Data'!$A:$A=$CD23)*('ANL-DOE-MHDV Data'!$B:$B=CG$2)*('ANL-DOE-MHDV Data'!$E:$E="Medium 5")))</f>
        <v>0.42767108824046735</v>
      </c>
      <c r="CH23" s="439" cm="1">
        <f t="array" ref="CH23">1/AVERAGE(_xlfn._xlws.FILTER('ANL-DOE-MHDV Data'!$AX:$AX,('ANL-DOE-MHDV Data'!$A:$A=$CD23)*('ANL-DOE-MHDV Data'!$B:$B=CH$2)*('ANL-DOE-MHDV Data'!$E:$E="Medium 5")))</f>
        <v>0.45231850134728219</v>
      </c>
      <c r="CI23" s="439">
        <f t="shared" ref="CI23:CJ23" si="65">($CK23-$CH23)/3 + CH23</f>
        <v>0.4713432976566696</v>
      </c>
      <c r="CJ23" s="439">
        <f t="shared" si="65"/>
        <v>0.49036809396605702</v>
      </c>
      <c r="CK23" s="439" cm="1">
        <f t="array" ref="CK23">1/AVERAGE(_xlfn._xlws.FILTER('ANL-DOE-MHDV Data'!$AX:$AX,('ANL-DOE-MHDV Data'!$A:$A=$CD23)*('ANL-DOE-MHDV Data'!$B:$B=CK$2)*('ANL-DOE-MHDV Data'!$E:$E="Medium 5")))</f>
        <v>0.50939289027544443</v>
      </c>
      <c r="CL23" s="102">
        <f t="shared" si="11"/>
        <v>0.37440779198269647</v>
      </c>
      <c r="CN23" s="17" t="s">
        <v>1065</v>
      </c>
      <c r="CO23" s="88">
        <f t="shared" si="49"/>
        <v>11.378411051839192</v>
      </c>
      <c r="CP23" s="88">
        <f t="shared" si="49"/>
        <v>10.64243207028141</v>
      </c>
      <c r="CQ23" s="88">
        <f t="shared" si="49"/>
        <v>9.9392549610203833</v>
      </c>
      <c r="CR23" s="88">
        <f t="shared" si="49"/>
        <v>9.423222890587482</v>
      </c>
      <c r="CS23" s="88">
        <f t="shared" si="49"/>
        <v>9.045044950473951</v>
      </c>
      <c r="CT23" s="88">
        <f t="shared" si="49"/>
        <v>8.6960502989247495</v>
      </c>
      <c r="CU23" s="88">
        <f t="shared" si="49"/>
        <v>8.3729864017623434</v>
      </c>
      <c r="CV23" s="102">
        <f t="shared" si="12"/>
        <v>-0.26413394949297914</v>
      </c>
      <c r="DG23" s="33" t="s">
        <v>260</v>
      </c>
      <c r="DH23" s="73"/>
      <c r="DI23" s="73"/>
      <c r="DJ23" s="73"/>
      <c r="DK23" s="73"/>
      <c r="DL23" s="73"/>
      <c r="DM23" s="73"/>
      <c r="DN23" s="73"/>
      <c r="DO23" s="102"/>
      <c r="DZ23" s="17" t="s">
        <v>110</v>
      </c>
      <c r="EA23" s="88">
        <v>36.493011099583541</v>
      </c>
      <c r="EB23" s="88">
        <v>35.043345494872796</v>
      </c>
      <c r="EC23" s="88">
        <v>33.412407700592176</v>
      </c>
      <c r="ED23" s="88">
        <v>32.259317781053731</v>
      </c>
      <c r="EE23" s="88">
        <v>31.449298089618154</v>
      </c>
      <c r="EF23" s="88">
        <v>30.93021500546805</v>
      </c>
      <c r="EG23" s="88">
        <v>30.681864206072834</v>
      </c>
      <c r="EH23" s="102">
        <f t="shared" si="14"/>
        <v>-0.15923999468427047</v>
      </c>
      <c r="EJ23" s="224" t="s">
        <v>240</v>
      </c>
      <c r="EK23" s="88">
        <f>L_100km_to_mpg/'Background Data'!BC35</f>
        <v>35.638654430519416</v>
      </c>
      <c r="EL23" s="88">
        <f>L_100km_to_mpg/'Background Data'!BD35</f>
        <v>29.401889905178518</v>
      </c>
      <c r="EM23" s="88">
        <f t="shared" ref="EM23:EP23" si="66">($EQ23-$EL23)/(6-1) + EL23</f>
        <v>28.08879579290841</v>
      </c>
      <c r="EN23" s="88">
        <f t="shared" si="66"/>
        <v>26.775701680638303</v>
      </c>
      <c r="EO23" s="88">
        <f t="shared" si="66"/>
        <v>25.462607568368195</v>
      </c>
      <c r="EP23" s="88">
        <f t="shared" si="66"/>
        <v>24.149513456098088</v>
      </c>
      <c r="EQ23" s="88">
        <f>L_100km_to_mpg/'Background Data'!BE35</f>
        <v>22.836419343827973</v>
      </c>
      <c r="ER23" s="102">
        <f t="shared" si="16"/>
        <v>-0.35922330097087385</v>
      </c>
    </row>
    <row r="24" spans="1:148" ht="15" thickBot="1" x14ac:dyDescent="0.4">
      <c r="A24" t="s">
        <v>1092</v>
      </c>
      <c r="B24" t="s">
        <v>1094</v>
      </c>
      <c r="C24" t="s">
        <v>468</v>
      </c>
      <c r="D24" t="s">
        <v>2261</v>
      </c>
      <c r="E24" t="s">
        <v>161</v>
      </c>
      <c r="F24">
        <v>2022</v>
      </c>
      <c r="G24" s="63" t="s">
        <v>282</v>
      </c>
      <c r="H24" s="71"/>
      <c r="I24" s="71"/>
      <c r="J24" s="71"/>
      <c r="K24" s="71"/>
      <c r="L24" s="71"/>
      <c r="M24" s="71"/>
      <c r="N24" s="71"/>
      <c r="O24" s="71">
        <f>1/('Background Data'!I$114*1.2)</f>
        <v>0.45543811324741956</v>
      </c>
      <c r="P24" s="71">
        <f>1/('Background Data'!J$114*1.2)</f>
        <v>0.46556001189598945</v>
      </c>
      <c r="Q24" s="71">
        <f>1/('Background Data'!K$114*1.2)</f>
        <v>0.49536742293420394</v>
      </c>
      <c r="R24" s="71">
        <f>1/('Background Data'!L$114*1.2)</f>
        <v>0.50123896246742705</v>
      </c>
      <c r="S24" s="71">
        <f>1/('Background Data'!M$114*1.2)</f>
        <v>0.54165981467001112</v>
      </c>
      <c r="T24" s="71">
        <f>1/('Background Data'!N$114*1.2)</f>
        <v>0.55630768354370663</v>
      </c>
      <c r="U24" s="71">
        <f>1/('Background Data'!O$114*1.2)</f>
        <v>0.49924713531993753</v>
      </c>
      <c r="V24" s="71">
        <f>1/('Background Data'!P$114*1.2)</f>
        <v>0.4988090435276733</v>
      </c>
      <c r="W24" s="71">
        <f>1/('Background Data'!Q$114*1.2)</f>
        <v>0.49780755596203202</v>
      </c>
      <c r="X24" s="71">
        <f>1/('Background Data'!R$114*1.2)</f>
        <v>0.44979812160706029</v>
      </c>
      <c r="Y24" s="71">
        <f>1/('Background Data'!S$114*1.2)</f>
        <v>0.50388546078813734</v>
      </c>
      <c r="Z24" s="71">
        <f>1/('Background Data'!T$114*1.2)</f>
        <v>0.48032013144632846</v>
      </c>
      <c r="AA24" s="71">
        <f>1/('Background Data'!U$114*1.2)</f>
        <v>0.48243539562886523</v>
      </c>
      <c r="AB24" s="71">
        <f>1/('Background Data'!V$114*1.2)</f>
        <v>0.62157697559539615</v>
      </c>
      <c r="AC24" s="305"/>
      <c r="AE24" s="71"/>
      <c r="AF24" s="71"/>
      <c r="AG24" s="71"/>
      <c r="AH24" s="71"/>
      <c r="AI24" s="71"/>
      <c r="AJ24" s="415"/>
      <c r="AK24" s="66" t="s">
        <v>2243</v>
      </c>
      <c r="AL24">
        <v>2</v>
      </c>
      <c r="AM24">
        <v>1</v>
      </c>
      <c r="AN24">
        <v>1</v>
      </c>
      <c r="AO24">
        <v>1</v>
      </c>
      <c r="AP24">
        <v>2</v>
      </c>
      <c r="AT24" s="493"/>
      <c r="AU24" s="493"/>
      <c r="AV24" s="493"/>
      <c r="AW24" s="493"/>
      <c r="AX24" s="493"/>
      <c r="AY24" s="493"/>
      <c r="BA24" s="17" t="s">
        <v>979</v>
      </c>
      <c r="BB24" s="73" cm="1">
        <f t="array" ref="BB24">1/AVERAGE(_xlfn._xlws.FILTER('ANL-DOE-LDV Data'!$AX:$AX, ('ANL-DOE-LDV Data'!$A:$A=$BA24)*('ANL-DOE-LDV Data'!$B:$B=BB$2-5)*('ANL-DOE-LDV Data'!$D:$D="Midsize_B")))</f>
        <v>1.8898626722521803</v>
      </c>
      <c r="BC24" s="73" cm="1">
        <f t="array" ref="BC24">1/AVERAGE(_xlfn._xlws.FILTER('ANL-DOE-LDV Data'!$AX:$AX, ('ANL-DOE-LDV Data'!$A:$A=$BA24)*('ANL-DOE-LDV Data'!$B:$B=BC$2-5)*('ANL-DOE-LDV Data'!$D:$D="Midsize_B")))</f>
        <v>1.977055412976084</v>
      </c>
      <c r="BD24" s="73" cm="1">
        <f t="array" ref="BD24">1/AVERAGE(_xlfn._xlws.FILTER('ANL-DOE-LDV Data'!$AX:$AX, ('ANL-DOE-LDV Data'!$A:$A=$BA24)*('ANL-DOE-LDV Data'!$B:$B=BD$2-5)*('ANL-DOE-LDV Data'!$D:$D="Midsize_B")))</f>
        <v>2.0379401731297708</v>
      </c>
      <c r="BE24" s="73" cm="1">
        <f t="array" ref="BE24">1/AVERAGE(_xlfn._xlws.FILTER('ANL-DOE-LDV Data'!$AX:$AX, ('ANL-DOE-LDV Data'!$A:$A=$BA24)*('ANL-DOE-LDV Data'!$B:$B=BE$2-5)*('ANL-DOE-LDV Data'!$D:$D="Midsize_B")))</f>
        <v>2.2490979961340103</v>
      </c>
      <c r="BF24" s="73">
        <f t="shared" ref="BF24:BG24" si="67">($BH24-$BE24)/3 + BE24</f>
        <v>2.3313445820745349</v>
      </c>
      <c r="BG24" s="73">
        <f t="shared" si="67"/>
        <v>2.4135911680150595</v>
      </c>
      <c r="BH24" s="73" cm="1">
        <f t="array" ref="BH24">1/AVERAGE(_xlfn._xlws.FILTER('ANL-DOE-LDV Data'!$AX:$AX, ('ANL-DOE-LDV Data'!$A:$A=$BA24)*('ANL-DOE-LDV Data'!$B:$B=BH$2-5)*('ANL-DOE-LDV Data'!$D:$D="Midsize_B")))</f>
        <v>2.4958377539555836</v>
      </c>
      <c r="BI24" s="102">
        <f t="shared" si="44"/>
        <v>0.32064503447822107</v>
      </c>
      <c r="BK24" s="17" t="s">
        <v>979</v>
      </c>
      <c r="BL24" s="88">
        <f t="shared" si="45"/>
        <v>2.1019602800330937</v>
      </c>
      <c r="BM24" s="88">
        <f t="shared" si="45"/>
        <v>2.0075213451893781</v>
      </c>
      <c r="BN24" s="88">
        <f t="shared" si="45"/>
        <v>1.9464464589857138</v>
      </c>
      <c r="BO24" s="88">
        <f t="shared" si="45"/>
        <v>1.7585846377987933</v>
      </c>
      <c r="BP24" s="88">
        <f t="shared" si="45"/>
        <v>1.6942047648549718</v>
      </c>
      <c r="BQ24" s="88">
        <f t="shared" si="45"/>
        <v>1.6343721752135267</v>
      </c>
      <c r="BR24" s="88">
        <f t="shared" si="45"/>
        <v>1.5786215268990715</v>
      </c>
      <c r="BS24" s="102">
        <f t="shared" si="46"/>
        <v>-0.24897651877883373</v>
      </c>
      <c r="CD24" s="33" t="s">
        <v>1589</v>
      </c>
      <c r="CL24" s="102"/>
      <c r="CN24" s="33" t="s">
        <v>1296</v>
      </c>
      <c r="CV24" s="102"/>
      <c r="DG24" s="17" t="s">
        <v>110</v>
      </c>
      <c r="DH24" s="73">
        <f>1/('GREET-AFLEET Summary'!P24*DSL_PJ_ML*10)</f>
        <v>6.4249645325477889E-2</v>
      </c>
      <c r="DI24" s="73">
        <f>1/('GREET-AFLEET Summary'!Q24*DSL_PJ_ML*10)</f>
        <v>6.8459952522399933E-2</v>
      </c>
      <c r="DJ24" s="73">
        <f>1/('GREET-AFLEET Summary'!R24*DSL_PJ_ML*10)</f>
        <v>7.2263540113637337E-2</v>
      </c>
      <c r="DK24" s="73">
        <f>1/('GREET-AFLEET Summary'!S24*DSL_PJ_ML*10)</f>
        <v>7.5094263434931321E-2</v>
      </c>
      <c r="DL24" s="73">
        <f>1/('GREET-AFLEET Summary'!T24*DSL_PJ_ML*10)</f>
        <v>7.7702938695433155E-2</v>
      </c>
      <c r="DM24" s="73">
        <f>1/('GREET-AFLEET Summary'!U24*DSL_PJ_ML*10)</f>
        <v>8.0311613955934974E-2</v>
      </c>
      <c r="DN24" s="73">
        <f>1/('GREET-AFLEET Summary'!V24*DSL_PJ_ML*10)</f>
        <v>8.2920289216436807E-2</v>
      </c>
      <c r="DO24" s="102">
        <f t="shared" si="13"/>
        <v>0.29059528338836083</v>
      </c>
      <c r="DZ24" s="17" t="s">
        <v>240</v>
      </c>
      <c r="EA24" s="88">
        <v>39.831040414295465</v>
      </c>
      <c r="EB24" s="88">
        <v>38.123924165080268</v>
      </c>
      <c r="EC24" s="88">
        <v>35.340328511926465</v>
      </c>
      <c r="ED24" s="88">
        <v>33.315517934682291</v>
      </c>
      <c r="EE24" s="88">
        <v>32.180107164556347</v>
      </c>
      <c r="EF24" s="88">
        <v>31.692355888400513</v>
      </c>
      <c r="EG24" s="88">
        <v>31.369163885667835</v>
      </c>
      <c r="EH24" s="102">
        <f t="shared" si="14"/>
        <v>-0.21244427563560808</v>
      </c>
      <c r="EJ24" s="4" t="s">
        <v>1221</v>
      </c>
      <c r="EK24" s="88"/>
      <c r="EL24" s="88"/>
      <c r="EM24" s="88"/>
      <c r="EN24" s="88"/>
      <c r="EO24" s="88"/>
      <c r="EP24" s="88"/>
      <c r="EQ24" s="88"/>
      <c r="ER24" s="102"/>
    </row>
    <row r="25" spans="1:148" x14ac:dyDescent="0.35">
      <c r="A25" t="s">
        <v>405</v>
      </c>
      <c r="B25" t="s">
        <v>10</v>
      </c>
      <c r="C25" t="s">
        <v>468</v>
      </c>
      <c r="D25" t="s">
        <v>2261</v>
      </c>
      <c r="E25" t="s">
        <v>161</v>
      </c>
      <c r="F25">
        <v>2022</v>
      </c>
      <c r="G25" s="63" t="s">
        <v>282</v>
      </c>
      <c r="H25" s="71"/>
      <c r="I25" s="71"/>
      <c r="J25" s="71"/>
      <c r="K25" s="71"/>
      <c r="L25" s="71"/>
      <c r="M25" s="71"/>
      <c r="N25" s="71"/>
      <c r="O25" s="71">
        <f>1/'Background Data'!I$114</f>
        <v>0.54652573589690345</v>
      </c>
      <c r="P25" s="71">
        <f>1/'Background Data'!J$114</f>
        <v>0.55867201427518731</v>
      </c>
      <c r="Q25" s="71">
        <f>1/'Background Data'!K$114</f>
        <v>0.59444090752104473</v>
      </c>
      <c r="R25" s="71">
        <f>1/'Background Data'!L$114</f>
        <v>0.60148675496091242</v>
      </c>
      <c r="S25" s="71">
        <f>1/'Background Data'!M$114</f>
        <v>0.64999177760401328</v>
      </c>
      <c r="T25" s="71">
        <f>1/'Background Data'!N$114</f>
        <v>0.66756922025244791</v>
      </c>
      <c r="U25" s="71">
        <f>1/'Background Data'!O$114</f>
        <v>0.59909656238392506</v>
      </c>
      <c r="V25" s="71">
        <f>1/'Background Data'!P$114</f>
        <v>0.59857085223320794</v>
      </c>
      <c r="W25" s="71">
        <f>1/'Background Data'!Q$114</f>
        <v>0.59736906715443838</v>
      </c>
      <c r="X25" s="71">
        <f>1/'Background Data'!R$114</f>
        <v>0.53975774592847237</v>
      </c>
      <c r="Y25" s="71">
        <f>1/'Background Data'!S$114</f>
        <v>0.60466255294576476</v>
      </c>
      <c r="Z25" s="71">
        <f>1/'Background Data'!T$114</f>
        <v>0.57638415773559415</v>
      </c>
      <c r="AA25" s="71">
        <f>1/'Background Data'!U$114</f>
        <v>0.57892247475463821</v>
      </c>
      <c r="AB25" s="71">
        <f>1/'Background Data'!V$114</f>
        <v>0.74589237071447545</v>
      </c>
      <c r="AC25" s="305"/>
      <c r="AE25" s="71"/>
      <c r="AF25" s="71"/>
      <c r="AG25" s="71"/>
      <c r="AH25" s="71"/>
      <c r="AI25" s="71"/>
      <c r="AJ25" s="415"/>
      <c r="AK25" s="66" t="s">
        <v>2244</v>
      </c>
      <c r="AL25">
        <v>2</v>
      </c>
      <c r="AM25">
        <v>1</v>
      </c>
      <c r="AN25">
        <v>1</v>
      </c>
      <c r="AO25">
        <v>1</v>
      </c>
      <c r="AP25">
        <v>1</v>
      </c>
      <c r="AT25" s="496" t="s">
        <v>2196</v>
      </c>
      <c r="AU25" s="497"/>
      <c r="AV25" s="497"/>
      <c r="AW25" s="497"/>
      <c r="AX25" s="497"/>
      <c r="AY25" s="498"/>
      <c r="BA25" s="17" t="s">
        <v>980</v>
      </c>
      <c r="BB25" s="73" cm="1">
        <f t="array" ref="BB25">1/AVERAGE(_xlfn._xlws.FILTER('ANL-DOE-LDV Data'!$AX:$AX, ('ANL-DOE-LDV Data'!$A:$A=$BA25)*('ANL-DOE-LDV Data'!$B:$B=BB$2-5)*('ANL-DOE-LDV Data'!$D:$D="Midsize_B")))</f>
        <v>1.6895772344322997</v>
      </c>
      <c r="BC25" s="73" cm="1">
        <f t="array" ref="BC25">1/AVERAGE(_xlfn._xlws.FILTER('ANL-DOE-LDV Data'!$AX:$AX, ('ANL-DOE-LDV Data'!$A:$A=$BA25)*('ANL-DOE-LDV Data'!$B:$B=BC$2-5)*('ANL-DOE-LDV Data'!$D:$D="Midsize_B")))</f>
        <v>1.7693759203963242</v>
      </c>
      <c r="BD25" s="73" cm="1">
        <f t="array" ref="BD25">1/AVERAGE(_xlfn._xlws.FILTER('ANL-DOE-LDV Data'!$AX:$AX, ('ANL-DOE-LDV Data'!$A:$A=$BA25)*('ANL-DOE-LDV Data'!$B:$B=BD$2-5)*('ANL-DOE-LDV Data'!$D:$D="Midsize_B")))</f>
        <v>1.8542472372706094</v>
      </c>
      <c r="BE25" s="73" cm="1">
        <f t="array" ref="BE25">1/AVERAGE(_xlfn._xlws.FILTER('ANL-DOE-LDV Data'!$AX:$AX, ('ANL-DOE-LDV Data'!$A:$A=$BA25)*('ANL-DOE-LDV Data'!$B:$B=BE$2-5)*('ANL-DOE-LDV Data'!$D:$D="Midsize_B")))</f>
        <v>2.0473959019311687</v>
      </c>
      <c r="BF25" s="73">
        <f t="shared" ref="BF25:BG25" si="68">($BH25-$BE25)/3 + BE25</f>
        <v>2.128466741951728</v>
      </c>
      <c r="BG25" s="73">
        <f t="shared" si="68"/>
        <v>2.2095375819722873</v>
      </c>
      <c r="BH25" s="73" cm="1">
        <f t="array" ref="BH25">1/AVERAGE(_xlfn._xlws.FILTER('ANL-DOE-LDV Data'!$AX:$AX, ('ANL-DOE-LDV Data'!$A:$A=$BA25)*('ANL-DOE-LDV Data'!$B:$B=BH$2-5)*('ANL-DOE-LDV Data'!$D:$D="Midsize_B")))</f>
        <v>2.2906084219928462</v>
      </c>
      <c r="BI25" s="102">
        <f t="shared" si="44"/>
        <v>0.35572874403844218</v>
      </c>
      <c r="BK25" s="17" t="s">
        <v>980</v>
      </c>
      <c r="BL25" s="88">
        <f t="shared" si="45"/>
        <v>2.3404615393705659</v>
      </c>
      <c r="BM25" s="88">
        <f t="shared" si="45"/>
        <v>2.2353943905748785</v>
      </c>
      <c r="BN25" s="88">
        <f t="shared" si="45"/>
        <v>2.131116899533934</v>
      </c>
      <c r="BO25" s="88">
        <f t="shared" si="45"/>
        <v>1.9259221933009287</v>
      </c>
      <c r="BP25" s="88">
        <f t="shared" si="45"/>
        <v>1.8511448175572687</v>
      </c>
      <c r="BQ25" s="88">
        <f t="shared" si="45"/>
        <v>1.7819571425459177</v>
      </c>
      <c r="BR25" s="88">
        <f t="shared" si="45"/>
        <v>1.7177549941472758</v>
      </c>
      <c r="BS25" s="102">
        <f t="shared" si="46"/>
        <v>-0.26606143051201697</v>
      </c>
      <c r="CD25" s="17" t="s">
        <v>1017</v>
      </c>
      <c r="CE25" s="439" cm="1">
        <f t="array" ref="CE25">1/AVERAGE(_xlfn._xlws.FILTER('ANL-DOE-MHDV Data'!$AX:$AX,('ANL-DOE-MHDV Data'!$A:$A=$CD25)*('ANL-DOE-MHDV Data'!$B:$B=CE$2)*('ANL-DOE-MHDV Data'!$E:$E="Medium 5")))</f>
        <v>0.12127172259627103</v>
      </c>
      <c r="CF25" s="439" cm="1">
        <f t="array" ref="CF25">1/AVERAGE(_xlfn._xlws.FILTER('ANL-DOE-MHDV Data'!$AX:$AX,('ANL-DOE-MHDV Data'!$A:$A=$CD25)*('ANL-DOE-MHDV Data'!$B:$B=CF$2)*('ANL-DOE-MHDV Data'!$E:$E="Medium 5")))</f>
        <v>0.12981664155126946</v>
      </c>
      <c r="CG25" s="439" cm="1">
        <f t="array" ref="CG25">1/AVERAGE(_xlfn._xlws.FILTER('ANL-DOE-MHDV Data'!$AX:$AX,('ANL-DOE-MHDV Data'!$A:$A=$CD25)*('ANL-DOE-MHDV Data'!$B:$B=CG$2)*('ANL-DOE-MHDV Data'!$E:$E="Medium 5")))</f>
        <v>0.13802393706432167</v>
      </c>
      <c r="CH25" s="439" cm="1">
        <f t="array" ref="CH25">1/AVERAGE(_xlfn._xlws.FILTER('ANL-DOE-MHDV Data'!$AX:$AX,('ANL-DOE-MHDV Data'!$A:$A=$CD25)*('ANL-DOE-MHDV Data'!$B:$B=CH$2)*('ANL-DOE-MHDV Data'!$E:$E="Medium 5")))</f>
        <v>0.14453665189003673</v>
      </c>
      <c r="CI25" s="439">
        <f t="shared" ref="CI25:CJ25" si="69">($CK25-$CH25)/3 + CH25</f>
        <v>0.15029724421337523</v>
      </c>
      <c r="CJ25" s="439">
        <f t="shared" si="69"/>
        <v>0.15605783653671373</v>
      </c>
      <c r="CK25" s="439" cm="1">
        <f t="array" ref="CK25">1/AVERAGE(_xlfn._xlws.FILTER('ANL-DOE-MHDV Data'!$AX:$AX,('ANL-DOE-MHDV Data'!$A:$A=$CD25)*('ANL-DOE-MHDV Data'!$B:$B=CK$2)*('ANL-DOE-MHDV Data'!$E:$E="Medium 5")))</f>
        <v>0.16181842886005224</v>
      </c>
      <c r="CL25" s="102">
        <f t="shared" si="11"/>
        <v>0.33434592496691368</v>
      </c>
      <c r="CN25" s="17" t="s">
        <v>1017</v>
      </c>
      <c r="CO25" s="88">
        <f t="shared" ref="CO25:CU30" si="70">1/(CO56*DSL_PJ_ML*10)</f>
        <v>32.284642991172809</v>
      </c>
      <c r="CP25" s="88">
        <f t="shared" si="70"/>
        <v>30.288776064458936</v>
      </c>
      <c r="CQ25" s="88">
        <f t="shared" si="70"/>
        <v>28.59068667035201</v>
      </c>
      <c r="CR25" s="88">
        <f t="shared" si="70"/>
        <v>27.518337526769468</v>
      </c>
      <c r="CS25" s="88">
        <f t="shared" si="70"/>
        <v>26.554591314449759</v>
      </c>
      <c r="CT25" s="88">
        <f t="shared" si="70"/>
        <v>25.656065524221976</v>
      </c>
      <c r="CU25" s="88">
        <f t="shared" si="70"/>
        <v>24.816356267841787</v>
      </c>
      <c r="CV25" s="102">
        <f t="shared" si="12"/>
        <v>-0.23132629112153985</v>
      </c>
      <c r="DG25" s="17" t="s">
        <v>109</v>
      </c>
      <c r="DH25" s="73">
        <f>1/('GREET-AFLEET Summary'!P25*DSL_PJ_ML*10)</f>
        <v>7.7099574390573467E-2</v>
      </c>
      <c r="DI25" s="73">
        <f>1/('GREET-AFLEET Summary'!Q25*DSL_PJ_ML*10)</f>
        <v>8.2151943026879906E-2</v>
      </c>
      <c r="DJ25" s="73">
        <f>1/('GREET-AFLEET Summary'!R25*DSL_PJ_ML*10)</f>
        <v>8.6716248136364818E-2</v>
      </c>
      <c r="DK25" s="73">
        <f>1/('GREET-AFLEET Summary'!S25*DSL_PJ_ML*10)</f>
        <v>9.011311612191758E-2</v>
      </c>
      <c r="DL25" s="73">
        <f>1/('GREET-AFLEET Summary'!T25*DSL_PJ_ML*10)</f>
        <v>9.3243526434519761E-2</v>
      </c>
      <c r="DM25" s="73">
        <f>1/('GREET-AFLEET Summary'!U25*DSL_PJ_ML*10)</f>
        <v>9.6373936747121969E-2</v>
      </c>
      <c r="DN25" s="73">
        <f>1/('GREET-AFLEET Summary'!V25*DSL_PJ_ML*10)</f>
        <v>9.9504347059724191E-2</v>
      </c>
      <c r="DO25" s="102">
        <f t="shared" si="13"/>
        <v>0.2905952833883611</v>
      </c>
      <c r="DZ25" s="17" t="s">
        <v>246</v>
      </c>
      <c r="EA25" s="88">
        <v>18.799955691978383</v>
      </c>
      <c r="EB25" s="88">
        <v>19.728229175741653</v>
      </c>
      <c r="EC25" s="88">
        <v>20.202027840712795</v>
      </c>
      <c r="ED25" s="88">
        <v>20.41323727590953</v>
      </c>
      <c r="EE25" s="88">
        <v>20.414571355964465</v>
      </c>
      <c r="EF25" s="88">
        <v>20.277841962609283</v>
      </c>
      <c r="EG25" s="88">
        <v>20.249484755315784</v>
      </c>
      <c r="EH25" s="102">
        <f t="shared" si="14"/>
        <v>7.710279146859321E-2</v>
      </c>
      <c r="EJ25" s="224" t="s">
        <v>109</v>
      </c>
      <c r="EK25" s="88">
        <f>L_100km_to_mpg/'Background Data'!BC23</f>
        <v>28.001799909693826</v>
      </c>
      <c r="EL25" s="88">
        <f>L_100km_to_mpg/'Background Data'!BD23</f>
        <v>23.060305807983152</v>
      </c>
      <c r="EM25" s="88">
        <f t="shared" ref="EM25:EP25" si="71">($EQ25-$EL25)/(6-1) + EL25</f>
        <v>22.094990681137347</v>
      </c>
      <c r="EN25" s="88">
        <f t="shared" si="71"/>
        <v>21.129675554291541</v>
      </c>
      <c r="EO25" s="88">
        <f t="shared" si="71"/>
        <v>20.164360427445736</v>
      </c>
      <c r="EP25" s="88">
        <f t="shared" si="71"/>
        <v>19.199045300599931</v>
      </c>
      <c r="EQ25" s="88">
        <f>L_100km_to_mpg/'Background Data'!BE23</f>
        <v>18.233730173754118</v>
      </c>
      <c r="ER25" s="102">
        <f t="shared" si="16"/>
        <v>-0.34883720930232565</v>
      </c>
    </row>
    <row r="26" spans="1:148" ht="14.5" customHeight="1" x14ac:dyDescent="0.35">
      <c r="A26" t="s">
        <v>406</v>
      </c>
      <c r="B26" t="s">
        <v>11</v>
      </c>
      <c r="C26" t="s">
        <v>468</v>
      </c>
      <c r="D26" t="s">
        <v>2261</v>
      </c>
      <c r="E26" t="s">
        <v>161</v>
      </c>
      <c r="F26">
        <v>2022</v>
      </c>
      <c r="G26" s="63" t="s">
        <v>282</v>
      </c>
      <c r="H26" s="71"/>
      <c r="I26" s="71"/>
      <c r="J26" s="71"/>
      <c r="K26" s="71"/>
      <c r="L26" s="71"/>
      <c r="M26" s="71"/>
      <c r="N26" s="71"/>
      <c r="O26" s="71">
        <f>0.85/'Background Data'!I$114</f>
        <v>0.4645468755123679</v>
      </c>
      <c r="P26" s="71">
        <f>0.85/'Background Data'!J$114</f>
        <v>0.4748712121339092</v>
      </c>
      <c r="Q26" s="71">
        <f>0.85/'Background Data'!K$114</f>
        <v>0.50527477139288801</v>
      </c>
      <c r="R26" s="71">
        <f>0.85/'Background Data'!L$114</f>
        <v>0.51126374171677547</v>
      </c>
      <c r="S26" s="71">
        <f>0.85/'Background Data'!M$114</f>
        <v>0.5524930109634113</v>
      </c>
      <c r="T26" s="71">
        <f>0.85/'Background Data'!N$114</f>
        <v>0.56743383721458074</v>
      </c>
      <c r="U26" s="71">
        <f>0.85/'Background Data'!O$114</f>
        <v>0.50923207802633619</v>
      </c>
      <c r="V26" s="71">
        <f>0.85/'Background Data'!P$114</f>
        <v>0.50878522439822671</v>
      </c>
      <c r="W26" s="71">
        <f>0.85/'Background Data'!Q$114</f>
        <v>0.50776370708127261</v>
      </c>
      <c r="X26" s="71">
        <f>0.85/'Background Data'!R$114</f>
        <v>0.45879408403920147</v>
      </c>
      <c r="Y26" s="71">
        <f>0.85/'Background Data'!S$114</f>
        <v>0.51396317000390002</v>
      </c>
      <c r="Z26" s="71">
        <f>0.85/'Background Data'!T$114</f>
        <v>0.48992653407525499</v>
      </c>
      <c r="AA26" s="71">
        <f>0.85/'Background Data'!U$114</f>
        <v>0.49208410354144244</v>
      </c>
      <c r="AB26" s="71">
        <f>0.85/'Background Data'!V$114</f>
        <v>0.63400851510730405</v>
      </c>
      <c r="AC26" s="305"/>
      <c r="AE26" s="71"/>
      <c r="AF26" s="71"/>
      <c r="AG26" s="71"/>
      <c r="AH26" s="71"/>
      <c r="AI26" s="71"/>
      <c r="AJ26" s="415"/>
      <c r="AK26" s="66" t="s">
        <v>2245</v>
      </c>
      <c r="AL26">
        <v>2</v>
      </c>
      <c r="AM26">
        <v>1</v>
      </c>
      <c r="AN26">
        <v>1</v>
      </c>
      <c r="AO26">
        <v>1</v>
      </c>
      <c r="AP26">
        <v>2</v>
      </c>
      <c r="AT26" s="499"/>
      <c r="AU26" s="500"/>
      <c r="AV26" s="500"/>
      <c r="AW26" s="500"/>
      <c r="AX26" s="500"/>
      <c r="AY26" s="501"/>
      <c r="BA26" s="17" t="s">
        <v>981</v>
      </c>
      <c r="BB26" s="73" cm="1">
        <f t="array" ref="BB26">1/AVERAGE(_xlfn._xlws.FILTER('ANL-DOE-LDV Data'!$AX:$AX, ('ANL-DOE-LDV Data'!$A:$A=$BA26)*('ANL-DOE-LDV Data'!$B:$B=BB$2-5)*('ANL-DOE-LDV Data'!$D:$D="Midsize_B")))</f>
        <v>1.5155645127377511</v>
      </c>
      <c r="BC26" s="73" cm="1">
        <f t="array" ref="BC26">1/AVERAGE(_xlfn._xlws.FILTER('ANL-DOE-LDV Data'!$AX:$AX, ('ANL-DOE-LDV Data'!$A:$A=$BA26)*('ANL-DOE-LDV Data'!$B:$B=BC$2-5)*('ANL-DOE-LDV Data'!$D:$D="Midsize_B")))</f>
        <v>1.5851337334025666</v>
      </c>
      <c r="BD26" s="73" cm="1">
        <f t="array" ref="BD26">1/AVERAGE(_xlfn._xlws.FILTER('ANL-DOE-LDV Data'!$AX:$AX, ('ANL-DOE-LDV Data'!$A:$A=$BA26)*('ANL-DOE-LDV Data'!$B:$B=BD$2-5)*('ANL-DOE-LDV Data'!$D:$D="Midsize_B")))</f>
        <v>1.698758950258036</v>
      </c>
      <c r="BE26" s="73" cm="1">
        <f t="array" ref="BE26">1/AVERAGE(_xlfn._xlws.FILTER('ANL-DOE-LDV Data'!$AX:$AX, ('ANL-DOE-LDV Data'!$A:$A=$BA26)*('ANL-DOE-LDV Data'!$B:$B=BE$2-5)*('ANL-DOE-LDV Data'!$D:$D="Midsize_B")))</f>
        <v>1.8718725607331232</v>
      </c>
      <c r="BF26" s="73">
        <f t="shared" ref="BF26:BG26" si="72">($BH26-$BE26)/3 + BE26</f>
        <v>1.9478103811390592</v>
      </c>
      <c r="BG26" s="73">
        <f t="shared" si="72"/>
        <v>2.0237482015449952</v>
      </c>
      <c r="BH26" s="73" cm="1">
        <f t="array" ref="BH26">1/AVERAGE(_xlfn._xlws.FILTER('ANL-DOE-LDV Data'!$AX:$AX, ('ANL-DOE-LDV Data'!$A:$A=$BA26)*('ANL-DOE-LDV Data'!$B:$B=BH$2-5)*('ANL-DOE-LDV Data'!$D:$D="Midsize_B")))</f>
        <v>2.0996860219509315</v>
      </c>
      <c r="BI26" s="102">
        <f t="shared" si="44"/>
        <v>0.38541514023577239</v>
      </c>
      <c r="BK26" s="17" t="s">
        <v>981</v>
      </c>
      <c r="BL26" s="88">
        <f t="shared" si="45"/>
        <v>2.5938828945216885</v>
      </c>
      <c r="BM26" s="88">
        <f t="shared" si="45"/>
        <v>2.4777286228757691</v>
      </c>
      <c r="BN26" s="88">
        <f t="shared" si="45"/>
        <v>2.3090163520773923</v>
      </c>
      <c r="BO26" s="88">
        <f t="shared" si="45"/>
        <v>2.0899900430277389</v>
      </c>
      <c r="BP26" s="88">
        <f t="shared" si="45"/>
        <v>2.0060106391199759</v>
      </c>
      <c r="BQ26" s="88">
        <f t="shared" si="45"/>
        <v>1.9285194039310922</v>
      </c>
      <c r="BR26" s="88">
        <f t="shared" si="45"/>
        <v>1.8567923982878061</v>
      </c>
      <c r="BS26" s="102">
        <f t="shared" si="46"/>
        <v>-0.28416490882862383</v>
      </c>
      <c r="CD26" s="17" t="s">
        <v>1020</v>
      </c>
      <c r="CE26" s="439" cm="1">
        <f t="array" ref="CE26">1/AVERAGE(_xlfn._xlws.FILTER('ANL-DOE-MHDV Data'!$AX:$AX,('ANL-DOE-MHDV Data'!$A:$A=$CD26)*('ANL-DOE-MHDV Data'!$B:$B=CE$2)*('ANL-DOE-MHDV Data'!$E:$E="Medium 5")))</f>
        <v>0.16527529533611979</v>
      </c>
      <c r="CF26" s="439" cm="1">
        <f t="array" ref="CF26">1/AVERAGE(_xlfn._xlws.FILTER('ANL-DOE-MHDV Data'!$AX:$AX,('ANL-DOE-MHDV Data'!$A:$A=$CD26)*('ANL-DOE-MHDV Data'!$B:$B=CF$2)*('ANL-DOE-MHDV Data'!$E:$E="Medium 5")))</f>
        <v>0.17907496530183056</v>
      </c>
      <c r="CG26" s="439" cm="1">
        <f t="array" ref="CG26">1/AVERAGE(_xlfn._xlws.FILTER('ANL-DOE-MHDV Data'!$AX:$AX,('ANL-DOE-MHDV Data'!$A:$A=$CD26)*('ANL-DOE-MHDV Data'!$B:$B=CG$2)*('ANL-DOE-MHDV Data'!$E:$E="Medium 5")))</f>
        <v>0.19507678194826961</v>
      </c>
      <c r="CH26" s="439" cm="1">
        <f t="array" ref="CH26">1/AVERAGE(_xlfn._xlws.FILTER('ANL-DOE-MHDV Data'!$AX:$AX,('ANL-DOE-MHDV Data'!$A:$A=$CD26)*('ANL-DOE-MHDV Data'!$B:$B=CH$2)*('ANL-DOE-MHDV Data'!$E:$E="Medium 5")))</f>
        <v>0.20568577491262158</v>
      </c>
      <c r="CI26" s="439">
        <f t="shared" ref="CI26:CJ26" si="73">($CK26-$CH26)/3 + CH26</f>
        <v>0.21841527480965992</v>
      </c>
      <c r="CJ26" s="439">
        <f t="shared" si="73"/>
        <v>0.23114477470669825</v>
      </c>
      <c r="CK26" s="439" cm="1">
        <f t="array" ref="CK26">1/AVERAGE(_xlfn._xlws.FILTER('ANL-DOE-MHDV Data'!$AX:$AX,('ANL-DOE-MHDV Data'!$A:$A=$CD26)*('ANL-DOE-MHDV Data'!$B:$B=CK$2)*('ANL-DOE-MHDV Data'!$E:$E="Medium 5")))</f>
        <v>0.24387427460373656</v>
      </c>
      <c r="CL26" s="102">
        <f t="shared" si="11"/>
        <v>0.47556399223350537</v>
      </c>
      <c r="CN26" s="17" t="s">
        <v>1020</v>
      </c>
      <c r="CO26" s="88">
        <f t="shared" si="70"/>
        <v>28.230516896531849</v>
      </c>
      <c r="CP26" s="88">
        <f t="shared" si="70"/>
        <v>25.619530501176651</v>
      </c>
      <c r="CQ26" s="88">
        <f t="shared" si="70"/>
        <v>23.624099367755214</v>
      </c>
      <c r="CR26" s="88">
        <f t="shared" si="70"/>
        <v>22.127183144347427</v>
      </c>
      <c r="CS26" s="88">
        <f t="shared" si="70"/>
        <v>20.892221261235434</v>
      </c>
      <c r="CT26" s="88">
        <f t="shared" si="70"/>
        <v>19.787823660722232</v>
      </c>
      <c r="CU26" s="88">
        <f t="shared" si="70"/>
        <v>18.794324382145248</v>
      </c>
      <c r="CV26" s="102">
        <f t="shared" si="12"/>
        <v>-0.33425503858010647</v>
      </c>
      <c r="DG26" s="17" t="s">
        <v>240</v>
      </c>
      <c r="DH26" s="73">
        <f>1/('GREET-AFLEET Summary'!P26*DSL_PJ_ML*10)</f>
        <v>6.9389616951516103E-2</v>
      </c>
      <c r="DI26" s="73">
        <f>1/('GREET-AFLEET Summary'!Q26*DSL_PJ_ML*10)</f>
        <v>6.9829151572847914E-2</v>
      </c>
      <c r="DJ26" s="73">
        <f>1/('GREET-AFLEET Summary'!R26*DSL_PJ_ML*10)</f>
        <v>7.3708810915910083E-2</v>
      </c>
      <c r="DK26" s="73">
        <f>1/('GREET-AFLEET Summary'!S26*DSL_PJ_ML*10)</f>
        <v>7.6596148703629935E-2</v>
      </c>
      <c r="DL26" s="73">
        <f>1/('GREET-AFLEET Summary'!T26*DSL_PJ_ML*10)</f>
        <v>7.9256997469341783E-2</v>
      </c>
      <c r="DM26" s="73">
        <f>1/('GREET-AFLEET Summary'!U26*DSL_PJ_ML*10)</f>
        <v>8.1917846235053673E-2</v>
      </c>
      <c r="DN26" s="73">
        <f>1/('GREET-AFLEET Summary'!V26*DSL_PJ_ML*10)</f>
        <v>8.457869500076555E-2</v>
      </c>
      <c r="DO26" s="102">
        <f t="shared" si="13"/>
        <v>0.21889554542234116</v>
      </c>
      <c r="DZ26" s="17" t="s">
        <v>1197</v>
      </c>
      <c r="EA26" s="88"/>
      <c r="EB26" s="267">
        <v>88.287898857333801</v>
      </c>
      <c r="EC26" s="88">
        <v>42.295794615585812</v>
      </c>
      <c r="ED26" s="88">
        <v>31.464051720984791</v>
      </c>
      <c r="EE26" s="88">
        <v>25.311530720964033</v>
      </c>
      <c r="EF26" s="88">
        <v>22.794347175463631</v>
      </c>
      <c r="EG26" s="88">
        <v>22.186656191700397</v>
      </c>
      <c r="EH26" s="102">
        <f>(EG26-EB26)/EB26</f>
        <v>-0.7487010510064096</v>
      </c>
      <c r="EJ26" s="224" t="s">
        <v>246</v>
      </c>
      <c r="EK26" s="88">
        <f>L_100km_to_mpg/'Background Data'!BC24</f>
        <v>15.786249613518667</v>
      </c>
      <c r="EL26" s="88">
        <f>L_100km_to_mpg/'Background Data'!BD24</f>
        <v>13.67529763031559</v>
      </c>
      <c r="EM26" s="88">
        <f t="shared" ref="EM26:EP26" si="74">($EQ26-$EL26)/(6-1) + EL26</f>
        <v>12.933586572400168</v>
      </c>
      <c r="EN26" s="88">
        <f t="shared" si="74"/>
        <v>12.191875514484746</v>
      </c>
      <c r="EO26" s="88">
        <f t="shared" si="74"/>
        <v>11.450164456569324</v>
      </c>
      <c r="EP26" s="88">
        <f t="shared" si="74"/>
        <v>10.708453398653901</v>
      </c>
      <c r="EQ26" s="88">
        <f>L_100km_to_mpg/'Background Data'!BE24</f>
        <v>9.9667423407384792</v>
      </c>
      <c r="ER26" s="102">
        <f t="shared" si="16"/>
        <v>-0.36864406779661024</v>
      </c>
    </row>
    <row r="27" spans="1:148" x14ac:dyDescent="0.35">
      <c r="A27" t="s">
        <v>1963</v>
      </c>
      <c r="B27" t="s">
        <v>2012</v>
      </c>
      <c r="C27" t="s">
        <v>468</v>
      </c>
      <c r="D27" t="s">
        <v>2261</v>
      </c>
      <c r="E27" t="s">
        <v>161</v>
      </c>
      <c r="F27">
        <v>2022</v>
      </c>
      <c r="G27" s="63" t="s">
        <v>282</v>
      </c>
      <c r="H27" s="71"/>
      <c r="I27" s="71"/>
      <c r="J27" s="71"/>
      <c r="K27" s="71"/>
      <c r="L27" s="71"/>
      <c r="M27" s="71"/>
      <c r="N27" s="71">
        <f>3.81/'Background Data'!H$114</f>
        <v>2.6446524225640915</v>
      </c>
      <c r="O27" s="71">
        <f>3.81/'Background Data'!I$114</f>
        <v>2.082263053767202</v>
      </c>
      <c r="P27" s="71">
        <f>3.81/'Background Data'!J$114</f>
        <v>2.1285403743884634</v>
      </c>
      <c r="Q27" s="71">
        <f>3.81/'Background Data'!K$114</f>
        <v>2.2648198576551803</v>
      </c>
      <c r="R27" s="71">
        <f>3.81/'Background Data'!L$114</f>
        <v>2.2916645364010764</v>
      </c>
      <c r="S27" s="71">
        <f>3.81/'Background Data'!M$114</f>
        <v>2.4764686726712908</v>
      </c>
      <c r="T27" s="71">
        <f>3.81/'Background Data'!N$114</f>
        <v>2.5434387291618266</v>
      </c>
      <c r="U27" s="71">
        <f>3.81/'Background Data'!O$114</f>
        <v>2.2825579026827545</v>
      </c>
      <c r="V27" s="71">
        <f>3.81/'Background Data'!P$114</f>
        <v>2.2805549470085222</v>
      </c>
      <c r="W27" s="71">
        <f>3.81/'Background Data'!Q$114</f>
        <v>2.2759761458584102</v>
      </c>
      <c r="X27" s="71">
        <f>3.81/'Background Data'!R$114</f>
        <v>2.0564770119874796</v>
      </c>
      <c r="Y27" s="71">
        <f>3.81/'Background Data'!S$114</f>
        <v>2.3037643267233641</v>
      </c>
      <c r="Z27" s="71">
        <f>3.81/'Background Data'!T$114</f>
        <v>2.1960236409726135</v>
      </c>
      <c r="AA27" s="71">
        <f>3.81/'Background Data'!U$114</f>
        <v>2.2056946288151718</v>
      </c>
      <c r="AB27" s="71">
        <f>3.81/'Background Data'!V$114</f>
        <v>2.8418499324221513</v>
      </c>
      <c r="AC27" s="305"/>
      <c r="AE27" s="71"/>
      <c r="AF27" s="71"/>
      <c r="AG27" s="71"/>
      <c r="AH27" s="71"/>
      <c r="AI27" s="71"/>
      <c r="AJ27" s="415"/>
      <c r="AK27" s="66" t="s">
        <v>2246</v>
      </c>
      <c r="AL27">
        <v>2</v>
      </c>
      <c r="AM27">
        <v>1</v>
      </c>
      <c r="AN27">
        <v>1</v>
      </c>
      <c r="AO27">
        <v>1</v>
      </c>
      <c r="AP27">
        <v>2</v>
      </c>
      <c r="AT27" s="502" t="s">
        <v>2191</v>
      </c>
      <c r="AU27" s="493"/>
      <c r="AV27" s="493"/>
      <c r="AW27" s="493"/>
      <c r="AX27" s="493"/>
      <c r="AY27" s="503"/>
      <c r="BA27" s="17" t="s">
        <v>988</v>
      </c>
      <c r="BB27" s="73" cm="1">
        <f t="array" ref="BB27">1/AVERAGE(_xlfn._xlws.FILTER('ANL-DOE-LDV Data'!$AX:$AX, ('ANL-DOE-LDV Data'!$A:$A=$BA27)*('ANL-DOE-LDV Data'!$B:$B=BB$2-5)*('ANL-DOE-LDV Data'!$D:$D="Midsize_B")))</f>
        <v>0.87507354570664941</v>
      </c>
      <c r="BC27" s="73" cm="1">
        <f t="array" ref="BC27">1/AVERAGE(_xlfn._xlws.FILTER('ANL-DOE-LDV Data'!$AX:$AX, ('ANL-DOE-LDV Data'!$A:$A=$BA27)*('ANL-DOE-LDV Data'!$B:$B=BC$2-5)*('ANL-DOE-LDV Data'!$D:$D="Midsize_B")))</f>
        <v>0.90684942788386391</v>
      </c>
      <c r="BD27" s="73" cm="1">
        <f t="array" ref="BD27">1/AVERAGE(_xlfn._xlws.FILTER('ANL-DOE-LDV Data'!$AX:$AX, ('ANL-DOE-LDV Data'!$A:$A=$BA27)*('ANL-DOE-LDV Data'!$B:$B=BD$2-5)*('ANL-DOE-LDV Data'!$D:$D="Midsize_B")))</f>
        <v>0.92515539459580554</v>
      </c>
      <c r="BE27" s="73" cm="1">
        <f t="array" ref="BE27">1/AVERAGE(_xlfn._xlws.FILTER('ANL-DOE-LDV Data'!$AX:$AX, ('ANL-DOE-LDV Data'!$A:$A=$BA27)*('ANL-DOE-LDV Data'!$B:$B=BE$2-5)*('ANL-DOE-LDV Data'!$D:$D="Midsize_B")))</f>
        <v>0.98502610270143853</v>
      </c>
      <c r="BF27" s="73">
        <f t="shared" ref="BF27:BG27" si="75">($BH27-$BE27)/3 + BE27</f>
        <v>1.0085444007748805</v>
      </c>
      <c r="BG27" s="73">
        <f t="shared" si="75"/>
        <v>1.0320626988483226</v>
      </c>
      <c r="BH27" s="73" cm="1">
        <f t="array" ref="BH27">1/AVERAGE(_xlfn._xlws.FILTER('ANL-DOE-LDV Data'!$AX:$AX, ('ANL-DOE-LDV Data'!$A:$A=$BA27)*('ANL-DOE-LDV Data'!$B:$B=BH$2-5)*('ANL-DOE-LDV Data'!$D:$D="Midsize_B")))</f>
        <v>1.0555809969217644</v>
      </c>
      <c r="BI27" s="102">
        <f t="shared" si="44"/>
        <v>0.20627689192609472</v>
      </c>
      <c r="BK27" s="17" t="s">
        <v>988</v>
      </c>
      <c r="BL27" s="88">
        <f t="shared" si="45"/>
        <v>4.5091507905026758</v>
      </c>
      <c r="BM27" s="88">
        <f t="shared" si="45"/>
        <v>4.3564111775895702</v>
      </c>
      <c r="BN27" s="88">
        <f t="shared" si="45"/>
        <v>4.2845012558960152</v>
      </c>
      <c r="BO27" s="88">
        <f t="shared" si="45"/>
        <v>3.9936009055885262</v>
      </c>
      <c r="BP27" s="88">
        <f t="shared" si="45"/>
        <v>3.8959781325564684</v>
      </c>
      <c r="BQ27" s="88">
        <f t="shared" si="45"/>
        <v>3.8030142129937383</v>
      </c>
      <c r="BR27" s="88">
        <f t="shared" si="45"/>
        <v>3.7143834174661756</v>
      </c>
      <c r="BS27" s="102">
        <f t="shared" si="46"/>
        <v>-0.17625655249996647</v>
      </c>
      <c r="CD27" s="17" t="s">
        <v>1021</v>
      </c>
      <c r="CE27" s="439" cm="1">
        <f t="array" ref="CE27">1/AVERAGE(_xlfn._xlws.FILTER('ANL-DOE-MHDV Data'!$AX:$AX,('ANL-DOE-MHDV Data'!$A:$A=$CD27)*('ANL-DOE-MHDV Data'!$B:$B=CE$2)*('ANL-DOE-MHDV Data'!$E:$E="Medium 5")))</f>
        <v>0.47679248079523417</v>
      </c>
      <c r="CF27" s="439" cm="1">
        <f t="array" ref="CF27">1/AVERAGE(_xlfn._xlws.FILTER('ANL-DOE-MHDV Data'!$AX:$AX,('ANL-DOE-MHDV Data'!$A:$A=$CD27)*('ANL-DOE-MHDV Data'!$B:$B=CF$2)*('ANL-DOE-MHDV Data'!$E:$E="Medium 5")))</f>
        <v>0.52487837065129617</v>
      </c>
      <c r="CG27" s="439" cm="1">
        <f t="array" ref="CG27">1/AVERAGE(_xlfn._xlws.FILTER('ANL-DOE-MHDV Data'!$AX:$AX,('ANL-DOE-MHDV Data'!$A:$A=$CD27)*('ANL-DOE-MHDV Data'!$B:$B=CG$2)*('ANL-DOE-MHDV Data'!$E:$E="Medium 5")))</f>
        <v>0.56504688115949819</v>
      </c>
      <c r="CH27" s="439" cm="1">
        <f t="array" ref="CH27">1/AVERAGE(_xlfn._xlws.FILTER('ANL-DOE-MHDV Data'!$AX:$AX,('ANL-DOE-MHDV Data'!$A:$A=$CD27)*('ANL-DOE-MHDV Data'!$B:$B=CH$2)*('ANL-DOE-MHDV Data'!$E:$E="Medium 5")))</f>
        <v>0.60455742621523167</v>
      </c>
      <c r="CI27" s="439">
        <f t="shared" ref="CI27:CJ27" si="76">($CK27-$CH27)/3 + CH27</f>
        <v>0.63417980141699581</v>
      </c>
      <c r="CJ27" s="439">
        <f t="shared" si="76"/>
        <v>0.66380217661875995</v>
      </c>
      <c r="CK27" s="439" cm="1">
        <f t="array" ref="CK27">1/AVERAGE(_xlfn._xlws.FILTER('ANL-DOE-MHDV Data'!$AX:$AX,('ANL-DOE-MHDV Data'!$A:$A=$CD27)*('ANL-DOE-MHDV Data'!$B:$B=CK$2)*('ANL-DOE-MHDV Data'!$E:$E="Medium 5")))</f>
        <v>0.69342455182052398</v>
      </c>
      <c r="CL27" s="102">
        <f t="shared" si="11"/>
        <v>0.45435295175790696</v>
      </c>
      <c r="CN27" s="17" t="s">
        <v>1021</v>
      </c>
      <c r="CO27" s="88">
        <f t="shared" si="70"/>
        <v>12.963563009740129</v>
      </c>
      <c r="CP27" s="88">
        <f t="shared" si="70"/>
        <v>11.889547445454131</v>
      </c>
      <c r="CQ27" s="88">
        <f t="shared" si="70"/>
        <v>10.977814679185789</v>
      </c>
      <c r="CR27" s="88">
        <f t="shared" si="70"/>
        <v>10.287704190648439</v>
      </c>
      <c r="CS27" s="88">
        <f t="shared" si="70"/>
        <v>9.8008881254156641</v>
      </c>
      <c r="CT27" s="88">
        <f t="shared" si="70"/>
        <v>9.3580628599104898</v>
      </c>
      <c r="CU27" s="88">
        <f t="shared" si="70"/>
        <v>8.9535233621316017</v>
      </c>
      <c r="CV27" s="102">
        <f t="shared" si="12"/>
        <v>-0.30933159692251255</v>
      </c>
      <c r="DG27" s="17" t="s">
        <v>244</v>
      </c>
      <c r="DH27" s="73">
        <f>1/('GREET-AFLEET Summary'!P27*DSL_PJ_ML*10)</f>
        <v>7.7099574390573467E-2</v>
      </c>
      <c r="DI27" s="73">
        <f>1/('GREET-AFLEET Summary'!Q27*DSL_PJ_ML*10)</f>
        <v>8.2151943026879906E-2</v>
      </c>
      <c r="DJ27" s="73">
        <f>1/('GREET-AFLEET Summary'!R27*DSL_PJ_ML*10)</f>
        <v>8.6716248136364818E-2</v>
      </c>
      <c r="DK27" s="73">
        <f>1/('GREET-AFLEET Summary'!S27*DSL_PJ_ML*10)</f>
        <v>9.011311612191758E-2</v>
      </c>
      <c r="DL27" s="73">
        <f>1/('GREET-AFLEET Summary'!T27*DSL_PJ_ML*10)</f>
        <v>9.3243526434519761E-2</v>
      </c>
      <c r="DM27" s="73">
        <f>1/('GREET-AFLEET Summary'!U27*DSL_PJ_ML*10)</f>
        <v>9.6373936747121969E-2</v>
      </c>
      <c r="DN27" s="73">
        <f>1/('GREET-AFLEET Summary'!V27*DSL_PJ_ML*10)</f>
        <v>9.9504347059724191E-2</v>
      </c>
      <c r="DO27" s="102">
        <f t="shared" si="13"/>
        <v>0.2905952833883611</v>
      </c>
      <c r="DZ27" s="17" t="s">
        <v>1198</v>
      </c>
      <c r="EA27" s="88"/>
      <c r="EB27" s="267">
        <v>80.458472705153198</v>
      </c>
      <c r="EC27" s="88">
        <v>38.631044854298558</v>
      </c>
      <c r="ED27" s="88">
        <v>28.722038139282702</v>
      </c>
      <c r="EE27" s="88">
        <v>22.913243673965056</v>
      </c>
      <c r="EF27" s="88">
        <v>20.483536335332339</v>
      </c>
      <c r="EG27" s="88">
        <v>19.93985109295188</v>
      </c>
      <c r="EH27" s="102">
        <f t="shared" ref="EH27:EH28" si="77">(EG27-EB27)/EB27</f>
        <v>-0.75217214020426248</v>
      </c>
      <c r="EJ27" s="224" t="s">
        <v>627</v>
      </c>
      <c r="EK27" s="88">
        <f>L_100km_to_mpg/'Background Data'!BC25</f>
        <v>19.933484681476958</v>
      </c>
      <c r="EL27" s="88">
        <f>L_100km_to_mpg/'Background Data'!BD25</f>
        <v>16.801079945816294</v>
      </c>
      <c r="EM27" s="88">
        <f t="shared" ref="EM27:EP27" si="78">($EQ27-$EL27)/(6-1) + EL27</f>
        <v>16.025645486778618</v>
      </c>
      <c r="EN27" s="88">
        <f t="shared" si="78"/>
        <v>15.250211027740944</v>
      </c>
      <c r="EO27" s="88">
        <f t="shared" si="78"/>
        <v>14.47477656870327</v>
      </c>
      <c r="EP27" s="88">
        <f t="shared" si="78"/>
        <v>13.699342109665595</v>
      </c>
      <c r="EQ27" s="88">
        <f>L_100km_to_mpg/'Background Data'!BE25</f>
        <v>12.923907650627921</v>
      </c>
      <c r="ER27" s="102">
        <f t="shared" si="16"/>
        <v>-0.35164835164835151</v>
      </c>
    </row>
    <row r="28" spans="1:148" ht="15" thickBot="1" x14ac:dyDescent="0.4">
      <c r="A28" t="s">
        <v>1093</v>
      </c>
      <c r="B28" t="s">
        <v>1094</v>
      </c>
      <c r="C28" t="s">
        <v>469</v>
      </c>
      <c r="D28" t="s">
        <v>2261</v>
      </c>
      <c r="E28" t="s">
        <v>161</v>
      </c>
      <c r="F28">
        <v>2022</v>
      </c>
      <c r="G28" s="63" t="s">
        <v>282</v>
      </c>
      <c r="H28" s="71"/>
      <c r="I28" s="71"/>
      <c r="J28" s="71"/>
      <c r="K28" s="71"/>
      <c r="L28" s="71"/>
      <c r="M28" s="71"/>
      <c r="N28" s="71"/>
      <c r="O28" s="71">
        <f>1/('Background Data'!I$115*1.2)</f>
        <v>1.0867434255282986</v>
      </c>
      <c r="P28" s="71">
        <f>1/('Background Data'!J$115*1.2)</f>
        <v>1.0166618680226498</v>
      </c>
      <c r="Q28" s="71">
        <f>1/('Background Data'!K$115*1.2)</f>
        <v>1.2134113993691233</v>
      </c>
      <c r="R28" s="71">
        <f>1/('Background Data'!L$115*1.2)</f>
        <v>1.090002842727414</v>
      </c>
      <c r="S28" s="71">
        <f>1/('Background Data'!M$115*1.2)</f>
        <v>1.1875649598033011</v>
      </c>
      <c r="T28" s="71">
        <f>1/('Background Data'!N$115*1.2)</f>
        <v>1.0681898198946509</v>
      </c>
      <c r="U28" s="71">
        <f>1/('Background Data'!O$115*1.2)</f>
        <v>1.1365578844384314</v>
      </c>
      <c r="V28" s="71">
        <f>1/('Background Data'!P$115*1.2)</f>
        <v>0.91608916405764473</v>
      </c>
      <c r="W28" s="71">
        <f>1/('Background Data'!Q$115*1.2)</f>
        <v>1.0339431116228439</v>
      </c>
      <c r="X28" s="71">
        <f>1/('Background Data'!R$115*1.2)</f>
        <v>1.135605361692579</v>
      </c>
      <c r="Y28" s="71">
        <f>1/('Background Data'!S$115*1.2)</f>
        <v>1.6239819257307595</v>
      </c>
      <c r="Z28" s="71">
        <f>1/('Background Data'!T$115*1.2)</f>
        <v>1.9033566837131293</v>
      </c>
      <c r="AA28" s="71">
        <f>1/('Background Data'!U$115*1.2)</f>
        <v>1.8629467346269637</v>
      </c>
      <c r="AB28" s="71">
        <f>1/('Background Data'!V$115*1.2)</f>
        <v>1.909729383707411</v>
      </c>
      <c r="AC28" s="305"/>
      <c r="AE28" s="71"/>
      <c r="AF28" s="71"/>
      <c r="AG28" s="71"/>
      <c r="AH28" s="71"/>
      <c r="AI28" s="71"/>
      <c r="AJ28" s="415"/>
      <c r="AK28" s="66" t="s">
        <v>2243</v>
      </c>
      <c r="AL28">
        <v>2</v>
      </c>
      <c r="AM28">
        <v>1</v>
      </c>
      <c r="AN28">
        <v>1</v>
      </c>
      <c r="AO28">
        <v>1</v>
      </c>
      <c r="AP28">
        <v>2</v>
      </c>
      <c r="AT28" s="504"/>
      <c r="AU28" s="505"/>
      <c r="AV28" s="505"/>
      <c r="AW28" s="505"/>
      <c r="AX28" s="505"/>
      <c r="AY28" s="506"/>
      <c r="BA28" s="17" t="s">
        <v>990</v>
      </c>
      <c r="BB28" s="73" cm="1">
        <f t="array" ref="BB28">1/AVERAGE(_xlfn._xlws.FILTER('ANL-DOE-LDV Data'!$AX:$AX, ('ANL-DOE-LDV Data'!$A:$A=$BA28)*('ANL-DOE-LDV Data'!$B:$B=BB$2-5)*('ANL-DOE-LDV Data'!$D:$D="Midsize_B")))</f>
        <v>0.86187239488280465</v>
      </c>
      <c r="BC28" s="73" cm="1">
        <f t="array" ref="BC28">1/AVERAGE(_xlfn._xlws.FILTER('ANL-DOE-LDV Data'!$AX:$AX, ('ANL-DOE-LDV Data'!$A:$A=$BA28)*('ANL-DOE-LDV Data'!$B:$B=BC$2-5)*('ANL-DOE-LDV Data'!$D:$D="Midsize_B")))</f>
        <v>0.892679905573179</v>
      </c>
      <c r="BD28" s="73" cm="1">
        <f t="array" ref="BD28">1/AVERAGE(_xlfn._xlws.FILTER('ANL-DOE-LDV Data'!$AX:$AX, ('ANL-DOE-LDV Data'!$A:$A=$BA28)*('ANL-DOE-LDV Data'!$B:$B=BD$2-5)*('ANL-DOE-LDV Data'!$D:$D="Midsize_B")))</f>
        <v>0.9126040522621206</v>
      </c>
      <c r="BE28" s="73" cm="1">
        <f t="array" ref="BE28">1/AVERAGE(_xlfn._xlws.FILTER('ANL-DOE-LDV Data'!$AX:$AX, ('ANL-DOE-LDV Data'!$A:$A=$BA28)*('ANL-DOE-LDV Data'!$B:$B=BE$2-5)*('ANL-DOE-LDV Data'!$D:$D="Midsize_B")))</f>
        <v>0.97284826658219981</v>
      </c>
      <c r="BF28" s="73">
        <f t="shared" ref="BF28:BG28" si="79">($BH28-$BE28)/3 + BE28</f>
        <v>0.99594186611376134</v>
      </c>
      <c r="BG28" s="73">
        <f t="shared" si="79"/>
        <v>1.0190354656453229</v>
      </c>
      <c r="BH28" s="73" cm="1">
        <f t="array" ref="BH28">1/AVERAGE(_xlfn._xlws.FILTER('ANL-DOE-LDV Data'!$AX:$AX, ('ANL-DOE-LDV Data'!$A:$A=$BA28)*('ANL-DOE-LDV Data'!$B:$B=BH$2-5)*('ANL-DOE-LDV Data'!$D:$D="Midsize_B")))</f>
        <v>1.0421290651768844</v>
      </c>
      <c r="BI28" s="102">
        <f t="shared" si="44"/>
        <v>0.20914542728635674</v>
      </c>
      <c r="BK28" s="17" t="s">
        <v>990</v>
      </c>
      <c r="BL28" s="88">
        <f t="shared" si="45"/>
        <v>4.5743225966257066</v>
      </c>
      <c r="BM28" s="88">
        <f t="shared" si="45"/>
        <v>4.4204440151293651</v>
      </c>
      <c r="BN28" s="88">
        <f t="shared" si="45"/>
        <v>4.3485325566458011</v>
      </c>
      <c r="BO28" s="88">
        <f t="shared" si="45"/>
        <v>4.0499024505530823</v>
      </c>
      <c r="BP28" s="88">
        <f t="shared" si="45"/>
        <v>3.9515619919862011</v>
      </c>
      <c r="BQ28" s="88">
        <f t="shared" si="45"/>
        <v>3.8578841561263375</v>
      </c>
      <c r="BR28" s="88">
        <f t="shared" si="45"/>
        <v>3.768545018244764</v>
      </c>
      <c r="BS28" s="102">
        <f t="shared" si="46"/>
        <v>-0.17615232886620902</v>
      </c>
      <c r="CD28" s="17" t="s">
        <v>246</v>
      </c>
      <c r="CE28" s="439" cm="1">
        <f t="array" ref="CE28">1/AVERAGE(_xlfn._xlws.FILTER('ANL-DOE-MHDV Data'!$AX:$AX,('ANL-DOE-MHDV Data'!$A:$A=$CD28)*('ANL-DOE-MHDV Data'!$B:$B=CE$2)*('ANL-DOE-MHDV Data'!$E:$E="Medium 5")))</f>
        <v>0.6984982638888888</v>
      </c>
      <c r="CF28" s="439" cm="1">
        <f t="array" ref="CF28">1/AVERAGE(_xlfn._xlws.FILTER('ANL-DOE-MHDV Data'!$AX:$AX,('ANL-DOE-MHDV Data'!$A:$A=$CD28)*('ANL-DOE-MHDV Data'!$B:$B=CF$2)*('ANL-DOE-MHDV Data'!$E:$E="Medium 5")))</f>
        <v>0.75385984635563041</v>
      </c>
      <c r="CG28" s="439" cm="1">
        <f t="array" ref="CG28">1/AVERAGE(_xlfn._xlws.FILTER('ANL-DOE-MHDV Data'!$AX:$AX,('ANL-DOE-MHDV Data'!$A:$A=$CD28)*('ANL-DOE-MHDV Data'!$B:$B=CG$2)*('ANL-DOE-MHDV Data'!$E:$E="Medium 5")))</f>
        <v>0.80692940232651422</v>
      </c>
      <c r="CH28" s="439" cm="1">
        <f t="array" ref="CH28">1/AVERAGE(_xlfn._xlws.FILTER('ANL-DOE-MHDV Data'!$AX:$AX,('ANL-DOE-MHDV Data'!$A:$A=$CD28)*('ANL-DOE-MHDV Data'!$B:$B=CH$2)*('ANL-DOE-MHDV Data'!$E:$E="Medium 5")))</f>
        <v>0.85639633886760325</v>
      </c>
      <c r="CI28" s="439">
        <f t="shared" ref="CI28:CJ28" si="80">($CK28-$CH28)/3 + CH28</f>
        <v>0.89070119936587633</v>
      </c>
      <c r="CJ28" s="439">
        <f t="shared" si="80"/>
        <v>0.92500605986414941</v>
      </c>
      <c r="CK28" s="439" cm="1">
        <f t="array" ref="CK28">1/AVERAGE(_xlfn._xlws.FILTER('ANL-DOE-MHDV Data'!$AX:$AX,('ANL-DOE-MHDV Data'!$A:$A=$CD28)*('ANL-DOE-MHDV Data'!$B:$B=CK$2)*('ANL-DOE-MHDV Data'!$E:$E="Medium 5")))</f>
        <v>0.9593109203624226</v>
      </c>
      <c r="CL28" s="102">
        <f t="shared" si="11"/>
        <v>0.37339055793991449</v>
      </c>
      <c r="CN28" s="17" t="s">
        <v>246</v>
      </c>
      <c r="CO28" s="88">
        <f t="shared" si="70"/>
        <v>9.0290347189435849</v>
      </c>
      <c r="CP28" s="88">
        <f t="shared" si="70"/>
        <v>8.4205310953947556</v>
      </c>
      <c r="CQ28" s="88">
        <f t="shared" si="70"/>
        <v>7.8467991074772874</v>
      </c>
      <c r="CR28" s="88">
        <f t="shared" si="70"/>
        <v>7.417948934690493</v>
      </c>
      <c r="CS28" s="88">
        <f t="shared" si="70"/>
        <v>7.126231841753226</v>
      </c>
      <c r="CT28" s="88">
        <f t="shared" si="70"/>
        <v>6.8565906369301315</v>
      </c>
      <c r="CU28" s="88">
        <f t="shared" si="70"/>
        <v>6.6066107699587189</v>
      </c>
      <c r="CV28" s="102">
        <f t="shared" si="12"/>
        <v>-0.26829268292682945</v>
      </c>
      <c r="DG28" s="17" t="s">
        <v>641</v>
      </c>
      <c r="DH28" s="73">
        <f>1/('GREET-AFLEET Summary'!P28*DSL_PJ_ML*10)</f>
        <v>9.3290485012593863E-2</v>
      </c>
      <c r="DI28" s="73">
        <f>1/('GREET-AFLEET Summary'!Q28*DSL_PJ_ML*10)</f>
        <v>0.10313575297324398</v>
      </c>
      <c r="DJ28" s="73">
        <f>1/('GREET-AFLEET Summary'!R28*DSL_PJ_ML*10)</f>
        <v>0.10836587030679878</v>
      </c>
      <c r="DK28" s="73">
        <f>1/('GREET-AFLEET Summary'!S28*DSL_PJ_ML*10)</f>
        <v>0.10893898034903879</v>
      </c>
      <c r="DL28" s="73">
        <f>1/('GREET-AFLEET Summary'!T28*DSL_PJ_ML*10)</f>
        <v>0.11423395689670159</v>
      </c>
      <c r="DM28" s="73">
        <f>1/('GREET-AFLEET Summary'!U28*DSL_PJ_ML*10)</f>
        <v>0.11963036112318423</v>
      </c>
      <c r="DN28" s="73">
        <f>1/('GREET-AFLEET Summary'!V28*DSL_PJ_ML*10)</f>
        <v>0.12512819302848674</v>
      </c>
      <c r="DO28" s="102">
        <f t="shared" si="13"/>
        <v>0.34127497580910748</v>
      </c>
      <c r="DZ28" s="17" t="s">
        <v>627</v>
      </c>
      <c r="EA28" s="88"/>
      <c r="EB28" s="88">
        <v>33.10217052143237</v>
      </c>
      <c r="EC28" s="88">
        <v>33.086823167421947</v>
      </c>
      <c r="ED28" s="88">
        <v>33.085171009439094</v>
      </c>
      <c r="EE28" s="88">
        <v>33.082425534366116</v>
      </c>
      <c r="EF28" s="88">
        <v>33.078173274248549</v>
      </c>
      <c r="EG28" s="88">
        <v>33.072689752052057</v>
      </c>
      <c r="EH28" s="102">
        <f t="shared" si="77"/>
        <v>-8.9059928445556094E-4</v>
      </c>
      <c r="EJ28" s="224" t="s">
        <v>828</v>
      </c>
      <c r="EK28" s="88">
        <f>L_100km_to_mpg/'Background Data'!BC26</f>
        <v>25.566860787111757</v>
      </c>
      <c r="EL28" s="88">
        <f>L_100km_to_mpg/'Background Data'!BD26</f>
        <v>20.815497278002489</v>
      </c>
      <c r="EM28" s="88">
        <f t="shared" ref="EM28:EP28" si="81">($EQ28-$EL28)/(6-1) + EL28</f>
        <v>19.919274478532937</v>
      </c>
      <c r="EN28" s="88">
        <f t="shared" si="81"/>
        <v>19.023051679063386</v>
      </c>
      <c r="EO28" s="88">
        <f t="shared" si="81"/>
        <v>18.126828879593834</v>
      </c>
      <c r="EP28" s="88">
        <f t="shared" si="81"/>
        <v>17.230606080124282</v>
      </c>
      <c r="EQ28" s="88">
        <f>L_100km_to_mpg/'Background Data'!BE26</f>
        <v>16.33438328065473</v>
      </c>
      <c r="ER28" s="102">
        <f t="shared" si="16"/>
        <v>-0.36111111111111122</v>
      </c>
    </row>
    <row r="29" spans="1:148" ht="32.15" customHeight="1" x14ac:dyDescent="0.35">
      <c r="A29" t="s">
        <v>407</v>
      </c>
      <c r="B29" t="s">
        <v>10</v>
      </c>
      <c r="C29" t="s">
        <v>469</v>
      </c>
      <c r="D29" t="s">
        <v>2261</v>
      </c>
      <c r="E29" t="s">
        <v>161</v>
      </c>
      <c r="F29">
        <v>2022</v>
      </c>
      <c r="G29" s="63" t="s">
        <v>282</v>
      </c>
      <c r="H29" s="71"/>
      <c r="I29" s="71"/>
      <c r="J29" s="71"/>
      <c r="K29" s="71"/>
      <c r="L29" s="71"/>
      <c r="M29" s="71"/>
      <c r="N29" s="71"/>
      <c r="O29" s="71">
        <f>1/'Background Data'!I$115</f>
        <v>1.3040921106339582</v>
      </c>
      <c r="P29" s="71">
        <f>1/'Background Data'!J$115</f>
        <v>1.2199942416271796</v>
      </c>
      <c r="Q29" s="71">
        <f>1/'Background Data'!K$115</f>
        <v>1.4560936792429477</v>
      </c>
      <c r="R29" s="71">
        <f>1/'Background Data'!L$115</f>
        <v>1.3080034112728967</v>
      </c>
      <c r="S29" s="71">
        <f>1/'Background Data'!M$115</f>
        <v>1.4250779517639616</v>
      </c>
      <c r="T29" s="71">
        <f>1/'Background Data'!N$115</f>
        <v>1.281827783873581</v>
      </c>
      <c r="U29" s="71">
        <f>1/'Background Data'!O$115</f>
        <v>1.3638694613261175</v>
      </c>
      <c r="V29" s="71">
        <f>1/'Background Data'!P$115</f>
        <v>1.0993069968691735</v>
      </c>
      <c r="W29" s="71">
        <f>1/'Background Data'!Q$115</f>
        <v>1.2407317339474129</v>
      </c>
      <c r="X29" s="71">
        <f>1/'Background Data'!R$115</f>
        <v>1.3627264340310947</v>
      </c>
      <c r="Y29" s="71">
        <f>1/'Background Data'!S$115</f>
        <v>1.9487783108769112</v>
      </c>
      <c r="Z29" s="71">
        <f>1/'Background Data'!T$115</f>
        <v>2.284028020455755</v>
      </c>
      <c r="AA29" s="71">
        <f>1/'Background Data'!U$115</f>
        <v>2.2355360815523562</v>
      </c>
      <c r="AB29" s="71">
        <f>1/'Background Data'!V$115</f>
        <v>2.2916752604488932</v>
      </c>
      <c r="AC29" s="305"/>
      <c r="AE29" s="71"/>
      <c r="AF29" s="71"/>
      <c r="AG29" s="71"/>
      <c r="AH29" s="71"/>
      <c r="AI29" s="71"/>
      <c r="AJ29" s="415"/>
      <c r="AK29" s="66" t="s">
        <v>2244</v>
      </c>
      <c r="AL29">
        <v>2</v>
      </c>
      <c r="AM29">
        <v>1</v>
      </c>
      <c r="AN29">
        <v>1</v>
      </c>
      <c r="AO29">
        <v>1</v>
      </c>
      <c r="AP29">
        <v>1</v>
      </c>
      <c r="BA29" s="33" t="s">
        <v>2157</v>
      </c>
      <c r="BB29" s="73"/>
      <c r="BC29" s="73"/>
      <c r="BD29" s="73"/>
      <c r="BE29" s="73"/>
      <c r="BF29" s="73"/>
      <c r="BG29" s="73"/>
      <c r="BH29" s="73"/>
      <c r="BK29" s="438" t="s">
        <v>2173</v>
      </c>
      <c r="BL29" s="10"/>
      <c r="BM29" s="10"/>
      <c r="CD29" s="17" t="s">
        <v>627</v>
      </c>
      <c r="CE29" s="439" cm="1">
        <f t="array" ref="CE29">1/AVERAGE(_xlfn._xlws.FILTER('ANL-DOE-MHDV Data'!$AX:$AX,('ANL-DOE-MHDV Data'!$A:$A=$CD29)*('ANL-DOE-MHDV Data'!$B:$B=CE$2)*('ANL-DOE-MHDV Data'!$E:$E="Medium 5")))</f>
        <v>0.34871629355590011</v>
      </c>
      <c r="CF29" s="439" cm="1">
        <f t="array" ref="CF29">1/AVERAGE(_xlfn._xlws.FILTER('ANL-DOE-MHDV Data'!$AX:$AX,('ANL-DOE-MHDV Data'!$A:$A=$CD29)*('ANL-DOE-MHDV Data'!$B:$B=CF$2)*('ANL-DOE-MHDV Data'!$E:$E="Medium 5")))</f>
        <v>0.37014000879478259</v>
      </c>
      <c r="CG29" s="439" cm="1">
        <f t="array" ref="CG29">1/AVERAGE(_xlfn._xlws.FILTER('ANL-DOE-MHDV Data'!$AX:$AX,('ANL-DOE-MHDV Data'!$A:$A=$CD29)*('ANL-DOE-MHDV Data'!$B:$B=CG$2)*('ANL-DOE-MHDV Data'!$E:$E="Medium 5")))</f>
        <v>0.39419256696420635</v>
      </c>
      <c r="CH29" s="439" cm="1">
        <f t="array" ref="CH29">1/AVERAGE(_xlfn._xlws.FILTER('ANL-DOE-MHDV Data'!$AX:$AX,('ANL-DOE-MHDV Data'!$A:$A=$CD29)*('ANL-DOE-MHDV Data'!$B:$B=CH$2)*('ANL-DOE-MHDV Data'!$E:$E="Medium 5")))</f>
        <v>0.41275986038355555</v>
      </c>
      <c r="CI29" s="439">
        <f t="shared" ref="CI29:CJ29" si="82">($CK29-$CH29)/3 + CH29</f>
        <v>0.42707889254082526</v>
      </c>
      <c r="CJ29" s="439">
        <f t="shared" si="82"/>
        <v>0.44139792469809497</v>
      </c>
      <c r="CK29" s="439" cm="1">
        <f t="array" ref="CK29">1/AVERAGE(_xlfn._xlws.FILTER('ANL-DOE-MHDV Data'!$AX:$AX,('ANL-DOE-MHDV Data'!$A:$A=$CD29)*('ANL-DOE-MHDV Data'!$B:$B=CK$2)*('ANL-DOE-MHDV Data'!$E:$E="Medium 5")))</f>
        <v>0.45571695685536462</v>
      </c>
      <c r="CL29" s="102">
        <f t="shared" si="11"/>
        <v>0.30684159380213194</v>
      </c>
      <c r="CN29" s="17" t="s">
        <v>627</v>
      </c>
      <c r="CO29" s="88">
        <f t="shared" si="70"/>
        <v>17.491907879439292</v>
      </c>
      <c r="CP29" s="88">
        <f t="shared" si="70"/>
        <v>16.491432960403792</v>
      </c>
      <c r="CQ29" s="88">
        <f t="shared" si="70"/>
        <v>15.419215027451912</v>
      </c>
      <c r="CR29" s="88">
        <f t="shared" si="70"/>
        <v>14.6897595820531</v>
      </c>
      <c r="CS29" s="88">
        <f t="shared" si="70"/>
        <v>14.179834743666136</v>
      </c>
      <c r="CT29" s="88">
        <f t="shared" si="70"/>
        <v>13.704124213104446</v>
      </c>
      <c r="CU29" s="88">
        <f t="shared" si="70"/>
        <v>13.259296260386549</v>
      </c>
      <c r="CV29" s="102">
        <f t="shared" si="12"/>
        <v>-0.24197541218633614</v>
      </c>
      <c r="DG29" s="17" t="s">
        <v>246</v>
      </c>
      <c r="DH29" s="73">
        <f>1/('GREET-AFLEET Summary'!P29*DSL_PJ_ML*10)</f>
        <v>0.22975673168390889</v>
      </c>
      <c r="DI29" s="73">
        <f>1/('GREET-AFLEET Summary'!Q29*DSL_PJ_ML*10)</f>
        <v>0.25877246835203421</v>
      </c>
      <c r="DJ29" s="73">
        <f>1/('GREET-AFLEET Summary'!R29*DSL_PJ_ML*10)</f>
        <v>0.28571578676774323</v>
      </c>
      <c r="DK29" s="73">
        <f>1/('GREET-AFLEET Summary'!S29*DSL_PJ_ML*10)</f>
        <v>0.30663958431384059</v>
      </c>
      <c r="DL29" s="73">
        <f>1/('GREET-AFLEET Summary'!T29*DSL_PJ_ML*10)</f>
        <v>0.31902472537967047</v>
      </c>
      <c r="DM29" s="73">
        <f>1/('GREET-AFLEET Summary'!U29*DSL_PJ_ML*10)</f>
        <v>0.3315262209140698</v>
      </c>
      <c r="DN29" s="73">
        <f>1/('GREET-AFLEET Summary'!V29*DSL_PJ_ML*10)</f>
        <v>0.34414407091703858</v>
      </c>
      <c r="DO29" s="102">
        <f t="shared" si="13"/>
        <v>0.49786284125289398</v>
      </c>
      <c r="EA29" s="88"/>
      <c r="EB29" s="88"/>
      <c r="EC29" s="88"/>
      <c r="ED29" s="88"/>
      <c r="EE29" s="88"/>
      <c r="EF29" s="88"/>
      <c r="EG29" s="88"/>
      <c r="EH29" s="102"/>
      <c r="EJ29" s="224" t="s">
        <v>829</v>
      </c>
      <c r="EK29" s="88">
        <f>L_100km_to_mpg/'Background Data'!BC27</f>
        <v>29.401889905178518</v>
      </c>
      <c r="EL29" s="88">
        <f>L_100km_to_mpg/'Background Data'!BD27</f>
        <v>23.288625667468132</v>
      </c>
      <c r="EM29" s="88">
        <f t="shared" ref="EM29:EP29" si="83">($EQ29-$EL29)/(6-1) + EL29</f>
        <v>22.141573955488358</v>
      </c>
      <c r="EN29" s="88">
        <f t="shared" si="83"/>
        <v>20.994522243508584</v>
      </c>
      <c r="EO29" s="88">
        <f t="shared" si="83"/>
        <v>19.84747053152881</v>
      </c>
      <c r="EP29" s="88">
        <f t="shared" si="83"/>
        <v>18.700418819549036</v>
      </c>
      <c r="EQ29" s="88">
        <f>L_100km_to_mpg/'Background Data'!BE27</f>
        <v>17.553367107569265</v>
      </c>
      <c r="ER29" s="102">
        <f t="shared" si="16"/>
        <v>-0.40298507462686561</v>
      </c>
    </row>
    <row r="30" spans="1:148" ht="15.5" x14ac:dyDescent="0.35">
      <c r="A30" t="s">
        <v>288</v>
      </c>
      <c r="B30" t="s">
        <v>13</v>
      </c>
      <c r="C30" t="s">
        <v>471</v>
      </c>
      <c r="D30" t="s">
        <v>2261</v>
      </c>
      <c r="E30" t="s">
        <v>161</v>
      </c>
      <c r="F30">
        <v>2022</v>
      </c>
      <c r="G30" s="63" t="s">
        <v>282</v>
      </c>
      <c r="H30" s="71">
        <f>1/'Background Data'!B132</f>
        <v>0.51154270537544422</v>
      </c>
      <c r="I30" s="71">
        <f>1/'Background Data'!C132</f>
        <v>0.55863081820980043</v>
      </c>
      <c r="J30" s="71">
        <f>1/'Background Data'!D132</f>
        <v>0.51312944305956509</v>
      </c>
      <c r="K30" s="71">
        <f>1/'Background Data'!E132</f>
        <v>0.48164081539863479</v>
      </c>
      <c r="L30" s="71">
        <f>1/'Background Data'!F132</f>
        <v>0.49545641692855669</v>
      </c>
      <c r="M30" s="71">
        <f>1/'Background Data'!G132</f>
        <v>0.50647887780487999</v>
      </c>
      <c r="N30" s="71">
        <f>1/'Background Data'!H132</f>
        <v>0.54457540272712468</v>
      </c>
      <c r="O30" s="71">
        <f>1/'Background Data'!I132</f>
        <v>0.59379637178540912</v>
      </c>
      <c r="P30" s="71">
        <f>1/'Background Data'!J132</f>
        <v>0.64526286718683457</v>
      </c>
      <c r="Q30" s="71">
        <f>1/'Background Data'!K132</f>
        <v>0.64887200091361175</v>
      </c>
      <c r="R30" s="71">
        <f>1/'Background Data'!L132</f>
        <v>0.68775223313150091</v>
      </c>
      <c r="S30" s="71">
        <f>1/'Background Data'!M132</f>
        <v>0.7201368259969394</v>
      </c>
      <c r="T30" s="71">
        <f>1/'Background Data'!N132</f>
        <v>0.65338679779704112</v>
      </c>
      <c r="U30" s="71">
        <f>1/'Background Data'!O132</f>
        <v>0.63241306691878862</v>
      </c>
      <c r="V30" s="71">
        <f>1/'Background Data'!P132</f>
        <v>0.68417001624903795</v>
      </c>
      <c r="W30" s="71">
        <f>1/'Background Data'!Q132</f>
        <v>0.70692360983472124</v>
      </c>
      <c r="X30" s="71">
        <f>1/'Background Data'!R132</f>
        <v>0.75964752354907317</v>
      </c>
      <c r="Y30" s="71">
        <f>1/'Background Data'!S132</f>
        <v>0.76377098174358216</v>
      </c>
      <c r="Z30" s="71">
        <f>1/'Background Data'!T132</f>
        <v>0.7357447613133633</v>
      </c>
      <c r="AA30" s="71">
        <f>1/'Background Data'!U132</f>
        <v>0.7485466965885732</v>
      </c>
      <c r="AB30" s="71">
        <f>1/'Background Data'!V132</f>
        <v>0.46373671626176266</v>
      </c>
      <c r="AC30" s="305"/>
      <c r="AE30" s="71"/>
      <c r="AF30" s="71"/>
      <c r="AG30" s="71"/>
      <c r="AH30" s="71"/>
      <c r="AI30" s="71"/>
      <c r="AJ30" s="415"/>
      <c r="AK30" s="66" t="s">
        <v>2247</v>
      </c>
      <c r="AL30">
        <v>2</v>
      </c>
      <c r="AM30">
        <v>1</v>
      </c>
      <c r="AN30">
        <v>1</v>
      </c>
      <c r="AO30">
        <v>2</v>
      </c>
      <c r="AP30">
        <v>1</v>
      </c>
      <c r="AT30" s="470" t="s">
        <v>1081</v>
      </c>
      <c r="AU30" s="470"/>
      <c r="AV30" s="470"/>
      <c r="AW30" s="470"/>
      <c r="AX30" s="470"/>
      <c r="AY30" s="470"/>
      <c r="BA30" s="17" t="s">
        <v>985</v>
      </c>
      <c r="BB30" s="73" cm="1">
        <f t="array" ref="BB30">1/AVERAGE(_xlfn._xlws.FILTER('ANL-DOE-LDV Data'!$AX:$AX, ('ANL-DOE-LDV Data'!$A:$A=$BA30)*('ANL-DOE-LDV Data'!$B:$B=BB$2-5)*('ANL-DOE-LDV Data'!$D:$D="Small_SUV_B")))</f>
        <v>0.31104401535200793</v>
      </c>
      <c r="BC30" s="73" cm="1">
        <f t="array" ref="BC30">1/AVERAGE(_xlfn._xlws.FILTER('ANL-DOE-LDV Data'!$AX:$AX, ('ANL-DOE-LDV Data'!$A:$A=$BA30)*('ANL-DOE-LDV Data'!$B:$B=BC$2-5)*('ANL-DOE-LDV Data'!$D:$D="Small_SUV_B")))</f>
        <v>0.30739631241991577</v>
      </c>
      <c r="BD30" s="73" cm="1">
        <f t="array" ref="BD30">1/AVERAGE(_xlfn._xlws.FILTER('ANL-DOE-LDV Data'!$AX:$AX, ('ANL-DOE-LDV Data'!$A:$A=$BA30)*('ANL-DOE-LDV Data'!$B:$B=BD$2-5)*('ANL-DOE-LDV Data'!$D:$D="Small_SUV_B")))</f>
        <v>0.35522213393272695</v>
      </c>
      <c r="BE30" s="73" cm="1">
        <f t="array" ref="BE30">1/AVERAGE(_xlfn._xlws.FILTER('ANL-DOE-LDV Data'!$AX:$AX, ('ANL-DOE-LDV Data'!$A:$A=$BA30)*('ANL-DOE-LDV Data'!$B:$B=BE$2-5)*('ANL-DOE-LDV Data'!$D:$D="Small_SUV_B")))</f>
        <v>0.38713900481323665</v>
      </c>
      <c r="BF30" s="73">
        <f t="shared" ref="BF30:BG30" si="84">($BH30-$BE30)/3 + BE30</f>
        <v>0.40727217614554473</v>
      </c>
      <c r="BG30" s="73">
        <f t="shared" si="84"/>
        <v>0.4274053474778528</v>
      </c>
      <c r="BH30" s="73" cm="1">
        <f t="array" ref="BH30">1/AVERAGE(_xlfn._xlws.FILTER('ANL-DOE-LDV Data'!$AX:$AX, ('ANL-DOE-LDV Data'!$A:$A=$BA30)*('ANL-DOE-LDV Data'!$B:$B=BH$2-5)*('ANL-DOE-LDV Data'!$D:$D="Small_SUV_B")))</f>
        <v>0.44753851881016082</v>
      </c>
      <c r="BI30" s="102">
        <f t="shared" ref="BI30:BI41" si="85">(BH30-BB30)/BB30</f>
        <v>0.43882697213666794</v>
      </c>
      <c r="BK30" s="470" t="s">
        <v>2171</v>
      </c>
      <c r="BL30" s="470"/>
      <c r="BM30" s="470"/>
      <c r="BN30" s="470"/>
      <c r="BO30" s="470"/>
      <c r="BP30" s="470"/>
      <c r="BQ30" s="470"/>
      <c r="BR30" s="470"/>
      <c r="BU30" s="318" t="s">
        <v>2201</v>
      </c>
      <c r="BV30" s="318"/>
      <c r="BW30" s="318"/>
      <c r="BX30" s="318"/>
      <c r="BY30" s="318"/>
      <c r="BZ30" s="318"/>
      <c r="CA30" s="318"/>
      <c r="CB30" s="318"/>
      <c r="CD30" s="17" t="s">
        <v>1065</v>
      </c>
      <c r="CE30" s="439" cm="1">
        <f t="array" ref="CE30">1/AVERAGE(_xlfn._xlws.FILTER('ANL-DOE-MHDV Data'!$AX:$AX,('ANL-DOE-MHDV Data'!$A:$A=$CD30)*('ANL-DOE-MHDV Data'!$B:$B=CE$2)*('ANL-DOE-MHDV Data'!$E:$E="Medium 5")))</f>
        <v>0.37062718448401927</v>
      </c>
      <c r="CF30" s="439" cm="1">
        <f t="array" ref="CF30">1/AVERAGE(_xlfn._xlws.FILTER('ANL-DOE-MHDV Data'!$AX:$AX,('ANL-DOE-MHDV Data'!$A:$A=$CD30)*('ANL-DOE-MHDV Data'!$B:$B=CF$2)*('ANL-DOE-MHDV Data'!$E:$E="Medium 5")))</f>
        <v>0.39846013006802056</v>
      </c>
      <c r="CG30" s="439" cm="1">
        <f t="array" ref="CG30">1/AVERAGE(_xlfn._xlws.FILTER('ANL-DOE-MHDV Data'!$AX:$AX,('ANL-DOE-MHDV Data'!$A:$A=$CD30)*('ANL-DOE-MHDV Data'!$B:$B=CG$2)*('ANL-DOE-MHDV Data'!$E:$E="Medium 5")))</f>
        <v>0.42767108824046735</v>
      </c>
      <c r="CH30" s="439" cm="1">
        <f t="array" ref="CH30">1/AVERAGE(_xlfn._xlws.FILTER('ANL-DOE-MHDV Data'!$AX:$AX,('ANL-DOE-MHDV Data'!$A:$A=$CD30)*('ANL-DOE-MHDV Data'!$B:$B=CH$2)*('ANL-DOE-MHDV Data'!$E:$E="Medium 5")))</f>
        <v>0.45231850134728219</v>
      </c>
      <c r="CI30" s="439">
        <f t="shared" ref="CI30:CJ30" si="86">($CK30-$CH30)/3 + CH30</f>
        <v>0.4713432976566696</v>
      </c>
      <c r="CJ30" s="439">
        <f t="shared" si="86"/>
        <v>0.49036809396605702</v>
      </c>
      <c r="CK30" s="439" cm="1">
        <f t="array" ref="CK30">1/AVERAGE(_xlfn._xlws.FILTER('ANL-DOE-MHDV Data'!$AX:$AX,('ANL-DOE-MHDV Data'!$A:$A=$CD30)*('ANL-DOE-MHDV Data'!$B:$B=CK$2)*('ANL-DOE-MHDV Data'!$E:$E="Medium 5")))</f>
        <v>0.50939289027544443</v>
      </c>
      <c r="CL30" s="102">
        <f t="shared" si="11"/>
        <v>0.37440779198269647</v>
      </c>
      <c r="CN30" s="17" t="s">
        <v>1065</v>
      </c>
      <c r="CO30" s="88">
        <f t="shared" si="70"/>
        <v>17.510694420800498</v>
      </c>
      <c r="CP30" s="88">
        <f t="shared" si="70"/>
        <v>16.365188930462001</v>
      </c>
      <c r="CQ30" s="88">
        <f t="shared" si="70"/>
        <v>15.23267485657729</v>
      </c>
      <c r="CR30" s="88">
        <f t="shared" si="70"/>
        <v>14.41852952125028</v>
      </c>
      <c r="CS30" s="88">
        <f t="shared" si="70"/>
        <v>13.825959299038123</v>
      </c>
      <c r="CT30" s="88">
        <f t="shared" si="70"/>
        <v>13.280173053250541</v>
      </c>
      <c r="CU30" s="88">
        <f t="shared" si="70"/>
        <v>12.775840731784369</v>
      </c>
      <c r="CV30" s="102">
        <f t="shared" si="12"/>
        <v>-0.27039782519371247</v>
      </c>
      <c r="DG30" s="17" t="s">
        <v>627</v>
      </c>
      <c r="DH30" s="73">
        <f>1/('GREET-AFLEET Summary'!P30*DSL_PJ_ML*10)</f>
        <v>0.12952728497616339</v>
      </c>
      <c r="DI30" s="73">
        <f>1/('GREET-AFLEET Summary'!Q30*DSL_PJ_ML*10)</f>
        <v>0.14364454943433641</v>
      </c>
      <c r="DJ30" s="73">
        <f>1/('GREET-AFLEET Summary'!R30*DSL_PJ_ML*10)</f>
        <v>0.1577005066030116</v>
      </c>
      <c r="DK30" s="73">
        <f>1/('GREET-AFLEET Summary'!S30*DSL_PJ_ML*10)</f>
        <v>0.16909118282837324</v>
      </c>
      <c r="DL30" s="73">
        <f>1/('GREET-AFLEET Summary'!T30*DSL_PJ_ML*10)</f>
        <v>0.17671366420049303</v>
      </c>
      <c r="DM30" s="73">
        <f>1/('GREET-AFLEET Summary'!U30*DSL_PJ_ML*10)</f>
        <v>0.18445354680297271</v>
      </c>
      <c r="DN30" s="73">
        <f>1/('GREET-AFLEET Summary'!V30*DSL_PJ_ML*10)</f>
        <v>0.19231083063581225</v>
      </c>
      <c r="DO30" s="102">
        <f t="shared" si="13"/>
        <v>0.48471289791338379</v>
      </c>
      <c r="EA30" s="88"/>
      <c r="EB30" s="88"/>
      <c r="EC30" s="88"/>
      <c r="ED30" s="88"/>
      <c r="EE30" s="88"/>
      <c r="EF30" s="88"/>
      <c r="EG30" s="88"/>
      <c r="EH30" s="102"/>
      <c r="EJ30" s="224" t="s">
        <v>240</v>
      </c>
      <c r="EK30" s="88">
        <f>L_100km_to_mpg/'Background Data'!BC28</f>
        <v>35.638654430519416</v>
      </c>
      <c r="EL30" s="88">
        <f>L_100km_to_mpg/'Background Data'!BD28</f>
        <v>29.774065726763055</v>
      </c>
      <c r="EM30" s="88">
        <f t="shared" ref="EM30:EP30" si="87">($EQ30-$EL30)/(6-1) + EL30</f>
        <v>28.431313743007074</v>
      </c>
      <c r="EN30" s="88">
        <f t="shared" si="87"/>
        <v>27.088561759251093</v>
      </c>
      <c r="EO30" s="88">
        <f t="shared" si="87"/>
        <v>25.745809775495111</v>
      </c>
      <c r="EP30" s="88">
        <f t="shared" si="87"/>
        <v>24.40305779173913</v>
      </c>
      <c r="EQ30" s="88">
        <f>L_100km_to_mpg/'Background Data'!BE28</f>
        <v>23.060305807983152</v>
      </c>
      <c r="ER30" s="102">
        <f t="shared" si="16"/>
        <v>-0.3529411764705882</v>
      </c>
    </row>
    <row r="31" spans="1:148" ht="15" thickBot="1" x14ac:dyDescent="0.4">
      <c r="A31" t="s">
        <v>289</v>
      </c>
      <c r="B31" t="s">
        <v>13</v>
      </c>
      <c r="C31" t="s">
        <v>470</v>
      </c>
      <c r="D31" t="s">
        <v>2261</v>
      </c>
      <c r="E31" t="s">
        <v>161</v>
      </c>
      <c r="F31">
        <v>2022</v>
      </c>
      <c r="G31" s="63" t="s">
        <v>283</v>
      </c>
      <c r="H31" s="71">
        <f>1/'Background Data'!B133</f>
        <v>0.28736020285331437</v>
      </c>
      <c r="I31" s="71">
        <f>1/'Background Data'!C133</f>
        <v>0.31693691877730806</v>
      </c>
      <c r="J31" s="71">
        <f>1/'Background Data'!D133</f>
        <v>0.29382330524186656</v>
      </c>
      <c r="K31" s="71">
        <f>1/'Background Data'!E133</f>
        <v>0.27272784297639896</v>
      </c>
      <c r="L31" s="71">
        <f>1/'Background Data'!F133</f>
        <v>0.2778960379806073</v>
      </c>
      <c r="M31" s="71">
        <f>1/'Background Data'!G133</f>
        <v>0.2838640597726873</v>
      </c>
      <c r="N31" s="71">
        <f>1/'Background Data'!H133</f>
        <v>0.30899168905053959</v>
      </c>
      <c r="O31" s="71">
        <f>1/'Background Data'!I133</f>
        <v>0.33828526581610474</v>
      </c>
      <c r="P31" s="71">
        <f>1/'Background Data'!J133</f>
        <v>0.3663753860222661</v>
      </c>
      <c r="Q31" s="71">
        <f>1/'Background Data'!K133</f>
        <v>0.36578411494692659</v>
      </c>
      <c r="R31" s="71">
        <f>1/'Background Data'!L133</f>
        <v>0.39420067731560376</v>
      </c>
      <c r="S31" s="71">
        <f>1/'Background Data'!M133</f>
        <v>0.40562471682324452</v>
      </c>
      <c r="T31" s="71">
        <f>1/'Background Data'!N133</f>
        <v>0.3728371715677356</v>
      </c>
      <c r="U31" s="71">
        <f>1/'Background Data'!O133</f>
        <v>0.3595462957203564</v>
      </c>
      <c r="V31" s="71">
        <f>1/'Background Data'!P133</f>
        <v>0.38031490073781093</v>
      </c>
      <c r="W31" s="71">
        <f>1/'Background Data'!Q133</f>
        <v>0.40857868142670772</v>
      </c>
      <c r="X31" s="71">
        <f>1/'Background Data'!R133</f>
        <v>0.42658840191452874</v>
      </c>
      <c r="Y31" s="71">
        <f>1/'Background Data'!S133</f>
        <v>0.43723855866932565</v>
      </c>
      <c r="Z31" s="71">
        <f>1/'Background Data'!T133</f>
        <v>0.4215553029970896</v>
      </c>
      <c r="AA31" s="71">
        <f>1/'Background Data'!U133</f>
        <v>0.42512108511306734</v>
      </c>
      <c r="AB31" s="71">
        <f>1/'Background Data'!V133</f>
        <v>0.26079481915444058</v>
      </c>
      <c r="AC31" s="305"/>
      <c r="AE31" s="71"/>
      <c r="AF31" s="71"/>
      <c r="AG31" s="71"/>
      <c r="AH31" s="71"/>
      <c r="AI31" s="71"/>
      <c r="AJ31" s="415"/>
      <c r="AK31" s="66" t="s">
        <v>2247</v>
      </c>
      <c r="AL31">
        <v>2</v>
      </c>
      <c r="AM31">
        <v>1</v>
      </c>
      <c r="AN31">
        <v>1</v>
      </c>
      <c r="AO31">
        <v>2</v>
      </c>
      <c r="AP31">
        <v>1</v>
      </c>
      <c r="AT31" s="105" t="s">
        <v>245</v>
      </c>
      <c r="AU31" s="100" t="s">
        <v>571</v>
      </c>
      <c r="AV31" s="100" t="s">
        <v>572</v>
      </c>
      <c r="AW31" s="105">
        <v>2018</v>
      </c>
      <c r="AX31" s="105">
        <v>2020</v>
      </c>
      <c r="AY31" s="105">
        <v>2023</v>
      </c>
      <c r="BA31" s="17" t="s">
        <v>982</v>
      </c>
      <c r="BB31" s="73" cm="1">
        <f t="array" ref="BB31">1/AVERAGE(_xlfn._xlws.FILTER('ANL-DOE-LDV Data'!$AX:$AX, ('ANL-DOE-LDV Data'!$A:$A=$BA31)*('ANL-DOE-LDV Data'!$B:$B=BB$2-5)*('ANL-DOE-LDV Data'!$D:$D="Small_SUV_B")))</f>
        <v>0.38233589180843353</v>
      </c>
      <c r="BC31" s="73" cm="1">
        <f t="array" ref="BC31">1/AVERAGE(_xlfn._xlws.FILTER('ANL-DOE-LDV Data'!$AX:$AX, ('ANL-DOE-LDV Data'!$A:$A=$BA31)*('ANL-DOE-LDV Data'!$B:$B=BC$2-5)*('ANL-DOE-LDV Data'!$D:$D="Small_SUV_B")))</f>
        <v>0.37213254172998844</v>
      </c>
      <c r="BD31" s="73" cm="1">
        <f t="array" ref="BD31">1/AVERAGE(_xlfn._xlws.FILTER('ANL-DOE-LDV Data'!$AX:$AX, ('ANL-DOE-LDV Data'!$A:$A=$BA31)*('ANL-DOE-LDV Data'!$B:$B=BD$2-5)*('ANL-DOE-LDV Data'!$D:$D="Small_SUV_B")))</f>
        <v>0.42460581926652557</v>
      </c>
      <c r="BE31" s="73" cm="1">
        <f t="array" ref="BE31">1/AVERAGE(_xlfn._xlws.FILTER('ANL-DOE-LDV Data'!$AX:$AX, ('ANL-DOE-LDV Data'!$A:$A=$BA31)*('ANL-DOE-LDV Data'!$B:$B=BE$2-5)*('ANL-DOE-LDV Data'!$D:$D="Small_SUV_B")))</f>
        <v>0.46042588696980685</v>
      </c>
      <c r="BF31" s="73">
        <f t="shared" ref="BF31:BG31" si="88">($BH31-$BE31)/3 + BE31</f>
        <v>0.48518258206134313</v>
      </c>
      <c r="BG31" s="73">
        <f t="shared" si="88"/>
        <v>0.50993927715287946</v>
      </c>
      <c r="BH31" s="73" cm="1">
        <f t="array" ref="BH31">1/AVERAGE(_xlfn._xlws.FILTER('ANL-DOE-LDV Data'!$AX:$AX, ('ANL-DOE-LDV Data'!$A:$A=$BA31)*('ANL-DOE-LDV Data'!$B:$B=BH$2-5)*('ANL-DOE-LDV Data'!$D:$D="Small_SUV_B")))</f>
        <v>0.53469597224441567</v>
      </c>
      <c r="BI31" s="102">
        <f t="shared" si="85"/>
        <v>0.39849797965690598</v>
      </c>
      <c r="BK31" s="105" t="s">
        <v>245</v>
      </c>
      <c r="BL31" s="105">
        <v>2020</v>
      </c>
      <c r="BM31" s="105">
        <v>2025</v>
      </c>
      <c r="BN31" s="105">
        <v>2030</v>
      </c>
      <c r="BO31" s="105">
        <v>2035</v>
      </c>
      <c r="BP31" s="100" t="s">
        <v>1049</v>
      </c>
      <c r="BQ31" s="100" t="s">
        <v>1050</v>
      </c>
      <c r="BR31" s="105">
        <v>2050</v>
      </c>
      <c r="BS31" s="33" t="s">
        <v>1055</v>
      </c>
      <c r="BU31" s="105" t="s">
        <v>245</v>
      </c>
      <c r="BV31" s="100" t="s">
        <v>2174</v>
      </c>
      <c r="BW31" s="105">
        <v>2025</v>
      </c>
      <c r="BX31" s="105">
        <v>2030</v>
      </c>
      <c r="BY31" s="105">
        <v>2035</v>
      </c>
      <c r="BZ31" s="105">
        <v>2040</v>
      </c>
      <c r="CA31" s="105">
        <v>2045</v>
      </c>
      <c r="CB31" s="105">
        <v>2050</v>
      </c>
      <c r="CD31" s="33" t="s">
        <v>1590</v>
      </c>
      <c r="CN31" s="92" t="s">
        <v>2164</v>
      </c>
      <c r="EA31" s="88"/>
      <c r="EB31" s="88"/>
      <c r="EC31" s="88"/>
      <c r="ED31" s="88"/>
      <c r="EE31" s="88"/>
      <c r="EF31" s="88"/>
      <c r="EG31" s="88"/>
      <c r="EH31" s="102"/>
      <c r="EK31" s="88"/>
      <c r="EL31" s="88"/>
      <c r="EM31" s="88"/>
      <c r="EN31" s="88"/>
      <c r="EO31" s="88"/>
      <c r="EP31" s="88"/>
      <c r="EQ31" s="88"/>
    </row>
    <row r="32" spans="1:148" ht="31.5" customHeight="1" thickTop="1" x14ac:dyDescent="0.35">
      <c r="A32" t="s">
        <v>400</v>
      </c>
      <c r="B32" t="s">
        <v>10</v>
      </c>
      <c r="C32" t="s">
        <v>474</v>
      </c>
      <c r="D32" t="s">
        <v>2261</v>
      </c>
      <c r="E32" t="s">
        <v>161</v>
      </c>
      <c r="F32">
        <v>2022</v>
      </c>
      <c r="G32" s="63" t="s">
        <v>282</v>
      </c>
      <c r="H32" s="71">
        <f>1/'Background Data'!B134</f>
        <v>0.52070261528095552</v>
      </c>
      <c r="I32" s="71">
        <f>1/'Background Data'!C134</f>
        <v>0.52457750527724967</v>
      </c>
      <c r="J32" s="71">
        <f>1/'Background Data'!D134</f>
        <v>0.58039450575345075</v>
      </c>
      <c r="K32" s="71">
        <f>1/'Background Data'!E134</f>
        <v>0.54976198055052061</v>
      </c>
      <c r="L32" s="71">
        <f>1/'Background Data'!F134</f>
        <v>0.55889557762696296</v>
      </c>
      <c r="M32" s="71">
        <f>1/'Background Data'!G134</f>
        <v>0.55416337401261939</v>
      </c>
      <c r="N32" s="71">
        <f>1/'Background Data'!H134</f>
        <v>0.53754250617367572</v>
      </c>
      <c r="O32" s="71">
        <f>1/'Background Data'!I134</f>
        <v>0.51813525195362897</v>
      </c>
      <c r="P32" s="71">
        <f>1/'Background Data'!J134</f>
        <v>0.49939972153471529</v>
      </c>
      <c r="Q32" s="71">
        <f>1/'Background Data'!K134</f>
        <v>0.47204056527801774</v>
      </c>
      <c r="R32" s="71">
        <f>1/'Background Data'!L134</f>
        <v>0.56794495931810252</v>
      </c>
      <c r="S32" s="71">
        <f>1/'Background Data'!M134</f>
        <v>0.50826541213209209</v>
      </c>
      <c r="T32" s="71">
        <f>1/'Background Data'!N134</f>
        <v>0.57751491865413618</v>
      </c>
      <c r="U32" s="71">
        <f>1/'Background Data'!O134</f>
        <v>0.65032275518339755</v>
      </c>
      <c r="V32" s="71">
        <f>1/'Background Data'!P134</f>
        <v>0.66918324177791277</v>
      </c>
      <c r="W32" s="71">
        <f>1/'Background Data'!Q134</f>
        <v>0.67478523273005275</v>
      </c>
      <c r="X32" s="71">
        <f>1/'Background Data'!R134</f>
        <v>0.6966980691709711</v>
      </c>
      <c r="Y32" s="71">
        <f>1/'Background Data'!S134</f>
        <v>0.66881355818845156</v>
      </c>
      <c r="Z32" s="71">
        <f>1/'Background Data'!T134</f>
        <v>0.6848339414658734</v>
      </c>
      <c r="AA32" s="71">
        <f>1/'Background Data'!U134</f>
        <v>0.75551411980338501</v>
      </c>
      <c r="AB32" s="71">
        <f>1/'Background Data'!V134</f>
        <v>0.21528525296017226</v>
      </c>
      <c r="AC32" s="305"/>
      <c r="AE32" s="71"/>
      <c r="AF32" s="71"/>
      <c r="AG32" s="71"/>
      <c r="AH32" s="71"/>
      <c r="AI32" s="71"/>
      <c r="AJ32" s="415"/>
      <c r="AK32" s="66" t="s">
        <v>2247</v>
      </c>
      <c r="AL32">
        <v>2</v>
      </c>
      <c r="AM32">
        <v>1</v>
      </c>
      <c r="AN32">
        <v>1</v>
      </c>
      <c r="AO32">
        <v>2</v>
      </c>
      <c r="AP32">
        <v>1</v>
      </c>
      <c r="AT32" s="33" t="s">
        <v>32</v>
      </c>
      <c r="AX32" s="88"/>
      <c r="BA32" s="17" t="s">
        <v>984</v>
      </c>
      <c r="BB32" s="73" cm="1">
        <f t="array" ref="BB32">1/AVERAGE(_xlfn._xlws.FILTER('ANL-DOE-LDV Data'!$AX:$AX, ('ANL-DOE-LDV Data'!$A:$A=$BA32)*('ANL-DOE-LDV Data'!$B:$B=BB$2-5)*('ANL-DOE-LDV Data'!$D:$D="Small_SUV_B")))</f>
        <v>0.31110480785869937</v>
      </c>
      <c r="BC32" s="73" cm="1">
        <f t="array" ref="BC32">1/AVERAGE(_xlfn._xlws.FILTER('ANL-DOE-LDV Data'!$AX:$AX, ('ANL-DOE-LDV Data'!$A:$A=$BA32)*('ANL-DOE-LDV Data'!$B:$B=BC$2-5)*('ANL-DOE-LDV Data'!$D:$D="Small_SUV_B")))</f>
        <v>0.33424193428373561</v>
      </c>
      <c r="BD32" s="73" cm="1">
        <f t="array" ref="BD32">1/AVERAGE(_xlfn._xlws.FILTER('ANL-DOE-LDV Data'!$AX:$AX, ('ANL-DOE-LDV Data'!$A:$A=$BA32)*('ANL-DOE-LDV Data'!$B:$B=BD$2-5)*('ANL-DOE-LDV Data'!$D:$D="Small_SUV_B")))</f>
        <v>0.37398791978240969</v>
      </c>
      <c r="BE32" s="73" cm="1">
        <f t="array" ref="BE32">1/AVERAGE(_xlfn._xlws.FILTER('ANL-DOE-LDV Data'!$AX:$AX, ('ANL-DOE-LDV Data'!$A:$A=$BA32)*('ANL-DOE-LDV Data'!$B:$B=BE$2-5)*('ANL-DOE-LDV Data'!$D:$D="Small_SUV_B")))</f>
        <v>0.40086963438679235</v>
      </c>
      <c r="BF32" s="73">
        <f t="shared" ref="BF32:BG32" si="89">($BH32-$BE32)/3 + BE32</f>
        <v>0.42160517143644671</v>
      </c>
      <c r="BG32" s="73">
        <f t="shared" si="89"/>
        <v>0.44234070848610108</v>
      </c>
      <c r="BH32" s="73" cm="1">
        <f t="array" ref="BH32">1/AVERAGE(_xlfn._xlws.FILTER('ANL-DOE-LDV Data'!$AX:$AX, ('ANL-DOE-LDV Data'!$A:$A=$BA32)*('ANL-DOE-LDV Data'!$B:$B=BH$2-5)*('ANL-DOE-LDV Data'!$D:$D="Small_SUV_B")))</f>
        <v>0.46307624553575538</v>
      </c>
      <c r="BI32" s="102">
        <f t="shared" si="85"/>
        <v>0.48848951812432256</v>
      </c>
      <c r="BK32" s="33" t="s">
        <v>32</v>
      </c>
      <c r="BU32" s="33" t="s">
        <v>32</v>
      </c>
      <c r="CD32" s="17" t="s">
        <v>1017</v>
      </c>
      <c r="CE32" s="439" cm="1">
        <f t="array" ref="CE32">1/AVERAGE(_xlfn._xlws.FILTER('ANL-DOE-MHDV Data'!$AX:$AX,('ANL-DOE-MHDV Data'!$A:$A=$CD32)*('ANL-DOE-MHDV Data'!$B:$B=CE$2)*(RIGHT('ANL-DOE-MHDV Data'!$E:$E, 1)="7")*('ANL-DOE-MHDV Data'!$D:$D&lt;&gt;"School")))</f>
        <v>7.3467252263632862E-2</v>
      </c>
      <c r="CF32" s="439" cm="1">
        <f t="array" ref="CF32">1/AVERAGE(_xlfn._xlws.FILTER('ANL-DOE-MHDV Data'!$AX:$AX,('ANL-DOE-MHDV Data'!$A:$A=$CD32)*('ANL-DOE-MHDV Data'!$B:$B=CF$2)*(RIGHT('ANL-DOE-MHDV Data'!$E:$E, 1)="7")*('ANL-DOE-MHDV Data'!$D:$D&lt;&gt;"School")))</f>
        <v>7.8530199895342018E-2</v>
      </c>
      <c r="CG32" s="439" cm="1">
        <f t="array" ref="CG32">1/AVERAGE(_xlfn._xlws.FILTER('ANL-DOE-MHDV Data'!$AX:$AX,('ANL-DOE-MHDV Data'!$A:$A=$CD32)*('ANL-DOE-MHDV Data'!$B:$B=CG$2)*(RIGHT('ANL-DOE-MHDV Data'!$E:$E, 1)="7")*('ANL-DOE-MHDV Data'!$D:$D&lt;&gt;"School")))</f>
        <v>8.3633653182276113E-2</v>
      </c>
      <c r="CH32" s="439" cm="1">
        <f t="array" ref="CH32">1/AVERAGE(_xlfn._xlws.FILTER('ANL-DOE-MHDV Data'!$AX:$AX,('ANL-DOE-MHDV Data'!$A:$A=$CD32)*('ANL-DOE-MHDV Data'!$B:$B=CH$2)*(RIGHT('ANL-DOE-MHDV Data'!$E:$E, 1)="7")*('ANL-DOE-MHDV Data'!$D:$D&lt;&gt;"School")))</f>
        <v>8.7801855183492303E-2</v>
      </c>
      <c r="CI32" s="439">
        <f t="shared" ref="CI32:CJ32" si="90">($CK32-$CH32)/3 + CH32</f>
        <v>9.1043035233388594E-2</v>
      </c>
      <c r="CJ32" s="439">
        <f t="shared" si="90"/>
        <v>9.4284215283284886E-2</v>
      </c>
      <c r="CK32" s="439" cm="1">
        <f t="array" ref="CK32">1/AVERAGE(_xlfn._xlws.FILTER('ANL-DOE-MHDV Data'!$AX:$AX,('ANL-DOE-MHDV Data'!$A:$A=$CD32)*('ANL-DOE-MHDV Data'!$B:$B=CK$2)*(RIGHT('ANL-DOE-MHDV Data'!$E:$E, 1)="7")*('ANL-DOE-MHDV Data'!$D:$D&lt;&gt;"School")))</f>
        <v>9.7525395333181164E-2</v>
      </c>
      <c r="CL32" s="102">
        <f t="shared" si="11"/>
        <v>0.32746757675402216</v>
      </c>
      <c r="CN32" s="470" t="s">
        <v>2177</v>
      </c>
      <c r="CO32" s="470"/>
      <c r="CP32" s="470"/>
      <c r="CQ32" s="470"/>
      <c r="CR32" s="470"/>
      <c r="CS32" s="470"/>
      <c r="CT32" s="470"/>
      <c r="CU32" s="470"/>
      <c r="CX32" s="470" t="s">
        <v>2226</v>
      </c>
      <c r="CY32" s="470"/>
      <c r="CZ32" s="470"/>
      <c r="DA32" s="470"/>
      <c r="DB32" s="470"/>
      <c r="DC32" s="470"/>
      <c r="DD32" s="470"/>
      <c r="DE32" s="470"/>
      <c r="DG32" s="494" t="s">
        <v>1119</v>
      </c>
      <c r="DH32" s="494"/>
      <c r="DI32" s="189"/>
      <c r="DJ32" s="494" t="s">
        <v>1313</v>
      </c>
      <c r="DK32" s="494"/>
      <c r="DL32" s="189"/>
      <c r="DM32" s="494" t="s">
        <v>1314</v>
      </c>
      <c r="DN32" s="494"/>
      <c r="DO32" s="494"/>
      <c r="DZ32" s="470" t="s">
        <v>1202</v>
      </c>
      <c r="EA32" s="470"/>
      <c r="EB32" s="470"/>
      <c r="EC32" s="470"/>
      <c r="ED32" s="470"/>
      <c r="EE32" s="470"/>
      <c r="EF32" s="470"/>
      <c r="EG32" s="470"/>
      <c r="EH32" s="102"/>
      <c r="EJ32" s="470" t="s">
        <v>1226</v>
      </c>
      <c r="EK32" s="470"/>
      <c r="EL32" s="470"/>
      <c r="EM32" s="470"/>
      <c r="EN32" s="470"/>
      <c r="EO32" s="470"/>
      <c r="EP32" s="470"/>
      <c r="EQ32" s="470"/>
    </row>
    <row r="33" spans="1:148" ht="15" thickBot="1" x14ac:dyDescent="0.4">
      <c r="A33" t="s">
        <v>290</v>
      </c>
      <c r="B33" t="s">
        <v>10</v>
      </c>
      <c r="C33" t="s">
        <v>475</v>
      </c>
      <c r="D33" t="s">
        <v>2261</v>
      </c>
      <c r="E33" t="s">
        <v>161</v>
      </c>
      <c r="F33">
        <v>2022</v>
      </c>
      <c r="G33" s="63" t="s">
        <v>283</v>
      </c>
      <c r="H33" s="71">
        <f>1/'Background Data'!B135</f>
        <v>3.9568857726215159</v>
      </c>
      <c r="I33" s="71">
        <f>1/'Background Data'!C135</f>
        <v>4.0030423121572394</v>
      </c>
      <c r="J33" s="71">
        <f>1/'Background Data'!D135</f>
        <v>4.3251659782444154</v>
      </c>
      <c r="K33" s="71">
        <f>1/'Background Data'!E135</f>
        <v>4.2804187961750175</v>
      </c>
      <c r="L33" s="71">
        <f>1/'Background Data'!F135</f>
        <v>4.424445948756067</v>
      </c>
      <c r="M33" s="71">
        <f>1/'Background Data'!G135</f>
        <v>4.3152739120115653</v>
      </c>
      <c r="N33" s="71">
        <f>1/'Background Data'!H135</f>
        <v>4.1203810528397664</v>
      </c>
      <c r="O33" s="71">
        <f>1/'Background Data'!I135</f>
        <v>3.9140628363647747</v>
      </c>
      <c r="P33" s="71">
        <f>1/'Background Data'!J135</f>
        <v>3.521287946279231</v>
      </c>
      <c r="Q33" s="71">
        <f>1/'Background Data'!K135</f>
        <v>3.6448993278805641</v>
      </c>
      <c r="R33" s="71">
        <f>1/'Background Data'!L135</f>
        <v>4.206240378225135</v>
      </c>
      <c r="S33" s="71">
        <f>1/'Background Data'!M135</f>
        <v>3.8489221093632726</v>
      </c>
      <c r="T33" s="71">
        <f>1/'Background Data'!N135</f>
        <v>3.9438552762867816</v>
      </c>
      <c r="U33" s="71">
        <f>1/'Background Data'!O135</f>
        <v>4.2516464500877964</v>
      </c>
      <c r="V33" s="71">
        <f>1/'Background Data'!P135</f>
        <v>4.457996754578363</v>
      </c>
      <c r="W33" s="71">
        <f>1/'Background Data'!Q135</f>
        <v>4.6445739764520102</v>
      </c>
      <c r="X33" s="71">
        <f>1/'Background Data'!R135</f>
        <v>4.8700903401758104</v>
      </c>
      <c r="Y33" s="71">
        <f>1/'Background Data'!S135</f>
        <v>4.5522829699094096</v>
      </c>
      <c r="Z33" s="71">
        <f>1/'Background Data'!T135</f>
        <v>4.7110922667420443</v>
      </c>
      <c r="AA33" s="71">
        <f>1/'Background Data'!U135</f>
        <v>4.7092730295224321</v>
      </c>
      <c r="AB33" s="71">
        <f>1/'Background Data'!V135</f>
        <v>4.6453291215682633</v>
      </c>
      <c r="AC33" s="305"/>
      <c r="AE33" s="71"/>
      <c r="AF33" s="71"/>
      <c r="AG33" s="71"/>
      <c r="AH33" s="71"/>
      <c r="AI33" s="71"/>
      <c r="AJ33" s="415"/>
      <c r="AK33" s="66" t="s">
        <v>2247</v>
      </c>
      <c r="AL33">
        <v>2</v>
      </c>
      <c r="AM33">
        <v>1</v>
      </c>
      <c r="AN33">
        <v>1</v>
      </c>
      <c r="AO33">
        <v>2</v>
      </c>
      <c r="AP33">
        <v>1</v>
      </c>
      <c r="AT33" s="17" t="s">
        <v>110</v>
      </c>
      <c r="AU33" s="88">
        <f>1/(AU4*GSL_PJ_ML*10)</f>
        <v>0.26867771677234464</v>
      </c>
      <c r="AV33" s="88">
        <f>1/(AV4*GSL_PJ_ML*10)</f>
        <v>0.29685433532467453</v>
      </c>
      <c r="AW33" s="88">
        <f>1/(AW4*GSL_PJ_ML*10)</f>
        <v>0.31869664675355813</v>
      </c>
      <c r="AX33" s="88">
        <f>1/(AX4*GSL_PJ_ML*10)</f>
        <v>0.31865418152609742</v>
      </c>
      <c r="AY33" s="88">
        <f>1/(AY4*GSL_PJ_ML*10)</f>
        <v>0.31604202324994979</v>
      </c>
      <c r="BA33" s="17" t="s">
        <v>991</v>
      </c>
      <c r="BB33" s="73" cm="1">
        <f t="array" ref="BB33">1/AVERAGE(_xlfn._xlws.FILTER('ANL-DOE-LDV Data'!$AX:$AX, ('ANL-DOE-LDV Data'!$A:$A=$BA33)*('ANL-DOE-LDV Data'!$B:$B=BB$2-5)*('ANL-DOE-LDV Data'!$D:$D="Small_SUV_B")))</f>
        <v>0.50819374292334052</v>
      </c>
      <c r="BC33" s="73" cm="1">
        <f t="array" ref="BC33">1/AVERAGE(_xlfn._xlws.FILTER('ANL-DOE-LDV Data'!$AX:$AX, ('ANL-DOE-LDV Data'!$A:$A=$BA33)*('ANL-DOE-LDV Data'!$B:$B=BC$2-5)*('ANL-DOE-LDV Data'!$D:$D="Small_SUV_B")))</f>
        <v>0.52393807342991583</v>
      </c>
      <c r="BD33" s="73" cm="1">
        <f t="array" ref="BD33">1/AVERAGE(_xlfn._xlws.FILTER('ANL-DOE-LDV Data'!$AX:$AX, ('ANL-DOE-LDV Data'!$A:$A=$BA33)*('ANL-DOE-LDV Data'!$B:$B=BD$2-5)*('ANL-DOE-LDV Data'!$D:$D="Small_SUV_B")))</f>
        <v>0.536609535322501</v>
      </c>
      <c r="BE33" s="73" cm="1">
        <f t="array" ref="BE33">1/AVERAGE(_xlfn._xlws.FILTER('ANL-DOE-LDV Data'!$AX:$AX, ('ANL-DOE-LDV Data'!$A:$A=$BA33)*('ANL-DOE-LDV Data'!$B:$B=BE$2-5)*('ANL-DOE-LDV Data'!$D:$D="Small_SUV_B")))</f>
        <v>0.57138501415032661</v>
      </c>
      <c r="BF33" s="73">
        <f t="shared" ref="BF33:BG33" si="91">($BH33-$BE33)/3 + BE33</f>
        <v>0.59655742678801782</v>
      </c>
      <c r="BG33" s="73">
        <f t="shared" si="91"/>
        <v>0.62172983942570903</v>
      </c>
      <c r="BH33" s="73" cm="1">
        <f t="array" ref="BH33">1/AVERAGE(_xlfn._xlws.FILTER('ANL-DOE-LDV Data'!$AX:$AX, ('ANL-DOE-LDV Data'!$A:$A=$BA33)*('ANL-DOE-LDV Data'!$B:$B=BH$2-5)*('ANL-DOE-LDV Data'!$D:$D="Small_SUV_B")))</f>
        <v>0.64690225206340035</v>
      </c>
      <c r="BI33" s="102">
        <f t="shared" si="85"/>
        <v>0.27294414988691346</v>
      </c>
      <c r="BK33" s="17" t="s">
        <v>985</v>
      </c>
      <c r="BL33" s="88">
        <f t="shared" ref="BL33:BL44" si="92">BB4*$AW$62+BB17*$AW$63</f>
        <v>0.36009104760838728</v>
      </c>
      <c r="BM33" s="88">
        <f t="shared" ref="BM33:BM44" si="93">BC4*$AW$62+BC17*$AW$63</f>
        <v>0.35463033247886483</v>
      </c>
      <c r="BN33" s="88">
        <f t="shared" ref="BN33:BN44" si="94">BD4*$AW$62+BD17*$AW$63</f>
        <v>0.4123469149392659</v>
      </c>
      <c r="BO33" s="88">
        <f t="shared" ref="BO33:BO44" si="95">BE4*$AW$62+BE17*$AW$63</f>
        <v>0.45058491365059827</v>
      </c>
      <c r="BP33" s="88">
        <f t="shared" ref="BP33:BP44" si="96">BF4*$AW$62+BF17*$AW$63</f>
        <v>0.47389282134871635</v>
      </c>
      <c r="BQ33" s="88">
        <f t="shared" ref="BQ33:BQ44" si="97">BG4*$AW$62+BG17*$AW$63</f>
        <v>0.49720072904683443</v>
      </c>
      <c r="BR33" s="88">
        <f t="shared" ref="BR33:BR44" si="98">BH4*$AW$62+BH17*$AW$63</f>
        <v>0.52050863674495251</v>
      </c>
      <c r="BS33" s="102">
        <f t="shared" ref="BS33:BS44" si="99">(BR33-BL33)/BL33</f>
        <v>0.44549174494064475</v>
      </c>
      <c r="BU33" s="17" t="s">
        <v>985</v>
      </c>
      <c r="BV33" s="73">
        <f>1+(BW33-1)/5</f>
        <v>0.99696703643937234</v>
      </c>
      <c r="BW33" s="73">
        <f>BM33/BL33</f>
        <v>0.9848351821968615</v>
      </c>
      <c r="BX33" s="73">
        <f>BN33/BL33</f>
        <v>1.1451184851107681</v>
      </c>
      <c r="BY33" s="73">
        <f>BO33/BL33</f>
        <v>1.2513082917313361</v>
      </c>
      <c r="BZ33" s="73">
        <f>BP33/BL33</f>
        <v>1.3160361094677722</v>
      </c>
      <c r="CA33" s="73">
        <f>BQ33/BL33</f>
        <v>1.3807639272042085</v>
      </c>
      <c r="CB33" s="73">
        <f>BR33/BL33</f>
        <v>1.4454917449406448</v>
      </c>
      <c r="CD33" s="17" t="s">
        <v>1020</v>
      </c>
      <c r="CE33" s="439" cm="1">
        <f t="array" ref="CE33">1/AVERAGE(_xlfn._xlws.FILTER('ANL-DOE-MHDV Data'!$AX:$AX,('ANL-DOE-MHDV Data'!$A:$A=$CD33)*('ANL-DOE-MHDV Data'!$B:$B=CE$2)*(RIGHT('ANL-DOE-MHDV Data'!$E:$E, 1)="7")*('ANL-DOE-MHDV Data'!$D:$D&lt;&gt;"School")))</f>
        <v>8.8792692340707302E-2</v>
      </c>
      <c r="CF33" s="439" cm="1">
        <f t="array" ref="CF33">1/AVERAGE(_xlfn._xlws.FILTER('ANL-DOE-MHDV Data'!$AX:$AX,('ANL-DOE-MHDV Data'!$A:$A=$CD33)*('ANL-DOE-MHDV Data'!$B:$B=CF$2)*(RIGHT('ANL-DOE-MHDV Data'!$E:$E, 1)="7")*('ANL-DOE-MHDV Data'!$D:$D&lt;&gt;"School")))</f>
        <v>9.6758231595523117E-2</v>
      </c>
      <c r="CG33" s="439" cm="1">
        <f t="array" ref="CG33">1/AVERAGE(_xlfn._xlws.FILTER('ANL-DOE-MHDV Data'!$AX:$AX,('ANL-DOE-MHDV Data'!$A:$A=$CD33)*('ANL-DOE-MHDV Data'!$B:$B=CG$2)*(RIGHT('ANL-DOE-MHDV Data'!$E:$E, 1)="7")*('ANL-DOE-MHDV Data'!$D:$D&lt;&gt;"School")))</f>
        <v>0.10328734417462355</v>
      </c>
      <c r="CH33" s="439" cm="1">
        <f t="array" ref="CH33">1/AVERAGE(_xlfn._xlws.FILTER('ANL-DOE-MHDV Data'!$AX:$AX,('ANL-DOE-MHDV Data'!$A:$A=$CD33)*('ANL-DOE-MHDV Data'!$B:$B=CH$2)*(RIGHT('ANL-DOE-MHDV Data'!$E:$E, 1)="7")*('ANL-DOE-MHDV Data'!$D:$D&lt;&gt;"School")))</f>
        <v>0.10916110843306708</v>
      </c>
      <c r="CI33" s="439">
        <f t="shared" ref="CI33:CJ33" si="100">($CK33-$CH33)/3 + CH33</f>
        <v>0.11280543623991164</v>
      </c>
      <c r="CJ33" s="439">
        <f t="shared" si="100"/>
        <v>0.11644976404675621</v>
      </c>
      <c r="CK33" s="439" cm="1">
        <f t="array" ref="CK33">1/AVERAGE(_xlfn._xlws.FILTER('ANL-DOE-MHDV Data'!$AX:$AX,('ANL-DOE-MHDV Data'!$A:$A=$CD33)*('ANL-DOE-MHDV Data'!$B:$B=CK$2)*(RIGHT('ANL-DOE-MHDV Data'!$E:$E, 1)="7")*('ANL-DOE-MHDV Data'!$D:$D&lt;&gt;"School")))</f>
        <v>0.12009409185360079</v>
      </c>
      <c r="CL33" s="102">
        <f t="shared" si="11"/>
        <v>0.35252224803350463</v>
      </c>
      <c r="CN33" s="105" t="s">
        <v>245</v>
      </c>
      <c r="CO33" s="105">
        <v>2021</v>
      </c>
      <c r="CP33" s="105">
        <v>2025</v>
      </c>
      <c r="CQ33" s="105">
        <v>2030</v>
      </c>
      <c r="CR33" s="105">
        <v>2035</v>
      </c>
      <c r="CS33" s="100" t="s">
        <v>1049</v>
      </c>
      <c r="CT33" s="100" t="s">
        <v>1050</v>
      </c>
      <c r="CU33" s="105">
        <v>2050</v>
      </c>
      <c r="CV33" s="33" t="s">
        <v>1055</v>
      </c>
      <c r="CX33" s="105" t="s">
        <v>245</v>
      </c>
      <c r="CY33" s="100">
        <v>2021</v>
      </c>
      <c r="CZ33" s="105">
        <v>2025</v>
      </c>
      <c r="DA33" s="105">
        <v>2030</v>
      </c>
      <c r="DB33" s="105">
        <v>2035</v>
      </c>
      <c r="DC33" s="105">
        <v>2040</v>
      </c>
      <c r="DD33" s="105">
        <v>2045</v>
      </c>
      <c r="DE33" s="105">
        <v>2050</v>
      </c>
      <c r="DG33" s="121" t="s">
        <v>638</v>
      </c>
      <c r="DH33" s="121">
        <v>2021</v>
      </c>
      <c r="DJ33" s="121" t="s">
        <v>638</v>
      </c>
      <c r="DK33" s="121">
        <v>2019</v>
      </c>
      <c r="DM33" s="121" t="s">
        <v>638</v>
      </c>
      <c r="DN33" s="121">
        <v>2015</v>
      </c>
      <c r="DO33" s="121">
        <v>2030</v>
      </c>
      <c r="DZ33" s="105" t="s">
        <v>245</v>
      </c>
      <c r="EA33" s="105">
        <v>2022</v>
      </c>
      <c r="EB33" s="105">
        <v>2025</v>
      </c>
      <c r="EC33" s="105">
        <v>2030</v>
      </c>
      <c r="ED33" s="105">
        <v>2035</v>
      </c>
      <c r="EE33" s="105">
        <v>2040</v>
      </c>
      <c r="EF33" s="105">
        <v>2045</v>
      </c>
      <c r="EG33" s="105">
        <v>2050</v>
      </c>
      <c r="EH33" s="33" t="s">
        <v>1200</v>
      </c>
      <c r="EJ33" s="105" t="s">
        <v>245</v>
      </c>
      <c r="EK33" s="105">
        <v>2018</v>
      </c>
      <c r="EL33" s="105">
        <v>2025</v>
      </c>
      <c r="EM33" s="100" t="s">
        <v>1227</v>
      </c>
      <c r="EN33" s="100" t="s">
        <v>1228</v>
      </c>
      <c r="EO33" s="100" t="s">
        <v>1049</v>
      </c>
      <c r="EP33" s="100" t="s">
        <v>1050</v>
      </c>
      <c r="EQ33" s="105">
        <v>2050</v>
      </c>
      <c r="ER33" s="33" t="s">
        <v>1223</v>
      </c>
    </row>
    <row r="34" spans="1:148" ht="15" thickTop="1" x14ac:dyDescent="0.35">
      <c r="A34" t="s">
        <v>1170</v>
      </c>
      <c r="B34" t="s">
        <v>1094</v>
      </c>
      <c r="C34" t="s">
        <v>451</v>
      </c>
      <c r="D34" t="s">
        <v>2261</v>
      </c>
      <c r="E34" t="s">
        <v>851</v>
      </c>
      <c r="F34">
        <v>2022</v>
      </c>
      <c r="G34" s="63" t="s">
        <v>282</v>
      </c>
      <c r="H34" s="71"/>
      <c r="I34" s="71"/>
      <c r="J34" s="71"/>
      <c r="K34" s="71"/>
      <c r="L34" s="71"/>
      <c r="M34" s="71"/>
      <c r="N34" s="71"/>
      <c r="O34" s="71"/>
      <c r="P34" s="71"/>
      <c r="Q34" s="71"/>
      <c r="R34" s="71"/>
      <c r="S34" s="71"/>
      <c r="T34" s="71"/>
      <c r="U34" s="71"/>
      <c r="V34" s="71"/>
      <c r="W34" s="71"/>
      <c r="X34" s="71"/>
      <c r="Y34" s="71"/>
      <c r="Z34" s="71"/>
      <c r="AA34" s="71"/>
      <c r="AB34" s="71"/>
      <c r="AC34" s="305">
        <f t="shared" ref="AC34:AI35" si="101">$AB3*BV33</f>
        <v>0.50385270010636962</v>
      </c>
      <c r="AD34" s="71">
        <f t="shared" si="101"/>
        <v>0.49772143669046254</v>
      </c>
      <c r="AE34" s="71">
        <f t="shared" si="101"/>
        <v>0.57872629643343565</v>
      </c>
      <c r="AF34" s="71">
        <f t="shared" si="101"/>
        <v>0.63239308664210081</v>
      </c>
      <c r="AG34" s="71">
        <f t="shared" si="101"/>
        <v>0.66510558820581678</v>
      </c>
      <c r="AH34" s="71">
        <f t="shared" si="101"/>
        <v>0.69781808976953297</v>
      </c>
      <c r="AI34" s="71">
        <f t="shared" si="101"/>
        <v>0.73053059133324905</v>
      </c>
      <c r="AJ34" s="417">
        <f>AC34/AB3</f>
        <v>0.99696703643937246</v>
      </c>
      <c r="AK34" s="66" t="s">
        <v>2227</v>
      </c>
      <c r="AL34">
        <v>3</v>
      </c>
      <c r="AM34">
        <v>1</v>
      </c>
      <c r="AN34">
        <v>1</v>
      </c>
      <c r="AO34">
        <v>3</v>
      </c>
      <c r="AP34">
        <v>1</v>
      </c>
      <c r="AT34" s="17" t="s">
        <v>109</v>
      </c>
      <c r="AU34" s="88">
        <f t="shared" ref="AU34:AW36" si="102">1/(AU5*GSL_PJ_ML*10)</f>
        <v>0.38639831040120187</v>
      </c>
      <c r="AV34" s="88">
        <f t="shared" si="102"/>
        <v>0.38385622328290131</v>
      </c>
      <c r="AW34" s="88">
        <f t="shared" si="102"/>
        <v>0.44433535506921357</v>
      </c>
      <c r="AX34" s="88"/>
      <c r="AY34" s="88"/>
      <c r="BA34" s="17" t="s">
        <v>992</v>
      </c>
      <c r="BB34" s="73" cm="1">
        <f t="array" ref="BB34">1/AVERAGE(_xlfn._xlws.FILTER('ANL-DOE-LDV Data'!$AX:$AX, ('ANL-DOE-LDV Data'!$A:$A=$BA34)*('ANL-DOE-LDV Data'!$B:$B=BB$2-5)*('ANL-DOE-LDV Data'!$D:$D="Small_SUV_B")))</f>
        <v>0.69428414886841183</v>
      </c>
      <c r="BC34" s="73" cm="1">
        <f t="array" ref="BC34">1/AVERAGE(_xlfn._xlws.FILTER('ANL-DOE-LDV Data'!$AX:$AX, ('ANL-DOE-LDV Data'!$A:$A=$BA34)*('ANL-DOE-LDV Data'!$B:$B=BC$2-5)*('ANL-DOE-LDV Data'!$D:$D="Small_SUV_B")))</f>
        <v>0.72912933838974692</v>
      </c>
      <c r="BD34" s="73" cm="1">
        <f t="array" ref="BD34">1/AVERAGE(_xlfn._xlws.FILTER('ANL-DOE-LDV Data'!$AX:$AX, ('ANL-DOE-LDV Data'!$A:$A=$BA34)*('ANL-DOE-LDV Data'!$B:$B=BD$2-5)*('ANL-DOE-LDV Data'!$D:$D="Small_SUV_B")))</f>
        <v>0.74784985869625975</v>
      </c>
      <c r="BE34" s="73" cm="1">
        <f t="array" ref="BE34">1/AVERAGE(_xlfn._xlws.FILTER('ANL-DOE-LDV Data'!$AX:$AX, ('ANL-DOE-LDV Data'!$A:$A=$BA34)*('ANL-DOE-LDV Data'!$B:$B=BE$2-5)*('ANL-DOE-LDV Data'!$D:$D="Small_SUV_B")))</f>
        <v>0.81547935801881832</v>
      </c>
      <c r="BF34" s="73">
        <f t="shared" ref="BF34:BG34" si="103">($BH34-$BE34)/3 + BE34</f>
        <v>0.85381449240333851</v>
      </c>
      <c r="BG34" s="73">
        <f t="shared" si="103"/>
        <v>0.8921496267878587</v>
      </c>
      <c r="BH34" s="73" cm="1">
        <f t="array" ref="BH34">1/AVERAGE(_xlfn._xlws.FILTER('ANL-DOE-LDV Data'!$AX:$AX, ('ANL-DOE-LDV Data'!$A:$A=$BA34)*('ANL-DOE-LDV Data'!$B:$B=BH$2-5)*('ANL-DOE-LDV Data'!$D:$D="Small_SUV_B")))</f>
        <v>0.93048476117237877</v>
      </c>
      <c r="BI34" s="102">
        <f t="shared" si="85"/>
        <v>0.34020741030735274</v>
      </c>
      <c r="BK34" s="17" t="s">
        <v>982</v>
      </c>
      <c r="BL34" s="88">
        <f t="shared" si="92"/>
        <v>0.4456646078440567</v>
      </c>
      <c r="BM34" s="88">
        <f t="shared" si="93"/>
        <v>0.43162240646664429</v>
      </c>
      <c r="BN34" s="88">
        <f t="shared" si="94"/>
        <v>0.49700321773655898</v>
      </c>
      <c r="BO34" s="88">
        <f t="shared" si="95"/>
        <v>0.52114275002012167</v>
      </c>
      <c r="BP34" s="88">
        <f t="shared" si="96"/>
        <v>0.54972553287489889</v>
      </c>
      <c r="BQ34" s="88">
        <f t="shared" si="97"/>
        <v>0.57830831572967623</v>
      </c>
      <c r="BR34" s="88">
        <f t="shared" si="98"/>
        <v>0.60689109858445334</v>
      </c>
      <c r="BS34" s="102">
        <f t="shared" si="99"/>
        <v>0.36176642233347744</v>
      </c>
      <c r="BU34" s="17" t="s">
        <v>982</v>
      </c>
      <c r="BV34" s="73">
        <f t="shared" ref="BV34:BV52" si="104">1+(BW34-1)/5</f>
        <v>0.99369830983647423</v>
      </c>
      <c r="BW34" s="73">
        <f>BM34/BL34</f>
        <v>0.9684915491823709</v>
      </c>
      <c r="BX34" s="73">
        <f>BN34/BL34</f>
        <v>1.1151956179353293</v>
      </c>
      <c r="BY34" s="73">
        <f>BO34/BL34</f>
        <v>1.1693608620644063</v>
      </c>
      <c r="BZ34" s="73">
        <f>BP34/BL34</f>
        <v>1.2334960488207634</v>
      </c>
      <c r="CA34" s="73">
        <f>BQ34/BL34</f>
        <v>1.2976312355771207</v>
      </c>
      <c r="CB34" s="73">
        <f>BR34/BL34</f>
        <v>1.3617664223334776</v>
      </c>
      <c r="CD34" s="17" t="s">
        <v>1021</v>
      </c>
      <c r="CE34" s="439" cm="1">
        <f t="array" ref="CE34">1/AVERAGE(_xlfn._xlws.FILTER('ANL-DOE-MHDV Data'!$AX:$AX,('ANL-DOE-MHDV Data'!$A:$A=$CD34)*('ANL-DOE-MHDV Data'!$B:$B=CE$2)*(RIGHT('ANL-DOE-MHDV Data'!$E:$E, 1)="7")*('ANL-DOE-MHDV Data'!$D:$D&lt;&gt;"School")))</f>
        <v>0.20417207630460385</v>
      </c>
      <c r="CF34" s="439" cm="1">
        <f t="array" ref="CF34">1/AVERAGE(_xlfn._xlws.FILTER('ANL-DOE-MHDV Data'!$AX:$AX,('ANL-DOE-MHDV Data'!$A:$A=$CD34)*('ANL-DOE-MHDV Data'!$B:$B=CF$2)*(RIGHT('ANL-DOE-MHDV Data'!$E:$E, 1)="7")*('ANL-DOE-MHDV Data'!$D:$D&lt;&gt;"School")))</f>
        <v>0.22166791714701153</v>
      </c>
      <c r="CG34" s="439" cm="1">
        <f t="array" ref="CG34">1/AVERAGE(_xlfn._xlws.FILTER('ANL-DOE-MHDV Data'!$AX:$AX,('ANL-DOE-MHDV Data'!$A:$A=$CD34)*('ANL-DOE-MHDV Data'!$B:$B=CG$2)*(RIGHT('ANL-DOE-MHDV Data'!$E:$E, 1)="7")*('ANL-DOE-MHDV Data'!$D:$D&lt;&gt;"School")))</f>
        <v>0.23812478919475108</v>
      </c>
      <c r="CH34" s="439" cm="1">
        <f t="array" ref="CH34">1/AVERAGE(_xlfn._xlws.FILTER('ANL-DOE-MHDV Data'!$AX:$AX,('ANL-DOE-MHDV Data'!$A:$A=$CD34)*('ANL-DOE-MHDV Data'!$B:$B=CH$2)*(RIGHT('ANL-DOE-MHDV Data'!$E:$E, 1)="7")*('ANL-DOE-MHDV Data'!$D:$D&lt;&gt;"School")))</f>
        <v>0.25394532928763774</v>
      </c>
      <c r="CI34" s="439">
        <f t="shared" ref="CI34:CJ34" si="105">($CK34-$CH34)/3 + CH34</f>
        <v>0.26484467551795199</v>
      </c>
      <c r="CJ34" s="439">
        <f t="shared" si="105"/>
        <v>0.27574402174826623</v>
      </c>
      <c r="CK34" s="439" cm="1">
        <f t="array" ref="CK34">1/AVERAGE(_xlfn._xlws.FILTER('ANL-DOE-MHDV Data'!$AX:$AX,('ANL-DOE-MHDV Data'!$A:$A=$CD34)*('ANL-DOE-MHDV Data'!$B:$B=CK$2)*(RIGHT('ANL-DOE-MHDV Data'!$E:$E, 1)="7")*('ANL-DOE-MHDV Data'!$D:$D&lt;&gt;"School")))</f>
        <v>0.28664336797858053</v>
      </c>
      <c r="CL34" s="102">
        <f t="shared" si="11"/>
        <v>0.40393031783120997</v>
      </c>
      <c r="CN34" s="33" t="s">
        <v>1255</v>
      </c>
      <c r="CX34" s="33" t="s">
        <v>1255</v>
      </c>
      <c r="DG34" s="33" t="s">
        <v>704</v>
      </c>
      <c r="DJ34" t="s">
        <v>88</v>
      </c>
      <c r="DK34" s="95">
        <f>1/'Background Data'!U132</f>
        <v>0.7485466965885732</v>
      </c>
      <c r="DM34" s="33" t="s">
        <v>702</v>
      </c>
      <c r="DZ34" s="33" t="s">
        <v>1196</v>
      </c>
      <c r="EA34" s="88"/>
      <c r="EB34" s="88"/>
      <c r="EC34" s="88"/>
      <c r="ED34" s="88"/>
      <c r="EE34" s="88"/>
      <c r="EF34" s="88"/>
      <c r="EG34" s="88"/>
      <c r="EH34" s="102"/>
      <c r="EJ34" s="4" t="s">
        <v>1222</v>
      </c>
      <c r="EK34" s="88"/>
      <c r="EL34" s="88"/>
      <c r="EM34" s="88"/>
      <c r="EN34" s="88"/>
      <c r="EO34" s="88"/>
      <c r="EP34" s="88"/>
      <c r="EQ34" s="88"/>
    </row>
    <row r="35" spans="1:148" x14ac:dyDescent="0.35">
      <c r="A35" t="s">
        <v>1171</v>
      </c>
      <c r="B35" t="s">
        <v>10</v>
      </c>
      <c r="C35" t="s">
        <v>451</v>
      </c>
      <c r="D35" t="s">
        <v>2261</v>
      </c>
      <c r="E35" t="s">
        <v>851</v>
      </c>
      <c r="F35">
        <v>2022</v>
      </c>
      <c r="G35" s="63" t="s">
        <v>282</v>
      </c>
      <c r="H35" s="71"/>
      <c r="I35" s="71"/>
      <c r="J35" s="71"/>
      <c r="K35" s="71"/>
      <c r="L35" s="71"/>
      <c r="M35" s="71"/>
      <c r="N35" s="71"/>
      <c r="O35" s="71"/>
      <c r="P35" s="71"/>
      <c r="Q35" s="71"/>
      <c r="R35" s="71"/>
      <c r="S35" s="71"/>
      <c r="T35" s="71"/>
      <c r="U35" s="71"/>
      <c r="V35" s="71"/>
      <c r="W35" s="71"/>
      <c r="X35" s="71"/>
      <c r="Y35" s="71"/>
      <c r="Z35" s="71"/>
      <c r="AA35" s="71"/>
      <c r="AB35" s="71"/>
      <c r="AC35" s="305">
        <f t="shared" si="101"/>
        <v>0.70027494996699902</v>
      </c>
      <c r="AD35" s="71">
        <f t="shared" si="101"/>
        <v>0.68251134618388787</v>
      </c>
      <c r="AE35" s="71">
        <f t="shared" si="101"/>
        <v>0.78589602882749543</v>
      </c>
      <c r="AF35" s="71">
        <f t="shared" si="101"/>
        <v>0.82406713493381623</v>
      </c>
      <c r="AG35" s="71">
        <f t="shared" si="101"/>
        <v>0.86926421764227224</v>
      </c>
      <c r="AH35" s="71">
        <f t="shared" si="101"/>
        <v>0.91446130035072848</v>
      </c>
      <c r="AI35" s="71">
        <f t="shared" si="101"/>
        <v>0.95965838305918438</v>
      </c>
      <c r="AJ35" s="417">
        <f>AC35/AB4</f>
        <v>0.99369830983647423</v>
      </c>
      <c r="AK35" s="66" t="s">
        <v>2227</v>
      </c>
      <c r="AL35">
        <v>3</v>
      </c>
      <c r="AM35">
        <v>1</v>
      </c>
      <c r="AN35">
        <v>1</v>
      </c>
      <c r="AO35">
        <v>3</v>
      </c>
      <c r="AP35">
        <v>1</v>
      </c>
      <c r="AT35" s="17" t="s">
        <v>239</v>
      </c>
      <c r="AU35" s="88">
        <f t="shared" si="102"/>
        <v>0.1984434223728018</v>
      </c>
      <c r="AV35" s="88">
        <f t="shared" si="102"/>
        <v>0.22073616606467941</v>
      </c>
      <c r="AW35" s="88">
        <f t="shared" si="102"/>
        <v>0.19845154790886324</v>
      </c>
      <c r="AX35" s="88">
        <f>1/(AX6*GSL_PJ_ML*10)</f>
        <v>0.20265367532520429</v>
      </c>
      <c r="AY35" s="88"/>
      <c r="BA35" s="17" t="s">
        <v>987</v>
      </c>
      <c r="BB35" s="73" cm="1">
        <f t="array" ref="BB35">1/AVERAGE(_xlfn._xlws.FILTER('ANL-DOE-LDV Data'!$AX:$AX, ('ANL-DOE-LDV Data'!$A:$A=$BA35)*('ANL-DOE-LDV Data'!$B:$B=BB$2-5)*('ANL-DOE-LDV Data'!$D:$D="Small_SUV_B")))</f>
        <v>0.95295473251926266</v>
      </c>
      <c r="BC35" s="73" cm="1">
        <f t="array" ref="BC35">1/AVERAGE(_xlfn._xlws.FILTER('ANL-DOE-LDV Data'!$AX:$AX, ('ANL-DOE-LDV Data'!$A:$A=$BA35)*('ANL-DOE-LDV Data'!$B:$B=BC$2-5)*('ANL-DOE-LDV Data'!$D:$D="Small_SUV_B")))</f>
        <v>1.0098190186579559</v>
      </c>
      <c r="BD35" s="73" cm="1">
        <f t="array" ref="BD35">1/AVERAGE(_xlfn._xlws.FILTER('ANL-DOE-LDV Data'!$AX:$AX, ('ANL-DOE-LDV Data'!$A:$A=$BA35)*('ANL-DOE-LDV Data'!$B:$B=BD$2-5)*('ANL-DOE-LDV Data'!$D:$D="Small_SUV_B")))</f>
        <v>1.0288649991344547</v>
      </c>
      <c r="BE35" s="73" cm="1">
        <f t="array" ref="BE35">1/AVERAGE(_xlfn._xlws.FILTER('ANL-DOE-LDV Data'!$AX:$AX, ('ANL-DOE-LDV Data'!$A:$A=$BA35)*('ANL-DOE-LDV Data'!$B:$B=BE$2-5)*('ANL-DOE-LDV Data'!$D:$D="Small_SUV_B")))</f>
        <v>1.1292995858924775</v>
      </c>
      <c r="BF35" s="73">
        <f t="shared" ref="BF35:BG35" si="106">($BH35-$BE35)/3 + BE35</f>
        <v>1.1775972197506002</v>
      </c>
      <c r="BG35" s="73">
        <f t="shared" si="106"/>
        <v>1.2258948536087229</v>
      </c>
      <c r="BH35" s="73" cm="1">
        <f t="array" ref="BH35">1/AVERAGE(_xlfn._xlws.FILTER('ANL-DOE-LDV Data'!$AX:$AX, ('ANL-DOE-LDV Data'!$A:$A=$BA35)*('ANL-DOE-LDV Data'!$B:$B=BH$2-5)*('ANL-DOE-LDV Data'!$D:$D="Small_SUV_B")))</f>
        <v>1.2741924874668458</v>
      </c>
      <c r="BI35" s="102">
        <f t="shared" si="85"/>
        <v>0.33709655242316533</v>
      </c>
      <c r="BK35" s="17" t="s">
        <v>984</v>
      </c>
      <c r="BL35" s="88">
        <f t="shared" si="92"/>
        <v>0.3614336070357822</v>
      </c>
      <c r="BM35" s="88">
        <f t="shared" si="93"/>
        <v>0.3850081569131063</v>
      </c>
      <c r="BN35" s="88">
        <f t="shared" si="94"/>
        <v>0.43544953204741221</v>
      </c>
      <c r="BO35" s="88">
        <f t="shared" si="95"/>
        <v>0.46680506795707422</v>
      </c>
      <c r="BP35" s="88">
        <f t="shared" si="96"/>
        <v>0.49193386349262486</v>
      </c>
      <c r="BQ35" s="88">
        <f t="shared" si="97"/>
        <v>0.5170626590281755</v>
      </c>
      <c r="BR35" s="88">
        <f t="shared" si="98"/>
        <v>0.54219145456372608</v>
      </c>
      <c r="BS35" s="102">
        <f t="shared" si="99"/>
        <v>0.50011355891996156</v>
      </c>
      <c r="BU35" s="443" t="s">
        <v>2202</v>
      </c>
      <c r="BV35" s="444">
        <f>BL35/BL33+(BW35-BL35/BL33)/5</f>
        <v>1.0201148182774362</v>
      </c>
      <c r="BW35" s="444">
        <f>BM35/BM33</f>
        <v>1.0856605362037155</v>
      </c>
      <c r="BX35" s="444">
        <f t="shared" ref="BX35:CB35" si="107">BN35/BN33</f>
        <v>1.0560271370322949</v>
      </c>
      <c r="BY35" s="444">
        <f t="shared" si="107"/>
        <v>1.0359979968593749</v>
      </c>
      <c r="BZ35" s="444">
        <f t="shared" si="107"/>
        <v>1.0380698785277291</v>
      </c>
      <c r="CA35" s="444">
        <f t="shared" si="107"/>
        <v>1.039947507758924</v>
      </c>
      <c r="CB35" s="444">
        <f t="shared" si="107"/>
        <v>1.0416569799002164</v>
      </c>
      <c r="CD35" s="17" t="s">
        <v>246</v>
      </c>
      <c r="CE35" s="439" cm="1">
        <f t="array" ref="CE35">1/AVERAGE(_xlfn._xlws.FILTER('ANL-DOE-MHDV Data'!$AX:$AX,('ANL-DOE-MHDV Data'!$A:$A=$CD35)*('ANL-DOE-MHDV Data'!$B:$B=CE$2)*(RIGHT('ANL-DOE-MHDV Data'!$E:$E, 1)="7")*('ANL-DOE-MHDV Data'!$D:$D&lt;&gt;"School")))</f>
        <v>0.29199143624355905</v>
      </c>
      <c r="CF35" s="439" cm="1">
        <f t="array" ref="CF35">1/AVERAGE(_xlfn._xlws.FILTER('ANL-DOE-MHDV Data'!$AX:$AX,('ANL-DOE-MHDV Data'!$A:$A=$CD35)*('ANL-DOE-MHDV Data'!$B:$B=CF$2)*(RIGHT('ANL-DOE-MHDV Data'!$E:$E, 1)="7")*('ANL-DOE-MHDV Data'!$D:$D&lt;&gt;"School")))</f>
        <v>0.31290636179810233</v>
      </c>
      <c r="CG35" s="439" cm="1">
        <f t="array" ref="CG35">1/AVERAGE(_xlfn._xlws.FILTER('ANL-DOE-MHDV Data'!$AX:$AX,('ANL-DOE-MHDV Data'!$A:$A=$CD35)*('ANL-DOE-MHDV Data'!$B:$B=CG$2)*(RIGHT('ANL-DOE-MHDV Data'!$E:$E, 1)="7")*('ANL-DOE-MHDV Data'!$D:$D&lt;&gt;"School")))</f>
        <v>0.33410978242816802</v>
      </c>
      <c r="CH35" s="439" cm="1">
        <f t="array" ref="CH35">1/AVERAGE(_xlfn._xlws.FILTER('ANL-DOE-MHDV Data'!$AX:$AX,('ANL-DOE-MHDV Data'!$A:$A=$CD35)*('ANL-DOE-MHDV Data'!$B:$B=CH$2)*(RIGHT('ANL-DOE-MHDV Data'!$E:$E, 1)="7")*('ANL-DOE-MHDV Data'!$D:$D&lt;&gt;"School")))</f>
        <v>0.35357676421478162</v>
      </c>
      <c r="CI35" s="439">
        <f t="shared" ref="CI35:CJ35" si="108">($CK35-$CH35)/3 + CH35</f>
        <v>0.36689122569978661</v>
      </c>
      <c r="CJ35" s="439">
        <f t="shared" si="108"/>
        <v>0.38020568718479159</v>
      </c>
      <c r="CK35" s="439" cm="1">
        <f t="array" ref="CK35">1/AVERAGE(_xlfn._xlws.FILTER('ANL-DOE-MHDV Data'!$AX:$AX,('ANL-DOE-MHDV Data'!$A:$A=$CD35)*('ANL-DOE-MHDV Data'!$B:$B=CK$2)*(RIGHT('ANL-DOE-MHDV Data'!$E:$E, 1)="7")*('ANL-DOE-MHDV Data'!$D:$D&lt;&gt;"School")))</f>
        <v>0.39352014866979651</v>
      </c>
      <c r="CL35" s="102">
        <f t="shared" si="11"/>
        <v>0.34771126760563359</v>
      </c>
      <c r="CN35" s="17" t="s">
        <v>1017</v>
      </c>
      <c r="CO35" s="73">
        <f t="shared" ref="CO35:CU40" si="109">CE4*$AV$69+CE11*$AV$70+CE18*$AV$71+CE25*$AV$72+CE32*$AV$73</f>
        <v>0.11324525320453857</v>
      </c>
      <c r="CP35" s="73">
        <f t="shared" si="109"/>
        <v>0.12140142393450042</v>
      </c>
      <c r="CQ35" s="73">
        <f t="shared" si="109"/>
        <v>0.1287732555852911</v>
      </c>
      <c r="CR35" s="73">
        <f t="shared" si="109"/>
        <v>0.13476045423656055</v>
      </c>
      <c r="CS35" s="73">
        <f t="shared" si="109"/>
        <v>0.13991565737035794</v>
      </c>
      <c r="CT35" s="73">
        <f t="shared" si="109"/>
        <v>0.1450708605041553</v>
      </c>
      <c r="CU35" s="73">
        <f t="shared" si="109"/>
        <v>0.15022606363795266</v>
      </c>
      <c r="CV35" s="102">
        <f>(CU35-CO35)/CO35</f>
        <v>0.32655505981006533</v>
      </c>
      <c r="CX35" s="17" t="s">
        <v>1727</v>
      </c>
      <c r="CY35" s="73">
        <f>CO35/$CO35</f>
        <v>1</v>
      </c>
      <c r="CZ35" s="73">
        <f>CP35/$CO35</f>
        <v>1.0720221863536348</v>
      </c>
      <c r="DA35" s="73">
        <f t="shared" ref="DA35:DE35" si="110">CQ35/$CO35</f>
        <v>1.1371183510244489</v>
      </c>
      <c r="DB35" s="73">
        <f t="shared" si="110"/>
        <v>1.1899876632635733</v>
      </c>
      <c r="DC35" s="73">
        <f t="shared" si="110"/>
        <v>1.2355101287790708</v>
      </c>
      <c r="DD35" s="73">
        <f t="shared" si="110"/>
        <v>1.2810325942945682</v>
      </c>
      <c r="DE35" s="73">
        <f t="shared" si="110"/>
        <v>1.3265550598100653</v>
      </c>
      <c r="DG35" s="17" t="s">
        <v>674</v>
      </c>
      <c r="DH35" s="73">
        <f>1/(AVERAGE('GREET-AFLEET Summary'!B35:B37)*90.7185/1000)</f>
        <v>0.80048180185528828</v>
      </c>
      <c r="DI35" s="95"/>
      <c r="DJ35" t="s">
        <v>89</v>
      </c>
      <c r="DK35" s="95">
        <f>1/'Background Data'!U133</f>
        <v>0.42512108511306734</v>
      </c>
      <c r="DM35" s="17" t="s">
        <v>707</v>
      </c>
      <c r="DN35" s="88">
        <f>'OEO &amp; EPAUS9rT-HDV Data'!J6*km_mile</f>
        <v>0.72657897897948176</v>
      </c>
      <c r="DZ35" s="306" t="s">
        <v>109</v>
      </c>
      <c r="EA35" s="88">
        <f t="shared" ref="EA35:EG39" si="111">1/(EA4*DSL_PJ_ML*10)</f>
        <v>0.16511884961588313</v>
      </c>
      <c r="EB35" s="88">
        <f t="shared" si="111"/>
        <v>0.17436832034214655</v>
      </c>
      <c r="EC35" s="88">
        <f t="shared" si="111"/>
        <v>0.19291731043267774</v>
      </c>
      <c r="ED35" s="88">
        <f t="shared" si="111"/>
        <v>0.20609146890794378</v>
      </c>
      <c r="EE35" s="88">
        <f t="shared" si="111"/>
        <v>0.21410897654924513</v>
      </c>
      <c r="EF35" s="88">
        <f t="shared" si="111"/>
        <v>0.2176636083696229</v>
      </c>
      <c r="EG35" s="88">
        <f t="shared" si="111"/>
        <v>0.21829966884412025</v>
      </c>
      <c r="EH35" s="102">
        <f>(EG35-EA35)/EA35</f>
        <v>0.3220760037509463</v>
      </c>
      <c r="EJ35" s="224" t="s">
        <v>109</v>
      </c>
      <c r="EK35" s="88">
        <f t="shared" ref="EK35:EQ40" si="112">1/(EK4*DSL_PJ_ML*10)</f>
        <v>0.11124367162068456</v>
      </c>
      <c r="EL35" s="88">
        <f t="shared" si="112"/>
        <v>0.16190910622020424</v>
      </c>
      <c r="EM35" s="88">
        <f t="shared" si="112"/>
        <v>0.16742657282465301</v>
      </c>
      <c r="EN35" s="88">
        <f t="shared" si="112"/>
        <v>0.17333334972479289</v>
      </c>
      <c r="EO35" s="88">
        <f t="shared" si="112"/>
        <v>0.17967214813843596</v>
      </c>
      <c r="EP35" s="88">
        <f t="shared" si="112"/>
        <v>0.18649216423269599</v>
      </c>
      <c r="EQ35" s="88">
        <f t="shared" si="112"/>
        <v>0.19385035846772758</v>
      </c>
      <c r="ER35" s="102">
        <f>(EQ35-EK35)/EK35</f>
        <v>0.74257425742574279</v>
      </c>
    </row>
    <row r="36" spans="1:148" ht="14.5" customHeight="1" x14ac:dyDescent="0.35">
      <c r="A36" t="s">
        <v>1172</v>
      </c>
      <c r="B36" t="s">
        <v>11</v>
      </c>
      <c r="C36" t="s">
        <v>451</v>
      </c>
      <c r="D36" t="s">
        <v>2261</v>
      </c>
      <c r="E36" t="s">
        <v>851</v>
      </c>
      <c r="F36">
        <v>2022</v>
      </c>
      <c r="G36" s="63" t="s">
        <v>282</v>
      </c>
      <c r="H36" s="71"/>
      <c r="I36" s="71"/>
      <c r="J36" s="71"/>
      <c r="K36" s="71"/>
      <c r="L36" s="71"/>
      <c r="M36" s="71"/>
      <c r="N36" s="71"/>
      <c r="O36" s="71"/>
      <c r="P36" s="71"/>
      <c r="Q36" s="71"/>
      <c r="R36" s="71"/>
      <c r="S36" s="71"/>
      <c r="T36" s="71"/>
      <c r="U36" s="71"/>
      <c r="V36" s="71"/>
      <c r="W36" s="71"/>
      <c r="X36" s="71"/>
      <c r="Y36" s="71"/>
      <c r="Z36" s="71"/>
      <c r="AA36" s="71"/>
      <c r="AB36" s="71"/>
      <c r="AC36" s="305">
        <f t="shared" ref="AC36:AI36" si="113">AC34*BV35</f>
        <v>0.51398760560760481</v>
      </c>
      <c r="AD36" s="71">
        <f t="shared" si="113"/>
        <v>0.5403565218374512</v>
      </c>
      <c r="AE36" s="71">
        <f t="shared" si="113"/>
        <v>0.61115067394790423</v>
      </c>
      <c r="AF36" s="71">
        <f t="shared" si="113"/>
        <v>0.65515797098893358</v>
      </c>
      <c r="AG36" s="71">
        <f t="shared" si="113"/>
        <v>0.69042607715692605</v>
      </c>
      <c r="AH36" s="71">
        <f t="shared" si="113"/>
        <v>0.72569418332491886</v>
      </c>
      <c r="AI36" s="71">
        <f t="shared" si="113"/>
        <v>0.76096228949291145</v>
      </c>
      <c r="AJ36" s="417"/>
      <c r="AK36" s="66" t="s">
        <v>2227</v>
      </c>
      <c r="AL36">
        <v>3</v>
      </c>
      <c r="AM36">
        <v>1</v>
      </c>
      <c r="AN36">
        <v>1</v>
      </c>
      <c r="AO36">
        <v>3</v>
      </c>
      <c r="AP36">
        <v>1</v>
      </c>
      <c r="AT36" s="17" t="s">
        <v>570</v>
      </c>
      <c r="AU36" s="88">
        <f t="shared" si="102"/>
        <v>0.46772996508691828</v>
      </c>
      <c r="AV36" s="88">
        <f t="shared" si="102"/>
        <v>0.44274607227010043</v>
      </c>
      <c r="AW36" s="88">
        <f t="shared" si="102"/>
        <v>0.40407608531854194</v>
      </c>
      <c r="AX36" s="88">
        <f>1/(AX7*GSL_PJ_ML*10)</f>
        <v>0.58656291803345872</v>
      </c>
      <c r="AY36" s="88">
        <f>1/(AY7*GSL_PJ_ML*10)</f>
        <v>0.59791109545835419</v>
      </c>
      <c r="BA36" s="17" t="s">
        <v>975</v>
      </c>
      <c r="BB36" s="73" cm="1">
        <f t="array" ref="BB36">1/AVERAGE(_xlfn._xlws.FILTER('ANL-DOE-LDV Data'!$AX:$AX, ('ANL-DOE-LDV Data'!$A:$A=$BA36)*('ANL-DOE-LDV Data'!$B:$B=BB$2-5)*('ANL-DOE-LDV Data'!$D:$D="Small_SUV_B")))</f>
        <v>1.6185409563624795</v>
      </c>
      <c r="BC36" s="73" cm="1">
        <f t="array" ref="BC36">1/AVERAGE(_xlfn._xlws.FILTER('ANL-DOE-LDV Data'!$AX:$AX, ('ANL-DOE-LDV Data'!$A:$A=$BA36)*('ANL-DOE-LDV Data'!$B:$B=BC$2-5)*('ANL-DOE-LDV Data'!$D:$D="Small_SUV_B")))</f>
        <v>1.6922960837738898</v>
      </c>
      <c r="BD36" s="73" cm="1">
        <f t="array" ref="BD36">1/AVERAGE(_xlfn._xlws.FILTER('ANL-DOE-LDV Data'!$AX:$AX, ('ANL-DOE-LDV Data'!$A:$A=$BA36)*('ANL-DOE-LDV Data'!$B:$B=BD$2-5)*('ANL-DOE-LDV Data'!$D:$D="Small_SUV_B")))</f>
        <v>1.7282832303430939</v>
      </c>
      <c r="BE36" s="73" cm="1">
        <f t="array" ref="BE36">1/AVERAGE(_xlfn._xlws.FILTER('ANL-DOE-LDV Data'!$AX:$AX, ('ANL-DOE-LDV Data'!$A:$A=$BA36)*('ANL-DOE-LDV Data'!$B:$B=BE$2-5)*('ANL-DOE-LDV Data'!$D:$D="Small_SUV_B")))</f>
        <v>1.9084097944486862</v>
      </c>
      <c r="BF36" s="73">
        <f t="shared" ref="BF36:BG36" si="114">($BH36-$BE36)/3 + BE36</f>
        <v>1.9767502992477417</v>
      </c>
      <c r="BG36" s="73">
        <f t="shared" si="114"/>
        <v>2.0450908040467972</v>
      </c>
      <c r="BH36" s="73" cm="1">
        <f t="array" ref="BH36">1/AVERAGE(_xlfn._xlws.FILTER('ANL-DOE-LDV Data'!$AX:$AX, ('ANL-DOE-LDV Data'!$A:$A=$BA36)*('ANL-DOE-LDV Data'!$B:$B=BH$2-5)*('ANL-DOE-LDV Data'!$D:$D="Small_SUV_B")))</f>
        <v>2.1134313088458527</v>
      </c>
      <c r="BI36" s="102">
        <f t="shared" si="85"/>
        <v>0.30576325581256425</v>
      </c>
      <c r="BK36" s="17" t="s">
        <v>991</v>
      </c>
      <c r="BL36" s="88">
        <f t="shared" si="92"/>
        <v>0.60731361862373956</v>
      </c>
      <c r="BM36" s="88">
        <f t="shared" si="93"/>
        <v>0.62520357390215531</v>
      </c>
      <c r="BN36" s="88">
        <f t="shared" si="94"/>
        <v>0.64054658488271776</v>
      </c>
      <c r="BO36" s="88">
        <f t="shared" si="95"/>
        <v>0.68246837705885799</v>
      </c>
      <c r="BP36" s="88">
        <f t="shared" si="96"/>
        <v>0.71096053220409616</v>
      </c>
      <c r="BQ36" s="88">
        <f t="shared" si="97"/>
        <v>0.73945268734933456</v>
      </c>
      <c r="BR36" s="88">
        <f t="shared" si="98"/>
        <v>0.76794484249457273</v>
      </c>
      <c r="BS36" s="102">
        <f t="shared" si="99"/>
        <v>0.26449468436892087</v>
      </c>
      <c r="BU36" s="17" t="s">
        <v>991</v>
      </c>
      <c r="BV36" s="73">
        <f t="shared" si="104"/>
        <v>1.0058915047283006</v>
      </c>
      <c r="BW36" s="73">
        <f>BM36/BL36</f>
        <v>1.0294575236415033</v>
      </c>
      <c r="BX36" s="73">
        <f>BN36/BL36</f>
        <v>1.0547212597245701</v>
      </c>
      <c r="BY36" s="73">
        <f>BO36/BL36</f>
        <v>1.1237495029428617</v>
      </c>
      <c r="BZ36" s="73">
        <f>BP36/BL36</f>
        <v>1.1706645634182147</v>
      </c>
      <c r="CA36" s="73">
        <f>BQ36/BL36</f>
        <v>1.2175796238935679</v>
      </c>
      <c r="CB36" s="73">
        <f>BR36/BL36</f>
        <v>1.2644946843689209</v>
      </c>
      <c r="CD36" s="17" t="s">
        <v>627</v>
      </c>
      <c r="CE36" s="439" cm="1">
        <f t="array" ref="CE36">1/AVERAGE(_xlfn._xlws.FILTER('ANL-DOE-MHDV Data'!$AX:$AX,('ANL-DOE-MHDV Data'!$A:$A=$CD36)*('ANL-DOE-MHDV Data'!$B:$B=CE$2)*(RIGHT('ANL-DOE-MHDV Data'!$E:$E, 1)="7")*('ANL-DOE-MHDV Data'!$D:$D&lt;&gt;"School")))</f>
        <v>0.12860202583334487</v>
      </c>
      <c r="CF36" s="439" cm="1">
        <f t="array" ref="CF36">1/AVERAGE(_xlfn._xlws.FILTER('ANL-DOE-MHDV Data'!$AX:$AX,('ANL-DOE-MHDV Data'!$A:$A=$CD36)*('ANL-DOE-MHDV Data'!$B:$B=CF$2)*(RIGHT('ANL-DOE-MHDV Data'!$E:$E, 1)="7")*('ANL-DOE-MHDV Data'!$D:$D&lt;&gt;"School")))</f>
        <v>0.13786110034867655</v>
      </c>
      <c r="CG36" s="439" cm="1">
        <f t="array" ref="CG36">1/AVERAGE(_xlfn._xlws.FILTER('ANL-DOE-MHDV Data'!$AX:$AX,('ANL-DOE-MHDV Data'!$A:$A=$CD36)*('ANL-DOE-MHDV Data'!$B:$B=CG$2)*(RIGHT('ANL-DOE-MHDV Data'!$E:$E, 1)="7")*('ANL-DOE-MHDV Data'!$D:$D&lt;&gt;"School")))</f>
        <v>0.14817256730489839</v>
      </c>
      <c r="CH36" s="439" cm="1">
        <f t="array" ref="CH36">1/AVERAGE(_xlfn._xlws.FILTER('ANL-DOE-MHDV Data'!$AX:$AX,('ANL-DOE-MHDV Data'!$A:$A=$CD36)*('ANL-DOE-MHDV Data'!$B:$B=CH$2)*(RIGHT('ANL-DOE-MHDV Data'!$E:$E, 1)="7")*('ANL-DOE-MHDV Data'!$D:$D&lt;&gt;"School")))</f>
        <v>0.15502618016306283</v>
      </c>
      <c r="CI36" s="439">
        <f t="shared" ref="CI36:CJ36" si="115">($CK36-$CH36)/3 + CH36</f>
        <v>0.16109118288252941</v>
      </c>
      <c r="CJ36" s="439">
        <f t="shared" si="115"/>
        <v>0.16715618560199599</v>
      </c>
      <c r="CK36" s="439" cm="1">
        <f t="array" ref="CK36">1/AVERAGE(_xlfn._xlws.FILTER('ANL-DOE-MHDV Data'!$AX:$AX,('ANL-DOE-MHDV Data'!$A:$A=$CD36)*('ANL-DOE-MHDV Data'!$B:$B=CK$2)*(RIGHT('ANL-DOE-MHDV Data'!$E:$E, 1)="7")*('ANL-DOE-MHDV Data'!$D:$D&lt;&gt;"School")))</f>
        <v>0.17322118832146255</v>
      </c>
      <c r="CL36" s="102">
        <f t="shared" si="11"/>
        <v>0.3469553624757013</v>
      </c>
      <c r="CN36" s="17" t="s">
        <v>1020</v>
      </c>
      <c r="CO36" s="73">
        <f t="shared" si="109"/>
        <v>0.15426841247512063</v>
      </c>
      <c r="CP36" s="73">
        <f t="shared" si="109"/>
        <v>0.16756643817487479</v>
      </c>
      <c r="CQ36" s="73">
        <f t="shared" si="109"/>
        <v>0.18126048512752432</v>
      </c>
      <c r="CR36" s="73">
        <f t="shared" si="109"/>
        <v>0.19253046718932432</v>
      </c>
      <c r="CS36" s="73">
        <f t="shared" si="109"/>
        <v>0.2022602304354211</v>
      </c>
      <c r="CT36" s="73">
        <f t="shared" si="109"/>
        <v>0.21198999368151789</v>
      </c>
      <c r="CU36" s="73">
        <f t="shared" si="109"/>
        <v>0.22171975692761467</v>
      </c>
      <c r="CV36" s="102">
        <f t="shared" ref="CV36:CV66" si="116">(CU36-CO36)/CO36</f>
        <v>0.43723367195064727</v>
      </c>
      <c r="CX36" s="443" t="s">
        <v>2210</v>
      </c>
      <c r="CY36" s="444">
        <f t="shared" ref="CY36:DE36" si="117">CO36/CO35</f>
        <v>1.3622505854306126</v>
      </c>
      <c r="CZ36" s="444">
        <f t="shared" si="117"/>
        <v>1.3802674857033121</v>
      </c>
      <c r="DA36" s="444">
        <f t="shared" si="117"/>
        <v>1.4075941802020302</v>
      </c>
      <c r="DB36" s="444">
        <f t="shared" si="117"/>
        <v>1.4286866891332484</v>
      </c>
      <c r="DC36" s="444">
        <f t="shared" si="117"/>
        <v>1.4455868216380998</v>
      </c>
      <c r="DD36" s="444">
        <f t="shared" si="117"/>
        <v>1.4612858360721297</v>
      </c>
      <c r="DE36" s="444">
        <f t="shared" si="117"/>
        <v>1.4759073862306811</v>
      </c>
      <c r="DG36" s="17" t="s">
        <v>675</v>
      </c>
      <c r="DH36" s="73">
        <f>1/(AVERAGE('GREET-AFLEET Summary'!B48:B50)*90.7185/1000)</f>
        <v>0.8028904732751132</v>
      </c>
      <c r="DJ36" t="s">
        <v>80</v>
      </c>
      <c r="DK36" s="95">
        <f>1/'Background Data'!U134</f>
        <v>0.75551411980338501</v>
      </c>
      <c r="DM36" s="17" t="s">
        <v>709</v>
      </c>
      <c r="DN36" s="88">
        <f>'OEO &amp; EPAUS9rT-HDV Data'!J10*km_mile</f>
        <v>0.72997335508060668</v>
      </c>
      <c r="DZ36" s="17" t="s">
        <v>110</v>
      </c>
      <c r="EA36" s="88">
        <f t="shared" si="111"/>
        <v>0.13585631970247214</v>
      </c>
      <c r="EB36" s="88">
        <f t="shared" si="111"/>
        <v>0.147650271444774</v>
      </c>
      <c r="EC36" s="88">
        <f t="shared" si="111"/>
        <v>0.16451046738480343</v>
      </c>
      <c r="ED36" s="88">
        <f t="shared" si="111"/>
        <v>0.17531239182953465</v>
      </c>
      <c r="EE36" s="88">
        <f t="shared" si="111"/>
        <v>0.18270577390633636</v>
      </c>
      <c r="EF36" s="88">
        <f t="shared" si="111"/>
        <v>0.18779463786651748</v>
      </c>
      <c r="EG36" s="88">
        <f t="shared" si="111"/>
        <v>0.19036422261717512</v>
      </c>
      <c r="EH36" s="102">
        <f t="shared" ref="EH36:EH56" si="118">(EG36-EA36)/EA36</f>
        <v>0.40121727891699333</v>
      </c>
      <c r="EJ36" s="224" t="s">
        <v>246</v>
      </c>
      <c r="EK36" s="88">
        <f t="shared" si="112"/>
        <v>0.31280398752746946</v>
      </c>
      <c r="EL36" s="88">
        <f t="shared" si="112"/>
        <v>0.45488748890438335</v>
      </c>
      <c r="EM36" s="88">
        <f t="shared" si="112"/>
        <v>0.4748625882175499</v>
      </c>
      <c r="EN36" s="88">
        <f t="shared" si="112"/>
        <v>0.49667256095405526</v>
      </c>
      <c r="EO36" s="88">
        <f t="shared" si="112"/>
        <v>0.52058239977460063</v>
      </c>
      <c r="EP36" s="88">
        <f t="shared" si="112"/>
        <v>0.5469107050505575</v>
      </c>
      <c r="EQ36" s="88">
        <f t="shared" si="112"/>
        <v>0.57604396294671323</v>
      </c>
      <c r="ER36" s="102">
        <f t="shared" ref="ER36:ER61" si="119">(EQ36-EK36)/EK36</f>
        <v>0.84154929577464821</v>
      </c>
    </row>
    <row r="37" spans="1:148" x14ac:dyDescent="0.35">
      <c r="A37" t="s">
        <v>1173</v>
      </c>
      <c r="B37" t="s">
        <v>1094</v>
      </c>
      <c r="C37" t="s">
        <v>451</v>
      </c>
      <c r="D37" t="s">
        <v>2261</v>
      </c>
      <c r="E37" t="s">
        <v>851</v>
      </c>
      <c r="F37">
        <v>2022</v>
      </c>
      <c r="G37" s="63" t="s">
        <v>282</v>
      </c>
      <c r="H37" s="71"/>
      <c r="I37" s="71"/>
      <c r="J37" s="71"/>
      <c r="K37" s="71"/>
      <c r="L37" s="71"/>
      <c r="M37" s="71"/>
      <c r="N37" s="71"/>
      <c r="O37" s="71"/>
      <c r="P37" s="71"/>
      <c r="Q37" s="71"/>
      <c r="R37" s="71"/>
      <c r="S37" s="71"/>
      <c r="T37" s="71"/>
      <c r="U37" s="71"/>
      <c r="V37" s="71"/>
      <c r="W37" s="71"/>
      <c r="X37" s="71"/>
      <c r="Y37" s="71"/>
      <c r="Z37" s="71"/>
      <c r="AA37" s="71"/>
      <c r="AB37" s="71"/>
      <c r="AC37" s="305">
        <f t="shared" ref="AC37:AI38" si="120">$AB6*BV36</f>
        <v>0.93576955927974437</v>
      </c>
      <c r="AD37" s="71">
        <f t="shared" si="120"/>
        <v>0.95769276176105211</v>
      </c>
      <c r="AE37" s="71">
        <f t="shared" si="120"/>
        <v>0.98119533144086746</v>
      </c>
      <c r="AF37" s="71">
        <f t="shared" si="120"/>
        <v>1.0454115301368523</v>
      </c>
      <c r="AG37" s="71">
        <f t="shared" si="120"/>
        <v>1.0890560835088998</v>
      </c>
      <c r="AH37" s="71">
        <f t="shared" si="120"/>
        <v>1.1327006368809478</v>
      </c>
      <c r="AI37" s="71">
        <f t="shared" si="120"/>
        <v>1.1763451902529953</v>
      </c>
      <c r="AJ37" s="417">
        <f>AC37/AB6</f>
        <v>1.0058915047283006</v>
      </c>
      <c r="AK37" s="66" t="s">
        <v>2227</v>
      </c>
      <c r="AL37">
        <v>3</v>
      </c>
      <c r="AM37">
        <v>1</v>
      </c>
      <c r="AN37">
        <v>1</v>
      </c>
      <c r="AO37">
        <v>3</v>
      </c>
      <c r="AP37">
        <v>1</v>
      </c>
      <c r="AT37" s="17" t="s">
        <v>578</v>
      </c>
      <c r="AU37" s="88"/>
      <c r="AV37" s="88">
        <f t="shared" ref="AV37:AY38" si="121">1/(AV8*GSL_PJ_ML*10)</f>
        <v>0.90368804471885178</v>
      </c>
      <c r="AW37" s="88">
        <f t="shared" si="121"/>
        <v>0.90368804471885178</v>
      </c>
      <c r="AX37" s="88">
        <f t="shared" si="121"/>
        <v>0.90368804471885178</v>
      </c>
      <c r="AY37" s="88">
        <f t="shared" si="121"/>
        <v>0.90368804471885178</v>
      </c>
      <c r="BA37" s="17" t="s">
        <v>979</v>
      </c>
      <c r="BB37" s="73" cm="1">
        <f t="array" ref="BB37">1/AVERAGE(_xlfn._xlws.FILTER('ANL-DOE-LDV Data'!$AX:$AX, ('ANL-DOE-LDV Data'!$A:$A=$BA37)*('ANL-DOE-LDV Data'!$B:$B=BB$2-5)*('ANL-DOE-LDV Data'!$D:$D="Small_SUV_B")))</f>
        <v>1.5470655328187681</v>
      </c>
      <c r="BC37" s="73" cm="1">
        <f t="array" ref="BC37">1/AVERAGE(_xlfn._xlws.FILTER('ANL-DOE-LDV Data'!$AX:$AX, ('ANL-DOE-LDV Data'!$A:$A=$BA37)*('ANL-DOE-LDV Data'!$B:$B=BC$2-5)*('ANL-DOE-LDV Data'!$D:$D="Small_SUV_B")))</f>
        <v>1.6191640923487736</v>
      </c>
      <c r="BD37" s="73" cm="1">
        <f t="array" ref="BD37">1/AVERAGE(_xlfn._xlws.FILTER('ANL-DOE-LDV Data'!$AX:$AX, ('ANL-DOE-LDV Data'!$A:$A=$BA37)*('ANL-DOE-LDV Data'!$B:$B=BD$2-5)*('ANL-DOE-LDV Data'!$D:$D="Small_SUV_B")))</f>
        <v>1.6699193202705309</v>
      </c>
      <c r="BE37" s="73" cm="1">
        <f t="array" ref="BE37">1/AVERAGE(_xlfn._xlws.FILTER('ANL-DOE-LDV Data'!$AX:$AX, ('ANL-DOE-LDV Data'!$A:$A=$BA37)*('ANL-DOE-LDV Data'!$B:$B=BE$2-5)*('ANL-DOE-LDV Data'!$D:$D="Small_SUV_B")))</f>
        <v>1.846326429436149</v>
      </c>
      <c r="BF37" s="73">
        <f t="shared" ref="BF37:BG37" si="122">($BH37-$BE37)/3 + BE37</f>
        <v>1.9155190936762729</v>
      </c>
      <c r="BG37" s="73">
        <f t="shared" si="122"/>
        <v>1.9847117579163969</v>
      </c>
      <c r="BH37" s="73" cm="1">
        <f t="array" ref="BH37">1/AVERAGE(_xlfn._xlws.FILTER('ANL-DOE-LDV Data'!$AX:$AX, ('ANL-DOE-LDV Data'!$A:$A=$BA37)*('ANL-DOE-LDV Data'!$B:$B=BH$2-5)*('ANL-DOE-LDV Data'!$D:$D="Small_SUV_B")))</f>
        <v>2.0539044221565206</v>
      </c>
      <c r="BI37" s="102">
        <f t="shared" si="85"/>
        <v>0.32761307041356363</v>
      </c>
      <c r="BK37" s="17" t="s">
        <v>992</v>
      </c>
      <c r="BL37" s="88">
        <f t="shared" si="92"/>
        <v>0.86926780067664355</v>
      </c>
      <c r="BM37" s="88">
        <f t="shared" si="93"/>
        <v>0.91293259029893525</v>
      </c>
      <c r="BN37" s="88">
        <f t="shared" si="94"/>
        <v>0.93270508596526391</v>
      </c>
      <c r="BO37" s="88">
        <f t="shared" si="95"/>
        <v>1.0204981372126349</v>
      </c>
      <c r="BP37" s="88">
        <f t="shared" si="96"/>
        <v>1.0674850119101</v>
      </c>
      <c r="BQ37" s="88">
        <f t="shared" si="97"/>
        <v>1.1144718866075651</v>
      </c>
      <c r="BR37" s="88">
        <f t="shared" si="98"/>
        <v>1.1614587613050302</v>
      </c>
      <c r="BS37" s="102">
        <f t="shared" si="99"/>
        <v>0.33613457256894064</v>
      </c>
      <c r="BU37" s="17" t="s">
        <v>992</v>
      </c>
      <c r="BV37" s="73">
        <f t="shared" si="104"/>
        <v>1.0100463377542117</v>
      </c>
      <c r="BW37" s="73">
        <f>BM37/BL37</f>
        <v>1.0502316887710585</v>
      </c>
      <c r="BX37" s="73">
        <f>BN37/BL37</f>
        <v>1.0729778386352748</v>
      </c>
      <c r="BY37" s="73">
        <f>BO37/BL37</f>
        <v>1.1739743913420844</v>
      </c>
      <c r="BZ37" s="73">
        <f>BP37/BL37</f>
        <v>1.2280277850843697</v>
      </c>
      <c r="CA37" s="73">
        <f>BQ37/BL37</f>
        <v>1.2820811788266553</v>
      </c>
      <c r="CB37" s="73">
        <f>BR37/BL37</f>
        <v>1.3361345725689406</v>
      </c>
      <c r="CD37" s="17" t="s">
        <v>1065</v>
      </c>
      <c r="CE37" s="439" cm="1">
        <f t="array" ref="CE37">1/AVERAGE(_xlfn._xlws.FILTER('ANL-DOE-MHDV Data'!$AX:$AX,('ANL-DOE-MHDV Data'!$A:$A=$CD37)*('ANL-DOE-MHDV Data'!$B:$B=CE$2)*(RIGHT('ANL-DOE-MHDV Data'!$E:$E, 1)="7")*('ANL-DOE-MHDV Data'!$D:$D&lt;&gt;"School")))</f>
        <v>0.1300871054335658</v>
      </c>
      <c r="CF37" s="439" cm="1">
        <f t="array" ref="CF37">1/AVERAGE(_xlfn._xlws.FILTER('ANL-DOE-MHDV Data'!$AX:$AX,('ANL-DOE-MHDV Data'!$A:$A=$CD37)*('ANL-DOE-MHDV Data'!$B:$B=CF$2)*(RIGHT('ANL-DOE-MHDV Data'!$E:$E, 1)="7")*('ANL-DOE-MHDV Data'!$D:$D&lt;&gt;"School")))</f>
        <v>0.14322106780231558</v>
      </c>
      <c r="CG37" s="439" cm="1">
        <f t="array" ref="CG37">1/AVERAGE(_xlfn._xlws.FILTER('ANL-DOE-MHDV Data'!$AX:$AX,('ANL-DOE-MHDV Data'!$A:$A=$CD37)*('ANL-DOE-MHDV Data'!$B:$B=CG$2)*(RIGHT('ANL-DOE-MHDV Data'!$E:$E, 1)="7")*('ANL-DOE-MHDV Data'!$D:$D&lt;&gt;"School")))</f>
        <v>0.15608274694242369</v>
      </c>
      <c r="CH37" s="439" cm="1">
        <f t="array" ref="CH37">1/AVERAGE(_xlfn._xlws.FILTER('ANL-DOE-MHDV Data'!$AX:$AX,('ANL-DOE-MHDV Data'!$A:$A=$CD37)*('ANL-DOE-MHDV Data'!$B:$B=CH$2)*(RIGHT('ANL-DOE-MHDV Data'!$E:$E, 1)="7")*('ANL-DOE-MHDV Data'!$D:$D&lt;&gt;"School")))</f>
        <v>0.16767622326789003</v>
      </c>
      <c r="CI37" s="439">
        <f t="shared" ref="CI37:CJ37" si="123">($CK37-$CH37)/3 + CH37</f>
        <v>0.17528956110880703</v>
      </c>
      <c r="CJ37" s="439">
        <f t="shared" si="123"/>
        <v>0.18290289894972403</v>
      </c>
      <c r="CK37" s="439" cm="1">
        <f t="array" ref="CK37">1/AVERAGE(_xlfn._xlws.FILTER('ANL-DOE-MHDV Data'!$AX:$AX,('ANL-DOE-MHDV Data'!$A:$A=$CD37)*('ANL-DOE-MHDV Data'!$B:$B=CK$2)*(RIGHT('ANL-DOE-MHDV Data'!$E:$E, 1)="7")*('ANL-DOE-MHDV Data'!$D:$D&lt;&gt;"School")))</f>
        <v>0.19051623679064103</v>
      </c>
      <c r="CL37" s="102">
        <f t="shared" si="11"/>
        <v>0.46452821865527472</v>
      </c>
      <c r="CN37" s="17" t="s">
        <v>1021</v>
      </c>
      <c r="CO37" s="73">
        <f t="shared" si="109"/>
        <v>0.41013916445521348</v>
      </c>
      <c r="CP37" s="73">
        <f t="shared" si="109"/>
        <v>0.45034347512194939</v>
      </c>
      <c r="CQ37" s="73">
        <f t="shared" si="109"/>
        <v>0.48574168262528084</v>
      </c>
      <c r="CR37" s="73">
        <f t="shared" si="109"/>
        <v>0.52144721853480525</v>
      </c>
      <c r="CS37" s="73">
        <f t="shared" si="109"/>
        <v>0.546673341177769</v>
      </c>
      <c r="CT37" s="73">
        <f t="shared" si="109"/>
        <v>0.57189946382073265</v>
      </c>
      <c r="CU37" s="73">
        <f t="shared" si="109"/>
        <v>0.59712558646369651</v>
      </c>
      <c r="CV37" s="102">
        <f t="shared" si="116"/>
        <v>0.4559096965461869</v>
      </c>
      <c r="CX37" s="443" t="s">
        <v>2211</v>
      </c>
      <c r="CY37" s="444">
        <f t="shared" ref="CY37:DE37" si="124">CO37/CO35</f>
        <v>3.6216896766033826</v>
      </c>
      <c r="CZ37" s="444">
        <f t="shared" si="124"/>
        <v>3.7095403046089701</v>
      </c>
      <c r="DA37" s="444">
        <f t="shared" si="124"/>
        <v>3.7720695995260978</v>
      </c>
      <c r="DB37" s="444">
        <f t="shared" si="124"/>
        <v>3.8694379704260187</v>
      </c>
      <c r="DC37" s="444">
        <f t="shared" si="124"/>
        <v>3.9071634401196431</v>
      </c>
      <c r="DD37" s="444">
        <f t="shared" si="124"/>
        <v>3.9422077034164391</v>
      </c>
      <c r="DE37" s="444">
        <f t="shared" si="124"/>
        <v>3.9748467875905957</v>
      </c>
      <c r="DG37" s="17" t="s">
        <v>676</v>
      </c>
      <c r="DH37" s="73">
        <f>1/(AVERAGE('GREET-AFLEET Summary'!B61:B63)*90.7185/1000)</f>
        <v>0.80245585137227049</v>
      </c>
      <c r="DJ37" t="s">
        <v>81</v>
      </c>
      <c r="DK37" s="95">
        <f>1/'Background Data'!U135</f>
        <v>4.7092730295224321</v>
      </c>
      <c r="DM37" s="17" t="s">
        <v>712</v>
      </c>
      <c r="DN37" s="88">
        <f>'OEO &amp; EPAUS9rT-HDV Data'!J8*km_mile</f>
        <v>0.76081568479526895</v>
      </c>
      <c r="DZ37" s="17" t="s">
        <v>240</v>
      </c>
      <c r="EA37" s="88">
        <f t="shared" si="111"/>
        <v>0.12711983540356891</v>
      </c>
      <c r="EB37" s="88">
        <f t="shared" si="111"/>
        <v>0.12716663272846579</v>
      </c>
      <c r="EC37" s="88">
        <f t="shared" si="111"/>
        <v>0.12725454077504475</v>
      </c>
      <c r="ED37" s="88">
        <f t="shared" si="111"/>
        <v>0.12798336319954176</v>
      </c>
      <c r="EE37" s="88">
        <f t="shared" si="111"/>
        <v>0.13013446967976824</v>
      </c>
      <c r="EF37" s="88">
        <f t="shared" si="111"/>
        <v>0.12699460348243752</v>
      </c>
      <c r="EG37" s="88">
        <f t="shared" si="111"/>
        <v>0.1290406407861161</v>
      </c>
      <c r="EH37" s="102">
        <f t="shared" si="118"/>
        <v>1.5110194065695423E-2</v>
      </c>
      <c r="EJ37" s="224" t="s">
        <v>627</v>
      </c>
      <c r="EK37" s="88">
        <f t="shared" si="112"/>
        <v>0.24231294808465947</v>
      </c>
      <c r="EL37" s="88">
        <f t="shared" si="112"/>
        <v>0.34804950724887446</v>
      </c>
      <c r="EM37" s="88">
        <f t="shared" si="112"/>
        <v>0.36162195064052394</v>
      </c>
      <c r="EN37" s="88">
        <f t="shared" si="112"/>
        <v>0.37629588193388591</v>
      </c>
      <c r="EO37" s="88">
        <f t="shared" si="112"/>
        <v>0.39221106118137944</v>
      </c>
      <c r="EP37" s="88">
        <f t="shared" si="112"/>
        <v>0.40953193684153716</v>
      </c>
      <c r="EQ37" s="88">
        <f t="shared" si="112"/>
        <v>0.42845334911332961</v>
      </c>
      <c r="ER37" s="102">
        <f t="shared" si="119"/>
        <v>0.76818181818181774</v>
      </c>
    </row>
    <row r="38" spans="1:148" x14ac:dyDescent="0.35">
      <c r="A38" t="s">
        <v>1174</v>
      </c>
      <c r="B38" t="s">
        <v>2071</v>
      </c>
      <c r="C38" t="s">
        <v>451</v>
      </c>
      <c r="D38" t="s">
        <v>2261</v>
      </c>
      <c r="E38" t="s">
        <v>851</v>
      </c>
      <c r="F38">
        <v>2022</v>
      </c>
      <c r="G38" s="63" t="s">
        <v>282</v>
      </c>
      <c r="H38" s="71"/>
      <c r="I38" s="71"/>
      <c r="J38" s="71"/>
      <c r="K38" s="71"/>
      <c r="L38" s="71"/>
      <c r="M38" s="71"/>
      <c r="N38" s="71"/>
      <c r="O38" s="71"/>
      <c r="P38" s="71"/>
      <c r="Q38" s="71"/>
      <c r="R38" s="71"/>
      <c r="S38" s="71"/>
      <c r="T38" s="71"/>
      <c r="U38" s="71"/>
      <c r="V38" s="71"/>
      <c r="W38" s="71"/>
      <c r="X38" s="71"/>
      <c r="Y38" s="71"/>
      <c r="Z38" s="71"/>
      <c r="AA38" s="71"/>
      <c r="AB38" s="71"/>
      <c r="AC38" s="305">
        <f t="shared" si="120"/>
        <v>1.4476480992049463</v>
      </c>
      <c r="AD38" s="71">
        <f t="shared" si="120"/>
        <v>1.5052437211491527</v>
      </c>
      <c r="AE38" s="71">
        <f t="shared" si="120"/>
        <v>1.5378446221022499</v>
      </c>
      <c r="AF38" s="71">
        <f t="shared" si="120"/>
        <v>1.6825978498376726</v>
      </c>
      <c r="AG38" s="71">
        <f t="shared" si="120"/>
        <v>1.7600698328365729</v>
      </c>
      <c r="AH38" s="71">
        <f t="shared" si="120"/>
        <v>1.8375418158354737</v>
      </c>
      <c r="AI38" s="71">
        <f t="shared" si="120"/>
        <v>1.9150137988343741</v>
      </c>
      <c r="AJ38" s="417">
        <f>AC38/AB7</f>
        <v>1.0100463377542117</v>
      </c>
      <c r="AK38" s="66" t="s">
        <v>2227</v>
      </c>
      <c r="AL38">
        <v>3</v>
      </c>
      <c r="AM38">
        <v>1</v>
      </c>
      <c r="AN38">
        <v>1</v>
      </c>
      <c r="AO38">
        <v>3</v>
      </c>
      <c r="AP38">
        <v>1</v>
      </c>
      <c r="AT38" s="17" t="s">
        <v>579</v>
      </c>
      <c r="AV38" s="88">
        <f t="shared" si="121"/>
        <v>1.1273135892792134</v>
      </c>
      <c r="AW38" s="88">
        <f t="shared" si="121"/>
        <v>1.1273135892792134</v>
      </c>
      <c r="AX38" s="88">
        <f t="shared" si="121"/>
        <v>1.1273135892792134</v>
      </c>
      <c r="AY38" s="88">
        <f t="shared" si="121"/>
        <v>1.1273135892792134</v>
      </c>
      <c r="BA38" s="17" t="s">
        <v>980</v>
      </c>
      <c r="BB38" s="73" cm="1">
        <f t="array" ref="BB38">1/AVERAGE(_xlfn._xlws.FILTER('ANL-DOE-LDV Data'!$AX:$AX, ('ANL-DOE-LDV Data'!$A:$A=$BA38)*('ANL-DOE-LDV Data'!$B:$B=BB$2-5)*('ANL-DOE-LDV Data'!$D:$D="Small_SUV_B")))</f>
        <v>1.3882517833208436</v>
      </c>
      <c r="BC38" s="73" cm="1">
        <f t="array" ref="BC38">1/AVERAGE(_xlfn._xlws.FILTER('ANL-DOE-LDV Data'!$AX:$AX, ('ANL-DOE-LDV Data'!$A:$A=$BA38)*('ANL-DOE-LDV Data'!$B:$B=BC$2-5)*('ANL-DOE-LDV Data'!$D:$D="Small_SUV_B")))</f>
        <v>1.4527492814801541</v>
      </c>
      <c r="BD38" s="73" cm="1">
        <f t="array" ref="BD38">1/AVERAGE(_xlfn._xlws.FILTER('ANL-DOE-LDV Data'!$AX:$AX, ('ANL-DOE-LDV Data'!$A:$A=$BA38)*('ANL-DOE-LDV Data'!$B:$B=BD$2-5)*('ANL-DOE-LDV Data'!$D:$D="Small_SUV_B")))</f>
        <v>1.5245481668082912</v>
      </c>
      <c r="BE38" s="73" cm="1">
        <f t="array" ref="BE38">1/AVERAGE(_xlfn._xlws.FILTER('ANL-DOE-LDV Data'!$AX:$AX, ('ANL-DOE-LDV Data'!$A:$A=$BA38)*('ANL-DOE-LDV Data'!$B:$B=BE$2-5)*('ANL-DOE-LDV Data'!$D:$D="Small_SUV_B")))</f>
        <v>1.6849688424453182</v>
      </c>
      <c r="BF38" s="73">
        <f t="shared" ref="BF38:BG38" si="125">($BH38-$BE38)/3 + BE38</f>
        <v>1.7522745695835376</v>
      </c>
      <c r="BG38" s="73">
        <f t="shared" si="125"/>
        <v>1.8195802967217569</v>
      </c>
      <c r="BH38" s="73" cm="1">
        <f t="array" ref="BH38">1/AVERAGE(_xlfn._xlws.FILTER('ANL-DOE-LDV Data'!$AX:$AX, ('ANL-DOE-LDV Data'!$A:$A=$BA38)*('ANL-DOE-LDV Data'!$B:$B=BH$2-5)*('ANL-DOE-LDV Data'!$D:$D="Small_SUV_B")))</f>
        <v>1.8868860238599765</v>
      </c>
      <c r="BI38" s="102">
        <f t="shared" si="85"/>
        <v>0.35918141545357685</v>
      </c>
      <c r="BK38" s="17" t="s">
        <v>987</v>
      </c>
      <c r="BL38" s="88">
        <f t="shared" si="92"/>
        <v>1.1924209535804295</v>
      </c>
      <c r="BM38" s="88">
        <f t="shared" si="93"/>
        <v>1.2631611920355406</v>
      </c>
      <c r="BN38" s="88">
        <f t="shared" si="94"/>
        <v>1.2834134922767579</v>
      </c>
      <c r="BO38" s="88">
        <f t="shared" si="95"/>
        <v>1.4058759409995685</v>
      </c>
      <c r="BP38" s="88">
        <f t="shared" si="96"/>
        <v>1.4654749642852574</v>
      </c>
      <c r="BQ38" s="88">
        <f t="shared" si="97"/>
        <v>1.5250739875709463</v>
      </c>
      <c r="BR38" s="88">
        <f t="shared" si="98"/>
        <v>1.5846730108566349</v>
      </c>
      <c r="BS38" s="102">
        <f t="shared" si="99"/>
        <v>0.32895434795774725</v>
      </c>
      <c r="BU38" s="443" t="s">
        <v>2203</v>
      </c>
      <c r="BV38" s="444">
        <f>BL38/BL37+(BW38-BL38/BL37)/5</f>
        <v>1.3741286806730704</v>
      </c>
      <c r="BW38" s="444">
        <f>BM38/BM37</f>
        <v>1.3836302980726372</v>
      </c>
      <c r="BX38" s="444">
        <f t="shared" ref="BX38:CB38" si="126">BN38/BN37</f>
        <v>1.3760121088527604</v>
      </c>
      <c r="BY38" s="444">
        <f t="shared" si="126"/>
        <v>1.3776369497739072</v>
      </c>
      <c r="BZ38" s="444">
        <f t="shared" si="126"/>
        <v>1.3728295460214619</v>
      </c>
      <c r="CA38" s="444">
        <f t="shared" si="126"/>
        <v>1.3684275089372129</v>
      </c>
      <c r="CB38" s="444">
        <f t="shared" si="126"/>
        <v>1.3643816411321188</v>
      </c>
      <c r="CD38" s="33" t="s">
        <v>2161</v>
      </c>
      <c r="CN38" s="17" t="s">
        <v>246</v>
      </c>
      <c r="CO38" s="73">
        <f t="shared" si="109"/>
        <v>0.60343267623496299</v>
      </c>
      <c r="CP38" s="73">
        <f t="shared" si="109"/>
        <v>0.6508628753943172</v>
      </c>
      <c r="CQ38" s="73">
        <f t="shared" si="109"/>
        <v>0.69847493443207909</v>
      </c>
      <c r="CR38" s="73">
        <f t="shared" si="109"/>
        <v>0.7418882466517247</v>
      </c>
      <c r="CS38" s="73">
        <f t="shared" si="109"/>
        <v>0.77140358216664862</v>
      </c>
      <c r="CT38" s="73">
        <f t="shared" si="109"/>
        <v>0.80091891768157264</v>
      </c>
      <c r="CU38" s="73">
        <f t="shared" si="109"/>
        <v>0.83043425319649677</v>
      </c>
      <c r="CV38" s="102">
        <f t="shared" si="116"/>
        <v>0.37618376647728058</v>
      </c>
      <c r="CX38" s="443" t="s">
        <v>2212</v>
      </c>
      <c r="CY38" s="444">
        <f t="shared" ref="CY38:DE38" si="127">CO38/CO35</f>
        <v>5.3285471943364335</v>
      </c>
      <c r="CZ38" s="444">
        <f t="shared" si="127"/>
        <v>5.3612458099789384</v>
      </c>
      <c r="DA38" s="444">
        <f t="shared" si="127"/>
        <v>5.4240683071762081</v>
      </c>
      <c r="DB38" s="444">
        <f t="shared" si="127"/>
        <v>5.5052370582649033</v>
      </c>
      <c r="DC38" s="444">
        <f t="shared" si="127"/>
        <v>5.5133470882728783</v>
      </c>
      <c r="DD38" s="444">
        <f t="shared" si="127"/>
        <v>5.5208807261374986</v>
      </c>
      <c r="DE38" s="444">
        <f t="shared" si="127"/>
        <v>5.5278973108012552</v>
      </c>
      <c r="DG38" s="33" t="s">
        <v>703</v>
      </c>
      <c r="DJ38" s="74" t="s">
        <v>1157</v>
      </c>
      <c r="DK38" s="95"/>
      <c r="DM38" s="17" t="s">
        <v>708</v>
      </c>
      <c r="DO38" s="88">
        <f>'OEO &amp; EPAUS9rT-HDV Data'!J12*km_mile</f>
        <v>0.80730997664386872</v>
      </c>
      <c r="DZ38" s="17" t="s">
        <v>239</v>
      </c>
      <c r="EA38" s="88">
        <f t="shared" si="111"/>
        <v>0.13071873333122785</v>
      </c>
      <c r="EB38" s="88">
        <f t="shared" si="111"/>
        <v>0.13716097086141082</v>
      </c>
      <c r="EC38" s="88">
        <f t="shared" si="111"/>
        <v>0.14869126178917855</v>
      </c>
      <c r="ED38" s="88">
        <f t="shared" si="111"/>
        <v>0.1590201849638356</v>
      </c>
      <c r="EE38" s="88">
        <f t="shared" si="111"/>
        <v>0.17194303509712094</v>
      </c>
      <c r="EF38" s="88">
        <f t="shared" si="111"/>
        <v>0.1814074805977626</v>
      </c>
      <c r="EG38" s="88">
        <f t="shared" si="111"/>
        <v>0.18561602291817841</v>
      </c>
      <c r="EH38" s="102">
        <f t="shared" si="118"/>
        <v>0.419964975087744</v>
      </c>
      <c r="EJ38" s="224" t="s">
        <v>828</v>
      </c>
      <c r="EK38" s="88">
        <f t="shared" si="112"/>
        <v>0.14318492386820783</v>
      </c>
      <c r="EL38" s="88">
        <f t="shared" si="112"/>
        <v>0.20816885085454831</v>
      </c>
      <c r="EM38" s="88">
        <f t="shared" si="112"/>
        <v>0.21554267935893284</v>
      </c>
      <c r="EN38" s="88">
        <f t="shared" si="112"/>
        <v>0.22345808848793322</v>
      </c>
      <c r="EO38" s="88">
        <f t="shared" si="112"/>
        <v>0.23197701854759048</v>
      </c>
      <c r="EP38" s="88">
        <f t="shared" si="112"/>
        <v>0.24117122964856205</v>
      </c>
      <c r="EQ38" s="88">
        <f t="shared" si="112"/>
        <v>0.25112432801501072</v>
      </c>
      <c r="ER38" s="102">
        <f t="shared" si="119"/>
        <v>0.75384615384615428</v>
      </c>
    </row>
    <row r="39" spans="1:148" x14ac:dyDescent="0.35">
      <c r="A39" t="s">
        <v>1175</v>
      </c>
      <c r="B39" t="s">
        <v>2072</v>
      </c>
      <c r="C39" t="s">
        <v>451</v>
      </c>
      <c r="D39" t="s">
        <v>2261</v>
      </c>
      <c r="E39" t="s">
        <v>851</v>
      </c>
      <c r="F39">
        <v>2022</v>
      </c>
      <c r="G39" s="63" t="s">
        <v>282</v>
      </c>
      <c r="H39" s="71"/>
      <c r="I39" s="71"/>
      <c r="J39" s="71"/>
      <c r="K39" s="71"/>
      <c r="L39" s="71"/>
      <c r="M39" s="71"/>
      <c r="N39" s="71"/>
      <c r="O39" s="71"/>
      <c r="P39" s="71"/>
      <c r="Q39" s="71"/>
      <c r="R39" s="71"/>
      <c r="S39" s="71"/>
      <c r="T39" s="71"/>
      <c r="U39" s="71"/>
      <c r="V39" s="71"/>
      <c r="W39" s="71"/>
      <c r="X39" s="71"/>
      <c r="Y39" s="71"/>
      <c r="Z39" s="71"/>
      <c r="AA39" s="71"/>
      <c r="AB39" s="71"/>
      <c r="AC39" s="305">
        <f t="shared" ref="AC39:AI39" si="128">AC38*BV38</f>
        <v>1.989254772639371</v>
      </c>
      <c r="AD39" s="71">
        <f t="shared" si="128"/>
        <v>2.0827008185655678</v>
      </c>
      <c r="AE39" s="71">
        <f t="shared" si="128"/>
        <v>2.1160928215467933</v>
      </c>
      <c r="AF39" s="71">
        <f t="shared" si="128"/>
        <v>2.318008969546506</v>
      </c>
      <c r="AG39" s="71">
        <f t="shared" si="128"/>
        <v>2.4162758695791027</v>
      </c>
      <c r="AH39" s="71">
        <f t="shared" si="128"/>
        <v>2.5145427696117002</v>
      </c>
      <c r="AI39" s="71">
        <f t="shared" si="128"/>
        <v>2.6128096696442964</v>
      </c>
      <c r="AJ39" s="417"/>
      <c r="AK39" s="66" t="s">
        <v>2227</v>
      </c>
      <c r="AL39">
        <v>3</v>
      </c>
      <c r="AM39">
        <v>1</v>
      </c>
      <c r="AN39">
        <v>1</v>
      </c>
      <c r="AO39">
        <v>3</v>
      </c>
      <c r="AP39">
        <v>1</v>
      </c>
      <c r="AT39" s="17" t="s">
        <v>1054</v>
      </c>
      <c r="AV39" s="88">
        <f t="shared" ref="AV39:AY41" si="129">1/(AV10*ELC_PJ_MkWh*10)</f>
        <v>1.4666494496527613</v>
      </c>
      <c r="AW39" s="88">
        <f t="shared" si="129"/>
        <v>1.4666494496527613</v>
      </c>
      <c r="AX39" s="88">
        <f t="shared" si="129"/>
        <v>1.4666494496527613</v>
      </c>
      <c r="AY39" s="88">
        <f t="shared" si="129"/>
        <v>1.4666494496527613</v>
      </c>
      <c r="BA39" s="17" t="s">
        <v>981</v>
      </c>
      <c r="BB39" s="73" cm="1">
        <f t="array" ref="BB39">1/AVERAGE(_xlfn._xlws.FILTER('ANL-DOE-LDV Data'!$AX:$AX, ('ANL-DOE-LDV Data'!$A:$A=$BA39)*('ANL-DOE-LDV Data'!$B:$B=BB$2-5)*('ANL-DOE-LDV Data'!$D:$D="Small_SUV_B")))</f>
        <v>1.2519145742538602</v>
      </c>
      <c r="BC39" s="73" cm="1">
        <f t="array" ref="BC39">1/AVERAGE(_xlfn._xlws.FILTER('ANL-DOE-LDV Data'!$AX:$AX, ('ANL-DOE-LDV Data'!$A:$A=$BA39)*('ANL-DOE-LDV Data'!$B:$B=BC$2-5)*('ANL-DOE-LDV Data'!$D:$D="Small_SUV_B")))</f>
        <v>1.309997929277205</v>
      </c>
      <c r="BD39" s="73" cm="1">
        <f t="array" ref="BD39">1/AVERAGE(_xlfn._xlws.FILTER('ANL-DOE-LDV Data'!$AX:$AX, ('ANL-DOE-LDV Data'!$A:$A=$BA39)*('ANL-DOE-LDV Data'!$B:$B=BD$2-5)*('ANL-DOE-LDV Data'!$D:$D="Small_SUV_B")))</f>
        <v>1.4059800826252455</v>
      </c>
      <c r="BE39" s="73" cm="1">
        <f t="array" ref="BE39">1/AVERAGE(_xlfn._xlws.FILTER('ANL-DOE-LDV Data'!$AX:$AX, ('ANL-DOE-LDV Data'!$A:$A=$BA39)*('ANL-DOE-LDV Data'!$B:$B=BE$2-5)*('ANL-DOE-LDV Data'!$D:$D="Small_SUV_B")))</f>
        <v>1.5517057594918275</v>
      </c>
      <c r="BF39" s="73">
        <f t="shared" ref="BF39:BG39" si="130">($BH39-$BE39)/3 + BE39</f>
        <v>1.6161870386939272</v>
      </c>
      <c r="BG39" s="73">
        <f t="shared" si="130"/>
        <v>1.6806683178960269</v>
      </c>
      <c r="BH39" s="73" cm="1">
        <f t="array" ref="BH39">1/AVERAGE(_xlfn._xlws.FILTER('ANL-DOE-LDV Data'!$AX:$AX, ('ANL-DOE-LDV Data'!$A:$A=$BA39)*('ANL-DOE-LDV Data'!$B:$B=BH$2-5)*('ANL-DOE-LDV Data'!$D:$D="Small_SUV_B")))</f>
        <v>1.7451495970981266</v>
      </c>
      <c r="BI39" s="102">
        <f t="shared" si="85"/>
        <v>0.39398456810700033</v>
      </c>
      <c r="BK39" s="17" t="s">
        <v>975</v>
      </c>
      <c r="BL39" s="88">
        <f t="shared" si="92"/>
        <v>2.026101575279986</v>
      </c>
      <c r="BM39" s="88">
        <f t="shared" si="93"/>
        <v>2.1171854538996442</v>
      </c>
      <c r="BN39" s="88">
        <f t="shared" si="94"/>
        <v>2.1659526011210639</v>
      </c>
      <c r="BO39" s="88">
        <f t="shared" si="95"/>
        <v>2.3813027737192307</v>
      </c>
      <c r="BP39" s="88">
        <f t="shared" si="96"/>
        <v>2.4657967964035077</v>
      </c>
      <c r="BQ39" s="88">
        <f t="shared" si="97"/>
        <v>2.5502908190877851</v>
      </c>
      <c r="BR39" s="88">
        <f t="shared" si="98"/>
        <v>2.6347848417720616</v>
      </c>
      <c r="BS39" s="102">
        <f t="shared" si="99"/>
        <v>0.30042090382756942</v>
      </c>
      <c r="BU39" s="17" t="s">
        <v>975</v>
      </c>
      <c r="BV39" s="73">
        <f t="shared" si="104"/>
        <v>1.0089910476089603</v>
      </c>
      <c r="BW39" s="73">
        <f>BM39/BL39</f>
        <v>1.0449552380448011</v>
      </c>
      <c r="BX39" s="73">
        <f>BN39/BL39</f>
        <v>1.0690246863964616</v>
      </c>
      <c r="BY39" s="73">
        <f>BO39/BL39</f>
        <v>1.1753126312979445</v>
      </c>
      <c r="BZ39" s="73">
        <f>BP39/BL39</f>
        <v>1.2170153888078195</v>
      </c>
      <c r="CA39" s="73">
        <f>BQ39/BL39</f>
        <v>1.2587181463176946</v>
      </c>
      <c r="CB39" s="73">
        <f>BR39/BL39</f>
        <v>1.3004209038275694</v>
      </c>
      <c r="CD39" s="17" t="s">
        <v>1017</v>
      </c>
      <c r="CE39" s="439" cm="1">
        <f t="array" ref="CE39">1/AVERAGE(_xlfn._xlws.FILTER('ANL-DOE-MHDV Data'!$AX:$AX,('ANL-DOE-MHDV Data'!$A:$A=$CD39)*('ANL-DOE-MHDV Data'!$B:$B=CE$2)*('ANL-DOE-MHDV Data'!$E:$E="DayCab 8")))</f>
        <v>5.0743397045862088E-2</v>
      </c>
      <c r="CF39" s="439" cm="1">
        <f t="array" ref="CF39">1/AVERAGE(_xlfn._xlws.FILTER('ANL-DOE-MHDV Data'!$AX:$AX,('ANL-DOE-MHDV Data'!$A:$A=$CD39)*('ANL-DOE-MHDV Data'!$B:$B=CF$2)*('ANL-DOE-MHDV Data'!$E:$E="DayCab 8")))</f>
        <v>5.3767293045572297E-2</v>
      </c>
      <c r="CG39" s="439" cm="1">
        <f t="array" ref="CG39">1/AVERAGE(_xlfn._xlws.FILTER('ANL-DOE-MHDV Data'!$AX:$AX,('ANL-DOE-MHDV Data'!$A:$A=$CD39)*('ANL-DOE-MHDV Data'!$B:$B=CG$2)*('ANL-DOE-MHDV Data'!$E:$E="DayCab 8")))</f>
        <v>5.6791904399876816E-2</v>
      </c>
      <c r="CH39" s="439" cm="1">
        <f t="array" ref="CH39">1/AVERAGE(_xlfn._xlws.FILTER('ANL-DOE-MHDV Data'!$AX:$AX,('ANL-DOE-MHDV Data'!$A:$A=$CD39)*('ANL-DOE-MHDV Data'!$B:$B=CH$2)*('ANL-DOE-MHDV Data'!$E:$E="DayCab 8")))</f>
        <v>5.8990443975075788E-2</v>
      </c>
      <c r="CI39" s="439">
        <f t="shared" ref="CI39:CJ39" si="131">($CK39-$CH39)/3 + CH39</f>
        <v>6.0686870623921162E-2</v>
      </c>
      <c r="CJ39" s="439">
        <f t="shared" si="131"/>
        <v>6.2383297272766536E-2</v>
      </c>
      <c r="CK39" s="439" cm="1">
        <f t="array" ref="CK39">1/AVERAGE(_xlfn._xlws.FILTER('ANL-DOE-MHDV Data'!$AX:$AX,('ANL-DOE-MHDV Data'!$A:$A=$CD39)*('ANL-DOE-MHDV Data'!$B:$B=CK$2)*('ANL-DOE-MHDV Data'!$E:$E="DayCab 8")))</f>
        <v>6.4079723921611903E-2</v>
      </c>
      <c r="CL39" s="102">
        <f t="shared" si="11"/>
        <v>0.26281896073485955</v>
      </c>
      <c r="CN39" s="17" t="s">
        <v>627</v>
      </c>
      <c r="CO39" s="73">
        <f t="shared" si="109"/>
        <v>0.29889192880711873</v>
      </c>
      <c r="CP39" s="73">
        <f t="shared" si="109"/>
        <v>0.31825237012530877</v>
      </c>
      <c r="CQ39" s="73">
        <f t="shared" si="109"/>
        <v>0.3400790999133636</v>
      </c>
      <c r="CR39" s="73">
        <f t="shared" si="109"/>
        <v>0.3571628720797555</v>
      </c>
      <c r="CS39" s="73">
        <f t="shared" si="109"/>
        <v>0.36974062167954119</v>
      </c>
      <c r="CT39" s="73">
        <f t="shared" si="109"/>
        <v>0.38231837127932683</v>
      </c>
      <c r="CU39" s="73">
        <f t="shared" si="109"/>
        <v>0.39489612087911236</v>
      </c>
      <c r="CV39" s="102">
        <f t="shared" si="116"/>
        <v>0.32120034975567091</v>
      </c>
      <c r="CX39" s="443" t="s">
        <v>2213</v>
      </c>
      <c r="CY39" s="444">
        <f t="shared" ref="CY39:DE39" si="132">CO39/CO35</f>
        <v>2.6393329552389568</v>
      </c>
      <c r="CZ39" s="444">
        <f t="shared" si="132"/>
        <v>2.6214879513852747</v>
      </c>
      <c r="DA39" s="444">
        <f t="shared" si="132"/>
        <v>2.6409140497975305</v>
      </c>
      <c r="DB39" s="444">
        <f t="shared" si="132"/>
        <v>2.6503537265671899</v>
      </c>
      <c r="DC39" s="444">
        <f t="shared" si="132"/>
        <v>2.6425964658182224</v>
      </c>
      <c r="DD39" s="444">
        <f t="shared" si="132"/>
        <v>2.6353905253658847</v>
      </c>
      <c r="DE39" s="444">
        <f t="shared" si="132"/>
        <v>2.6286791473869586</v>
      </c>
      <c r="DG39" s="17" t="s">
        <v>674</v>
      </c>
      <c r="DH39" s="73">
        <f>1/(AVERAGE('GREET-AFLEET Summary'!B43:B45))</f>
        <v>0.10874873263932852</v>
      </c>
      <c r="DI39" s="95"/>
      <c r="DK39" s="266"/>
      <c r="DM39" s="17" t="s">
        <v>710</v>
      </c>
      <c r="DN39" s="88">
        <f>'OEO &amp; EPAUS9rT-HDV Data'!J14*km_mile</f>
        <v>0.83037597597655055</v>
      </c>
      <c r="DZ39" s="17" t="s">
        <v>246</v>
      </c>
      <c r="EA39" s="88">
        <f t="shared" si="111"/>
        <v>0.26566909663844296</v>
      </c>
      <c r="EB39" s="88">
        <f t="shared" si="111"/>
        <v>0.26567496722032147</v>
      </c>
      <c r="EC39" s="88">
        <f t="shared" si="111"/>
        <v>0.26566687176501053</v>
      </c>
      <c r="ED39" s="88">
        <f t="shared" si="111"/>
        <v>0.26562030362207861</v>
      </c>
      <c r="EE39" s="88">
        <f t="shared" si="111"/>
        <v>0.2656842522119231</v>
      </c>
      <c r="EF39" s="88">
        <f t="shared" si="111"/>
        <v>0.26568344817350448</v>
      </c>
      <c r="EG39" s="88">
        <f t="shared" si="111"/>
        <v>0.26568347020195426</v>
      </c>
      <c r="EH39" s="102">
        <f t="shared" si="118"/>
        <v>5.4103257372333962E-5</v>
      </c>
      <c r="EJ39" s="224" t="s">
        <v>829</v>
      </c>
      <c r="EK39" s="88">
        <f t="shared" si="112"/>
        <v>0.14098207888562003</v>
      </c>
      <c r="EL39" s="88">
        <f t="shared" si="112"/>
        <v>0.21698023078489961</v>
      </c>
      <c r="EM39" s="88">
        <f t="shared" si="112"/>
        <v>0.22536144141607597</v>
      </c>
      <c r="EN39" s="88">
        <f t="shared" si="112"/>
        <v>0.23441614218725756</v>
      </c>
      <c r="EO39" s="88">
        <f t="shared" si="112"/>
        <v>0.24422891092997995</v>
      </c>
      <c r="EP39" s="88">
        <f t="shared" si="112"/>
        <v>0.2548991060676975</v>
      </c>
      <c r="EQ39" s="88">
        <f t="shared" si="112"/>
        <v>0.26654424289312534</v>
      </c>
      <c r="ER39" s="102">
        <f t="shared" si="119"/>
        <v>0.89062499999999978</v>
      </c>
    </row>
    <row r="40" spans="1:148" x14ac:dyDescent="0.35">
      <c r="A40" t="s">
        <v>1176</v>
      </c>
      <c r="B40" t="s">
        <v>2010</v>
      </c>
      <c r="C40" t="s">
        <v>451</v>
      </c>
      <c r="D40" t="s">
        <v>2261</v>
      </c>
      <c r="E40" t="s">
        <v>851</v>
      </c>
      <c r="F40">
        <v>2022</v>
      </c>
      <c r="G40" s="63" t="s">
        <v>282</v>
      </c>
      <c r="H40" s="71"/>
      <c r="I40" s="71"/>
      <c r="J40" s="71"/>
      <c r="K40" s="71"/>
      <c r="L40" s="71"/>
      <c r="M40" s="71"/>
      <c r="N40" s="71"/>
      <c r="O40" s="71"/>
      <c r="P40" s="71"/>
      <c r="Q40" s="71"/>
      <c r="R40" s="71"/>
      <c r="S40" s="71"/>
      <c r="T40" s="71"/>
      <c r="U40" s="71"/>
      <c r="V40" s="71"/>
      <c r="W40" s="71"/>
      <c r="X40" s="71"/>
      <c r="Y40" s="71"/>
      <c r="Z40" s="71"/>
      <c r="AA40" s="71"/>
      <c r="AB40" s="71"/>
      <c r="AC40" s="305">
        <f t="shared" ref="AC40:AI40" si="133">$AB5*BV39</f>
        <v>2.3470200831569956</v>
      </c>
      <c r="AD40" s="71">
        <f t="shared" si="133"/>
        <v>2.4306766006527925</v>
      </c>
      <c r="AE40" s="71">
        <f t="shared" si="133"/>
        <v>2.4866646877678633</v>
      </c>
      <c r="AF40" s="71">
        <f t="shared" si="133"/>
        <v>2.7339017092185673</v>
      </c>
      <c r="AG40" s="71">
        <f t="shared" si="133"/>
        <v>2.8309067417514577</v>
      </c>
      <c r="AH40" s="71">
        <f t="shared" si="133"/>
        <v>2.9279117742843495</v>
      </c>
      <c r="AI40" s="71">
        <f t="shared" si="133"/>
        <v>3.0249168068172394</v>
      </c>
      <c r="AJ40" s="417">
        <f>AC40/AB5</f>
        <v>1.0089910476089603</v>
      </c>
      <c r="AK40" s="66" t="s">
        <v>2227</v>
      </c>
      <c r="AL40">
        <v>3</v>
      </c>
      <c r="AM40">
        <v>1</v>
      </c>
      <c r="AN40">
        <v>1</v>
      </c>
      <c r="AO40">
        <v>3</v>
      </c>
      <c r="AP40">
        <v>1</v>
      </c>
      <c r="AT40" s="17" t="s">
        <v>1053</v>
      </c>
      <c r="AV40" s="88">
        <f t="shared" si="129"/>
        <v>1.1416886339675409</v>
      </c>
      <c r="AW40" s="88">
        <f t="shared" si="129"/>
        <v>1.1416886339675409</v>
      </c>
      <c r="AX40" s="88">
        <f t="shared" si="129"/>
        <v>1.1416886339675409</v>
      </c>
      <c r="AY40" s="88">
        <f t="shared" si="129"/>
        <v>1.1416886339675409</v>
      </c>
      <c r="BA40" s="17" t="s">
        <v>988</v>
      </c>
      <c r="BB40" s="73" cm="1">
        <f t="array" ref="BB40">1/AVERAGE(_xlfn._xlws.FILTER('ANL-DOE-LDV Data'!$AX:$AX, ('ANL-DOE-LDV Data'!$A:$A=$BA40)*('ANL-DOE-LDV Data'!$B:$B=BB$2-5)*('ANL-DOE-LDV Data'!$D:$D="Small_SUV_B")))</f>
        <v>0.72381126671952278</v>
      </c>
      <c r="BC40" s="73" cm="1">
        <f t="array" ref="BC40">1/AVERAGE(_xlfn._xlws.FILTER('ANL-DOE-LDV Data'!$AX:$AX, ('ANL-DOE-LDV Data'!$A:$A=$BA40)*('ANL-DOE-LDV Data'!$B:$B=BC$2-5)*('ANL-DOE-LDV Data'!$D:$D="Small_SUV_B")))</f>
        <v>0.74929941049908222</v>
      </c>
      <c r="BD40" s="73" cm="1">
        <f t="array" ref="BD40">1/AVERAGE(_xlfn._xlws.FILTER('ANL-DOE-LDV Data'!$AX:$AX, ('ANL-DOE-LDV Data'!$A:$A=$BA40)*('ANL-DOE-LDV Data'!$B:$B=BD$2-5)*('ANL-DOE-LDV Data'!$D:$D="Small_SUV_B")))</f>
        <v>0.76147535490923701</v>
      </c>
      <c r="BE40" s="73" cm="1">
        <f t="array" ref="BE40">1/AVERAGE(_xlfn._xlws.FILTER('ANL-DOE-LDV Data'!$AX:$AX, ('ANL-DOE-LDV Data'!$A:$A=$BA40)*('ANL-DOE-LDV Data'!$B:$B=BE$2-5)*('ANL-DOE-LDV Data'!$D:$D="Small_SUV_B")))</f>
        <v>0.81904959128788102</v>
      </c>
      <c r="BF40" s="73">
        <f t="shared" ref="BF40:BG40" si="134">($BH40-$BE40)/3 + BE40</f>
        <v>0.83988217794714448</v>
      </c>
      <c r="BG40" s="73">
        <f t="shared" si="134"/>
        <v>0.86071476460640794</v>
      </c>
      <c r="BH40" s="73" cm="1">
        <f t="array" ref="BH40">1/AVERAGE(_xlfn._xlws.FILTER('ANL-DOE-LDV Data'!$AX:$AX, ('ANL-DOE-LDV Data'!$A:$A=$BA40)*('ANL-DOE-LDV Data'!$B:$B=BH$2-5)*('ANL-DOE-LDV Data'!$D:$D="Small_SUV_B")))</f>
        <v>0.88154735126567152</v>
      </c>
      <c r="BI40" s="102">
        <f t="shared" si="85"/>
        <v>0.21792432889452595</v>
      </c>
      <c r="BK40" s="17" t="s">
        <v>979</v>
      </c>
      <c r="BL40" s="88">
        <f t="shared" si="92"/>
        <v>1.9340050455855797</v>
      </c>
      <c r="BM40" s="88">
        <f t="shared" si="93"/>
        <v>2.0247737345014505</v>
      </c>
      <c r="BN40" s="88">
        <f t="shared" si="94"/>
        <v>2.0879365289334451</v>
      </c>
      <c r="BO40" s="88">
        <f t="shared" si="95"/>
        <v>2.3037268721297615</v>
      </c>
      <c r="BP40" s="88">
        <f t="shared" si="96"/>
        <v>2.3877008945021205</v>
      </c>
      <c r="BQ40" s="88">
        <f t="shared" si="97"/>
        <v>2.4716749168744796</v>
      </c>
      <c r="BR40" s="88">
        <f t="shared" si="98"/>
        <v>2.5556489392468391</v>
      </c>
      <c r="BS40" s="102">
        <f t="shared" si="99"/>
        <v>0.32142826880425096</v>
      </c>
      <c r="BU40" s="443" t="s">
        <v>2204</v>
      </c>
      <c r="BV40" s="444">
        <f>BL40/BL39+(BW40-BL40/BL39)/5</f>
        <v>0.9549062909950925</v>
      </c>
      <c r="BW40" s="444">
        <f t="shared" ref="BW40:CB40" si="135">BM40/BM39</f>
        <v>0.95635161802761282</v>
      </c>
      <c r="BX40" s="444">
        <f t="shared" si="135"/>
        <v>0.96398071123659912</v>
      </c>
      <c r="BY40" s="444">
        <f t="shared" si="135"/>
        <v>0.96742291553782234</v>
      </c>
      <c r="BZ40" s="444">
        <f t="shared" si="135"/>
        <v>0.96832833021143749</v>
      </c>
      <c r="CA40" s="444">
        <f t="shared" si="135"/>
        <v>0.96917375005826756</v>
      </c>
      <c r="CB40" s="444">
        <f t="shared" si="135"/>
        <v>0.96996494693965274</v>
      </c>
      <c r="CD40" s="17" t="s">
        <v>1020</v>
      </c>
      <c r="CE40" s="439" cm="1">
        <f t="array" ref="CE40">1/AVERAGE(_xlfn._xlws.FILTER('ANL-DOE-MHDV Data'!$AX:$AX,('ANL-DOE-MHDV Data'!$A:$A=$CD40)*('ANL-DOE-MHDV Data'!$B:$B=CE$2)*('ANL-DOE-MHDV Data'!$E:$E="DayCab 8")))</f>
        <v>6.457626139586152E-2</v>
      </c>
      <c r="CF40" s="439" cm="1">
        <f t="array" ref="CF40">1/AVERAGE(_xlfn._xlws.FILTER('ANL-DOE-MHDV Data'!$AX:$AX,('ANL-DOE-MHDV Data'!$A:$A=$CD40)*('ANL-DOE-MHDV Data'!$B:$B=CF$2)*('ANL-DOE-MHDV Data'!$E:$E="DayCab 8")))</f>
        <v>6.9321967466700898E-2</v>
      </c>
      <c r="CG40" s="439" cm="1">
        <f t="array" ref="CG40">1/AVERAGE(_xlfn._xlws.FILTER('ANL-DOE-MHDV Data'!$AX:$AX,('ANL-DOE-MHDV Data'!$A:$A=$CD40)*('ANL-DOE-MHDV Data'!$B:$B=CG$2)*('ANL-DOE-MHDV Data'!$E:$E="DayCab 8")))</f>
        <v>7.4100087187317809E-2</v>
      </c>
      <c r="CH40" s="439" cm="1">
        <f t="array" ref="CH40">1/AVERAGE(_xlfn._xlws.FILTER('ANL-DOE-MHDV Data'!$AX:$AX,('ANL-DOE-MHDV Data'!$A:$A=$CD40)*('ANL-DOE-MHDV Data'!$B:$B=CH$2)*('ANL-DOE-MHDV Data'!$E:$E="DayCab 8")))</f>
        <v>7.7336870770554886E-2</v>
      </c>
      <c r="CI40" s="439">
        <f t="shared" ref="CI40:CJ40" si="136">($CK40-$CH40)/3 + CH40</f>
        <v>8.026458369319317E-2</v>
      </c>
      <c r="CJ40" s="439">
        <f t="shared" si="136"/>
        <v>8.3192296615831454E-2</v>
      </c>
      <c r="CK40" s="439" cm="1">
        <f t="array" ref="CK40">1/AVERAGE(_xlfn._xlws.FILTER('ANL-DOE-MHDV Data'!$AX:$AX,('ANL-DOE-MHDV Data'!$A:$A=$CD40)*('ANL-DOE-MHDV Data'!$B:$B=CK$2)*('ANL-DOE-MHDV Data'!$E:$E="DayCab 8")))</f>
        <v>8.6120009538469752E-2</v>
      </c>
      <c r="CL40" s="102">
        <f t="shared" si="11"/>
        <v>0.33361714780206986</v>
      </c>
      <c r="CN40" s="17" t="s">
        <v>1065</v>
      </c>
      <c r="CO40" s="73">
        <f t="shared" si="109"/>
        <v>0.31298079887879743</v>
      </c>
      <c r="CP40" s="73">
        <f t="shared" si="109"/>
        <v>0.33730960305984464</v>
      </c>
      <c r="CQ40" s="73">
        <f t="shared" si="109"/>
        <v>0.36278365448882977</v>
      </c>
      <c r="CR40" s="73">
        <f t="shared" si="109"/>
        <v>0.38448612531187681</v>
      </c>
      <c r="CS40" s="73">
        <f t="shared" si="109"/>
        <v>0.4004571851348841</v>
      </c>
      <c r="CT40" s="73">
        <f t="shared" si="109"/>
        <v>0.41642824495789132</v>
      </c>
      <c r="CU40" s="73">
        <f t="shared" si="109"/>
        <v>0.43239930478089866</v>
      </c>
      <c r="CV40" s="102">
        <f t="shared" si="116"/>
        <v>0.38155217933463814</v>
      </c>
      <c r="CX40" s="443" t="s">
        <v>2214</v>
      </c>
      <c r="CY40" s="444">
        <f t="shared" ref="CY40:DE40" si="137">CO40/CO35</f>
        <v>2.7637432035540188</v>
      </c>
      <c r="CZ40" s="444">
        <f t="shared" si="137"/>
        <v>2.7784649646435198</v>
      </c>
      <c r="DA40" s="444">
        <f t="shared" si="137"/>
        <v>2.8172282578391852</v>
      </c>
      <c r="DB40" s="444">
        <f t="shared" si="137"/>
        <v>2.8531079647219357</v>
      </c>
      <c r="DC40" s="444">
        <f t="shared" si="137"/>
        <v>2.8621327495526145</v>
      </c>
      <c r="DD40" s="444">
        <f t="shared" si="137"/>
        <v>2.8705161292261274</v>
      </c>
      <c r="DE40" s="444">
        <f t="shared" si="137"/>
        <v>2.8783241357038301</v>
      </c>
      <c r="DG40" s="17" t="s">
        <v>675</v>
      </c>
      <c r="DH40" s="73">
        <f>1/(AVERAGE('GREET-AFLEET Summary'!B56:B58))</f>
        <v>0.10907596052089122</v>
      </c>
      <c r="DJ40" s="266"/>
      <c r="DK40" s="266"/>
      <c r="DM40" s="17" t="s">
        <v>711</v>
      </c>
      <c r="DO40" s="88">
        <f>'OEO &amp; EPAUS9rT-HDV Data'!J11*km_mile</f>
        <v>1.0379699699706884</v>
      </c>
      <c r="DZ40" s="17" t="s">
        <v>1197</v>
      </c>
      <c r="EA40" s="88"/>
      <c r="EB40" s="88">
        <f t="shared" ref="EB40:EG42" si="138">1/(EB9*DSL_PJ_ML*10)</f>
        <v>0.26118448975176606</v>
      </c>
      <c r="EC40" s="88">
        <f t="shared" si="138"/>
        <v>0.27620291410335435</v>
      </c>
      <c r="ED40" s="88">
        <f t="shared" si="138"/>
        <v>0.29707259036881689</v>
      </c>
      <c r="EE40" s="88">
        <f t="shared" si="138"/>
        <v>0.30988465620007</v>
      </c>
      <c r="EF40" s="88">
        <f t="shared" si="138"/>
        <v>0.31555205867169756</v>
      </c>
      <c r="EG40" s="88">
        <f t="shared" si="138"/>
        <v>0.31864627386226468</v>
      </c>
      <c r="EH40" s="102">
        <f>(EG40-EB40)/EB40</f>
        <v>0.22000458053658251</v>
      </c>
      <c r="EJ40" s="224" t="s">
        <v>240</v>
      </c>
      <c r="EK40" s="88">
        <f t="shared" si="112"/>
        <v>9.8026601725157675E-2</v>
      </c>
      <c r="EL40" s="88">
        <f t="shared" si="112"/>
        <v>0.14098207888562003</v>
      </c>
      <c r="EM40" s="88">
        <f t="shared" si="112"/>
        <v>0.14700851490016081</v>
      </c>
      <c r="EN40" s="88">
        <f t="shared" si="112"/>
        <v>0.15357317118122343</v>
      </c>
      <c r="EO40" s="88">
        <f t="shared" si="112"/>
        <v>0.16075152054238548</v>
      </c>
      <c r="EP40" s="88">
        <f t="shared" si="112"/>
        <v>0.16863383878592</v>
      </c>
      <c r="EQ40" s="88">
        <f t="shared" si="112"/>
        <v>0.177329021098319</v>
      </c>
      <c r="ER40" s="102">
        <f t="shared" si="119"/>
        <v>0.80898876404494435</v>
      </c>
    </row>
    <row r="41" spans="1:148" x14ac:dyDescent="0.35">
      <c r="A41" t="s">
        <v>1177</v>
      </c>
      <c r="B41" t="s">
        <v>2010</v>
      </c>
      <c r="C41" t="s">
        <v>451</v>
      </c>
      <c r="D41" t="s">
        <v>2261</v>
      </c>
      <c r="E41" t="s">
        <v>851</v>
      </c>
      <c r="F41">
        <v>2022</v>
      </c>
      <c r="G41" s="63" t="s">
        <v>282</v>
      </c>
      <c r="H41" s="71"/>
      <c r="I41" s="71"/>
      <c r="J41" s="71"/>
      <c r="K41" s="71"/>
      <c r="L41" s="71"/>
      <c r="M41" s="71"/>
      <c r="N41" s="71"/>
      <c r="O41" s="71"/>
      <c r="P41" s="71"/>
      <c r="Q41" s="71"/>
      <c r="R41" s="71"/>
      <c r="S41" s="71"/>
      <c r="T41" s="71"/>
      <c r="U41" s="71"/>
      <c r="V41" s="71"/>
      <c r="W41" s="71"/>
      <c r="X41" s="71"/>
      <c r="Y41" s="71"/>
      <c r="Z41" s="71"/>
      <c r="AA41" s="71"/>
      <c r="AB41" s="71"/>
      <c r="AC41" s="305">
        <f t="shared" ref="AC41:AI43" si="139">AC$40*BV40</f>
        <v>2.2411842424984401</v>
      </c>
      <c r="AD41" s="71">
        <f t="shared" si="139"/>
        <v>2.3245814999361558</v>
      </c>
      <c r="AE41" s="71">
        <f t="shared" si="139"/>
        <v>2.3970967943214005</v>
      </c>
      <c r="AF41" s="71">
        <f t="shared" si="139"/>
        <v>2.6448391623260621</v>
      </c>
      <c r="AG41" s="71">
        <f t="shared" si="139"/>
        <v>2.7412471982244901</v>
      </c>
      <c r="AH41" s="71">
        <f t="shared" si="139"/>
        <v>2.8376552341229186</v>
      </c>
      <c r="AI41" s="71">
        <f t="shared" si="139"/>
        <v>2.9340632700213476</v>
      </c>
      <c r="AJ41" s="417"/>
      <c r="AK41" s="66" t="s">
        <v>2227</v>
      </c>
      <c r="AL41">
        <v>3</v>
      </c>
      <c r="AM41">
        <v>1</v>
      </c>
      <c r="AN41">
        <v>1</v>
      </c>
      <c r="AO41">
        <v>3</v>
      </c>
      <c r="AP41">
        <v>1</v>
      </c>
      <c r="AT41" s="17" t="s">
        <v>1052</v>
      </c>
      <c r="AV41" s="88">
        <f t="shared" si="129"/>
        <v>1.6076308823391023</v>
      </c>
      <c r="AW41" s="88">
        <f t="shared" si="129"/>
        <v>1.6076308823391023</v>
      </c>
      <c r="AX41" s="88">
        <f t="shared" si="129"/>
        <v>1.6076308823391023</v>
      </c>
      <c r="AY41" s="88">
        <f t="shared" si="129"/>
        <v>1.6076308823391023</v>
      </c>
      <c r="BA41" s="17" t="s">
        <v>990</v>
      </c>
      <c r="BB41" s="73" cm="1">
        <f t="array" ref="BB41">1/AVERAGE(_xlfn._xlws.FILTER('ANL-DOE-LDV Data'!$AX:$AX, ('ANL-DOE-LDV Data'!$A:$A=$BA41)*('ANL-DOE-LDV Data'!$B:$B=BB$2-5)*('ANL-DOE-LDV Data'!$D:$D="Small_SUV_B")))</f>
        <v>0.71341096798458636</v>
      </c>
      <c r="BC41" s="73" cm="1">
        <f t="array" ref="BC41">1/AVERAGE(_xlfn._xlws.FILTER('ANL-DOE-LDV Data'!$AX:$AX, ('ANL-DOE-LDV Data'!$A:$A=$BA41)*('ANL-DOE-LDV Data'!$B:$B=BC$2-5)*('ANL-DOE-LDV Data'!$D:$D="Small_SUV_B")))</f>
        <v>0.73815938386511348</v>
      </c>
      <c r="BD41" s="73" cm="1">
        <f t="array" ref="BD41">1/AVERAGE(_xlfn._xlws.FILTER('ANL-DOE-LDV Data'!$AX:$AX, ('ANL-DOE-LDV Data'!$A:$A=$BA41)*('ANL-DOE-LDV Data'!$B:$B=BD$2-5)*('ANL-DOE-LDV Data'!$D:$D="Small_SUV_B")))</f>
        <v>0.74997311973348157</v>
      </c>
      <c r="BE41" s="73" cm="1">
        <f t="array" ref="BE41">1/AVERAGE(_xlfn._xlws.FILTER('ANL-DOE-LDV Data'!$AX:$AX, ('ANL-DOE-LDV Data'!$A:$A=$BA41)*('ANL-DOE-LDV Data'!$B:$B=BE$2-5)*('ANL-DOE-LDV Data'!$D:$D="Small_SUV_B")))</f>
        <v>0.80747347896183774</v>
      </c>
      <c r="BF41" s="73">
        <f t="shared" ref="BF41:BG41" si="140">($BH41-$BE41)/3 + BE41</f>
        <v>0.82769953543597197</v>
      </c>
      <c r="BG41" s="73">
        <f t="shared" si="140"/>
        <v>0.84792559191010619</v>
      </c>
      <c r="BH41" s="73" cm="1">
        <f t="array" ref="BH41">1/AVERAGE(_xlfn._xlws.FILTER('ANL-DOE-LDV Data'!$AX:$AX, ('ANL-DOE-LDV Data'!$A:$A=$BA41)*('ANL-DOE-LDV Data'!$B:$B=BH$2-5)*('ANL-DOE-LDV Data'!$D:$D="Small_SUV_B")))</f>
        <v>0.86815164838424042</v>
      </c>
      <c r="BI41" s="102">
        <f t="shared" si="85"/>
        <v>0.21690258118234776</v>
      </c>
      <c r="BK41" s="17" t="s">
        <v>980</v>
      </c>
      <c r="BL41" s="88">
        <f t="shared" si="92"/>
        <v>1.7343309237971023</v>
      </c>
      <c r="BM41" s="88">
        <f t="shared" si="93"/>
        <v>1.815902492836901</v>
      </c>
      <c r="BN41" s="88">
        <f t="shared" si="94"/>
        <v>1.9017367482409537</v>
      </c>
      <c r="BO41" s="88">
        <f t="shared" si="95"/>
        <v>2.1006499071931835</v>
      </c>
      <c r="BP41" s="88">
        <f t="shared" si="96"/>
        <v>2.1836913370677715</v>
      </c>
      <c r="BQ41" s="88">
        <f t="shared" si="97"/>
        <v>2.2667327669423591</v>
      </c>
      <c r="BR41" s="88">
        <f t="shared" si="98"/>
        <v>2.3497741968169463</v>
      </c>
      <c r="BS41" s="102">
        <f t="shared" si="99"/>
        <v>0.35485919358020057</v>
      </c>
      <c r="BU41" s="443" t="s">
        <v>2205</v>
      </c>
      <c r="BV41" s="444">
        <f>BL41/BL39+(BW41-BL41/BL39)/5</f>
        <v>0.85633454636100437</v>
      </c>
      <c r="BW41" s="444">
        <f t="shared" ref="BW41:CB41" si="141">BM41/BM39</f>
        <v>0.85769647127141835</v>
      </c>
      <c r="BX41" s="444">
        <f t="shared" si="141"/>
        <v>0.87801401898483089</v>
      </c>
      <c r="BY41" s="444">
        <f t="shared" si="141"/>
        <v>0.88214314045932496</v>
      </c>
      <c r="BZ41" s="444">
        <f t="shared" si="141"/>
        <v>0.88559257610067399</v>
      </c>
      <c r="CA41" s="444">
        <f t="shared" si="141"/>
        <v>0.88881344432441944</v>
      </c>
      <c r="CB41" s="444">
        <f t="shared" si="141"/>
        <v>0.89182773468385856</v>
      </c>
      <c r="CD41" s="17" t="s">
        <v>1021</v>
      </c>
      <c r="CE41" s="439" cm="1">
        <f t="array" ref="CE41">1/AVERAGE(_xlfn._xlws.FILTER('ANL-DOE-MHDV Data'!$AX:$AX,('ANL-DOE-MHDV Data'!$A:$A=$CD41)*('ANL-DOE-MHDV Data'!$B:$B=CE$2)*('ANL-DOE-MHDV Data'!$E:$E="DayCab 8")))</f>
        <v>0.14220094243676981</v>
      </c>
      <c r="CF41" s="439" cm="1">
        <f t="array" ref="CF41">1/AVERAGE(_xlfn._xlws.FILTER('ANL-DOE-MHDV Data'!$AX:$AX,('ANL-DOE-MHDV Data'!$A:$A=$CD41)*('ANL-DOE-MHDV Data'!$B:$B=CF$2)*('ANL-DOE-MHDV Data'!$E:$E="DayCab 8")))</f>
        <v>0.15562129933870475</v>
      </c>
      <c r="CG41" s="439" cm="1">
        <f t="array" ref="CG41">1/AVERAGE(_xlfn._xlws.FILTER('ANL-DOE-MHDV Data'!$AX:$AX,('ANL-DOE-MHDV Data'!$A:$A=$CD41)*('ANL-DOE-MHDV Data'!$B:$B=CG$2)*('ANL-DOE-MHDV Data'!$E:$E="DayCab 8")))</f>
        <v>0.1664882241145329</v>
      </c>
      <c r="CH41" s="439" cm="1">
        <f t="array" ref="CH41">1/AVERAGE(_xlfn._xlws.FILTER('ANL-DOE-MHDV Data'!$AX:$AX,('ANL-DOE-MHDV Data'!$A:$A=$CD41)*('ANL-DOE-MHDV Data'!$B:$B=CH$2)*('ANL-DOE-MHDV Data'!$E:$E="DayCab 8")))</f>
        <v>0.17683632454062331</v>
      </c>
      <c r="CI41" s="439">
        <f t="shared" ref="CI41:CJ41" si="142">($CK41-$CH41)/3 + CH41</f>
        <v>0.18480269637847058</v>
      </c>
      <c r="CJ41" s="439">
        <f t="shared" si="142"/>
        <v>0.19276906821631784</v>
      </c>
      <c r="CK41" s="439" cm="1">
        <f t="array" ref="CK41">1/AVERAGE(_xlfn._xlws.FILTER('ANL-DOE-MHDV Data'!$AX:$AX,('ANL-DOE-MHDV Data'!$A:$A=$CD41)*('ANL-DOE-MHDV Data'!$B:$B=CK$2)*('ANL-DOE-MHDV Data'!$E:$E="DayCab 8")))</f>
        <v>0.2007354400541651</v>
      </c>
      <c r="CL41" s="102">
        <f t="shared" si="11"/>
        <v>0.41163227623067883</v>
      </c>
      <c r="CN41" s="33" t="s">
        <v>1256</v>
      </c>
      <c r="CV41" s="102"/>
      <c r="CX41" s="33" t="s">
        <v>1256</v>
      </c>
      <c r="DG41" s="17" t="s">
        <v>676</v>
      </c>
      <c r="DH41" s="73">
        <f>1/(AVERAGE('GREET-AFLEET Summary'!B69:B71))</f>
        <v>0.10907596052089122</v>
      </c>
      <c r="DZ41" s="17" t="s">
        <v>1198</v>
      </c>
      <c r="EA41" s="88"/>
      <c r="EB41" s="88">
        <f t="shared" si="138"/>
        <v>0.2117139002992518</v>
      </c>
      <c r="EC41" s="88">
        <f t="shared" si="138"/>
        <v>0.21671736529312741</v>
      </c>
      <c r="ED41" s="88">
        <f t="shared" si="138"/>
        <v>0.22347583688463063</v>
      </c>
      <c r="EE41" s="88">
        <f t="shared" si="138"/>
        <v>0.22820983886601118</v>
      </c>
      <c r="EF41" s="88">
        <f t="shared" si="138"/>
        <v>0.23022798631103392</v>
      </c>
      <c r="EG41" s="88">
        <f t="shared" si="138"/>
        <v>0.23182307737715066</v>
      </c>
      <c r="EH41" s="102">
        <f t="shared" ref="EH41:EH42" si="143">(EG41-EB41)/EB41</f>
        <v>9.4982790688164967E-2</v>
      </c>
      <c r="EJ41" s="4" t="s">
        <v>1224</v>
      </c>
      <c r="EK41" s="88"/>
      <c r="EL41" s="88"/>
      <c r="EM41" s="88"/>
      <c r="EN41" s="88"/>
      <c r="EO41" s="88"/>
      <c r="EP41" s="88"/>
      <c r="EQ41" s="88"/>
      <c r="ER41" s="102"/>
    </row>
    <row r="42" spans="1:148" x14ac:dyDescent="0.35">
      <c r="A42" t="s">
        <v>1178</v>
      </c>
      <c r="B42" t="s">
        <v>2010</v>
      </c>
      <c r="C42" t="s">
        <v>451</v>
      </c>
      <c r="D42" t="s">
        <v>2261</v>
      </c>
      <c r="E42" t="s">
        <v>851</v>
      </c>
      <c r="F42">
        <v>2022</v>
      </c>
      <c r="G42" s="63" t="s">
        <v>282</v>
      </c>
      <c r="H42" s="71"/>
      <c r="I42" s="71"/>
      <c r="J42" s="71"/>
      <c r="K42" s="71"/>
      <c r="L42" s="71"/>
      <c r="M42" s="71"/>
      <c r="N42" s="71"/>
      <c r="O42" s="71"/>
      <c r="P42" s="71"/>
      <c r="Q42" s="71"/>
      <c r="R42" s="71"/>
      <c r="S42" s="71"/>
      <c r="T42" s="71"/>
      <c r="U42" s="71"/>
      <c r="V42" s="71"/>
      <c r="W42" s="71"/>
      <c r="X42" s="71"/>
      <c r="Y42" s="71"/>
      <c r="Z42" s="71"/>
      <c r="AA42" s="71"/>
      <c r="AB42" s="71"/>
      <c r="AC42" s="305">
        <f t="shared" si="139"/>
        <v>2.0098343782104124</v>
      </c>
      <c r="AD42" s="71">
        <f t="shared" si="139"/>
        <v>2.0847827431819068</v>
      </c>
      <c r="AE42" s="71">
        <f t="shared" si="139"/>
        <v>2.1833264563747212</v>
      </c>
      <c r="AF42" s="71">
        <f t="shared" si="139"/>
        <v>2.4116926394771832</v>
      </c>
      <c r="AG42" s="71">
        <f t="shared" si="139"/>
        <v>2.5070299941284389</v>
      </c>
      <c r="AH42" s="71">
        <f t="shared" si="139"/>
        <v>2.602367348779695</v>
      </c>
      <c r="AI42" s="71">
        <f t="shared" si="139"/>
        <v>2.6977047034309498</v>
      </c>
      <c r="AJ42" s="417"/>
      <c r="AK42" s="66" t="s">
        <v>2227</v>
      </c>
      <c r="AL42">
        <v>3</v>
      </c>
      <c r="AM42">
        <v>1</v>
      </c>
      <c r="AN42">
        <v>1</v>
      </c>
      <c r="AO42">
        <v>3</v>
      </c>
      <c r="AP42">
        <v>1</v>
      </c>
      <c r="AT42" s="33" t="s">
        <v>573</v>
      </c>
      <c r="BA42" s="33" t="s">
        <v>2158</v>
      </c>
      <c r="BB42" s="73"/>
      <c r="BC42" s="73"/>
      <c r="BD42" s="73"/>
      <c r="BE42" s="73"/>
      <c r="BF42" s="73"/>
      <c r="BG42" s="73"/>
      <c r="BH42" s="73"/>
      <c r="BI42" s="102"/>
      <c r="BK42" s="17" t="s">
        <v>981</v>
      </c>
      <c r="BL42" s="88">
        <f t="shared" si="92"/>
        <v>1.5598667086095594</v>
      </c>
      <c r="BM42" s="88">
        <f t="shared" si="93"/>
        <v>1.6309581598905887</v>
      </c>
      <c r="BN42" s="88">
        <f t="shared" si="94"/>
        <v>1.7470249857490527</v>
      </c>
      <c r="BO42" s="88">
        <f t="shared" si="95"/>
        <v>1.9252413129244574</v>
      </c>
      <c r="BP42" s="88">
        <f t="shared" si="96"/>
        <v>2.0034114500592555</v>
      </c>
      <c r="BQ42" s="88">
        <f t="shared" si="97"/>
        <v>2.0815815871940533</v>
      </c>
      <c r="BR42" s="88">
        <f t="shared" si="98"/>
        <v>2.1597517243288515</v>
      </c>
      <c r="BS42" s="102">
        <f t="shared" si="99"/>
        <v>0.38457453602174774</v>
      </c>
      <c r="BU42" s="443" t="s">
        <v>2206</v>
      </c>
      <c r="BV42" s="444">
        <f>BL42/BL39+(BW42-BL42/BL39)/5</f>
        <v>0.76997711240935029</v>
      </c>
      <c r="BW42" s="444">
        <f t="shared" ref="BW42:CB42" si="144">BM42/BM39</f>
        <v>0.77034260597555426</v>
      </c>
      <c r="BX42" s="444">
        <f t="shared" si="144"/>
        <v>0.80658504938880904</v>
      </c>
      <c r="BY42" s="444">
        <f t="shared" si="144"/>
        <v>0.80848237115078192</v>
      </c>
      <c r="BZ42" s="444">
        <f t="shared" si="144"/>
        <v>0.81248035238805361</v>
      </c>
      <c r="CA42" s="444">
        <f t="shared" si="144"/>
        <v>0.81621341833423344</v>
      </c>
      <c r="CB42" s="444">
        <f t="shared" si="144"/>
        <v>0.81970705542555045</v>
      </c>
      <c r="CD42" s="17" t="s">
        <v>246</v>
      </c>
      <c r="CE42" s="439" cm="1">
        <f t="array" ref="CE42">1/AVERAGE(_xlfn._xlws.FILTER('ANL-DOE-MHDV Data'!$AX:$AX,('ANL-DOE-MHDV Data'!$A:$A=$CD42)*('ANL-DOE-MHDV Data'!$B:$B=CE$2)*('ANL-DOE-MHDV Data'!$E:$E="DayCab 8")))</f>
        <v>0.20475063613231553</v>
      </c>
      <c r="CF42" s="439" cm="1">
        <f t="array" ref="CF42">1/AVERAGE(_xlfn._xlws.FILTER('ANL-DOE-MHDV Data'!$AX:$AX,('ANL-DOE-MHDV Data'!$A:$A=$CD42)*('ANL-DOE-MHDV Data'!$B:$B=CF$2)*('ANL-DOE-MHDV Data'!$E:$E="DayCab 8")))</f>
        <v>0.22207595076447534</v>
      </c>
      <c r="CG42" s="439" cm="1">
        <f t="array" ref="CG42">1/AVERAGE(_xlfn._xlws.FILTER('ANL-DOE-MHDV Data'!$AX:$AX,('ANL-DOE-MHDV Data'!$A:$A=$CD42)*('ANL-DOE-MHDV Data'!$B:$B=CG$2)*('ANL-DOE-MHDV Data'!$E:$E="DayCab 8")))</f>
        <v>0.23888789929937063</v>
      </c>
      <c r="CH42" s="439" cm="1">
        <f t="array" ref="CH42">1/AVERAGE(_xlfn._xlws.FILTER('ANL-DOE-MHDV Data'!$AX:$AX,('ANL-DOE-MHDV Data'!$A:$A=$CD42)*('ANL-DOE-MHDV Data'!$B:$B=CH$2)*('ANL-DOE-MHDV Data'!$E:$E="DayCab 8")))</f>
        <v>0.25491668250649435</v>
      </c>
      <c r="CI42" s="439">
        <f t="shared" ref="CI42:CJ42" si="145">($CK42-$CH42)/3 + CH42</f>
        <v>0.2652009836403596</v>
      </c>
      <c r="CJ42" s="439">
        <f t="shared" si="145"/>
        <v>0.27548528477422485</v>
      </c>
      <c r="CK42" s="439" cm="1">
        <f t="array" ref="CK42">1/AVERAGE(_xlfn._xlws.FILTER('ANL-DOE-MHDV Data'!$AX:$AX,('ANL-DOE-MHDV Data'!$A:$A=$CD42)*('ANL-DOE-MHDV Data'!$B:$B=CK$2)*('ANL-DOE-MHDV Data'!$E:$E="DayCab 8")))</f>
        <v>0.28576958590809004</v>
      </c>
      <c r="CL42" s="102">
        <f t="shared" si="11"/>
        <v>0.39569571702535672</v>
      </c>
      <c r="CN42" s="17" t="s">
        <v>1017</v>
      </c>
      <c r="CO42" s="73">
        <f>CE39*$AV$78+CE46*$AV$79</f>
        <v>4.8290283476892543E-2</v>
      </c>
      <c r="CP42" s="73">
        <f t="shared" ref="CP42:CU47" si="146">CF39*$AV$78+CF46*$AV$79</f>
        <v>5.1100842484023218E-2</v>
      </c>
      <c r="CQ42" s="73">
        <f t="shared" si="146"/>
        <v>5.3974122606113263E-2</v>
      </c>
      <c r="CR42" s="73">
        <f t="shared" si="146"/>
        <v>5.6123278182519581E-2</v>
      </c>
      <c r="CS42" s="73">
        <f t="shared" si="146"/>
        <v>5.7664302845988488E-2</v>
      </c>
      <c r="CT42" s="73">
        <f t="shared" si="146"/>
        <v>5.9205327509457402E-2</v>
      </c>
      <c r="CU42" s="73">
        <f t="shared" si="146"/>
        <v>6.0746352172926302E-2</v>
      </c>
      <c r="CV42" s="102">
        <f t="shared" si="116"/>
        <v>0.25794151119436132</v>
      </c>
      <c r="CX42" s="17" t="s">
        <v>1727</v>
      </c>
      <c r="CY42" s="73">
        <f t="shared" ref="CY42:CZ42" si="147">CO42/$CO42</f>
        <v>1</v>
      </c>
      <c r="CZ42" s="73">
        <f t="shared" si="147"/>
        <v>1.0582013358541489</v>
      </c>
      <c r="DA42" s="73">
        <f t="shared" ref="DA42" si="148">CQ42/$CO42</f>
        <v>1.117701506803962</v>
      </c>
      <c r="DB42" s="73">
        <f t="shared" ref="DB42" si="149">CR42/$CO42</f>
        <v>1.1622064345382279</v>
      </c>
      <c r="DC42" s="73">
        <f t="shared" ref="DC42" si="150">CS42/$CO42</f>
        <v>1.194118126756939</v>
      </c>
      <c r="DD42" s="73">
        <f t="shared" ref="DD42" si="151">CT42/$CO42</f>
        <v>1.2260298189756502</v>
      </c>
      <c r="DE42" s="73">
        <f t="shared" ref="DE42" si="152">CU42/$CO42</f>
        <v>1.2579415111943613</v>
      </c>
      <c r="DG42" s="92" t="s">
        <v>706</v>
      </c>
      <c r="DZ42" s="17" t="s">
        <v>627</v>
      </c>
      <c r="EA42" s="88"/>
      <c r="EB42" s="88">
        <f t="shared" si="138"/>
        <v>0.19074399458708158</v>
      </c>
      <c r="EC42" s="88">
        <f t="shared" si="138"/>
        <v>0.18185584550908709</v>
      </c>
      <c r="ED42" s="88">
        <f t="shared" si="138"/>
        <v>0.18022894536142176</v>
      </c>
      <c r="EE42" s="88">
        <f t="shared" si="138"/>
        <v>0.17968662695515847</v>
      </c>
      <c r="EF42" s="88">
        <f t="shared" si="138"/>
        <v>0.17944252970263794</v>
      </c>
      <c r="EG42" s="88">
        <f t="shared" si="138"/>
        <v>0.17912113461967838</v>
      </c>
      <c r="EH42" s="102">
        <f t="shared" si="143"/>
        <v>-6.0934342874406668E-2</v>
      </c>
      <c r="EJ42" s="224" t="s">
        <v>109</v>
      </c>
      <c r="EK42" s="88">
        <f t="shared" ref="EK42:EQ47" si="153">1/(EK11*DSL_PJ_ML*10)</f>
        <v>7.2693884425397828E-2</v>
      </c>
      <c r="EL42" s="88">
        <f t="shared" si="153"/>
        <v>9.0316644286100325E-2</v>
      </c>
      <c r="EM42" s="88">
        <f t="shared" si="153"/>
        <v>9.4743930770713081E-2</v>
      </c>
      <c r="EN42" s="88">
        <f t="shared" si="153"/>
        <v>9.962763854239931E-2</v>
      </c>
      <c r="EO42" s="88">
        <f t="shared" si="153"/>
        <v>0.10504218411535581</v>
      </c>
      <c r="EP42" s="88">
        <f t="shared" si="153"/>
        <v>0.11107909124842225</v>
      </c>
      <c r="EQ42" s="88">
        <f t="shared" si="153"/>
        <v>0.117852206568448</v>
      </c>
      <c r="ER42" s="102">
        <f t="shared" si="119"/>
        <v>0.62121212121212122</v>
      </c>
    </row>
    <row r="43" spans="1:148" x14ac:dyDescent="0.35">
      <c r="A43" t="s">
        <v>1179</v>
      </c>
      <c r="B43" t="s">
        <v>2010</v>
      </c>
      <c r="C43" t="s">
        <v>451</v>
      </c>
      <c r="D43" t="s">
        <v>2261</v>
      </c>
      <c r="E43" t="s">
        <v>851</v>
      </c>
      <c r="F43">
        <v>2022</v>
      </c>
      <c r="G43" s="63" t="s">
        <v>282</v>
      </c>
      <c r="H43" s="71"/>
      <c r="I43" s="71"/>
      <c r="J43" s="71"/>
      <c r="K43" s="71"/>
      <c r="L43" s="71"/>
      <c r="M43" s="71"/>
      <c r="N43" s="71"/>
      <c r="O43" s="71"/>
      <c r="P43" s="71"/>
      <c r="Q43" s="71"/>
      <c r="R43" s="71"/>
      <c r="S43" s="71"/>
      <c r="T43" s="71"/>
      <c r="U43" s="71"/>
      <c r="V43" s="71"/>
      <c r="W43" s="71"/>
      <c r="X43" s="71"/>
      <c r="Y43" s="71"/>
      <c r="Z43" s="71"/>
      <c r="AA43" s="71"/>
      <c r="AB43" s="71"/>
      <c r="AC43" s="305">
        <f t="shared" si="139"/>
        <v>1.8071517463959768</v>
      </c>
      <c r="AD43" s="71">
        <f t="shared" si="139"/>
        <v>1.8724537468306737</v>
      </c>
      <c r="AE43" s="71">
        <f t="shared" si="139"/>
        <v>2.0057065599966495</v>
      </c>
      <c r="AF43" s="71">
        <f t="shared" si="139"/>
        <v>2.2103113363622029</v>
      </c>
      <c r="AG43" s="71">
        <f t="shared" si="139"/>
        <v>2.3000561071159411</v>
      </c>
      <c r="AH43" s="71">
        <f t="shared" si="139"/>
        <v>2.3898008778696793</v>
      </c>
      <c r="AI43" s="71">
        <f t="shared" si="139"/>
        <v>2.479545648623418</v>
      </c>
      <c r="AJ43" s="417"/>
      <c r="AK43" s="66" t="s">
        <v>2227</v>
      </c>
      <c r="AL43">
        <v>3</v>
      </c>
      <c r="AM43">
        <v>1</v>
      </c>
      <c r="AN43">
        <v>1</v>
      </c>
      <c r="AO43">
        <v>3</v>
      </c>
      <c r="AP43">
        <v>1</v>
      </c>
      <c r="AT43" s="17" t="s">
        <v>110</v>
      </c>
      <c r="AU43" s="73">
        <f t="shared" ref="AU43:AY46" si="154">1/(AU14*GSL_PJ_ML*10)</f>
        <v>0.21527811914640929</v>
      </c>
      <c r="AV43" s="73">
        <f t="shared" si="154"/>
        <v>0.24358758115408768</v>
      </c>
      <c r="AW43" s="73">
        <f t="shared" si="154"/>
        <v>0.26133588727237866</v>
      </c>
      <c r="AX43" s="73">
        <f t="shared" si="154"/>
        <v>0.26382919808855781</v>
      </c>
      <c r="AY43" s="73">
        <f t="shared" si="154"/>
        <v>0.26977525997204932</v>
      </c>
      <c r="BA43" s="17" t="s">
        <v>985</v>
      </c>
      <c r="BB43" s="73" cm="1">
        <f t="array" ref="BB43">1/AVERAGE(_xlfn._xlws.FILTER('ANL-DOE-LDV Data'!$AX:$AX, ('ANL-DOE-LDV Data'!$A:$A=$BA43)*('ANL-DOE-LDV Data'!$B:$B=BB$2-5)*('ANL-DOE-LDV Data'!$D:$D="Midsize_SUV_B")))</f>
        <v>0.30252280813091281</v>
      </c>
      <c r="BC43" s="73" cm="1">
        <f t="array" ref="BC43">1/AVERAGE(_xlfn._xlws.FILTER('ANL-DOE-LDV Data'!$AX:$AX, ('ANL-DOE-LDV Data'!$A:$A=$BA43)*('ANL-DOE-LDV Data'!$B:$B=BC$2-5)*('ANL-DOE-LDV Data'!$D:$D="Midsize_SUV_B")))</f>
        <v>0.29773428349822739</v>
      </c>
      <c r="BD43" s="73" cm="1">
        <f t="array" ref="BD43">1/AVERAGE(_xlfn._xlws.FILTER('ANL-DOE-LDV Data'!$AX:$AX, ('ANL-DOE-LDV Data'!$A:$A=$BA43)*('ANL-DOE-LDV Data'!$B:$B=BD$2-5)*('ANL-DOE-LDV Data'!$D:$D="Midsize_SUV_B")))</f>
        <v>0.34494214784924809</v>
      </c>
      <c r="BE43" s="73" cm="1">
        <f t="array" ref="BE43">1/AVERAGE(_xlfn._xlws.FILTER('ANL-DOE-LDV Data'!$AX:$AX, ('ANL-DOE-LDV Data'!$A:$A=$BA43)*('ANL-DOE-LDV Data'!$B:$B=BE$2-5)*('ANL-DOE-LDV Data'!$D:$D="Midsize_SUV_B")))</f>
        <v>0.37633271566586796</v>
      </c>
      <c r="BF43" s="73">
        <f t="shared" ref="BF43:BG43" si="155">($BH43-$BE43)/3 + BE43</f>
        <v>0.39603373354657573</v>
      </c>
      <c r="BG43" s="73">
        <f t="shared" si="155"/>
        <v>0.4157347514272835</v>
      </c>
      <c r="BH43" s="73" cm="1">
        <f t="array" ref="BH43">1/AVERAGE(_xlfn._xlws.FILTER('ANL-DOE-LDV Data'!$AX:$AX, ('ANL-DOE-LDV Data'!$A:$A=$BA43)*('ANL-DOE-LDV Data'!$B:$B=BH$2-5)*('ANL-DOE-LDV Data'!$D:$D="Midsize_SUV_B")))</f>
        <v>0.43543576930799127</v>
      </c>
      <c r="BI43" s="102">
        <f t="shared" ref="BI43:BI54" si="156">(BH43-BB43)/BB43</f>
        <v>0.43934856349595336</v>
      </c>
      <c r="BK43" s="17" t="s">
        <v>988</v>
      </c>
      <c r="BL43" s="88">
        <f t="shared" si="92"/>
        <v>0.91769643894520136</v>
      </c>
      <c r="BM43" s="88">
        <f t="shared" si="93"/>
        <v>0.9513646890714631</v>
      </c>
      <c r="BN43" s="88">
        <f t="shared" si="94"/>
        <v>0.97157038498354742</v>
      </c>
      <c r="BO43" s="88">
        <f t="shared" si="95"/>
        <v>1.0379582237305542</v>
      </c>
      <c r="BP43" s="88">
        <f t="shared" si="96"/>
        <v>1.0642387560490447</v>
      </c>
      <c r="BQ43" s="88">
        <f t="shared" si="97"/>
        <v>1.090519288367535</v>
      </c>
      <c r="BR43" s="88">
        <f t="shared" si="98"/>
        <v>1.1167998206860255</v>
      </c>
      <c r="BS43" s="102">
        <f t="shared" si="99"/>
        <v>0.21695995897039022</v>
      </c>
      <c r="BU43" s="443" t="s">
        <v>2207</v>
      </c>
      <c r="BV43" s="444">
        <f>BL43/BL33+(BW43-BL43/BL33)/5</f>
        <v>2.5753485979339623</v>
      </c>
      <c r="BW43" s="444">
        <f t="shared" ref="BW43:CB43" si="157">BM43/BM33</f>
        <v>2.6826940674291087</v>
      </c>
      <c r="BX43" s="444">
        <f t="shared" si="157"/>
        <v>2.3561965660071662</v>
      </c>
      <c r="BY43" s="444">
        <f t="shared" si="157"/>
        <v>2.3035796190358671</v>
      </c>
      <c r="BZ43" s="444">
        <f t="shared" si="157"/>
        <v>2.2457372386865497</v>
      </c>
      <c r="CA43" s="444">
        <f t="shared" si="157"/>
        <v>2.1933179592438052</v>
      </c>
      <c r="CB43" s="444">
        <f t="shared" si="157"/>
        <v>2.1455932559928947</v>
      </c>
      <c r="CD43" s="17" t="s">
        <v>627</v>
      </c>
      <c r="CE43" s="439" cm="1">
        <f t="array" ref="CE43">1/AVERAGE(_xlfn._xlws.FILTER('ANL-DOE-MHDV Data'!$AX:$AX,('ANL-DOE-MHDV Data'!$A:$A=$CD43)*('ANL-DOE-MHDV Data'!$B:$B=CE$2)*('ANL-DOE-MHDV Data'!$E:$E="DayCab 8")))</f>
        <v>7.6941169859479894E-2</v>
      </c>
      <c r="CF43" s="439" cm="1">
        <f t="array" ref="CF43">1/AVERAGE(_xlfn._xlws.FILTER('ANL-DOE-MHDV Data'!$AX:$AX,('ANL-DOE-MHDV Data'!$A:$A=$CD43)*('ANL-DOE-MHDV Data'!$B:$B=CF$2)*('ANL-DOE-MHDV Data'!$E:$E="DayCab 8")))</f>
        <v>8.3527746601375838E-2</v>
      </c>
      <c r="CG43" s="439" cm="1">
        <f t="array" ref="CG43">1/AVERAGE(_xlfn._xlws.FILTER('ANL-DOE-MHDV Data'!$AX:$AX,('ANL-DOE-MHDV Data'!$A:$A=$CD43)*('ANL-DOE-MHDV Data'!$B:$B=CG$2)*('ANL-DOE-MHDV Data'!$E:$E="DayCab 8")))</f>
        <v>9.1439862272787761E-2</v>
      </c>
      <c r="CH43" s="439" cm="1">
        <f t="array" ref="CH43">1/AVERAGE(_xlfn._xlws.FILTER('ANL-DOE-MHDV Data'!$AX:$AX,('ANL-DOE-MHDV Data'!$A:$A=$CD43)*('ANL-DOE-MHDV Data'!$B:$B=CH$2)*('ANL-DOE-MHDV Data'!$E:$E="DayCab 8")))</f>
        <v>9.6670428508405834E-2</v>
      </c>
      <c r="CI43" s="439">
        <f t="shared" ref="CI43:CJ43" si="158">($CK43-$CH43)/3 + CH43</f>
        <v>0.10124073994786785</v>
      </c>
      <c r="CJ43" s="439">
        <f t="shared" si="158"/>
        <v>0.10581105138732987</v>
      </c>
      <c r="CK43" s="439" cm="1">
        <f t="array" ref="CK43">1/AVERAGE(_xlfn._xlws.FILTER('ANL-DOE-MHDV Data'!$AX:$AX,('ANL-DOE-MHDV Data'!$A:$A=$CD43)*('ANL-DOE-MHDV Data'!$B:$B=CK$2)*('ANL-DOE-MHDV Data'!$E:$E="DayCab 8")))</f>
        <v>0.11038136282679188</v>
      </c>
      <c r="CL43" s="102">
        <f t="shared" si="11"/>
        <v>0.43462028233239597</v>
      </c>
      <c r="CN43" s="17" t="s">
        <v>1020</v>
      </c>
      <c r="CO43" s="73">
        <f t="shared" ref="CO43:CO47" si="159">CE40*$AV$78+CE47*$AV$79</f>
        <v>6.1789785541764557E-2</v>
      </c>
      <c r="CP43" s="73">
        <f t="shared" si="146"/>
        <v>6.6512772437376605E-2</v>
      </c>
      <c r="CQ43" s="73">
        <f t="shared" si="146"/>
        <v>7.102392093451905E-2</v>
      </c>
      <c r="CR43" s="73">
        <f t="shared" si="146"/>
        <v>7.295632677169811E-2</v>
      </c>
      <c r="CS43" s="73">
        <f t="shared" si="146"/>
        <v>7.6107677630785076E-2</v>
      </c>
      <c r="CT43" s="73">
        <f t="shared" si="146"/>
        <v>7.9259028489872027E-2</v>
      </c>
      <c r="CU43" s="73">
        <f t="shared" si="146"/>
        <v>8.2410379348959006E-2</v>
      </c>
      <c r="CV43" s="102">
        <f t="shared" si="116"/>
        <v>0.33372172481901091</v>
      </c>
      <c r="CX43" s="443" t="s">
        <v>2210</v>
      </c>
      <c r="CY43" s="444">
        <f t="shared" ref="CY43:DE43" si="160">CO43/CO42</f>
        <v>1.2795490333232706</v>
      </c>
      <c r="CZ43" s="444">
        <f t="shared" si="160"/>
        <v>1.3015983534551696</v>
      </c>
      <c r="DA43" s="444">
        <f t="shared" si="160"/>
        <v>1.3158883832689607</v>
      </c>
      <c r="DB43" s="444">
        <f t="shared" si="160"/>
        <v>1.2999298888855966</v>
      </c>
      <c r="DC43" s="444">
        <f t="shared" si="160"/>
        <v>1.3198404190206841</v>
      </c>
      <c r="DD43" s="444">
        <f t="shared" si="160"/>
        <v>1.3387144674980687</v>
      </c>
      <c r="DE43" s="444">
        <f t="shared" si="160"/>
        <v>1.3566309152912071</v>
      </c>
      <c r="DZ43" s="33" t="s">
        <v>1199</v>
      </c>
      <c r="EA43" s="88"/>
      <c r="EB43" s="88"/>
      <c r="EC43" s="88"/>
      <c r="ED43" s="88"/>
      <c r="EE43" s="88"/>
      <c r="EF43" s="88"/>
      <c r="EG43" s="88"/>
      <c r="EH43" s="102"/>
      <c r="EJ43" s="224" t="s">
        <v>246</v>
      </c>
      <c r="EK43" s="88">
        <f t="shared" si="153"/>
        <v>0.17512617611573114</v>
      </c>
      <c r="EL43" s="88">
        <f t="shared" si="153"/>
        <v>0.20596600587196054</v>
      </c>
      <c r="EM43" s="88">
        <f t="shared" si="153"/>
        <v>0.21730358417683909</v>
      </c>
      <c r="EN43" s="88">
        <f t="shared" si="153"/>
        <v>0.22996204539102388</v>
      </c>
      <c r="EO43" s="88">
        <f t="shared" si="153"/>
        <v>0.2441865018069635</v>
      </c>
      <c r="EP43" s="88">
        <f t="shared" si="153"/>
        <v>0.26028671071731269</v>
      </c>
      <c r="EQ43" s="88">
        <f t="shared" si="153"/>
        <v>0.27865989029735833</v>
      </c>
      <c r="ER43" s="102">
        <f t="shared" si="119"/>
        <v>0.59119496855345899</v>
      </c>
    </row>
    <row r="44" spans="1:148" x14ac:dyDescent="0.35">
      <c r="A44" t="s">
        <v>1180</v>
      </c>
      <c r="B44" t="s">
        <v>2093</v>
      </c>
      <c r="C44" t="s">
        <v>451</v>
      </c>
      <c r="D44" t="s">
        <v>2261</v>
      </c>
      <c r="E44" t="s">
        <v>851</v>
      </c>
      <c r="F44">
        <v>2022</v>
      </c>
      <c r="G44" s="63" t="s">
        <v>282</v>
      </c>
      <c r="H44" s="71"/>
      <c r="I44" s="71"/>
      <c r="J44" s="71"/>
      <c r="K44" s="71"/>
      <c r="L44" s="71"/>
      <c r="M44" s="71"/>
      <c r="N44" s="71"/>
      <c r="O44" s="71"/>
      <c r="P44" s="71"/>
      <c r="Q44" s="71"/>
      <c r="R44" s="71"/>
      <c r="S44" s="71"/>
      <c r="T44" s="71"/>
      <c r="U44" s="71"/>
      <c r="V44" s="71"/>
      <c r="W44" s="71"/>
      <c r="X44" s="71"/>
      <c r="Y44" s="71"/>
      <c r="Z44" s="71"/>
      <c r="AA44" s="71"/>
      <c r="AB44" s="71"/>
      <c r="AC44" s="305">
        <f t="shared" ref="AC44:AI45" si="161">AC$34*BV43</f>
        <v>1.2975963447841803</v>
      </c>
      <c r="AD44" s="71">
        <f t="shared" si="161"/>
        <v>1.3352343454417965</v>
      </c>
      <c r="AE44" s="71">
        <f t="shared" si="161"/>
        <v>1.3635929123145063</v>
      </c>
      <c r="AF44" s="71">
        <f t="shared" si="161"/>
        <v>1.4567678256079266</v>
      </c>
      <c r="AG44" s="71">
        <f t="shared" si="161"/>
        <v>1.4936523870923244</v>
      </c>
      <c r="AH44" s="71">
        <f t="shared" si="161"/>
        <v>1.5305369485767226</v>
      </c>
      <c r="AI44" s="71">
        <f t="shared" si="161"/>
        <v>1.5674215100611206</v>
      </c>
      <c r="AJ44" s="417"/>
      <c r="AK44" s="66" t="s">
        <v>2227</v>
      </c>
      <c r="AL44">
        <v>3</v>
      </c>
      <c r="AM44">
        <v>1</v>
      </c>
      <c r="AN44">
        <v>1</v>
      </c>
      <c r="AO44">
        <v>3</v>
      </c>
      <c r="AP44">
        <v>1</v>
      </c>
      <c r="AT44" s="17" t="s">
        <v>109</v>
      </c>
      <c r="AU44" s="73">
        <f t="shared" si="154"/>
        <v>0.25808246523469797</v>
      </c>
      <c r="AV44" s="73">
        <f t="shared" si="154"/>
        <v>0.31519382820397635</v>
      </c>
      <c r="AW44" s="73">
        <f t="shared" si="154"/>
        <v>0.34209625090384571</v>
      </c>
      <c r="AX44" s="73">
        <f t="shared" si="154"/>
        <v>0.30985188312022954</v>
      </c>
      <c r="AY44" s="73">
        <f t="shared" si="154"/>
        <v>0.30041041363476262</v>
      </c>
      <c r="AZ44" s="73"/>
      <c r="BA44" s="17" t="s">
        <v>982</v>
      </c>
      <c r="BB44" s="73" cm="1">
        <f t="array" ref="BB44">1/AVERAGE(_xlfn._xlws.FILTER('ANL-DOE-LDV Data'!$AX:$AX, ('ANL-DOE-LDV Data'!$A:$A=$BA44)*('ANL-DOE-LDV Data'!$B:$B=BB$2-5)*('ANL-DOE-LDV Data'!$D:$D="Midsize_SUV_B")))</f>
        <v>0.36917141983931762</v>
      </c>
      <c r="BC44" s="73" cm="1">
        <f t="array" ref="BC44">1/AVERAGE(_xlfn._xlws.FILTER('ANL-DOE-LDV Data'!$AX:$AX, ('ANL-DOE-LDV Data'!$A:$A=$BA44)*('ANL-DOE-LDV Data'!$B:$B=BC$2-5)*('ANL-DOE-LDV Data'!$D:$D="Midsize_SUV_B")))</f>
        <v>0.36210994374461331</v>
      </c>
      <c r="BD44" s="73" cm="1">
        <f t="array" ref="BD44">1/AVERAGE(_xlfn._xlws.FILTER('ANL-DOE-LDV Data'!$AX:$AX, ('ANL-DOE-LDV Data'!$A:$A=$BA44)*('ANL-DOE-LDV Data'!$B:$B=BD$2-5)*('ANL-DOE-LDV Data'!$D:$D="Midsize_SUV_B")))</f>
        <v>0.41113096509301006</v>
      </c>
      <c r="BE44" s="73" cm="1">
        <f t="array" ref="BE44">1/AVERAGE(_xlfn._xlws.FILTER('ANL-DOE-LDV Data'!$AX:$AX, ('ANL-DOE-LDV Data'!$A:$A=$BA44)*('ANL-DOE-LDV Data'!$B:$B=BE$2-5)*('ANL-DOE-LDV Data'!$D:$D="Midsize_SUV_B")))</f>
        <v>0.45238657172133462</v>
      </c>
      <c r="BF44" s="73">
        <f t="shared" ref="BF44:BG44" si="162">($BH44-$BE44)/3 + BE44</f>
        <v>0.47551824229505923</v>
      </c>
      <c r="BG44" s="73">
        <f t="shared" si="162"/>
        <v>0.49864991286878385</v>
      </c>
      <c r="BH44" s="73" cm="1">
        <f t="array" ref="BH44">1/AVERAGE(_xlfn._xlws.FILTER('ANL-DOE-LDV Data'!$AX:$AX, ('ANL-DOE-LDV Data'!$A:$A=$BA44)*('ANL-DOE-LDV Data'!$B:$B=BH$2-5)*('ANL-DOE-LDV Data'!$D:$D="Midsize_SUV_B")))</f>
        <v>0.52178158344250847</v>
      </c>
      <c r="BI44" s="102">
        <f t="shared" si="156"/>
        <v>0.41338563984615778</v>
      </c>
      <c r="BK44" s="17" t="s">
        <v>990</v>
      </c>
      <c r="BL44" s="88">
        <f t="shared" si="92"/>
        <v>0.90674979549907897</v>
      </c>
      <c r="BM44" s="88">
        <f t="shared" si="93"/>
        <v>0.93960722181898682</v>
      </c>
      <c r="BN44" s="88">
        <f t="shared" si="94"/>
        <v>0.95913977362397607</v>
      </c>
      <c r="BO44" s="88">
        <f t="shared" si="95"/>
        <v>1.0260594098313067</v>
      </c>
      <c r="BP44" s="88">
        <f t="shared" si="96"/>
        <v>1.0517995933719491</v>
      </c>
      <c r="BQ44" s="88">
        <f t="shared" si="97"/>
        <v>1.0775397769125914</v>
      </c>
      <c r="BR44" s="88">
        <f t="shared" si="98"/>
        <v>1.1032799604532337</v>
      </c>
      <c r="BS44" s="102">
        <f t="shared" si="99"/>
        <v>0.21674133915407581</v>
      </c>
      <c r="BU44" s="443" t="s">
        <v>2208</v>
      </c>
      <c r="BV44" s="444">
        <f>BL44/BL33+(BW44-BL44/BL33)/5</f>
        <v>2.5443980443026981</v>
      </c>
      <c r="BW44" s="444">
        <f t="shared" ref="BW44:CB44" si="163">BM44/BM33</f>
        <v>2.6495399173870311</v>
      </c>
      <c r="BX44" s="444">
        <f t="shared" si="163"/>
        <v>2.326050562947092</v>
      </c>
      <c r="BY44" s="444">
        <f t="shared" si="163"/>
        <v>2.2771721350328091</v>
      </c>
      <c r="BZ44" s="444">
        <f t="shared" si="163"/>
        <v>2.2194883441755646</v>
      </c>
      <c r="CA44" s="444">
        <f t="shared" si="163"/>
        <v>2.1672127854243173</v>
      </c>
      <c r="CB44" s="444">
        <f t="shared" si="163"/>
        <v>2.1196189314988008</v>
      </c>
      <c r="CD44" s="17" t="s">
        <v>1065</v>
      </c>
      <c r="CE44" s="439" cm="1">
        <f t="array" ref="CE44">1/AVERAGE(_xlfn._xlws.FILTER('ANL-DOE-MHDV Data'!$AX:$AX,('ANL-DOE-MHDV Data'!$A:$A=$CD44)*('ANL-DOE-MHDV Data'!$B:$B=CE$2)*('ANL-DOE-MHDV Data'!$E:$E="DayCab 8")))</f>
        <v>8.7704280461006881E-2</v>
      </c>
      <c r="CF44" s="439" cm="1">
        <f t="array" ref="CF44">1/AVERAGE(_xlfn._xlws.FILTER('ANL-DOE-MHDV Data'!$AX:$AX,('ANL-DOE-MHDV Data'!$A:$A=$CD44)*('ANL-DOE-MHDV Data'!$B:$B=CF$2)*('ANL-DOE-MHDV Data'!$E:$E="DayCab 8")))</f>
        <v>9.72271688222488E-2</v>
      </c>
      <c r="CG44" s="439" cm="1">
        <f t="array" ref="CG44">1/AVERAGE(_xlfn._xlws.FILTER('ANL-DOE-MHDV Data'!$AX:$AX,('ANL-DOE-MHDV Data'!$A:$A=$CD44)*('ANL-DOE-MHDV Data'!$B:$B=CG$2)*('ANL-DOE-MHDV Data'!$E:$E="DayCab 8")))</f>
        <v>0.10594281033146095</v>
      </c>
      <c r="CH44" s="439" cm="1">
        <f t="array" ref="CH44">1/AVERAGE(_xlfn._xlws.FILTER('ANL-DOE-MHDV Data'!$AX:$AX,('ANL-DOE-MHDV Data'!$A:$A=$CD44)*('ANL-DOE-MHDV Data'!$B:$B=CH$2)*('ANL-DOE-MHDV Data'!$E:$E="DayCab 8")))</f>
        <v>0.11411138829280966</v>
      </c>
      <c r="CI44" s="439">
        <f t="shared" ref="CI44:CJ44" si="164">($CK44-$CH44)/3 + CH44</f>
        <v>0.11981002305652909</v>
      </c>
      <c r="CJ44" s="439">
        <f t="shared" si="164"/>
        <v>0.1255086578202485</v>
      </c>
      <c r="CK44" s="439" cm="1">
        <f t="array" ref="CK44">1/AVERAGE(_xlfn._xlws.FILTER('ANL-DOE-MHDV Data'!$AX:$AX,('ANL-DOE-MHDV Data'!$A:$A=$CD44)*('ANL-DOE-MHDV Data'!$B:$B=CK$2)*('ANL-DOE-MHDV Data'!$E:$E="DayCab 8")))</f>
        <v>0.13120729258396793</v>
      </c>
      <c r="CL44" s="102">
        <f t="shared" si="11"/>
        <v>0.49601925806007141</v>
      </c>
      <c r="CN44" s="17" t="s">
        <v>1021</v>
      </c>
      <c r="CO44" s="73">
        <f t="shared" si="159"/>
        <v>0.13972559936399045</v>
      </c>
      <c r="CP44" s="73">
        <f t="shared" si="146"/>
        <v>0.1530797464282872</v>
      </c>
      <c r="CQ44" s="73">
        <f t="shared" si="146"/>
        <v>0.16643217150553635</v>
      </c>
      <c r="CR44" s="73">
        <f t="shared" si="146"/>
        <v>0.17783251119037852</v>
      </c>
      <c r="CS44" s="73">
        <f t="shared" si="146"/>
        <v>0.18615029243286446</v>
      </c>
      <c r="CT44" s="73">
        <f t="shared" si="146"/>
        <v>0.19446807367535043</v>
      </c>
      <c r="CU44" s="73">
        <f t="shared" si="146"/>
        <v>0.20278585491783638</v>
      </c>
      <c r="CV44" s="102">
        <f t="shared" si="116"/>
        <v>0.45131497621686045</v>
      </c>
      <c r="CX44" s="443" t="s">
        <v>2211</v>
      </c>
      <c r="CY44" s="444">
        <f t="shared" ref="CY44:DE44" si="165">CO44/CO42</f>
        <v>2.8934516284388923</v>
      </c>
      <c r="CZ44" s="444">
        <f t="shared" si="165"/>
        <v>2.9956403649538244</v>
      </c>
      <c r="DA44" s="444">
        <f t="shared" si="165"/>
        <v>3.0835549235345194</v>
      </c>
      <c r="DB44" s="444">
        <f t="shared" si="165"/>
        <v>3.168605201785363</v>
      </c>
      <c r="DC44" s="444">
        <f t="shared" si="165"/>
        <v>3.2281720795279556</v>
      </c>
      <c r="DD44" s="444">
        <f t="shared" si="165"/>
        <v>3.2846380867378242</v>
      </c>
      <c r="DE44" s="444">
        <f t="shared" si="165"/>
        <v>3.3382392137813808</v>
      </c>
      <c r="DZ44" s="306" t="s">
        <v>109</v>
      </c>
      <c r="EA44" s="88">
        <f t="shared" ref="EA44:EG48" si="166">1/(EA13*DSL_PJ_ML*10)</f>
        <v>0.10126140248251349</v>
      </c>
      <c r="EB44" s="88">
        <f t="shared" si="166"/>
        <v>0.1074773133548054</v>
      </c>
      <c r="EC44" s="88">
        <f t="shared" si="166"/>
        <v>0.12037339569369451</v>
      </c>
      <c r="ED44" s="88">
        <f t="shared" si="166"/>
        <v>0.13231658236424065</v>
      </c>
      <c r="EE44" s="88">
        <f t="shared" si="166"/>
        <v>0.14047481875725462</v>
      </c>
      <c r="EF44" s="88">
        <f t="shared" si="166"/>
        <v>0.14552110705759169</v>
      </c>
      <c r="EG44" s="88">
        <f t="shared" si="166"/>
        <v>0.14851416760655833</v>
      </c>
      <c r="EH44" s="102">
        <f t="shared" si="118"/>
        <v>0.46664142472453685</v>
      </c>
      <c r="EJ44" s="224" t="s">
        <v>627</v>
      </c>
      <c r="EK44" s="88">
        <f t="shared" si="153"/>
        <v>0.13327212144656267</v>
      </c>
      <c r="EL44" s="88">
        <f t="shared" si="153"/>
        <v>0.15640199376373473</v>
      </c>
      <c r="EM44" s="88">
        <f t="shared" si="153"/>
        <v>0.16444952364419532</v>
      </c>
      <c r="EN44" s="88">
        <f t="shared" si="153"/>
        <v>0.1733701345965927</v>
      </c>
      <c r="EO44" s="88">
        <f t="shared" si="153"/>
        <v>0.18331405752856686</v>
      </c>
      <c r="EP44" s="88">
        <f t="shared" si="153"/>
        <v>0.19446808748400879</v>
      </c>
      <c r="EQ44" s="88">
        <f t="shared" si="153"/>
        <v>0.20706742836325442</v>
      </c>
      <c r="ER44" s="102">
        <f t="shared" si="119"/>
        <v>0.55371900826446308</v>
      </c>
    </row>
    <row r="45" spans="1:148" ht="15.5" x14ac:dyDescent="0.35">
      <c r="A45" t="s">
        <v>1181</v>
      </c>
      <c r="B45" t="s">
        <v>2093</v>
      </c>
      <c r="C45" t="s">
        <v>451</v>
      </c>
      <c r="D45" t="s">
        <v>2261</v>
      </c>
      <c r="E45" t="s">
        <v>851</v>
      </c>
      <c r="F45">
        <v>2022</v>
      </c>
      <c r="G45" s="63" t="s">
        <v>282</v>
      </c>
      <c r="H45" s="71"/>
      <c r="I45" s="71"/>
      <c r="J45" s="71"/>
      <c r="K45" s="71"/>
      <c r="L45" s="71"/>
      <c r="M45" s="71"/>
      <c r="N45" s="71"/>
      <c r="O45" s="71"/>
      <c r="P45" s="71"/>
      <c r="Q45" s="71"/>
      <c r="R45" s="71"/>
      <c r="S45" s="71"/>
      <c r="T45" s="71"/>
      <c r="U45" s="71"/>
      <c r="V45" s="71"/>
      <c r="W45" s="71"/>
      <c r="X45" s="71"/>
      <c r="Y45" s="71"/>
      <c r="Z45" s="71"/>
      <c r="AA45" s="71"/>
      <c r="AB45" s="71"/>
      <c r="AC45" s="305">
        <f t="shared" si="161"/>
        <v>1.2820018247672806</v>
      </c>
      <c r="AD45" s="71">
        <f t="shared" si="161"/>
        <v>1.3187328142506025</v>
      </c>
      <c r="AE45" s="71">
        <f t="shared" si="161"/>
        <v>1.3461466276112786</v>
      </c>
      <c r="AF45" s="71">
        <f t="shared" si="161"/>
        <v>1.440067915288781</v>
      </c>
      <c r="AG45" s="71">
        <f t="shared" si="161"/>
        <v>1.4761941006688433</v>
      </c>
      <c r="AH45" s="71">
        <f t="shared" si="161"/>
        <v>1.5123202860489058</v>
      </c>
      <c r="AI45" s="71">
        <f t="shared" si="161"/>
        <v>1.5484464714289685</v>
      </c>
      <c r="AJ45" s="417"/>
      <c r="AK45" s="66" t="s">
        <v>2227</v>
      </c>
      <c r="AL45">
        <v>3</v>
      </c>
      <c r="AM45">
        <v>1</v>
      </c>
      <c r="AN45">
        <v>1</v>
      </c>
      <c r="AO45">
        <v>3</v>
      </c>
      <c r="AP45">
        <v>1</v>
      </c>
      <c r="AT45" s="17" t="s">
        <v>239</v>
      </c>
      <c r="AU45" s="73">
        <f t="shared" si="154"/>
        <v>0.14799238392261779</v>
      </c>
      <c r="AV45" s="73">
        <f t="shared" si="154"/>
        <v>0.16890234146170902</v>
      </c>
      <c r="AW45" s="73">
        <f t="shared" si="154"/>
        <v>0.19344569752801283</v>
      </c>
      <c r="AX45" s="73">
        <f t="shared" si="154"/>
        <v>0.16320965173519142</v>
      </c>
      <c r="AY45" s="73">
        <f t="shared" si="154"/>
        <v>0.17035888451851966</v>
      </c>
      <c r="BA45" s="17" t="s">
        <v>984</v>
      </c>
      <c r="BB45" s="73" cm="1">
        <f t="array" ref="BB45">1/AVERAGE(_xlfn._xlws.FILTER('ANL-DOE-LDV Data'!$AX:$AX, ('ANL-DOE-LDV Data'!$A:$A=$BA45)*('ANL-DOE-LDV Data'!$B:$B=BB$2-5)*('ANL-DOE-LDV Data'!$D:$D="Midsize_SUV_B")))</f>
        <v>0.29853227612959915</v>
      </c>
      <c r="BC45" s="73" cm="1">
        <f t="array" ref="BC45">1/AVERAGE(_xlfn._xlws.FILTER('ANL-DOE-LDV Data'!$AX:$AX, ('ANL-DOE-LDV Data'!$A:$A=$BA45)*('ANL-DOE-LDV Data'!$B:$B=BC$2-5)*('ANL-DOE-LDV Data'!$D:$D="Midsize_SUV_B")))</f>
        <v>0.321366887817641</v>
      </c>
      <c r="BD45" s="73" cm="1">
        <f t="array" ref="BD45">1/AVERAGE(_xlfn._xlws.FILTER('ANL-DOE-LDV Data'!$AX:$AX, ('ANL-DOE-LDV Data'!$A:$A=$BA45)*('ANL-DOE-LDV Data'!$B:$B=BD$2-5)*('ANL-DOE-LDV Data'!$D:$D="Midsize_SUV_B")))</f>
        <v>0.35860540748473013</v>
      </c>
      <c r="BE45" s="73" cm="1">
        <f t="array" ref="BE45">1/AVERAGE(_xlfn._xlws.FILTER('ANL-DOE-LDV Data'!$AX:$AX, ('ANL-DOE-LDV Data'!$A:$A=$BA45)*('ANL-DOE-LDV Data'!$B:$B=BE$2-5)*('ANL-DOE-LDV Data'!$D:$D="Midsize_SUV_B")))</f>
        <v>0.38452860705595515</v>
      </c>
      <c r="BF45" s="73">
        <f t="shared" ref="BF45:BG45" si="167">($BH45-$BE45)/3 + BE45</f>
        <v>0.40458609134142903</v>
      </c>
      <c r="BG45" s="73">
        <f t="shared" si="167"/>
        <v>0.42464357562690291</v>
      </c>
      <c r="BH45" s="73" cm="1">
        <f t="array" ref="BH45">1/AVERAGE(_xlfn._xlws.FILTER('ANL-DOE-LDV Data'!$AX:$AX, ('ANL-DOE-LDV Data'!$A:$A=$BA45)*('ANL-DOE-LDV Data'!$B:$B=BH$2-5)*('ANL-DOE-LDV Data'!$D:$D="Midsize_SUV_B")))</f>
        <v>0.44470105991237679</v>
      </c>
      <c r="BI45" s="102">
        <f t="shared" si="156"/>
        <v>0.48962472560026538</v>
      </c>
      <c r="BK45" s="33" t="s">
        <v>573</v>
      </c>
      <c r="BS45" s="102"/>
      <c r="BU45" s="33" t="s">
        <v>573</v>
      </c>
      <c r="BV45" s="73"/>
      <c r="BW45" s="73"/>
      <c r="BX45" s="73"/>
      <c r="BY45" s="73"/>
      <c r="BZ45" s="73"/>
      <c r="CA45" s="73"/>
      <c r="CB45" s="73"/>
      <c r="CD45" s="33" t="s">
        <v>2162</v>
      </c>
      <c r="CN45" s="17" t="s">
        <v>246</v>
      </c>
      <c r="CO45" s="73">
        <f t="shared" si="159"/>
        <v>0.19281664605835194</v>
      </c>
      <c r="CP45" s="73">
        <f t="shared" si="146"/>
        <v>0.20995936701598847</v>
      </c>
      <c r="CQ45" s="73">
        <f t="shared" si="146"/>
        <v>0.22977090669972408</v>
      </c>
      <c r="CR45" s="73">
        <f t="shared" si="146"/>
        <v>0.24633567961683772</v>
      </c>
      <c r="CS45" s="73">
        <f t="shared" si="146"/>
        <v>0.25731914688164126</v>
      </c>
      <c r="CT45" s="73">
        <f t="shared" si="146"/>
        <v>0.2683026141464448</v>
      </c>
      <c r="CU45" s="73">
        <f t="shared" si="146"/>
        <v>0.27928608141124833</v>
      </c>
      <c r="CV45" s="102">
        <f t="shared" si="116"/>
        <v>0.44845420310198847</v>
      </c>
      <c r="CX45" s="443" t="s">
        <v>2212</v>
      </c>
      <c r="CY45" s="444">
        <f t="shared" ref="CY45:DE45" si="168">CO45/CO42</f>
        <v>3.9928663113070546</v>
      </c>
      <c r="CZ45" s="444">
        <f t="shared" si="168"/>
        <v>4.1087261346353081</v>
      </c>
      <c r="DA45" s="444">
        <f t="shared" si="168"/>
        <v>4.257056819182079</v>
      </c>
      <c r="DB45" s="444">
        <f t="shared" si="168"/>
        <v>4.3891890779388323</v>
      </c>
      <c r="DC45" s="444">
        <f t="shared" si="168"/>
        <v>4.4623646551124843</v>
      </c>
      <c r="DD45" s="444">
        <f t="shared" si="168"/>
        <v>4.5317309342404428</v>
      </c>
      <c r="DE45" s="444">
        <f t="shared" si="168"/>
        <v>4.5975778202484685</v>
      </c>
      <c r="DG45" s="470" t="s">
        <v>1119</v>
      </c>
      <c r="DH45" s="470"/>
      <c r="DI45" s="470"/>
      <c r="DJ45" s="470"/>
      <c r="DK45" s="470"/>
      <c r="DL45" s="470"/>
      <c r="DM45" s="470"/>
      <c r="DN45" s="470"/>
      <c r="DQ45" s="189" t="s">
        <v>2218</v>
      </c>
      <c r="DZ45" s="17" t="s">
        <v>110</v>
      </c>
      <c r="EA45" s="88">
        <f t="shared" si="166"/>
        <v>8.5484274440368144E-2</v>
      </c>
      <c r="EB45" s="88">
        <f t="shared" si="166"/>
        <v>8.8486978248352915E-2</v>
      </c>
      <c r="EC45" s="88">
        <f t="shared" si="166"/>
        <v>9.5616218239078968E-2</v>
      </c>
      <c r="ED45" s="88">
        <f t="shared" si="166"/>
        <v>0.10318193352288255</v>
      </c>
      <c r="EE45" s="88">
        <f t="shared" si="166"/>
        <v>0.10929111848126209</v>
      </c>
      <c r="EF45" s="88">
        <f t="shared" si="166"/>
        <v>0.11347672441321019</v>
      </c>
      <c r="EG45" s="88">
        <f t="shared" si="166"/>
        <v>0.1163108945263633</v>
      </c>
      <c r="EH45" s="102">
        <f>(EG45-EA45)/EA45</f>
        <v>0.36061158953275191</v>
      </c>
      <c r="EJ45" s="224" t="s">
        <v>828</v>
      </c>
      <c r="EK45" s="88">
        <f t="shared" si="153"/>
        <v>9.2519489268688165E-2</v>
      </c>
      <c r="EL45" s="88">
        <f t="shared" si="153"/>
        <v>0.117852206568448</v>
      </c>
      <c r="EM45" s="88">
        <f t="shared" si="153"/>
        <v>0.12476485387789917</v>
      </c>
      <c r="EN45" s="88">
        <f t="shared" si="153"/>
        <v>0.13253895571527588</v>
      </c>
      <c r="EO45" s="88">
        <f t="shared" si="153"/>
        <v>0.14134624450672856</v>
      </c>
      <c r="EP45" s="88">
        <f t="shared" si="153"/>
        <v>0.15140734871640887</v>
      </c>
      <c r="EQ45" s="88">
        <f t="shared" si="153"/>
        <v>0.16301052871149818</v>
      </c>
      <c r="ER45" s="102">
        <f t="shared" si="119"/>
        <v>0.76190476190476175</v>
      </c>
    </row>
    <row r="46" spans="1:148" ht="16.5" customHeight="1" thickBot="1" x14ac:dyDescent="0.4">
      <c r="A46" t="s">
        <v>1182</v>
      </c>
      <c r="B46" t="s">
        <v>1094</v>
      </c>
      <c r="C46" t="s">
        <v>452</v>
      </c>
      <c r="D46" t="s">
        <v>2261</v>
      </c>
      <c r="E46" t="s">
        <v>851</v>
      </c>
      <c r="F46">
        <v>2022</v>
      </c>
      <c r="G46" s="63" t="s">
        <v>282</v>
      </c>
      <c r="H46" s="71"/>
      <c r="I46" s="71"/>
      <c r="J46" s="71"/>
      <c r="K46" s="71"/>
      <c r="L46" s="71"/>
      <c r="M46" s="71"/>
      <c r="N46" s="71"/>
      <c r="O46" s="71"/>
      <c r="P46" s="71"/>
      <c r="Q46" s="71"/>
      <c r="R46" s="71"/>
      <c r="S46" s="71"/>
      <c r="T46" s="71"/>
      <c r="U46" s="71"/>
      <c r="V46" s="71"/>
      <c r="W46" s="71"/>
      <c r="X46" s="71"/>
      <c r="Y46" s="71"/>
      <c r="Z46" s="71"/>
      <c r="AA46" s="71"/>
      <c r="AB46" s="71"/>
      <c r="AC46" s="305">
        <f t="shared" ref="AC46:AI47" si="169">$AB8*BV46</f>
        <v>0.4508010453521355</v>
      </c>
      <c r="AD46" s="71">
        <f t="shared" si="169"/>
        <v>0.44656453177009198</v>
      </c>
      <c r="AE46" s="71">
        <f t="shared" si="169"/>
        <v>0.51539496446619748</v>
      </c>
      <c r="AF46" s="71">
        <f t="shared" si="169"/>
        <v>0.56263434549073255</v>
      </c>
      <c r="AG46" s="71">
        <f t="shared" si="169"/>
        <v>0.59145866785455081</v>
      </c>
      <c r="AH46" s="71">
        <f t="shared" si="169"/>
        <v>0.62028299021836919</v>
      </c>
      <c r="AI46" s="71">
        <f t="shared" si="169"/>
        <v>0.64910731258218723</v>
      </c>
      <c r="AJ46" s="417">
        <f>AC46/AB8</f>
        <v>0.99765607049028759</v>
      </c>
      <c r="AK46" s="66" t="s">
        <v>2227</v>
      </c>
      <c r="AL46">
        <v>3</v>
      </c>
      <c r="AM46">
        <v>1</v>
      </c>
      <c r="AN46">
        <v>1</v>
      </c>
      <c r="AO46">
        <v>3</v>
      </c>
      <c r="AP46">
        <v>1</v>
      </c>
      <c r="AT46" s="17" t="s">
        <v>570</v>
      </c>
      <c r="AU46" s="88">
        <f t="shared" si="154"/>
        <v>0.28052670234810545</v>
      </c>
      <c r="AV46" s="88">
        <f t="shared" si="154"/>
        <v>0.31495075010097484</v>
      </c>
      <c r="AW46" s="88">
        <f t="shared" si="154"/>
        <v>0.36437137884484738</v>
      </c>
      <c r="AX46" s="88">
        <f t="shared" si="154"/>
        <v>0.43485133826428995</v>
      </c>
      <c r="AY46" s="88">
        <f t="shared" si="154"/>
        <v>0.38813480156709523</v>
      </c>
      <c r="BA46" s="17" t="s">
        <v>991</v>
      </c>
      <c r="BB46" s="73" cm="1">
        <f t="array" ref="BB46">1/AVERAGE(_xlfn._xlws.FILTER('ANL-DOE-LDV Data'!$AX:$AX, ('ANL-DOE-LDV Data'!$A:$A=$BA46)*('ANL-DOE-LDV Data'!$B:$B=BB$2-5)*('ANL-DOE-LDV Data'!$D:$D="Midsize_SUV_B")))</f>
        <v>0.47889114188521459</v>
      </c>
      <c r="BC46" s="73" cm="1">
        <f t="array" ref="BC46">1/AVERAGE(_xlfn._xlws.FILTER('ANL-DOE-LDV Data'!$AX:$AX, ('ANL-DOE-LDV Data'!$A:$A=$BA46)*('ANL-DOE-LDV Data'!$B:$B=BC$2-5)*('ANL-DOE-LDV Data'!$D:$D="Midsize_SUV_B")))</f>
        <v>0.49480011740298852</v>
      </c>
      <c r="BD46" s="73" cm="1">
        <f t="array" ref="BD46">1/AVERAGE(_xlfn._xlws.FILTER('ANL-DOE-LDV Data'!$AX:$AX, ('ANL-DOE-LDV Data'!$A:$A=$BA46)*('ANL-DOE-LDV Data'!$B:$B=BD$2-5)*('ANL-DOE-LDV Data'!$D:$D="Midsize_SUV_B")))</f>
        <v>0.50658751434345539</v>
      </c>
      <c r="BE46" s="73" cm="1">
        <f t="array" ref="BE46">1/AVERAGE(_xlfn._xlws.FILTER('ANL-DOE-LDV Data'!$AX:$AX, ('ANL-DOE-LDV Data'!$A:$A=$BA46)*('ANL-DOE-LDV Data'!$B:$B=BE$2-5)*('ANL-DOE-LDV Data'!$D:$D="Midsize_SUV_B")))</f>
        <v>0.53865487247489308</v>
      </c>
      <c r="BF46" s="73">
        <f t="shared" ref="BF46:BG46" si="170">($BH46-$BE46)/3 + BE46</f>
        <v>0.56361275897895524</v>
      </c>
      <c r="BG46" s="73">
        <f t="shared" si="170"/>
        <v>0.58857064548301741</v>
      </c>
      <c r="BH46" s="73" cm="1">
        <f t="array" ref="BH46">1/AVERAGE(_xlfn._xlws.FILTER('ANL-DOE-LDV Data'!$AX:$AX, ('ANL-DOE-LDV Data'!$A:$A=$BA46)*('ANL-DOE-LDV Data'!$B:$B=BH$2-5)*('ANL-DOE-LDV Data'!$D:$D="Midsize_SUV_B")))</f>
        <v>0.61352853198707968</v>
      </c>
      <c r="BI46" s="102">
        <f t="shared" si="156"/>
        <v>0.28114403948222605</v>
      </c>
      <c r="BK46" s="17" t="s">
        <v>985</v>
      </c>
      <c r="BL46" s="88">
        <f t="shared" ref="BL46:BL57" si="171">BB30*$AW$65+BB43*$AW$66+BB56*$AW$67</f>
        <v>0.28877317856011853</v>
      </c>
      <c r="BM46" s="88">
        <f t="shared" ref="BM46:BM57" si="172">BC30*$AW$65+BC43*$AW$66+BC56*$AW$67</f>
        <v>0.28538885868591601</v>
      </c>
      <c r="BN46" s="88">
        <f t="shared" ref="BN46:BN57" si="173">BD30*$AW$65+BD43*$AW$66+BD56*$AW$67</f>
        <v>0.3293767646491072</v>
      </c>
      <c r="BO46" s="88">
        <f t="shared" ref="BO46:BO57" si="174">BE30*$AW$65+BE43*$AW$66+BE56*$AW$67</f>
        <v>0.35956633877892635</v>
      </c>
      <c r="BP46" s="88">
        <f t="shared" ref="BP46:BP57" si="175">BF30*$AW$65+BF43*$AW$66+BF56*$AW$67</f>
        <v>0.37798728329325726</v>
      </c>
      <c r="BQ46" s="88">
        <f t="shared" ref="BQ46:BQ57" si="176">BG30*$AW$65+BG43*$AW$66+BG56*$AW$67</f>
        <v>0.39640822780758816</v>
      </c>
      <c r="BR46" s="88">
        <f t="shared" ref="BR46:BR57" si="177">BH30*$AW$65+BH43*$AW$66+BH56*$AW$67</f>
        <v>0.41482917232191896</v>
      </c>
      <c r="BS46" s="102">
        <f t="shared" ref="BS46:BS57" si="178">(BR46-BL46)/BL46</f>
        <v>0.4365225135877962</v>
      </c>
      <c r="BU46" s="17" t="s">
        <v>985</v>
      </c>
      <c r="BV46" s="73">
        <f>1+(BW46-1)/5</f>
        <v>0.99765607049028759</v>
      </c>
      <c r="BW46" s="73">
        <f>BM46/BL46</f>
        <v>0.98828035245143808</v>
      </c>
      <c r="BX46" s="73">
        <f>BN46/BL46</f>
        <v>1.1406071931314616</v>
      </c>
      <c r="BY46" s="73">
        <f>BO46/BL46</f>
        <v>1.2451514388275144</v>
      </c>
      <c r="BZ46" s="73">
        <f>BP46/BL46</f>
        <v>1.3089417970809418</v>
      </c>
      <c r="CA46" s="73">
        <f>BQ46/BL46</f>
        <v>1.3727321553343692</v>
      </c>
      <c r="CB46" s="73">
        <f>BR46/BL46</f>
        <v>1.4365225135877961</v>
      </c>
      <c r="CD46" s="17" t="s">
        <v>1017</v>
      </c>
      <c r="CE46" s="439" cm="1">
        <f t="array" ref="CE46">1/AVERAGE(_xlfn._xlws.FILTER('ANL-DOE-MHDV Data'!$AX:$AX,('ANL-DOE-MHDV Data'!$A:$A=$CD46)*('ANL-DOE-MHDV Data'!$B:$B=CE$2)*('ANL-DOE-MHDV Data'!$E:$E="Sleeper 8")))</f>
        <v>4.7741807228764123E-2</v>
      </c>
      <c r="CF46" s="439" cm="1">
        <f t="array" ref="CF46">1/AVERAGE(_xlfn._xlws.FILTER('ANL-DOE-MHDV Data'!$AX:$AX,('ANL-DOE-MHDV Data'!$A:$A=$CD46)*('ANL-DOE-MHDV Data'!$B:$B=CF$2)*('ANL-DOE-MHDV Data'!$E:$E="Sleeper 8")))</f>
        <v>5.0504667558280716E-2</v>
      </c>
      <c r="CG46" s="439" cm="1">
        <f t="array" ref="CG46">1/AVERAGE(_xlfn._xlws.FILTER('ANL-DOE-MHDV Data'!$AX:$AX,('ANL-DOE-MHDV Data'!$A:$A=$CD46)*('ANL-DOE-MHDV Data'!$B:$B=CG$2)*('ANL-DOE-MHDV Data'!$E:$E="Sleeper 8")))</f>
        <v>5.3344112481087863E-2</v>
      </c>
      <c r="CH46" s="439" cm="1">
        <f t="array" ref="CH46">1/AVERAGE(_xlfn._xlws.FILTER('ANL-DOE-MHDV Data'!$AX:$AX,('ANL-DOE-MHDV Data'!$A:$A=$CD46)*('ANL-DOE-MHDV Data'!$B:$B=CH$2)*('ANL-DOE-MHDV Data'!$E:$E="Sleeper 8")))</f>
        <v>5.5482226599520942E-2</v>
      </c>
      <c r="CI46" s="439">
        <f t="shared" ref="CI46:CJ46" si="179">($CK46-$CH46)/3 + CH46</f>
        <v>5.6988505909587074E-2</v>
      </c>
      <c r="CJ46" s="439">
        <f t="shared" si="179"/>
        <v>5.8494785219653206E-2</v>
      </c>
      <c r="CK46" s="439" cm="1">
        <f t="array" ref="CK46">1/AVERAGE(_xlfn._xlws.FILTER('ANL-DOE-MHDV Data'!$AX:$AX,('ANL-DOE-MHDV Data'!$A:$A=$CD46)*('ANL-DOE-MHDV Data'!$B:$B=CK$2)*('ANL-DOE-MHDV Data'!$E:$E="Sleeper 8")))</f>
        <v>6.0001064529719338E-2</v>
      </c>
      <c r="CL46" s="102">
        <f t="shared" si="11"/>
        <v>0.25678243058987288</v>
      </c>
      <c r="CN46" s="17" t="s">
        <v>627</v>
      </c>
      <c r="CO46" s="73">
        <f t="shared" si="159"/>
        <v>7.4528934212304276E-2</v>
      </c>
      <c r="CP46" s="73">
        <f t="shared" si="146"/>
        <v>8.11048891738744E-2</v>
      </c>
      <c r="CQ46" s="73">
        <f t="shared" si="146"/>
        <v>8.8734601744613908E-2</v>
      </c>
      <c r="CR46" s="73">
        <f t="shared" si="146"/>
        <v>9.3597509145528307E-2</v>
      </c>
      <c r="CS46" s="73">
        <f t="shared" si="146"/>
        <v>9.81383643414179E-2</v>
      </c>
      <c r="CT46" s="73">
        <f t="shared" si="146"/>
        <v>0.10267921953730746</v>
      </c>
      <c r="CU46" s="73">
        <f t="shared" si="146"/>
        <v>0.10722007473319704</v>
      </c>
      <c r="CV46" s="102">
        <f t="shared" si="116"/>
        <v>0.43863689809072376</v>
      </c>
      <c r="CX46" s="443" t="s">
        <v>2213</v>
      </c>
      <c r="CY46" s="444">
        <f t="shared" ref="CY46:DE46" si="180">CO46/CO42</f>
        <v>1.5433525928247498</v>
      </c>
      <c r="CZ46" s="444">
        <f t="shared" si="180"/>
        <v>1.5871536599270748</v>
      </c>
      <c r="DA46" s="444">
        <f t="shared" si="180"/>
        <v>1.6440211986801907</v>
      </c>
      <c r="DB46" s="444">
        <f t="shared" si="180"/>
        <v>1.6677127954133055</v>
      </c>
      <c r="DC46" s="444">
        <f t="shared" si="180"/>
        <v>1.7018911093667208</v>
      </c>
      <c r="DD46" s="444">
        <f t="shared" si="180"/>
        <v>1.7342902042203141</v>
      </c>
      <c r="DE46" s="444">
        <f t="shared" si="180"/>
        <v>1.7650454866487169</v>
      </c>
      <c r="DG46" s="121" t="s">
        <v>638</v>
      </c>
      <c r="DH46" s="121">
        <v>2020</v>
      </c>
      <c r="DI46" s="121">
        <v>2025</v>
      </c>
      <c r="DJ46" s="121">
        <v>2030</v>
      </c>
      <c r="DK46" s="121">
        <v>2035</v>
      </c>
      <c r="DL46" s="121">
        <v>2040</v>
      </c>
      <c r="DM46" s="121">
        <v>2045</v>
      </c>
      <c r="DN46" s="121">
        <v>2050</v>
      </c>
      <c r="DO46" s="33" t="s">
        <v>1055</v>
      </c>
      <c r="DQ46" s="121" t="s">
        <v>638</v>
      </c>
      <c r="DR46" s="446" t="s">
        <v>2174</v>
      </c>
      <c r="DS46" s="446">
        <v>2025</v>
      </c>
      <c r="DT46" s="446">
        <v>2030</v>
      </c>
      <c r="DU46" s="446">
        <v>2035</v>
      </c>
      <c r="DV46" s="446">
        <v>2040</v>
      </c>
      <c r="DW46" s="446">
        <v>2045</v>
      </c>
      <c r="DX46" s="446">
        <v>2050</v>
      </c>
      <c r="DZ46" s="17" t="s">
        <v>240</v>
      </c>
      <c r="EA46" s="88">
        <f t="shared" si="166"/>
        <v>8.4635121465439403E-2</v>
      </c>
      <c r="EB46" s="88">
        <f t="shared" si="166"/>
        <v>8.7020531196164527E-2</v>
      </c>
      <c r="EC46" s="88">
        <f t="shared" si="166"/>
        <v>9.0889435123681875E-2</v>
      </c>
      <c r="ED46" s="88">
        <f t="shared" si="166"/>
        <v>9.3500713187887705E-2</v>
      </c>
      <c r="EE46" s="88">
        <f t="shared" si="166"/>
        <v>9.4650698871416097E-2</v>
      </c>
      <c r="EF46" s="88">
        <f t="shared" si="166"/>
        <v>9.6053542089874516E-2</v>
      </c>
      <c r="EG46" s="88">
        <f t="shared" si="166"/>
        <v>9.8699433709951295E-2</v>
      </c>
      <c r="EH46" s="102">
        <f t="shared" si="118"/>
        <v>0.1661758381271424</v>
      </c>
      <c r="EJ46" s="224" t="s">
        <v>829</v>
      </c>
      <c r="EK46" s="88">
        <f t="shared" si="153"/>
        <v>9.2519489268688165E-2</v>
      </c>
      <c r="EL46" s="88">
        <f t="shared" si="153"/>
        <v>0.11234509411197847</v>
      </c>
      <c r="EM46" s="88">
        <f t="shared" si="153"/>
        <v>0.11754957930246948</v>
      </c>
      <c r="EN46" s="88">
        <f t="shared" si="153"/>
        <v>0.12325969286992611</v>
      </c>
      <c r="EO46" s="88">
        <f t="shared" si="153"/>
        <v>0.12955288141434138</v>
      </c>
      <c r="EP46" s="88">
        <f t="shared" si="153"/>
        <v>0.1365232590785638</v>
      </c>
      <c r="EQ46" s="88">
        <f t="shared" si="153"/>
        <v>0.14428634635950174</v>
      </c>
      <c r="ER46" s="102">
        <f t="shared" si="119"/>
        <v>0.55952380952380909</v>
      </c>
    </row>
    <row r="47" spans="1:148" ht="15" thickTop="1" x14ac:dyDescent="0.35">
      <c r="A47" t="s">
        <v>1183</v>
      </c>
      <c r="B47" t="s">
        <v>10</v>
      </c>
      <c r="C47" t="s">
        <v>452</v>
      </c>
      <c r="D47" t="s">
        <v>2261</v>
      </c>
      <c r="E47" t="s">
        <v>851</v>
      </c>
      <c r="F47">
        <v>2022</v>
      </c>
      <c r="G47" s="63" t="s">
        <v>282</v>
      </c>
      <c r="H47" s="71"/>
      <c r="I47" s="71"/>
      <c r="J47" s="71"/>
      <c r="K47" s="71"/>
      <c r="L47" s="71"/>
      <c r="M47" s="71"/>
      <c r="N47" s="71"/>
      <c r="O47" s="71"/>
      <c r="P47" s="71"/>
      <c r="Q47" s="71"/>
      <c r="R47" s="71"/>
      <c r="S47" s="71"/>
      <c r="T47" s="71"/>
      <c r="U47" s="71"/>
      <c r="V47" s="71"/>
      <c r="W47" s="71"/>
      <c r="X47" s="71"/>
      <c r="Y47" s="71"/>
      <c r="Z47" s="71"/>
      <c r="AA47" s="71"/>
      <c r="AB47" s="71"/>
      <c r="AC47" s="305">
        <f t="shared" si="169"/>
        <v>0.52834961439765304</v>
      </c>
      <c r="AD47" s="71">
        <f t="shared" si="169"/>
        <v>0.51901523184604292</v>
      </c>
      <c r="AE47" s="71">
        <f t="shared" si="169"/>
        <v>0.59211521920394605</v>
      </c>
      <c r="AF47" s="71">
        <f t="shared" si="169"/>
        <v>0.64459386285689235</v>
      </c>
      <c r="AG47" s="71">
        <f t="shared" si="169"/>
        <v>0.67844854624346096</v>
      </c>
      <c r="AH47" s="71">
        <f t="shared" si="169"/>
        <v>0.71230322963002968</v>
      </c>
      <c r="AI47" s="71">
        <f t="shared" si="169"/>
        <v>0.74615791301659828</v>
      </c>
      <c r="AJ47" s="417">
        <f>AC47/AB9</f>
        <v>0.99560265786862512</v>
      </c>
      <c r="AK47" s="66" t="s">
        <v>2227</v>
      </c>
      <c r="AL47">
        <v>3</v>
      </c>
      <c r="AM47">
        <v>1</v>
      </c>
      <c r="AN47">
        <v>1</v>
      </c>
      <c r="AO47">
        <v>3</v>
      </c>
      <c r="AP47">
        <v>1</v>
      </c>
      <c r="AT47" s="17" t="s">
        <v>578</v>
      </c>
      <c r="AV47" s="88">
        <f t="shared" ref="AV47:AY48" si="181">1/(AV18*GSL_PJ_ML*10)</f>
        <v>0.76028912879222965</v>
      </c>
      <c r="AW47" s="88">
        <f t="shared" si="181"/>
        <v>0.76028912879222965</v>
      </c>
      <c r="AX47" s="88">
        <f t="shared" si="181"/>
        <v>0.76028912879222965</v>
      </c>
      <c r="AY47" s="88">
        <f t="shared" si="181"/>
        <v>0.76028912879222965</v>
      </c>
      <c r="BA47" s="17" t="s">
        <v>992</v>
      </c>
      <c r="BB47" s="73" cm="1">
        <f t="array" ref="BB47">1/AVERAGE(_xlfn._xlws.FILTER('ANL-DOE-LDV Data'!$AX:$AX, ('ANL-DOE-LDV Data'!$A:$A=$BA47)*('ANL-DOE-LDV Data'!$B:$B=BB$2-5)*('ANL-DOE-LDV Data'!$D:$D="Midsize_SUV_B")))</f>
        <v>0.64676155076752229</v>
      </c>
      <c r="BC47" s="73" cm="1">
        <f t="array" ref="BC47">1/AVERAGE(_xlfn._xlws.FILTER('ANL-DOE-LDV Data'!$AX:$AX, ('ANL-DOE-LDV Data'!$A:$A=$BA47)*('ANL-DOE-LDV Data'!$B:$B=BC$2-5)*('ANL-DOE-LDV Data'!$D:$D="Midsize_SUV_B")))</f>
        <v>0.67806690896931165</v>
      </c>
      <c r="BD47" s="73" cm="1">
        <f t="array" ref="BD47">1/AVERAGE(_xlfn._xlws.FILTER('ANL-DOE-LDV Data'!$AX:$AX, ('ANL-DOE-LDV Data'!$A:$A=$BA47)*('ANL-DOE-LDV Data'!$B:$B=BD$2-5)*('ANL-DOE-LDV Data'!$D:$D="Midsize_SUV_B")))</f>
        <v>0.69409713324146938</v>
      </c>
      <c r="BE47" s="73" cm="1">
        <f t="array" ref="BE47">1/AVERAGE(_xlfn._xlws.FILTER('ANL-DOE-LDV Data'!$AX:$AX, ('ANL-DOE-LDV Data'!$A:$A=$BA47)*('ANL-DOE-LDV Data'!$B:$B=BE$2-5)*('ANL-DOE-LDV Data'!$D:$D="Midsize_SUV_B")))</f>
        <v>0.75758134284051348</v>
      </c>
      <c r="BF47" s="73">
        <f t="shared" ref="BF47:BG47" si="182">($BH47-$BE47)/3 + BE47</f>
        <v>0.79414779309202499</v>
      </c>
      <c r="BG47" s="73">
        <f t="shared" si="182"/>
        <v>0.8307142433435365</v>
      </c>
      <c r="BH47" s="73" cm="1">
        <f t="array" ref="BH47">1/AVERAGE(_xlfn._xlws.FILTER('ANL-DOE-LDV Data'!$AX:$AX, ('ANL-DOE-LDV Data'!$A:$A=$BA47)*('ANL-DOE-LDV Data'!$B:$B=BH$2-5)*('ANL-DOE-LDV Data'!$D:$D="Midsize_SUV_B")))</f>
        <v>0.867280693595048</v>
      </c>
      <c r="BI47" s="102">
        <f t="shared" si="156"/>
        <v>0.34095895553134248</v>
      </c>
      <c r="BK47" s="17" t="s">
        <v>982</v>
      </c>
      <c r="BL47" s="88">
        <f t="shared" si="171"/>
        <v>0.35456515996267507</v>
      </c>
      <c r="BM47" s="88">
        <f t="shared" si="172"/>
        <v>0.3467694383815676</v>
      </c>
      <c r="BN47" s="88">
        <f t="shared" si="173"/>
        <v>0.39560970357308911</v>
      </c>
      <c r="BO47" s="88">
        <f t="shared" si="174"/>
        <v>0.43067223867794852</v>
      </c>
      <c r="BP47" s="88">
        <f t="shared" si="175"/>
        <v>0.45329155469067889</v>
      </c>
      <c r="BQ47" s="88">
        <f t="shared" si="176"/>
        <v>0.47591087070340937</v>
      </c>
      <c r="BR47" s="88">
        <f t="shared" si="177"/>
        <v>0.4985301867161398</v>
      </c>
      <c r="BS47" s="102">
        <f t="shared" si="178"/>
        <v>0.40603263662064221</v>
      </c>
      <c r="BU47" s="17" t="s">
        <v>982</v>
      </c>
      <c r="BV47" s="73">
        <f t="shared" si="104"/>
        <v>0.99560265786862523</v>
      </c>
      <c r="BW47" s="73">
        <f>BM47/BL47</f>
        <v>0.97801328934312626</v>
      </c>
      <c r="BX47" s="73">
        <f>BN47/BL47</f>
        <v>1.1157602275833722</v>
      </c>
      <c r="BY47" s="73">
        <f>BO47/BL47</f>
        <v>1.2146490611860601</v>
      </c>
      <c r="BZ47" s="73">
        <f>BP47/BL47</f>
        <v>1.2784435863309207</v>
      </c>
      <c r="CA47" s="73">
        <f>BQ47/BL47</f>
        <v>1.3422381114757815</v>
      </c>
      <c r="CB47" s="73">
        <f>BR47/BL47</f>
        <v>1.4060326366206422</v>
      </c>
      <c r="CD47" s="17" t="s">
        <v>1020</v>
      </c>
      <c r="CE47" s="439" cm="1">
        <f t="array" ref="CE47">1/AVERAGE(_xlfn._xlws.FILTER('ANL-DOE-MHDV Data'!$AX:$AX,('ANL-DOE-MHDV Data'!$A:$A=$CD47)*('ANL-DOE-MHDV Data'!$B:$B=CE$2)*('ANL-DOE-MHDV Data'!$E:$E="Sleeper 8")))</f>
        <v>6.116677491507045E-2</v>
      </c>
      <c r="CF47" s="439" cm="1">
        <f t="array" ref="CF47">1/AVERAGE(_xlfn._xlws.FILTER('ANL-DOE-MHDV Data'!$AX:$AX,('ANL-DOE-MHDV Data'!$A:$A=$CD47)*('ANL-DOE-MHDV Data'!$B:$B=CF$2)*('ANL-DOE-MHDV Data'!$E:$E="Sleeper 8")))</f>
        <v>6.5884682173055084E-2</v>
      </c>
      <c r="CG47" s="439" cm="1">
        <f t="array" ref="CG47">1/AVERAGE(_xlfn._xlws.FILTER('ANL-DOE-MHDV Data'!$AX:$AX,('ANL-DOE-MHDV Data'!$A:$A=$CD47)*('ANL-DOE-MHDV Data'!$B:$B=CG$2)*('ANL-DOE-MHDV Data'!$E:$E="Sleeper 8")))</f>
        <v>7.033614025192185E-2</v>
      </c>
      <c r="CH47" s="439" cm="1">
        <f t="array" ref="CH47">1/AVERAGE(_xlfn._xlws.FILTER('ANL-DOE-MHDV Data'!$AX:$AX,('ANL-DOE-MHDV Data'!$A:$A=$CD47)*('ANL-DOE-MHDV Data'!$B:$B=CH$2)*('ANL-DOE-MHDV Data'!$E:$E="Sleeper 8")))</f>
        <v>7.1976908465246167E-2</v>
      </c>
      <c r="CI47" s="439">
        <f t="shared" ref="CI47:CJ47" si="183">($CK47-$CH47)/3 + CH47</f>
        <v>7.5178261125258342E-2</v>
      </c>
      <c r="CJ47" s="439">
        <f t="shared" si="183"/>
        <v>7.8379613785270516E-2</v>
      </c>
      <c r="CK47" s="439" cm="1">
        <f t="array" ref="CK47">1/AVERAGE(_xlfn._xlws.FILTER('ANL-DOE-MHDV Data'!$AX:$AX,('ANL-DOE-MHDV Data'!$A:$A=$CD47)*('ANL-DOE-MHDV Data'!$B:$B=CK$2)*('ANL-DOE-MHDV Data'!$E:$E="Sleeper 8")))</f>
        <v>8.1580966445282704E-2</v>
      </c>
      <c r="CL47" s="102">
        <f t="shared" si="11"/>
        <v>0.33374640985334253</v>
      </c>
      <c r="CN47" s="17" t="s">
        <v>1065</v>
      </c>
      <c r="CO47" s="73">
        <f t="shared" si="159"/>
        <v>8.613311966233636E-2</v>
      </c>
      <c r="CP47" s="73">
        <f t="shared" si="146"/>
        <v>9.5902476569243916E-2</v>
      </c>
      <c r="CQ47" s="73">
        <f t="shared" si="146"/>
        <v>0.10471817972990263</v>
      </c>
      <c r="CR47" s="73">
        <f t="shared" si="146"/>
        <v>0.11316874587869627</v>
      </c>
      <c r="CS47" s="73">
        <f t="shared" si="146"/>
        <v>0.11895615688188305</v>
      </c>
      <c r="CT47" s="73">
        <f t="shared" si="146"/>
        <v>0.12474356788506979</v>
      </c>
      <c r="CU47" s="73">
        <f t="shared" si="146"/>
        <v>0.13053097888825657</v>
      </c>
      <c r="CV47" s="102">
        <f t="shared" si="116"/>
        <v>0.51545630066542414</v>
      </c>
      <c r="CX47" s="443" t="s">
        <v>2214</v>
      </c>
      <c r="CY47" s="444">
        <f t="shared" ref="CY47:DE47" si="184">CO47/CO42</f>
        <v>1.7836532209124853</v>
      </c>
      <c r="CZ47" s="444">
        <f t="shared" si="184"/>
        <v>1.8767298523351748</v>
      </c>
      <c r="DA47" s="444">
        <f t="shared" si="184"/>
        <v>1.9401552943084239</v>
      </c>
      <c r="DB47" s="444">
        <f t="shared" si="184"/>
        <v>2.0164314976516167</v>
      </c>
      <c r="DC47" s="444">
        <f t="shared" si="184"/>
        <v>2.0629080906361539</v>
      </c>
      <c r="DD47" s="444">
        <f t="shared" si="184"/>
        <v>2.1069652535093804</v>
      </c>
      <c r="DE47" s="444">
        <f t="shared" si="184"/>
        <v>2.1487871159189074</v>
      </c>
      <c r="DG47" s="33" t="s">
        <v>1154</v>
      </c>
      <c r="DQ47" s="33" t="s">
        <v>1154</v>
      </c>
      <c r="DZ47" s="17" t="s">
        <v>239</v>
      </c>
      <c r="EA47" s="88">
        <f t="shared" si="166"/>
        <v>8.7080626813657303E-2</v>
      </c>
      <c r="EB47" s="88">
        <f t="shared" si="166"/>
        <v>9.0656740333335359E-2</v>
      </c>
      <c r="EC47" s="88">
        <f t="shared" si="166"/>
        <v>9.9833727408216569E-2</v>
      </c>
      <c r="ED47" s="88">
        <f t="shared" si="166"/>
        <v>0.10836327760928752</v>
      </c>
      <c r="EE47" s="88">
        <f t="shared" si="166"/>
        <v>0.11284782915879071</v>
      </c>
      <c r="EF47" s="88">
        <f t="shared" si="166"/>
        <v>0.11488768592267233</v>
      </c>
      <c r="EG47" s="88">
        <f t="shared" si="166"/>
        <v>0.11602804617536945</v>
      </c>
      <c r="EH47" s="102">
        <f t="shared" si="118"/>
        <v>0.33242088878914888</v>
      </c>
      <c r="EJ47" s="224" t="s">
        <v>240</v>
      </c>
      <c r="EK47" s="88">
        <f t="shared" si="153"/>
        <v>5.7273969547283136E-2</v>
      </c>
      <c r="EL47" s="88">
        <f t="shared" si="153"/>
        <v>7.0491039442810016E-2</v>
      </c>
      <c r="EM47" s="88">
        <f t="shared" si="153"/>
        <v>7.429202686374585E-2</v>
      </c>
      <c r="EN47" s="88">
        <f t="shared" si="153"/>
        <v>7.8526287462197669E-2</v>
      </c>
      <c r="EO47" s="88">
        <f t="shared" si="153"/>
        <v>8.3272381759363481E-2</v>
      </c>
      <c r="EP47" s="88">
        <f t="shared" si="153"/>
        <v>8.8629084679556436E-2</v>
      </c>
      <c r="EQ47" s="88">
        <f t="shared" si="153"/>
        <v>9.4722334251275964E-2</v>
      </c>
      <c r="ER47" s="102">
        <f t="shared" si="119"/>
        <v>0.65384615384615397</v>
      </c>
    </row>
    <row r="48" spans="1:148" x14ac:dyDescent="0.35">
      <c r="A48" t="s">
        <v>1184</v>
      </c>
      <c r="B48" t="s">
        <v>11</v>
      </c>
      <c r="C48" t="s">
        <v>452</v>
      </c>
      <c r="D48" t="s">
        <v>2261</v>
      </c>
      <c r="E48" t="s">
        <v>851</v>
      </c>
      <c r="F48">
        <v>2022</v>
      </c>
      <c r="G48" s="63" t="s">
        <v>282</v>
      </c>
      <c r="H48" s="71"/>
      <c r="I48" s="71"/>
      <c r="J48" s="71"/>
      <c r="K48" s="71"/>
      <c r="L48" s="71"/>
      <c r="M48" s="71"/>
      <c r="N48" s="71"/>
      <c r="O48" s="71"/>
      <c r="P48" s="71"/>
      <c r="Q48" s="71"/>
      <c r="R48" s="71"/>
      <c r="S48" s="71"/>
      <c r="T48" s="71"/>
      <c r="U48" s="71"/>
      <c r="V48" s="71"/>
      <c r="W48" s="71"/>
      <c r="X48" s="71"/>
      <c r="Y48" s="71"/>
      <c r="Z48" s="71"/>
      <c r="AA48" s="71"/>
      <c r="AB48" s="71"/>
      <c r="AC48" s="305">
        <f t="shared" ref="AC48:AI48" si="185">AC46*BV48</f>
        <v>0.45911720111139193</v>
      </c>
      <c r="AD48" s="71">
        <f t="shared" si="185"/>
        <v>0.48706770663825816</v>
      </c>
      <c r="AE48" s="71">
        <f t="shared" si="185"/>
        <v>0.54372076169969485</v>
      </c>
      <c r="AF48" s="71">
        <f t="shared" si="185"/>
        <v>0.58353583372383444</v>
      </c>
      <c r="AG48" s="71">
        <f t="shared" si="185"/>
        <v>0.61333522008777863</v>
      </c>
      <c r="AH48" s="71">
        <f t="shared" si="185"/>
        <v>0.64313460645172316</v>
      </c>
      <c r="AI48" s="71">
        <f t="shared" si="185"/>
        <v>0.67293399281566735</v>
      </c>
      <c r="AJ48" s="417"/>
      <c r="AK48" s="66" t="s">
        <v>2227</v>
      </c>
      <c r="AL48">
        <v>3</v>
      </c>
      <c r="AM48">
        <v>1</v>
      </c>
      <c r="AN48">
        <v>1</v>
      </c>
      <c r="AO48">
        <v>3</v>
      </c>
      <c r="AP48">
        <v>1</v>
      </c>
      <c r="AT48" s="17" t="s">
        <v>579</v>
      </c>
      <c r="AV48" s="88">
        <f t="shared" si="181"/>
        <v>0.94559791698274609</v>
      </c>
      <c r="AW48" s="88">
        <f t="shared" si="181"/>
        <v>0.94559791698274609</v>
      </c>
      <c r="AX48" s="88">
        <f t="shared" si="181"/>
        <v>0.94559791698274609</v>
      </c>
      <c r="AY48" s="88">
        <f t="shared" si="181"/>
        <v>0.94559791698274609</v>
      </c>
      <c r="BA48" s="17" t="s">
        <v>987</v>
      </c>
      <c r="BB48" s="73" cm="1">
        <f t="array" ref="BB48">1/AVERAGE(_xlfn._xlws.FILTER('ANL-DOE-LDV Data'!$AX:$AX, ('ANL-DOE-LDV Data'!$A:$A=$BA48)*('ANL-DOE-LDV Data'!$B:$B=BB$2-5)*('ANL-DOE-LDV Data'!$D:$D="Midsize_SUV_B")))</f>
        <v>0.88278748828957354</v>
      </c>
      <c r="BC48" s="73" cm="1">
        <f t="array" ref="BC48">1/AVERAGE(_xlfn._xlws.FILTER('ANL-DOE-LDV Data'!$AX:$AX, ('ANL-DOE-LDV Data'!$A:$A=$BA48)*('ANL-DOE-LDV Data'!$B:$B=BC$2-5)*('ANL-DOE-LDV Data'!$D:$D="Midsize_SUV_B")))</f>
        <v>0.93514527713815354</v>
      </c>
      <c r="BD48" s="73" cm="1">
        <f t="array" ref="BD48">1/AVERAGE(_xlfn._xlws.FILTER('ANL-DOE-LDV Data'!$AX:$AX, ('ANL-DOE-LDV Data'!$A:$A=$BA48)*('ANL-DOE-LDV Data'!$B:$B=BD$2-5)*('ANL-DOE-LDV Data'!$D:$D="Midsize_SUV_B")))</f>
        <v>0.95271449385834439</v>
      </c>
      <c r="BE48" s="73" cm="1">
        <f t="array" ref="BE48">1/AVERAGE(_xlfn._xlws.FILTER('ANL-DOE-LDV Data'!$AX:$AX, ('ANL-DOE-LDV Data'!$A:$A=$BA48)*('ANL-DOE-LDV Data'!$B:$B=BE$2-5)*('ANL-DOE-LDV Data'!$D:$D="Midsize_SUV_B")))</f>
        <v>1.0482717523770866</v>
      </c>
      <c r="BF48" s="73">
        <f t="shared" ref="BF48:BG48" si="186">($BH48-$BE48)/3 + BE48</f>
        <v>1.093214914158309</v>
      </c>
      <c r="BG48" s="73">
        <f t="shared" si="186"/>
        <v>1.1381580759395313</v>
      </c>
      <c r="BH48" s="73" cm="1">
        <f t="array" ref="BH48">1/AVERAGE(_xlfn._xlws.FILTER('ANL-DOE-LDV Data'!$AX:$AX, ('ANL-DOE-LDV Data'!$A:$A=$BA48)*('ANL-DOE-LDV Data'!$B:$B=BH$2-5)*('ANL-DOE-LDV Data'!$D:$D="Midsize_SUV_B")))</f>
        <v>1.1831012377207537</v>
      </c>
      <c r="BI48" s="102">
        <f t="shared" si="156"/>
        <v>0.34018804459162283</v>
      </c>
      <c r="BK48" s="17" t="s">
        <v>984</v>
      </c>
      <c r="BL48" s="88">
        <f t="shared" si="171"/>
        <v>0.28888421541898285</v>
      </c>
      <c r="BM48" s="88">
        <f t="shared" si="172"/>
        <v>0.3112734823548936</v>
      </c>
      <c r="BN48" s="88">
        <f t="shared" si="173"/>
        <v>0.34747911351186545</v>
      </c>
      <c r="BO48" s="88">
        <f t="shared" si="174"/>
        <v>0.37292398688420197</v>
      </c>
      <c r="BP48" s="88">
        <f t="shared" si="175"/>
        <v>0.39196807180119464</v>
      </c>
      <c r="BQ48" s="88">
        <f t="shared" si="176"/>
        <v>0.41101215671818736</v>
      </c>
      <c r="BR48" s="88">
        <f t="shared" si="177"/>
        <v>0.43005624163518003</v>
      </c>
      <c r="BS48" s="102">
        <f t="shared" si="178"/>
        <v>0.48868030401539425</v>
      </c>
      <c r="BU48" s="443" t="s">
        <v>2202</v>
      </c>
      <c r="BV48" s="444">
        <f>BL48/BL46+(BW48-BL48/BL46)/5</f>
        <v>1.0184475077087729</v>
      </c>
      <c r="BW48" s="444">
        <f>BM48/BM46</f>
        <v>1.0906994890696307</v>
      </c>
      <c r="BX48" s="444">
        <f t="shared" ref="BX48" si="187">BN48/BN46</f>
        <v>1.0549593984932213</v>
      </c>
      <c r="BY48" s="444">
        <f t="shared" ref="BY48" si="188">BO48/BO46</f>
        <v>1.0371493286903264</v>
      </c>
      <c r="BZ48" s="444">
        <f t="shared" ref="BZ48" si="189">BP48/BP46</f>
        <v>1.0369874573190085</v>
      </c>
      <c r="CA48" s="444">
        <f t="shared" ref="CA48" si="190">BQ48/BQ46</f>
        <v>1.0368406301538418</v>
      </c>
      <c r="CB48" s="444">
        <f t="shared" ref="CB48" si="191">BR48/BR46</f>
        <v>1.0367068430313875</v>
      </c>
      <c r="CD48" s="17" t="s">
        <v>1021</v>
      </c>
      <c r="CE48" s="439" cm="1">
        <f t="array" ref="CE48">1/AVERAGE(_xlfn._xlws.FILTER('ANL-DOE-MHDV Data'!$AX:$AX,('ANL-DOE-MHDV Data'!$A:$A=$CD48)*('ANL-DOE-MHDV Data'!$B:$B=CE$2)*('ANL-DOE-MHDV Data'!$E:$E="Sleeper 8")))</f>
        <v>0.13917215296078991</v>
      </c>
      <c r="CF48" s="439" cm="1">
        <f t="array" ref="CF48">1/AVERAGE(_xlfn._xlws.FILTER('ANL-DOE-MHDV Data'!$AX:$AX,('ANL-DOE-MHDV Data'!$A:$A=$CD48)*('ANL-DOE-MHDV Data'!$B:$B=CF$2)*('ANL-DOE-MHDV Data'!$E:$E="Sleeper 8")))</f>
        <v>0.15251149658353533</v>
      </c>
      <c r="CG48" s="439" cm="1">
        <f t="array" ref="CG48">1/AVERAGE(_xlfn._xlws.FILTER('ANL-DOE-MHDV Data'!$AX:$AX,('ANL-DOE-MHDV Data'!$A:$A=$CD48)*('ANL-DOE-MHDV Data'!$B:$B=CG$2)*('ANL-DOE-MHDV Data'!$E:$E="Sleeper 8")))</f>
        <v>0.16641963905491153</v>
      </c>
      <c r="CH48" s="439" cm="1">
        <f t="array" ref="CH48">1/AVERAGE(_xlfn._xlws.FILTER('ANL-DOE-MHDV Data'!$AX:$AX,('ANL-DOE-MHDV Data'!$A:$A=$CD48)*('ANL-DOE-MHDV Data'!$B:$B=CH$2)*('ANL-DOE-MHDV Data'!$E:$E="Sleeper 8")))</f>
        <v>0.17805524230360736</v>
      </c>
      <c r="CI48" s="439">
        <f t="shared" ref="CI48:CJ48" si="192">($CK48-$CH48)/3 + CH48</f>
        <v>0.18645159296670691</v>
      </c>
      <c r="CJ48" s="439">
        <f t="shared" si="192"/>
        <v>0.19484794362980645</v>
      </c>
      <c r="CK48" s="439" cm="1">
        <f t="array" ref="CK48">1/AVERAGE(_xlfn._xlws.FILTER('ANL-DOE-MHDV Data'!$AX:$AX,('ANL-DOE-MHDV Data'!$A:$A=$CD48)*('ANL-DOE-MHDV Data'!$B:$B=CK$2)*('ANL-DOE-MHDV Data'!$E:$E="Sleeper 8")))</f>
        <v>0.203244294292906</v>
      </c>
      <c r="CL48" s="102">
        <f t="shared" si="11"/>
        <v>0.46038047101396529</v>
      </c>
      <c r="CN48" s="33" t="s">
        <v>1295</v>
      </c>
      <c r="CV48" s="102"/>
      <c r="CX48" s="33" t="s">
        <v>1295</v>
      </c>
      <c r="DG48" s="17" t="s">
        <v>109</v>
      </c>
      <c r="DH48" s="73">
        <f>1/('GREET-AFLEET Summary'!U90*MJ_Btu/km_mile)</f>
        <v>0.94113853366967604</v>
      </c>
      <c r="DI48" s="73">
        <f>1/('GREET-AFLEET Summary'!V90*MJ_Btu/km_mile)</f>
        <v>0.95131008422077945</v>
      </c>
      <c r="DJ48" s="73">
        <f>1/('GREET-AFLEET Summary'!W90*MJ_Btu/km_mile)</f>
        <v>0.9607837345157153</v>
      </c>
      <c r="DK48" s="73">
        <f>1/('GREET-AFLEET Summary'!X90*MJ_Btu/km_mile)</f>
        <v>0.97044797002625283</v>
      </c>
      <c r="DL48" s="73">
        <f>1/('GREET-AFLEET Summary'!Y90*MJ_Btu/km_mile)</f>
        <v>0.98012602493821255</v>
      </c>
      <c r="DM48" s="73">
        <f>1/('GREET-AFLEET Summary'!Z90*MJ_Btu/km_mile)</f>
        <v>0.98997439634114415</v>
      </c>
      <c r="DN48" s="73">
        <f>1/('GREET-AFLEET Summary'!AA90*MJ_Btu/km_mile)</f>
        <v>0.99992172483410524</v>
      </c>
      <c r="DO48" s="102">
        <f>(DN48-DH48)/DH48</f>
        <v>6.2459658234609194E-2</v>
      </c>
      <c r="DQ48" s="17" t="s">
        <v>109</v>
      </c>
      <c r="DR48" s="73">
        <f>1+(DS48-1)/5</f>
        <v>1.0021615416194771</v>
      </c>
      <c r="DS48" s="73">
        <f>DI48/$DH$48</f>
        <v>1.0108077080973856</v>
      </c>
      <c r="DT48" s="73">
        <f t="shared" ref="DT48:DX48" si="193">DJ48/$DH$48</f>
        <v>1.0208738672822575</v>
      </c>
      <c r="DU48" s="73">
        <f t="shared" si="193"/>
        <v>1.031142531421271</v>
      </c>
      <c r="DV48" s="73">
        <f t="shared" si="193"/>
        <v>1.0414258792661659</v>
      </c>
      <c r="DW48" s="73">
        <f t="shared" si="193"/>
        <v>1.0518901956771953</v>
      </c>
      <c r="DX48" s="73">
        <f t="shared" si="193"/>
        <v>1.0624596582346093</v>
      </c>
      <c r="DZ48" s="17" t="s">
        <v>246</v>
      </c>
      <c r="EA48" s="88">
        <f t="shared" si="166"/>
        <v>0.22045849939739551</v>
      </c>
      <c r="EB48" s="88">
        <f t="shared" si="166"/>
        <v>0.22283085147129553</v>
      </c>
      <c r="EC48" s="88">
        <f t="shared" si="166"/>
        <v>0.2317173785058019</v>
      </c>
      <c r="ED48" s="88">
        <f t="shared" si="166"/>
        <v>0.23919459048611985</v>
      </c>
      <c r="EE48" s="88">
        <f t="shared" si="166"/>
        <v>0.24388450566842493</v>
      </c>
      <c r="EF48" s="88">
        <f t="shared" si="166"/>
        <v>0.24596142034100704</v>
      </c>
      <c r="EG48" s="88">
        <f t="shared" si="166"/>
        <v>0.24582191491915611</v>
      </c>
      <c r="EH48" s="102">
        <f t="shared" si="118"/>
        <v>0.11504848119301066</v>
      </c>
      <c r="EJ48" s="4" t="s">
        <v>1225</v>
      </c>
      <c r="EK48" s="88"/>
      <c r="EL48" s="88"/>
      <c r="EM48" s="88"/>
      <c r="EN48" s="88"/>
      <c r="EO48" s="88"/>
      <c r="EP48" s="88"/>
      <c r="EQ48" s="88"/>
      <c r="ER48" s="102"/>
    </row>
    <row r="49" spans="1:148" x14ac:dyDescent="0.35">
      <c r="A49" t="s">
        <v>1185</v>
      </c>
      <c r="B49" t="s">
        <v>1094</v>
      </c>
      <c r="C49" t="s">
        <v>452</v>
      </c>
      <c r="D49" t="s">
        <v>2261</v>
      </c>
      <c r="E49" t="s">
        <v>851</v>
      </c>
      <c r="F49">
        <v>2022</v>
      </c>
      <c r="G49" s="63" t="s">
        <v>282</v>
      </c>
      <c r="H49" s="71"/>
      <c r="I49" s="71"/>
      <c r="J49" s="71"/>
      <c r="K49" s="71"/>
      <c r="L49" s="71"/>
      <c r="M49" s="71"/>
      <c r="N49" s="71"/>
      <c r="O49" s="71"/>
      <c r="P49" s="71"/>
      <c r="Q49" s="71"/>
      <c r="R49" s="71"/>
      <c r="S49" s="71"/>
      <c r="T49" s="71"/>
      <c r="U49" s="71"/>
      <c r="V49" s="71"/>
      <c r="W49" s="71"/>
      <c r="X49" s="71"/>
      <c r="Y49" s="71"/>
      <c r="Z49" s="71"/>
      <c r="AA49" s="71"/>
      <c r="AB49" s="71"/>
      <c r="AC49" s="305">
        <f t="shared" ref="AC49:AI50" si="194">$AB11*BV49</f>
        <v>0.7494688476011605</v>
      </c>
      <c r="AD49" s="71">
        <f t="shared" si="194"/>
        <v>0.76826530836370199</v>
      </c>
      <c r="AE49" s="71">
        <f t="shared" si="194"/>
        <v>0.78717726943179978</v>
      </c>
      <c r="AF49" s="71">
        <f t="shared" si="194"/>
        <v>0.83739575857547888</v>
      </c>
      <c r="AG49" s="71">
        <f t="shared" si="194"/>
        <v>0.87539493980029293</v>
      </c>
      <c r="AH49" s="71">
        <f t="shared" si="194"/>
        <v>0.91339412102510698</v>
      </c>
      <c r="AI49" s="71">
        <f t="shared" si="194"/>
        <v>0.95139330224992125</v>
      </c>
      <c r="AJ49" s="417">
        <f>AC49/AB11</f>
        <v>1.0063094873303005</v>
      </c>
      <c r="AK49" s="66" t="s">
        <v>2227</v>
      </c>
      <c r="AL49">
        <v>3</v>
      </c>
      <c r="AM49">
        <v>1</v>
      </c>
      <c r="AN49">
        <v>1</v>
      </c>
      <c r="AO49">
        <v>3</v>
      </c>
      <c r="AP49">
        <v>1</v>
      </c>
      <c r="AT49" s="17" t="s">
        <v>1054</v>
      </c>
      <c r="AV49" s="88"/>
      <c r="AW49" s="88"/>
      <c r="AX49" s="88"/>
      <c r="AY49" s="88"/>
      <c r="BA49" s="17" t="s">
        <v>975</v>
      </c>
      <c r="BB49" s="73" cm="1">
        <f t="array" ref="BB49">1/AVERAGE(_xlfn._xlws.FILTER('ANL-DOE-LDV Data'!$AX:$AX, ('ANL-DOE-LDV Data'!$A:$A=$BA49)*('ANL-DOE-LDV Data'!$B:$B=BB$2-5)*('ANL-DOE-LDV Data'!$D:$D="Midsize_SUV_B")))</f>
        <v>1.475918092240881</v>
      </c>
      <c r="BC49" s="73" cm="1">
        <f t="array" ref="BC49">1/AVERAGE(_xlfn._xlws.FILTER('ANL-DOE-LDV Data'!$AX:$AX, ('ANL-DOE-LDV Data'!$A:$A=$BA49)*('ANL-DOE-LDV Data'!$B:$B=BC$2-5)*('ANL-DOE-LDV Data'!$D:$D="Midsize_SUV_B")))</f>
        <v>1.544998613653858</v>
      </c>
      <c r="BD49" s="73" cm="1">
        <f t="array" ref="BD49">1/AVERAGE(_xlfn._xlws.FILTER('ANL-DOE-LDV Data'!$AX:$AX, ('ANL-DOE-LDV Data'!$A:$A=$BA49)*('ANL-DOE-LDV Data'!$B:$B=BD$2-5)*('ANL-DOE-LDV Data'!$D:$D="Midsize_SUV_B")))</f>
        <v>1.575937152554743</v>
      </c>
      <c r="BE49" s="73" cm="1">
        <f t="array" ref="BE49">1/AVERAGE(_xlfn._xlws.FILTER('ANL-DOE-LDV Data'!$AX:$AX, ('ANL-DOE-LDV Data'!$A:$A=$BA49)*('ANL-DOE-LDV Data'!$B:$B=BE$2-5)*('ANL-DOE-LDV Data'!$D:$D="Midsize_SUV_B")))</f>
        <v>1.7436882488756575</v>
      </c>
      <c r="BF49" s="73">
        <f t="shared" ref="BF49:BG49" si="195">($BH49-$BE49)/3 + BE49</f>
        <v>1.8078072514914343</v>
      </c>
      <c r="BG49" s="73">
        <f t="shared" si="195"/>
        <v>1.871926254107211</v>
      </c>
      <c r="BH49" s="73" cm="1">
        <f t="array" ref="BH49">1/AVERAGE(_xlfn._xlws.FILTER('ANL-DOE-LDV Data'!$AX:$AX, ('ANL-DOE-LDV Data'!$A:$A=$BA49)*('ANL-DOE-LDV Data'!$B:$B=BH$2-5)*('ANL-DOE-LDV Data'!$D:$D="Midsize_SUV_B")))</f>
        <v>1.9360452567229878</v>
      </c>
      <c r="BI49" s="102">
        <f t="shared" si="156"/>
        <v>0.31175657165601744</v>
      </c>
      <c r="BK49" s="17" t="s">
        <v>991</v>
      </c>
      <c r="BL49" s="88">
        <f t="shared" si="171"/>
        <v>0.47054989151148696</v>
      </c>
      <c r="BM49" s="88">
        <f t="shared" si="172"/>
        <v>0.48539453440531666</v>
      </c>
      <c r="BN49" s="88">
        <f t="shared" si="173"/>
        <v>0.49734322249184809</v>
      </c>
      <c r="BO49" s="88">
        <f t="shared" si="174"/>
        <v>0.5290715589025492</v>
      </c>
      <c r="BP49" s="88">
        <f t="shared" si="175"/>
        <v>0.55307966479722548</v>
      </c>
      <c r="BQ49" s="88">
        <f t="shared" si="176"/>
        <v>0.57708777069190176</v>
      </c>
      <c r="BR49" s="88">
        <f t="shared" si="177"/>
        <v>0.60109587658657815</v>
      </c>
      <c r="BS49" s="102">
        <f t="shared" si="178"/>
        <v>0.27743282366032451</v>
      </c>
      <c r="BU49" s="17" t="s">
        <v>991</v>
      </c>
      <c r="BV49" s="73">
        <f t="shared" si="104"/>
        <v>1.0063094873303005</v>
      </c>
      <c r="BW49" s="73">
        <f>BM49/BL49</f>
        <v>1.0315474366515018</v>
      </c>
      <c r="BX49" s="73">
        <f>BN49/BL49</f>
        <v>1.0569404678732288</v>
      </c>
      <c r="BY49" s="73">
        <f>BO49/BL49</f>
        <v>1.1243686768327172</v>
      </c>
      <c r="BZ49" s="73">
        <f>BP49/BL49</f>
        <v>1.1753900591085862</v>
      </c>
      <c r="CA49" s="73">
        <f>BQ49/BL49</f>
        <v>1.2264114413844551</v>
      </c>
      <c r="CB49" s="73">
        <f>BR49/BL49</f>
        <v>1.2774328236603245</v>
      </c>
      <c r="CD49" s="17" t="s">
        <v>246</v>
      </c>
      <c r="CE49" s="439" cm="1">
        <f t="array" ref="CE49">1/AVERAGE(_xlfn._xlws.FILTER('ANL-DOE-MHDV Data'!$AX:$AX,('ANL-DOE-MHDV Data'!$A:$A=$CD49)*('ANL-DOE-MHDV Data'!$B:$B=CE$2)*('ANL-DOE-MHDV Data'!$E:$E="Sleeper 8")))</f>
        <v>0.19014840020794932</v>
      </c>
      <c r="CF49" s="439" cm="1">
        <f t="array" ref="CF49">1/AVERAGE(_xlfn._xlws.FILTER('ANL-DOE-MHDV Data'!$AX:$AX,('ANL-DOE-MHDV Data'!$A:$A=$CD49)*('ANL-DOE-MHDV Data'!$B:$B=CF$2)*('ANL-DOE-MHDV Data'!$E:$E="Sleeper 8")))</f>
        <v>0.20725029619327257</v>
      </c>
      <c r="CG49" s="439" cm="1">
        <f t="array" ref="CG49">1/AVERAGE(_xlfn._xlws.FILTER('ANL-DOE-MHDV Data'!$AX:$AX,('ANL-DOE-MHDV Data'!$A:$A=$CD49)*('ANL-DOE-MHDV Data'!$B:$B=CG$2)*('ANL-DOE-MHDV Data'!$E:$E="Sleeper 8")))</f>
        <v>0.22773249561329029</v>
      </c>
      <c r="CH49" s="439" cm="1">
        <f t="array" ref="CH49">1/AVERAGE(_xlfn._xlws.FILTER('ANL-DOE-MHDV Data'!$AX:$AX,('ANL-DOE-MHDV Data'!$A:$A=$CD49)*('ANL-DOE-MHDV Data'!$B:$B=CH$2)*('ANL-DOE-MHDV Data'!$E:$E="Sleeper 8")))</f>
        <v>0.24441710710163411</v>
      </c>
      <c r="CI49" s="439">
        <f t="shared" ref="CI49:CJ49" si="196">($CK49-$CH49)/3 + CH49</f>
        <v>0.25555689652826752</v>
      </c>
      <c r="CJ49" s="439">
        <f t="shared" si="196"/>
        <v>0.26669668595490092</v>
      </c>
      <c r="CK49" s="439" cm="1">
        <f t="array" ref="CK49">1/AVERAGE(_xlfn._xlws.FILTER('ANL-DOE-MHDV Data'!$AX:$AX,('ANL-DOE-MHDV Data'!$A:$A=$CD49)*('ANL-DOE-MHDV Data'!$B:$B=CK$2)*('ANL-DOE-MHDV Data'!$E:$E="Sleeper 8")))</f>
        <v>0.27783647538153439</v>
      </c>
      <c r="CL49" s="102">
        <f t="shared" si="11"/>
        <v>0.46115599751398378</v>
      </c>
      <c r="CN49" s="17" t="s">
        <v>1017</v>
      </c>
      <c r="CO49" s="73" cm="1">
        <f t="array" ref="CO49">1/AVERAGE(_xlfn._xlws.FILTER('ANL-DOE-MHDV Data'!$AX:$AX,('ANL-DOE-MHDV Data'!$A:$A=$CN49)*('ANL-DOE-MHDV Data'!$B:$B=CO$33)*('ANL-DOE-MHDV Data'!$D:$D="School")))</f>
        <v>9.7887468246703302E-2</v>
      </c>
      <c r="CP49" s="73" cm="1">
        <f t="array" ref="CP49">1/AVERAGE(_xlfn._xlws.FILTER('ANL-DOE-MHDV Data'!$AX:$AX,('ANL-DOE-MHDV Data'!$A:$A=$CN49)*('ANL-DOE-MHDV Data'!$B:$B=CP$33)*('ANL-DOE-MHDV Data'!$D:$D="School")))</f>
        <v>0.10414677752179349</v>
      </c>
      <c r="CQ49" s="73" cm="1">
        <f t="array" ref="CQ49">1/AVERAGE(_xlfn._xlws.FILTER('ANL-DOE-MHDV Data'!$AX:$AX,('ANL-DOE-MHDV Data'!$A:$A=$CN49)*('ANL-DOE-MHDV Data'!$B:$B=CQ$33)*('ANL-DOE-MHDV Data'!$D:$D="School")))</f>
        <v>0.11012592112724406</v>
      </c>
      <c r="CR49" s="73" cm="1">
        <f t="array" ref="CR49">1/AVERAGE(_xlfn._xlws.FILTER('ANL-DOE-MHDV Data'!$AX:$AX,('ANL-DOE-MHDV Data'!$A:$A=$CN49)*('ANL-DOE-MHDV Data'!$B:$B=CR$33)*('ANL-DOE-MHDV Data'!$D:$D="School")))</f>
        <v>0.11480331982796786</v>
      </c>
      <c r="CS49" s="73">
        <f t="shared" ref="CS49:CT54" si="197">($CU49-$CR49)/3 + CR49</f>
        <v>0.11916563370016796</v>
      </c>
      <c r="CT49" s="73">
        <f t="shared" si="197"/>
        <v>0.12352794757236805</v>
      </c>
      <c r="CU49" s="73" cm="1">
        <f t="array" ref="CU49">1/AVERAGE(_xlfn._xlws.FILTER('ANL-DOE-MHDV Data'!$AX:$AX,('ANL-DOE-MHDV Data'!$A:$A=$CN49)*('ANL-DOE-MHDV Data'!$B:$B=CU$33)*('ANL-DOE-MHDV Data'!$D:$D="School")))</f>
        <v>0.12789026144456814</v>
      </c>
      <c r="CV49" s="102">
        <f t="shared" si="116"/>
        <v>0.30650290313209</v>
      </c>
      <c r="CX49" s="17" t="s">
        <v>1727</v>
      </c>
      <c r="CY49" s="73">
        <f t="shared" ref="CY49:CZ49" si="198">CO49/$CO49</f>
        <v>1</v>
      </c>
      <c r="CZ49" s="73">
        <f t="shared" si="198"/>
        <v>1.0639439285457359</v>
      </c>
      <c r="DA49" s="73">
        <f t="shared" ref="DA49" si="199">CQ49/$CO49</f>
        <v>1.1250257372036276</v>
      </c>
      <c r="DB49" s="73">
        <f t="shared" ref="DB49" si="200">CR49/$CO49</f>
        <v>1.1728091642806817</v>
      </c>
      <c r="DC49" s="73">
        <f t="shared" ref="DC49" si="201">CS49/$CO49</f>
        <v>1.2173737438978178</v>
      </c>
      <c r="DD49" s="73">
        <f t="shared" ref="DD49" si="202">CT49/$CO49</f>
        <v>1.2619383235149539</v>
      </c>
      <c r="DE49" s="73">
        <f t="shared" ref="DE49" si="203">CU49/$CO49</f>
        <v>1.3065029031320901</v>
      </c>
      <c r="DG49" s="17" t="s">
        <v>1133</v>
      </c>
      <c r="DH49" s="73"/>
      <c r="DI49" s="73"/>
      <c r="DJ49" s="73">
        <f>1/('GREET-AFLEET Summary'!W91*MJ_Btu/km_mile)</f>
        <v>1.6732716553671383</v>
      </c>
      <c r="DK49" s="73">
        <f>1/('GREET-AFLEET Summary'!X91*MJ_Btu/km_mile)</f>
        <v>1.6903054956541246</v>
      </c>
      <c r="DL49" s="73">
        <f>1/('GREET-AFLEET Summary'!Y91*MJ_Btu/km_mile)</f>
        <v>1.7071357554166207</v>
      </c>
      <c r="DM49" s="73">
        <f>1/('GREET-AFLEET Summary'!Z91*MJ_Btu/km_mile)</f>
        <v>1.7241730384048106</v>
      </c>
      <c r="DN49" s="73">
        <f>1/('GREET-AFLEET Summary'!AA91*MJ_Btu/km_mile)</f>
        <v>1.7413803541573538</v>
      </c>
      <c r="DO49" s="102">
        <f>(DN49-DJ49)/DJ49</f>
        <v>4.0703909954938888E-2</v>
      </c>
      <c r="DQ49" s="443" t="s">
        <v>2219</v>
      </c>
      <c r="DR49" s="445"/>
      <c r="DS49" s="445"/>
      <c r="DT49" s="444">
        <f>DJ49/DJ48</f>
        <v>1.7415695075339237</v>
      </c>
      <c r="DU49" s="444">
        <f t="shared" ref="DU49:DX49" si="204">DK49/DK48</f>
        <v>1.7417785887154753</v>
      </c>
      <c r="DV49" s="444">
        <f t="shared" si="204"/>
        <v>1.7417512768567074</v>
      </c>
      <c r="DW49" s="444">
        <f t="shared" si="204"/>
        <v>1.7416339703099375</v>
      </c>
      <c r="DX49" s="444">
        <f t="shared" si="204"/>
        <v>1.7415166716637367</v>
      </c>
      <c r="DZ49" s="17" t="s">
        <v>1197</v>
      </c>
      <c r="EA49" s="88"/>
      <c r="EB49" s="88">
        <f t="shared" ref="EB49:EG51" si="205">1/(EB18*DSL_PJ_ML*10)</f>
        <v>0.18763272798790265</v>
      </c>
      <c r="EC49" s="88">
        <f t="shared" si="205"/>
        <v>0.19940637767017483</v>
      </c>
      <c r="ED49" s="88">
        <f t="shared" si="205"/>
        <v>0.21340334989398932</v>
      </c>
      <c r="EE49" s="88">
        <f t="shared" si="205"/>
        <v>0.22468934485425068</v>
      </c>
      <c r="EF49" s="88">
        <f t="shared" si="205"/>
        <v>0.23054201208097627</v>
      </c>
      <c r="EG49" s="88">
        <f t="shared" si="205"/>
        <v>0.23315280887364045</v>
      </c>
      <c r="EH49" s="102">
        <f>(EG49-EB49)/EB49</f>
        <v>0.24260203096696781</v>
      </c>
      <c r="EJ49" s="224" t="s">
        <v>109</v>
      </c>
      <c r="EK49" s="88">
        <f t="shared" ref="EK49:EQ54" si="206">1/(EK18*DSL_PJ_ML*10)</f>
        <v>9.2519489268688165E-2</v>
      </c>
      <c r="EL49" s="88">
        <f t="shared" si="206"/>
        <v>0.11234509411197847</v>
      </c>
      <c r="EM49" s="88">
        <f t="shared" si="206"/>
        <v>0.11725337492269595</v>
      </c>
      <c r="EN49" s="88">
        <f t="shared" si="206"/>
        <v>0.12261012809175315</v>
      </c>
      <c r="EO49" s="88">
        <f t="shared" si="206"/>
        <v>0.12847976188337959</v>
      </c>
      <c r="EP49" s="88">
        <f t="shared" si="206"/>
        <v>0.134939638179192</v>
      </c>
      <c r="EQ49" s="88">
        <f t="shared" si="206"/>
        <v>0.14208350137691397</v>
      </c>
      <c r="ER49" s="102">
        <f t="shared" si="119"/>
        <v>0.53571428571428581</v>
      </c>
    </row>
    <row r="50" spans="1:148" x14ac:dyDescent="0.35">
      <c r="A50" t="s">
        <v>1186</v>
      </c>
      <c r="B50" t="s">
        <v>2071</v>
      </c>
      <c r="C50" t="s">
        <v>452</v>
      </c>
      <c r="D50" t="s">
        <v>2261</v>
      </c>
      <c r="E50" t="s">
        <v>851</v>
      </c>
      <c r="F50">
        <v>2022</v>
      </c>
      <c r="G50" s="63" t="s">
        <v>282</v>
      </c>
      <c r="H50" s="71"/>
      <c r="I50" s="71"/>
      <c r="J50" s="71"/>
      <c r="K50" s="71"/>
      <c r="L50" s="71"/>
      <c r="M50" s="71"/>
      <c r="N50" s="71"/>
      <c r="O50" s="71"/>
      <c r="P50" s="71"/>
      <c r="Q50" s="71"/>
      <c r="R50" s="71"/>
      <c r="S50" s="71"/>
      <c r="T50" s="71"/>
      <c r="U50" s="71"/>
      <c r="V50" s="71"/>
      <c r="W50" s="71"/>
      <c r="X50" s="71"/>
      <c r="Y50" s="71"/>
      <c r="Z50" s="71"/>
      <c r="AA50" s="71"/>
      <c r="AB50" s="71"/>
      <c r="AC50" s="305">
        <f t="shared" si="194"/>
        <v>1.3152429996653676</v>
      </c>
      <c r="AD50" s="71">
        <f t="shared" si="194"/>
        <v>1.3676273162433978</v>
      </c>
      <c r="AE50" s="71">
        <f t="shared" si="194"/>
        <v>1.4024389967266429</v>
      </c>
      <c r="AF50" s="71">
        <f t="shared" si="194"/>
        <v>1.5311083289667839</v>
      </c>
      <c r="AG50" s="71">
        <f t="shared" si="194"/>
        <v>1.6038013195542293</v>
      </c>
      <c r="AH50" s="71">
        <f t="shared" si="194"/>
        <v>1.6764943101416754</v>
      </c>
      <c r="AI50" s="71">
        <f t="shared" si="194"/>
        <v>1.7491873007291205</v>
      </c>
      <c r="AJ50" s="417">
        <f>AC50/AB12</f>
        <v>1.0100572976352538</v>
      </c>
      <c r="AK50" s="66" t="s">
        <v>2227</v>
      </c>
      <c r="AL50">
        <v>3</v>
      </c>
      <c r="AM50">
        <v>1</v>
      </c>
      <c r="AN50">
        <v>1</v>
      </c>
      <c r="AO50">
        <v>3</v>
      </c>
      <c r="AP50">
        <v>1</v>
      </c>
      <c r="AT50" s="17" t="s">
        <v>1053</v>
      </c>
      <c r="AV50" s="88">
        <f t="shared" ref="AV50:AY51" si="207">1/(AV21*ELC_PJ_MkWh*10)</f>
        <v>1.1166283501247924</v>
      </c>
      <c r="AW50" s="88">
        <f t="shared" si="207"/>
        <v>1.1166283501247924</v>
      </c>
      <c r="AX50" s="88">
        <f t="shared" si="207"/>
        <v>1.1166283501247924</v>
      </c>
      <c r="AY50" s="88">
        <f t="shared" si="207"/>
        <v>1.1166283501247924</v>
      </c>
      <c r="BA50" s="17" t="s">
        <v>979</v>
      </c>
      <c r="BB50" s="73" cm="1">
        <f t="array" ref="BB50">1/AVERAGE(_xlfn._xlws.FILTER('ANL-DOE-LDV Data'!$AX:$AX, ('ANL-DOE-LDV Data'!$A:$A=$BA50)*('ANL-DOE-LDV Data'!$B:$B=BB$2-5)*('ANL-DOE-LDV Data'!$D:$D="Midsize_SUV_B")))</f>
        <v>1.4116740642511079</v>
      </c>
      <c r="BC50" s="73" cm="1">
        <f t="array" ref="BC50">1/AVERAGE(_xlfn._xlws.FILTER('ANL-DOE-LDV Data'!$AX:$AX, ('ANL-DOE-LDV Data'!$A:$A=$BA50)*('ANL-DOE-LDV Data'!$B:$B=BC$2-5)*('ANL-DOE-LDV Data'!$D:$D="Midsize_SUV_B")))</f>
        <v>1.478458548665613</v>
      </c>
      <c r="BD50" s="73" cm="1">
        <f t="array" ref="BD50">1/AVERAGE(_xlfn._xlws.FILTER('ANL-DOE-LDV Data'!$AX:$AX, ('ANL-DOE-LDV Data'!$A:$A=$BA50)*('ANL-DOE-LDV Data'!$B:$B=BD$2-5)*('ANL-DOE-LDV Data'!$D:$D="Midsize_SUV_B")))</f>
        <v>1.5246794347454211</v>
      </c>
      <c r="BE50" s="73" cm="1">
        <f t="array" ref="BE50">1/AVERAGE(_xlfn._xlws.FILTER('ANL-DOE-LDV Data'!$AX:$AX, ('ANL-DOE-LDV Data'!$A:$A=$BA50)*('ANL-DOE-LDV Data'!$B:$B=BE$2-5)*('ANL-DOE-LDV Data'!$D:$D="Midsize_SUV_B")))</f>
        <v>1.6893756556412123</v>
      </c>
      <c r="BF50" s="73">
        <f t="shared" ref="BF50:BG50" si="208">($BH50-$BE50)/3 + BE50</f>
        <v>1.7537626556191792</v>
      </c>
      <c r="BG50" s="73">
        <f t="shared" si="208"/>
        <v>1.8181496555971461</v>
      </c>
      <c r="BH50" s="73" cm="1">
        <f t="array" ref="BH50">1/AVERAGE(_xlfn._xlws.FILTER('ANL-DOE-LDV Data'!$AX:$AX, ('ANL-DOE-LDV Data'!$A:$A=$BA50)*('ANL-DOE-LDV Data'!$B:$B=BH$2-5)*('ANL-DOE-LDV Data'!$D:$D="Midsize_SUV_B")))</f>
        <v>1.8825366555751133</v>
      </c>
      <c r="BI50" s="102">
        <f t="shared" si="156"/>
        <v>0.33354908420294432</v>
      </c>
      <c r="BK50" s="17" t="s">
        <v>992</v>
      </c>
      <c r="BL50" s="88">
        <f t="shared" si="171"/>
        <v>0.63549838872066411</v>
      </c>
      <c r="BM50" s="88">
        <f t="shared" si="172"/>
        <v>0.66745537093110396</v>
      </c>
      <c r="BN50" s="88">
        <f t="shared" si="173"/>
        <v>0.68444482619695957</v>
      </c>
      <c r="BO50" s="88">
        <f t="shared" si="174"/>
        <v>0.74724046932121291</v>
      </c>
      <c r="BP50" s="88">
        <f t="shared" si="175"/>
        <v>0.78271747860610175</v>
      </c>
      <c r="BQ50" s="88">
        <f t="shared" si="176"/>
        <v>0.81819448789099081</v>
      </c>
      <c r="BR50" s="88">
        <f t="shared" si="177"/>
        <v>0.85367149717587965</v>
      </c>
      <c r="BS50" s="102">
        <f t="shared" si="178"/>
        <v>0.34331024645778357</v>
      </c>
      <c r="BU50" s="17" t="s">
        <v>992</v>
      </c>
      <c r="BV50" s="73">
        <f t="shared" si="104"/>
        <v>1.0100572976352538</v>
      </c>
      <c r="BW50" s="73">
        <f>BM50/BL50</f>
        <v>1.0502864881762692</v>
      </c>
      <c r="BX50" s="73">
        <f>BN50/BL50</f>
        <v>1.0770205532304034</v>
      </c>
      <c r="BY50" s="73">
        <f>BO50/BL50</f>
        <v>1.1758337748511043</v>
      </c>
      <c r="BZ50" s="73">
        <f>BP50/BL50</f>
        <v>1.2316592653866638</v>
      </c>
      <c r="CA50" s="73">
        <f>BQ50/BL50</f>
        <v>1.287484755922224</v>
      </c>
      <c r="CB50" s="73">
        <f>BR50/BL50</f>
        <v>1.3433102464577835</v>
      </c>
      <c r="CD50" s="17" t="s">
        <v>627</v>
      </c>
      <c r="CE50" s="439" cm="1">
        <f t="array" ref="CE50">1/AVERAGE(_xlfn._xlws.FILTER('ANL-DOE-MHDV Data'!$AX:$AX,('ANL-DOE-MHDV Data'!$A:$A=$CD50)*('ANL-DOE-MHDV Data'!$B:$B=CE$2)*('ANL-DOE-MHDV Data'!$E:$E="Sleeper 8")))</f>
        <v>7.3989597601843038E-2</v>
      </c>
      <c r="CF50" s="439" cm="1">
        <f t="array" ref="CF50">1/AVERAGE(_xlfn._xlws.FILTER('ANL-DOE-MHDV Data'!$AX:$AX,('ANL-DOE-MHDV Data'!$A:$A=$CD50)*('ANL-DOE-MHDV Data'!$B:$B=CF$2)*('ANL-DOE-MHDV Data'!$E:$E="Sleeper 8")))</f>
        <v>8.0563177706294758E-2</v>
      </c>
      <c r="CG50" s="439" cm="1">
        <f t="array" ref="CG50">1/AVERAGE(_xlfn._xlws.FILTER('ANL-DOE-MHDV Data'!$AX:$AX,('ANL-DOE-MHDV Data'!$A:$A=$CD50)*('ANL-DOE-MHDV Data'!$B:$B=CG$2)*('ANL-DOE-MHDV Data'!$E:$E="Sleeper 8")))</f>
        <v>8.8129749542305971E-2</v>
      </c>
      <c r="CH50" s="439" cm="1">
        <f t="array" ref="CH50">1/AVERAGE(_xlfn._xlws.FILTER('ANL-DOE-MHDV Data'!$AX:$AX,('ANL-DOE-MHDV Data'!$A:$A=$CD50)*('ANL-DOE-MHDV Data'!$B:$B=CH$2)*('ANL-DOE-MHDV Data'!$E:$E="Sleeper 8")))</f>
        <v>9.291045441464596E-2</v>
      </c>
      <c r="CI50" s="439">
        <f t="shared" ref="CI50:CJ50" si="209">($CK50-$CH50)/3 + CH50</f>
        <v>9.7444723674130901E-2</v>
      </c>
      <c r="CJ50" s="439">
        <f t="shared" si="209"/>
        <v>0.10197899293361584</v>
      </c>
      <c r="CK50" s="439" cm="1">
        <f t="array" ref="CK50">1/AVERAGE(_xlfn._xlws.FILTER('ANL-DOE-MHDV Data'!$AX:$AX,('ANL-DOE-MHDV Data'!$A:$A=$CD50)*('ANL-DOE-MHDV Data'!$B:$B=CK$2)*('ANL-DOE-MHDV Data'!$E:$E="Sleeper 8")))</f>
        <v>0.1065132621931008</v>
      </c>
      <c r="CL50" s="102">
        <f t="shared" si="11"/>
        <v>0.4395707727223484</v>
      </c>
      <c r="CN50" s="17" t="s">
        <v>1020</v>
      </c>
      <c r="CO50" s="73" cm="1">
        <f t="array" ref="CO50">1/AVERAGE(_xlfn._xlws.FILTER('ANL-DOE-MHDV Data'!$AX:$AX,('ANL-DOE-MHDV Data'!$A:$A=$CN50)*('ANL-DOE-MHDV Data'!$B:$B=CO$33)*('ANL-DOE-MHDV Data'!$D:$D="School")))</f>
        <v>0.12120694484420746</v>
      </c>
      <c r="CP50" s="73" cm="1">
        <f t="array" ref="CP50">1/AVERAGE(_xlfn._xlws.FILTER('ANL-DOE-MHDV Data'!$AX:$AX,('ANL-DOE-MHDV Data'!$A:$A=$CN50)*('ANL-DOE-MHDV Data'!$B:$B=CP$33)*('ANL-DOE-MHDV Data'!$D:$D="School")))</f>
        <v>0.13344118310807587</v>
      </c>
      <c r="CQ50" s="73" cm="1">
        <f t="array" ref="CQ50">1/AVERAGE(_xlfn._xlws.FILTER('ANL-DOE-MHDV Data'!$AX:$AX,('ANL-DOE-MHDV Data'!$A:$A=$CN50)*('ANL-DOE-MHDV Data'!$B:$B=CQ$33)*('ANL-DOE-MHDV Data'!$D:$D="School")))</f>
        <v>0.13930164510939524</v>
      </c>
      <c r="CR50" s="73" cm="1">
        <f t="array" ref="CR50">1/AVERAGE(_xlfn._xlws.FILTER('ANL-DOE-MHDV Data'!$AX:$AX,('ANL-DOE-MHDV Data'!$A:$A=$CN50)*('ANL-DOE-MHDV Data'!$B:$B=CR$33)*('ANL-DOE-MHDV Data'!$D:$D="School")))</f>
        <v>0.1435717002513246</v>
      </c>
      <c r="CS50" s="73">
        <f t="shared" si="197"/>
        <v>0.15076447198198356</v>
      </c>
      <c r="CT50" s="73">
        <f t="shared" si="197"/>
        <v>0.15795724371264253</v>
      </c>
      <c r="CU50" s="73" cm="1">
        <f t="array" ref="CU50">1/AVERAGE(_xlfn._xlws.FILTER('ANL-DOE-MHDV Data'!$AX:$AX,('ANL-DOE-MHDV Data'!$A:$A=$CN50)*('ANL-DOE-MHDV Data'!$B:$B=CU$33)*('ANL-DOE-MHDV Data'!$D:$D="School")))</f>
        <v>0.16515001544330152</v>
      </c>
      <c r="CV50" s="102">
        <f t="shared" si="116"/>
        <v>0.36254581497434807</v>
      </c>
      <c r="CX50" s="443" t="s">
        <v>2210</v>
      </c>
      <c r="CY50" s="444">
        <f t="shared" ref="CY50:DE50" si="210">CO50/CO49</f>
        <v>1.2382273953467944</v>
      </c>
      <c r="CZ50" s="444">
        <f t="shared" si="210"/>
        <v>1.2812800000475513</v>
      </c>
      <c r="DA50" s="444">
        <f t="shared" si="210"/>
        <v>1.2649305784097855</v>
      </c>
      <c r="DB50" s="444">
        <f t="shared" si="210"/>
        <v>1.2505884016809443</v>
      </c>
      <c r="DC50" s="444">
        <f t="shared" si="210"/>
        <v>1.2651673750279486</v>
      </c>
      <c r="DD50" s="444">
        <f t="shared" si="210"/>
        <v>1.27871665333146</v>
      </c>
      <c r="DE50" s="444">
        <f t="shared" si="210"/>
        <v>1.2913416047310451</v>
      </c>
      <c r="DG50" s="33" t="s">
        <v>1155</v>
      </c>
      <c r="DH50" s="73"/>
      <c r="DI50" s="73"/>
      <c r="DJ50" s="73"/>
      <c r="DK50" s="73"/>
      <c r="DL50" s="73"/>
      <c r="DM50" s="73"/>
      <c r="DN50" s="73"/>
      <c r="DO50" s="102"/>
      <c r="DQ50" s="33" t="s">
        <v>1155</v>
      </c>
      <c r="DZ50" s="17" t="s">
        <v>1198</v>
      </c>
      <c r="EA50" s="88"/>
      <c r="EB50" s="88">
        <f t="shared" si="205"/>
        <v>0.13500681210640753</v>
      </c>
      <c r="EC50" s="88">
        <f t="shared" si="205"/>
        <v>0.14182294696422398</v>
      </c>
      <c r="ED50" s="88">
        <f t="shared" si="205"/>
        <v>0.15194692445241786</v>
      </c>
      <c r="EE50" s="88">
        <f t="shared" si="205"/>
        <v>0.16046184653163337</v>
      </c>
      <c r="EF50" s="88">
        <f t="shared" si="205"/>
        <v>0.16446131436236097</v>
      </c>
      <c r="EG50" s="88">
        <f t="shared" si="205"/>
        <v>0.16595040650708401</v>
      </c>
      <c r="EH50" s="102">
        <f t="shared" ref="EH50:EH51" si="211">(EG50-EB50)/EB50</f>
        <v>0.22920024492014412</v>
      </c>
      <c r="EJ50" s="224" t="s">
        <v>246</v>
      </c>
      <c r="EK50" s="88">
        <f t="shared" si="206"/>
        <v>0.16741621867667378</v>
      </c>
      <c r="EL50" s="88">
        <f t="shared" si="206"/>
        <v>0.19935747092419709</v>
      </c>
      <c r="EM50" s="88">
        <f t="shared" si="206"/>
        <v>0.20994128791843211</v>
      </c>
      <c r="EN50" s="88">
        <f t="shared" si="206"/>
        <v>0.22171189321532947</v>
      </c>
      <c r="EO50" s="88">
        <f t="shared" si="206"/>
        <v>0.23488075931672683</v>
      </c>
      <c r="EP50" s="88">
        <f t="shared" si="206"/>
        <v>0.24971277413900464</v>
      </c>
      <c r="EQ50" s="88">
        <f t="shared" si="206"/>
        <v>0.26654424289312534</v>
      </c>
      <c r="ER50" s="102">
        <f t="shared" si="119"/>
        <v>0.59210526315789458</v>
      </c>
    </row>
    <row r="51" spans="1:148" x14ac:dyDescent="0.35">
      <c r="A51" t="s">
        <v>1187</v>
      </c>
      <c r="B51" t="s">
        <v>2072</v>
      </c>
      <c r="C51" t="s">
        <v>452</v>
      </c>
      <c r="D51" t="s">
        <v>2261</v>
      </c>
      <c r="E51" t="s">
        <v>851</v>
      </c>
      <c r="F51">
        <v>2022</v>
      </c>
      <c r="G51" s="63" t="s">
        <v>282</v>
      </c>
      <c r="H51" s="71"/>
      <c r="I51" s="71"/>
      <c r="J51" s="71"/>
      <c r="K51" s="71"/>
      <c r="L51" s="71"/>
      <c r="M51" s="71"/>
      <c r="N51" s="71"/>
      <c r="O51" s="71"/>
      <c r="P51" s="71"/>
      <c r="Q51" s="71"/>
      <c r="R51" s="71"/>
      <c r="S51" s="71"/>
      <c r="T51" s="71"/>
      <c r="U51" s="71"/>
      <c r="V51" s="71"/>
      <c r="W51" s="71"/>
      <c r="X51" s="71"/>
      <c r="Y51" s="71"/>
      <c r="Z51" s="71"/>
      <c r="AA51" s="71"/>
      <c r="AB51" s="71"/>
      <c r="AC51" s="305">
        <f t="shared" ref="AC51:AI51" si="212">AC50*BV51</f>
        <v>1.8066640836889938</v>
      </c>
      <c r="AD51" s="71">
        <f t="shared" si="212"/>
        <v>1.8920331708145031</v>
      </c>
      <c r="AE51" s="71">
        <f t="shared" si="212"/>
        <v>1.928472367360307</v>
      </c>
      <c r="AF51" s="71">
        <f t="shared" si="212"/>
        <v>2.1175069813392429</v>
      </c>
      <c r="AG51" s="71">
        <f t="shared" si="212"/>
        <v>2.20897406646381</v>
      </c>
      <c r="AH51" s="71">
        <f t="shared" si="212"/>
        <v>2.300441151588378</v>
      </c>
      <c r="AI51" s="71">
        <f t="shared" si="212"/>
        <v>2.3919082367129452</v>
      </c>
      <c r="AJ51" s="417"/>
      <c r="AK51" s="66" t="s">
        <v>2227</v>
      </c>
      <c r="AL51">
        <v>3</v>
      </c>
      <c r="AM51">
        <v>1</v>
      </c>
      <c r="AN51">
        <v>1</v>
      </c>
      <c r="AO51">
        <v>3</v>
      </c>
      <c r="AP51">
        <v>1</v>
      </c>
      <c r="AT51" s="17" t="s">
        <v>1052</v>
      </c>
      <c r="AV51" s="88">
        <f t="shared" si="207"/>
        <v>1.2550647662456875</v>
      </c>
      <c r="AW51" s="88">
        <f t="shared" si="207"/>
        <v>1.2550647662456875</v>
      </c>
      <c r="AX51" s="88">
        <f t="shared" si="207"/>
        <v>1.2550647662456875</v>
      </c>
      <c r="AY51" s="88">
        <f t="shared" si="207"/>
        <v>1.2550647662456875</v>
      </c>
      <c r="BA51" s="17" t="s">
        <v>980</v>
      </c>
      <c r="BB51" s="73" cm="1">
        <f t="array" ref="BB51">1/AVERAGE(_xlfn._xlws.FILTER('ANL-DOE-LDV Data'!$AX:$AX, ('ANL-DOE-LDV Data'!$A:$A=$BA51)*('ANL-DOE-LDV Data'!$B:$B=BB$2-5)*('ANL-DOE-LDV Data'!$D:$D="Midsize_SUV_B")))</f>
        <v>1.269568735633972</v>
      </c>
      <c r="BC51" s="73" cm="1">
        <f t="array" ref="BC51">1/AVERAGE(_xlfn._xlws.FILTER('ANL-DOE-LDV Data'!$AX:$AX, ('ANL-DOE-LDV Data'!$A:$A=$BA51)*('ANL-DOE-LDV Data'!$B:$B=BC$2-5)*('ANL-DOE-LDV Data'!$D:$D="Midsize_SUV_B")))</f>
        <v>1.3301498413796315</v>
      </c>
      <c r="BD51" s="73" cm="1">
        <f t="array" ref="BD51">1/AVERAGE(_xlfn._xlws.FILTER('ANL-DOE-LDV Data'!$AX:$AX, ('ANL-DOE-LDV Data'!$A:$A=$BA51)*('ANL-DOE-LDV Data'!$B:$B=BD$2-5)*('ANL-DOE-LDV Data'!$D:$D="Midsize_SUV_B")))</f>
        <v>1.3939349745552463</v>
      </c>
      <c r="BE51" s="73" cm="1">
        <f t="array" ref="BE51">1/AVERAGE(_xlfn._xlws.FILTER('ANL-DOE-LDV Data'!$AX:$AX, ('ANL-DOE-LDV Data'!$A:$A=$BA51)*('ANL-DOE-LDV Data'!$B:$B=BE$2-5)*('ANL-DOE-LDV Data'!$D:$D="Midsize_SUV_B")))</f>
        <v>1.5441916530926179</v>
      </c>
      <c r="BF51" s="73">
        <f t="shared" ref="BF51:BG51" si="213">($BH51-$BE51)/3 + BE51</f>
        <v>1.6070883184146376</v>
      </c>
      <c r="BG51" s="73">
        <f t="shared" si="213"/>
        <v>1.6699849837366574</v>
      </c>
      <c r="BH51" s="73" cm="1">
        <f t="array" ref="BH51">1/AVERAGE(_xlfn._xlws.FILTER('ANL-DOE-LDV Data'!$AX:$AX, ('ANL-DOE-LDV Data'!$A:$A=$BA51)*('ANL-DOE-LDV Data'!$B:$B=BH$2-5)*('ANL-DOE-LDV Data'!$D:$D="Midsize_SUV_B")))</f>
        <v>1.7328816490586774</v>
      </c>
      <c r="BI51" s="102">
        <f t="shared" si="156"/>
        <v>0.36493724240408726</v>
      </c>
      <c r="BK51" s="17" t="s">
        <v>987</v>
      </c>
      <c r="BL51" s="88">
        <f t="shared" si="171"/>
        <v>0.87138489482507242</v>
      </c>
      <c r="BM51" s="88">
        <f t="shared" si="172"/>
        <v>0.92338584264954593</v>
      </c>
      <c r="BN51" s="88">
        <f t="shared" si="173"/>
        <v>0.94116958911178938</v>
      </c>
      <c r="BO51" s="88">
        <f t="shared" si="174"/>
        <v>1.033425839695244</v>
      </c>
      <c r="BP51" s="88">
        <f t="shared" si="175"/>
        <v>1.0780653379742766</v>
      </c>
      <c r="BQ51" s="88">
        <f t="shared" si="176"/>
        <v>1.122704836253309</v>
      </c>
      <c r="BR51" s="88">
        <f t="shared" si="177"/>
        <v>1.1673443345323418</v>
      </c>
      <c r="BS51" s="102">
        <f t="shared" si="178"/>
        <v>0.33964260967213827</v>
      </c>
      <c r="BU51" s="443" t="s">
        <v>2203</v>
      </c>
      <c r="BV51" s="444">
        <f>BL51/BL50+(BW51-BL51/BL50)/5</f>
        <v>1.3736352021251257</v>
      </c>
      <c r="BW51" s="444">
        <f>BM51/BM50</f>
        <v>1.3834420739792948</v>
      </c>
      <c r="BX51" s="444">
        <f t="shared" ref="BX51" si="214">BN51/BN50</f>
        <v>1.3750846716765937</v>
      </c>
      <c r="BY51" s="444">
        <f t="shared" ref="BY51" si="215">BO51/BO50</f>
        <v>1.382989656106286</v>
      </c>
      <c r="BZ51" s="444">
        <f t="shared" ref="BZ51" si="216">BP51/BP50</f>
        <v>1.3773364814775102</v>
      </c>
      <c r="CA51" s="444">
        <f t="shared" ref="CA51" si="217">BQ51/BQ50</f>
        <v>1.372173551483139</v>
      </c>
      <c r="CB51" s="444">
        <f t="shared" ref="CB51" si="218">BR51/BR50</f>
        <v>1.3674397451410245</v>
      </c>
      <c r="CD51" s="17" t="s">
        <v>1065</v>
      </c>
      <c r="CE51" s="439" cm="1">
        <f t="array" ref="CE51">1/AVERAGE(_xlfn._xlws.FILTER('ANL-DOE-MHDV Data'!$AX:$AX,('ANL-DOE-MHDV Data'!$A:$A=$CD51)*('ANL-DOE-MHDV Data'!$B:$B=CE$2)*('ANL-DOE-MHDV Data'!$E:$E="Sleeper 8")))</f>
        <v>8.578183369214655E-2</v>
      </c>
      <c r="CF51" s="439" cm="1">
        <f t="array" ref="CF51">1/AVERAGE(_xlfn._xlws.FILTER('ANL-DOE-MHDV Data'!$AX:$AX,('ANL-DOE-MHDV Data'!$A:$A=$CD51)*('ANL-DOE-MHDV Data'!$B:$B=CF$2)*('ANL-DOE-MHDV Data'!$E:$E="Sleeper 8")))</f>
        <v>9.5606296952432265E-2</v>
      </c>
      <c r="CG51" s="439" cm="1">
        <f t="array" ref="CG51">1/AVERAGE(_xlfn._xlws.FILTER('ANL-DOE-MHDV Data'!$AX:$AX,('ANL-DOE-MHDV Data'!$A:$A=$CD51)*('ANL-DOE-MHDV Data'!$B:$B=CG$2)*('ANL-DOE-MHDV Data'!$E:$E="Sleeper 8")))</f>
        <v>0.10444437226897528</v>
      </c>
      <c r="CH51" s="439" cm="1">
        <f t="array" ref="CH51">1/AVERAGE(_xlfn._xlws.FILTER('ANL-DOE-MHDV Data'!$AX:$AX,('ANL-DOE-MHDV Data'!$A:$A=$CD51)*('ANL-DOE-MHDV Data'!$B:$B=CH$2)*('ANL-DOE-MHDV Data'!$E:$E="Sleeper 8")))</f>
        <v>0.1129579863846559</v>
      </c>
      <c r="CI51" s="439">
        <f t="shared" ref="CI51:CJ51" si="219">($CK51-$CH51)/3 + CH51</f>
        <v>0.11876524630937728</v>
      </c>
      <c r="CJ51" s="439">
        <f t="shared" si="219"/>
        <v>0.12457250623409866</v>
      </c>
      <c r="CK51" s="439" cm="1">
        <f t="array" ref="CK51">1/AVERAGE(_xlfn._xlws.FILTER('ANL-DOE-MHDV Data'!$AX:$AX,('ANL-DOE-MHDV Data'!$A:$A=$CD51)*('ANL-DOE-MHDV Data'!$B:$B=CK$2)*('ANL-DOE-MHDV Data'!$E:$E="Sleeper 8")))</f>
        <v>0.13037976615882005</v>
      </c>
      <c r="CL51" s="102">
        <f t="shared" si="11"/>
        <v>0.51989950024531251</v>
      </c>
      <c r="CN51" s="17" t="s">
        <v>1021</v>
      </c>
      <c r="CO51" s="73" cm="1">
        <f t="array" ref="CO51">1/AVERAGE(_xlfn._xlws.FILTER('ANL-DOE-MHDV Data'!$AX:$AX,('ANL-DOE-MHDV Data'!$A:$A=$CN51)*('ANL-DOE-MHDV Data'!$B:$B=CO$33)*('ANL-DOE-MHDV Data'!$D:$D="School")))</f>
        <v>0.30554698154127646</v>
      </c>
      <c r="CP51" s="73" cm="1">
        <f t="array" ref="CP51">1/AVERAGE(_xlfn._xlws.FILTER('ANL-DOE-MHDV Data'!$AX:$AX,('ANL-DOE-MHDV Data'!$A:$A=$CN51)*('ANL-DOE-MHDV Data'!$B:$B=CP$33)*('ANL-DOE-MHDV Data'!$D:$D="School")))</f>
        <v>0.33317297899642928</v>
      </c>
      <c r="CQ51" s="73" cm="1">
        <f t="array" ref="CQ51">1/AVERAGE(_xlfn._xlws.FILTER('ANL-DOE-MHDV Data'!$AX:$AX,('ANL-DOE-MHDV Data'!$A:$A=$CN51)*('ANL-DOE-MHDV Data'!$B:$B=CQ$33)*('ANL-DOE-MHDV Data'!$D:$D="School")))</f>
        <v>0.3583171959569264</v>
      </c>
      <c r="CR51" s="73" cm="1">
        <f t="array" ref="CR51">1/AVERAGE(_xlfn._xlws.FILTER('ANL-DOE-MHDV Data'!$AX:$AX,('ANL-DOE-MHDV Data'!$A:$A=$CN51)*('ANL-DOE-MHDV Data'!$B:$B=CR$33)*('ANL-DOE-MHDV Data'!$D:$D="School")))</f>
        <v>0.38147162041383292</v>
      </c>
      <c r="CS51" s="73">
        <f t="shared" si="197"/>
        <v>0.39962786997832683</v>
      </c>
      <c r="CT51" s="73">
        <f t="shared" si="197"/>
        <v>0.41778411954282074</v>
      </c>
      <c r="CU51" s="73" cm="1">
        <f t="array" ref="CU51">1/AVERAGE(_xlfn._xlws.FILTER('ANL-DOE-MHDV Data'!$AX:$AX,('ANL-DOE-MHDV Data'!$A:$A=$CN51)*('ANL-DOE-MHDV Data'!$B:$B=CU$33)*('ANL-DOE-MHDV Data'!$D:$D="School")))</f>
        <v>0.43594036910731471</v>
      </c>
      <c r="CV51" s="102">
        <f t="shared" si="116"/>
        <v>0.42675397056221076</v>
      </c>
      <c r="CX51" s="443" t="s">
        <v>2211</v>
      </c>
      <c r="CY51" s="444">
        <f t="shared" ref="CY51:DE51" si="220">CO51/CO49</f>
        <v>3.1214106056069828</v>
      </c>
      <c r="CZ51" s="444">
        <f t="shared" si="220"/>
        <v>3.1990714155962277</v>
      </c>
      <c r="DA51" s="444">
        <f t="shared" si="220"/>
        <v>3.2537044166278695</v>
      </c>
      <c r="DB51" s="444">
        <f t="shared" si="220"/>
        <v>3.322827432041739</v>
      </c>
      <c r="DC51" s="444">
        <f t="shared" si="220"/>
        <v>3.3535496566386622</v>
      </c>
      <c r="DD51" s="444">
        <f t="shared" si="220"/>
        <v>3.3821020081149213</v>
      </c>
      <c r="DE51" s="444">
        <f t="shared" si="220"/>
        <v>3.4087065284190201</v>
      </c>
      <c r="DG51" s="17" t="s">
        <v>109</v>
      </c>
      <c r="DH51" s="73">
        <f>1/('GREET-AFLEET Summary'!U86*MJ_Btu/(km_mile*tonne_ton))</f>
        <v>4.9762860949213579</v>
      </c>
      <c r="DI51" s="73">
        <f>1/('GREET-AFLEET Summary'!V86*MJ_Btu/(km_mile*tonne_ton))</f>
        <v>5.1547186640619653</v>
      </c>
      <c r="DJ51" s="73">
        <f>1/('GREET-AFLEET Summary'!W86*MJ_Btu/(km_mile*tonne_ton))</f>
        <v>5.346423077188236</v>
      </c>
      <c r="DK51" s="73">
        <f>1/('GREET-AFLEET Summary'!X86*MJ_Btu/(km_mile*tonne_ton))</f>
        <v>5.5529372733028026</v>
      </c>
      <c r="DL51" s="73">
        <f>1/('GREET-AFLEET Summary'!Y86*MJ_Btu/(km_mile*tonne_ton))</f>
        <v>5.7503750430202354</v>
      </c>
      <c r="DM51" s="73">
        <f>1/('GREET-AFLEET Summary'!Z86*MJ_Btu/(km_mile*tonne_ton))</f>
        <v>5.9506368604388511</v>
      </c>
      <c r="DN51" s="73">
        <f>1/('GREET-AFLEET Summary'!AA86*MJ_Btu/(km_mile*tonne_ton))</f>
        <v>6.1578729700063723</v>
      </c>
      <c r="DO51" s="102">
        <f t="shared" ref="DO51" si="221">(DN51-DH51)/DH51</f>
        <v>0.23744351762470112</v>
      </c>
      <c r="DQ51" s="17" t="s">
        <v>109</v>
      </c>
      <c r="DR51" s="73">
        <f>1+(DS51-1)/5</f>
        <v>1.0071713147410359</v>
      </c>
      <c r="DS51" s="73">
        <f>DI51/$DH$51</f>
        <v>1.0358565737051795</v>
      </c>
      <c r="DT51" s="73">
        <f t="shared" ref="DT51:DX51" si="222">DJ51/$DH$51</f>
        <v>1.0743801652892562</v>
      </c>
      <c r="DU51" s="73">
        <f t="shared" si="222"/>
        <v>1.1158798283261802</v>
      </c>
      <c r="DV51" s="73">
        <f t="shared" si="222"/>
        <v>1.1555555555555554</v>
      </c>
      <c r="DW51" s="73">
        <f t="shared" si="222"/>
        <v>1.1957987838584854</v>
      </c>
      <c r="DX51" s="73">
        <f t="shared" si="222"/>
        <v>1.2374435176247012</v>
      </c>
      <c r="DZ51" s="17" t="s">
        <v>627</v>
      </c>
      <c r="EA51" s="88"/>
      <c r="EB51" s="88">
        <f t="shared" si="205"/>
        <v>0.14586004263047767</v>
      </c>
      <c r="EC51" s="88">
        <f t="shared" si="205"/>
        <v>0.14586124580933157</v>
      </c>
      <c r="ED51" s="88">
        <f t="shared" si="205"/>
        <v>0.14586210703209015</v>
      </c>
      <c r="EE51" s="88">
        <f t="shared" si="205"/>
        <v>0.14586224634753639</v>
      </c>
      <c r="EF51" s="88">
        <f t="shared" si="205"/>
        <v>0.14586252497842886</v>
      </c>
      <c r="EG51" s="88">
        <f t="shared" si="205"/>
        <v>0.1458627529491591</v>
      </c>
      <c r="EH51" s="102">
        <f t="shared" si="211"/>
        <v>1.8581639169664764E-5</v>
      </c>
      <c r="EJ51" s="224" t="s">
        <v>627</v>
      </c>
      <c r="EK51" s="88">
        <f t="shared" si="206"/>
        <v>0.13217069895526878</v>
      </c>
      <c r="EL51" s="88">
        <f t="shared" si="206"/>
        <v>0.15530057127244082</v>
      </c>
      <c r="EM51" s="88">
        <f t="shared" si="206"/>
        <v>0.16262775587792999</v>
      </c>
      <c r="EN51" s="88">
        <f t="shared" si="206"/>
        <v>0.17068057953855212</v>
      </c>
      <c r="EO51" s="88">
        <f t="shared" si="206"/>
        <v>0.17957245217016665</v>
      </c>
      <c r="EP51" s="88">
        <f t="shared" si="206"/>
        <v>0.18944171562724019</v>
      </c>
      <c r="EQ51" s="88">
        <f t="shared" si="206"/>
        <v>0.20045889341549097</v>
      </c>
      <c r="ER51" s="102">
        <f t="shared" si="119"/>
        <v>0.51666666666666661</v>
      </c>
    </row>
    <row r="52" spans="1:148" ht="14.5" customHeight="1" x14ac:dyDescent="0.35">
      <c r="A52" t="s">
        <v>1188</v>
      </c>
      <c r="B52" t="s">
        <v>2010</v>
      </c>
      <c r="C52" t="s">
        <v>452</v>
      </c>
      <c r="D52" t="s">
        <v>2261</v>
      </c>
      <c r="E52" t="s">
        <v>851</v>
      </c>
      <c r="F52">
        <v>2022</v>
      </c>
      <c r="G52" s="63" t="s">
        <v>282</v>
      </c>
      <c r="H52" s="71"/>
      <c r="I52" s="71"/>
      <c r="J52" s="71"/>
      <c r="K52" s="71"/>
      <c r="L52" s="71"/>
      <c r="M52" s="71"/>
      <c r="N52" s="71"/>
      <c r="O52" s="71"/>
      <c r="P52" s="71"/>
      <c r="Q52" s="71"/>
      <c r="R52" s="71"/>
      <c r="S52" s="71"/>
      <c r="T52" s="71"/>
      <c r="U52" s="71"/>
      <c r="V52" s="71"/>
      <c r="W52" s="71"/>
      <c r="X52" s="71"/>
      <c r="Y52" s="71"/>
      <c r="Z52" s="71"/>
      <c r="AA52" s="71"/>
      <c r="AB52" s="71"/>
      <c r="AC52" s="305">
        <f t="shared" ref="AC52:AI52" si="223">$AB10*BV52</f>
        <v>1.9300662262756745</v>
      </c>
      <c r="AD52" s="71">
        <f t="shared" si="223"/>
        <v>2.0005352186519256</v>
      </c>
      <c r="AE52" s="71">
        <f t="shared" si="223"/>
        <v>2.0425382121553626</v>
      </c>
      <c r="AF52" s="71">
        <f t="shared" si="223"/>
        <v>2.2577196856728401</v>
      </c>
      <c r="AG52" s="71">
        <f t="shared" si="223"/>
        <v>2.3398864566292179</v>
      </c>
      <c r="AH52" s="71">
        <f t="shared" si="223"/>
        <v>2.4220532275855966</v>
      </c>
      <c r="AI52" s="71">
        <f t="shared" si="223"/>
        <v>2.5042199985419744</v>
      </c>
      <c r="AJ52" s="417">
        <f>AC52/AB10</f>
        <v>1.0092118787455515</v>
      </c>
      <c r="AK52" s="66" t="s">
        <v>2227</v>
      </c>
      <c r="AL52">
        <v>3</v>
      </c>
      <c r="AM52">
        <v>1</v>
      </c>
      <c r="AN52">
        <v>1</v>
      </c>
      <c r="AO52">
        <v>3</v>
      </c>
      <c r="AP52">
        <v>1</v>
      </c>
      <c r="AT52" s="493" t="s">
        <v>1082</v>
      </c>
      <c r="AU52" s="493"/>
      <c r="AV52" s="493"/>
      <c r="AW52" s="493"/>
      <c r="AX52" s="493"/>
      <c r="AY52" s="493"/>
      <c r="BA52" s="17" t="s">
        <v>981</v>
      </c>
      <c r="BB52" s="73" cm="1">
        <f t="array" ref="BB52">1/AVERAGE(_xlfn._xlws.FILTER('ANL-DOE-LDV Data'!$AX:$AX, ('ANL-DOE-LDV Data'!$A:$A=$BA52)*('ANL-DOE-LDV Data'!$B:$B=BB$2-5)*('ANL-DOE-LDV Data'!$D:$D="Midsize_SUV_B")))</f>
        <v>1.1476419574789696</v>
      </c>
      <c r="BC52" s="73" cm="1">
        <f t="array" ref="BC52">1/AVERAGE(_xlfn._xlws.FILTER('ANL-DOE-LDV Data'!$AX:$AX, ('ANL-DOE-LDV Data'!$A:$A=$BA52)*('ANL-DOE-LDV Data'!$B:$B=BC$2-5)*('ANL-DOE-LDV Data'!$D:$D="Midsize_SUV_B")))</f>
        <v>1.2020841341695139</v>
      </c>
      <c r="BD52" s="73" cm="1">
        <f t="array" ref="BD52">1/AVERAGE(_xlfn._xlws.FILTER('ANL-DOE-LDV Data'!$AX:$AX, ('ANL-DOE-LDV Data'!$A:$A=$BA52)*('ANL-DOE-LDV Data'!$B:$B=BD$2-5)*('ANL-DOE-LDV Data'!$D:$D="Midsize_SUV_B")))</f>
        <v>1.2886415489995227</v>
      </c>
      <c r="BE52" s="73" cm="1">
        <f t="array" ref="BE52">1/AVERAGE(_xlfn._xlws.FILTER('ANL-DOE-LDV Data'!$AX:$AX, ('ANL-DOE-LDV Data'!$A:$A=$BA52)*('ANL-DOE-LDV Data'!$B:$B=BE$2-5)*('ANL-DOE-LDV Data'!$D:$D="Midsize_SUV_B")))</f>
        <v>1.4250952289764489</v>
      </c>
      <c r="BF52" s="73">
        <f t="shared" ref="BF52:BG52" si="224">($BH52-$BE52)/3 + BE52</f>
        <v>1.4846166665587754</v>
      </c>
      <c r="BG52" s="73">
        <f t="shared" si="224"/>
        <v>1.544138104141102</v>
      </c>
      <c r="BH52" s="73" cm="1">
        <f t="array" ref="BH52">1/AVERAGE(_xlfn._xlws.FILTER('ANL-DOE-LDV Data'!$AX:$AX, ('ANL-DOE-LDV Data'!$A:$A=$BA52)*('ANL-DOE-LDV Data'!$B:$B=BH$2-5)*('ANL-DOE-LDV Data'!$D:$D="Midsize_SUV_B")))</f>
        <v>1.6036595417234283</v>
      </c>
      <c r="BI52" s="102">
        <f t="shared" si="156"/>
        <v>0.397351788397659</v>
      </c>
      <c r="BK52" s="17" t="s">
        <v>975</v>
      </c>
      <c r="BL52" s="88">
        <f t="shared" si="171"/>
        <v>1.482239135312474</v>
      </c>
      <c r="BM52" s="88">
        <f t="shared" si="172"/>
        <v>1.5505101712445217</v>
      </c>
      <c r="BN52" s="88">
        <f t="shared" si="173"/>
        <v>1.5830644937291227</v>
      </c>
      <c r="BO52" s="88">
        <f t="shared" si="174"/>
        <v>1.7498403946188152</v>
      </c>
      <c r="BP52" s="88">
        <f t="shared" si="175"/>
        <v>1.8135235594630874</v>
      </c>
      <c r="BQ52" s="88">
        <f t="shared" si="176"/>
        <v>1.8772067243073602</v>
      </c>
      <c r="BR52" s="88">
        <f t="shared" si="177"/>
        <v>1.9408898891516326</v>
      </c>
      <c r="BS52" s="102">
        <f t="shared" si="178"/>
        <v>0.30943101076768526</v>
      </c>
      <c r="BU52" s="17" t="s">
        <v>975</v>
      </c>
      <c r="BV52" s="73">
        <f t="shared" si="104"/>
        <v>1.0092118787455515</v>
      </c>
      <c r="BW52" s="73">
        <f>BM52/BL52</f>
        <v>1.0460593937277574</v>
      </c>
      <c r="BX52" s="73">
        <f>BN52/BL52</f>
        <v>1.0680223292008773</v>
      </c>
      <c r="BY52" s="73">
        <f>BO52/BL52</f>
        <v>1.1805385196835514</v>
      </c>
      <c r="BZ52" s="73">
        <f>BP52/BL52</f>
        <v>1.2235026833782625</v>
      </c>
      <c r="CA52" s="73">
        <f>BQ52/BL52</f>
        <v>1.2664668470729741</v>
      </c>
      <c r="CB52" s="73">
        <f>BR52/BL52</f>
        <v>1.3094310107676852</v>
      </c>
      <c r="CN52" s="17" t="s">
        <v>246</v>
      </c>
      <c r="CO52" s="73" cm="1">
        <f t="array" ref="CO52">1/AVERAGE(_xlfn._xlws.FILTER('ANL-DOE-MHDV Data'!$AX:$AX,('ANL-DOE-MHDV Data'!$A:$A=$CN52)*('ANL-DOE-MHDV Data'!$B:$B=CO$33)*('ANL-DOE-MHDV Data'!$D:$D="School")))</f>
        <v>0.44371105596912053</v>
      </c>
      <c r="CP52" s="73" cm="1">
        <f t="array" ref="CP52">1/AVERAGE(_xlfn._xlws.FILTER('ANL-DOE-MHDV Data'!$AX:$AX,('ANL-DOE-MHDV Data'!$A:$A=$CN52)*('ANL-DOE-MHDV Data'!$B:$B=CP$33)*('ANL-DOE-MHDV Data'!$D:$D="School")))</f>
        <v>0.47557328605200938</v>
      </c>
      <c r="CQ52" s="73" cm="1">
        <f t="array" ref="CQ52">1/AVERAGE(_xlfn._xlws.FILTER('ANL-DOE-MHDV Data'!$AX:$AX,('ANL-DOE-MHDV Data'!$A:$A=$CN52)*('ANL-DOE-MHDV Data'!$B:$B=CQ$33)*('ANL-DOE-MHDV Data'!$D:$D="School")))</f>
        <v>0.50684681279919364</v>
      </c>
      <c r="CR52" s="73" cm="1">
        <f t="array" ref="CR52">1/AVERAGE(_xlfn._xlws.FILTER('ANL-DOE-MHDV Data'!$AX:$AX,('ANL-DOE-MHDV Data'!$A:$A=$CN52)*('ANL-DOE-MHDV Data'!$B:$B=CR$33)*('ANL-DOE-MHDV Data'!$D:$D="School")))</f>
        <v>0.53537591483699265</v>
      </c>
      <c r="CS52" s="73">
        <f t="shared" si="197"/>
        <v>0.55639915468779821</v>
      </c>
      <c r="CT52" s="73">
        <f t="shared" si="197"/>
        <v>0.57742239453860378</v>
      </c>
      <c r="CU52" s="73" cm="1">
        <f t="array" ref="CU52">1/AVERAGE(_xlfn._xlws.FILTER('ANL-DOE-MHDV Data'!$AX:$AX,('ANL-DOE-MHDV Data'!$A:$A=$CN52)*('ANL-DOE-MHDV Data'!$B:$B=CU$33)*('ANL-DOE-MHDV Data'!$D:$D="School")))</f>
        <v>0.59844563438940945</v>
      </c>
      <c r="CV52" s="102">
        <f t="shared" si="116"/>
        <v>0.34872824631860755</v>
      </c>
      <c r="CX52" s="443" t="s">
        <v>2212</v>
      </c>
      <c r="CY52" s="444">
        <f t="shared" ref="CY52:DE52" si="225">CO52/CO49</f>
        <v>4.532868853557912</v>
      </c>
      <c r="CZ52" s="444">
        <f t="shared" si="225"/>
        <v>4.5663754306031423</v>
      </c>
      <c r="DA52" s="444">
        <f t="shared" si="225"/>
        <v>4.6024297241842067</v>
      </c>
      <c r="DB52" s="444">
        <f t="shared" si="225"/>
        <v>4.6634184067085389</v>
      </c>
      <c r="DC52" s="444">
        <f t="shared" si="225"/>
        <v>4.6691242887001403</v>
      </c>
      <c r="DD52" s="444">
        <f t="shared" si="225"/>
        <v>4.674427171230418</v>
      </c>
      <c r="DE52" s="444">
        <f t="shared" si="225"/>
        <v>4.679368293017335</v>
      </c>
      <c r="DG52" s="17" t="s">
        <v>1133</v>
      </c>
      <c r="DH52" s="73"/>
      <c r="DI52" s="73"/>
      <c r="DJ52" s="73">
        <f>1/('GREET-AFLEET Summary'!W87*MJ_Btu/(km_mile*tonne_ton))</f>
        <v>7.839330025202691</v>
      </c>
      <c r="DK52" s="73">
        <f>1/('GREET-AFLEET Summary'!X87*MJ_Btu/(km_mile*tonne_ton))</f>
        <v>8.1421367643736104</v>
      </c>
      <c r="DL52" s="73">
        <f>1/('GREET-AFLEET Summary'!Y87*MJ_Btu/(km_mile*tonne_ton))</f>
        <v>8.4316349604402312</v>
      </c>
      <c r="DM52" s="73">
        <f>1/('GREET-AFLEET Summary'!Z87*MJ_Btu/(km_mile*tonne_ton))</f>
        <v>8.7252739889132727</v>
      </c>
      <c r="DN52" s="73">
        <f>1/('GREET-AFLEET Summary'!AA87*MJ_Btu/(km_mile*tonne_ton))</f>
        <v>9.0291392522087595</v>
      </c>
      <c r="DO52" s="102">
        <f>(DN52-DJ52)/DJ52</f>
        <v>0.15177435101991452</v>
      </c>
      <c r="DQ52" s="443" t="s">
        <v>2219</v>
      </c>
      <c r="DR52" s="445"/>
      <c r="DS52" s="445"/>
      <c r="DT52" s="444">
        <f>DJ52/DJ51</f>
        <v>1.4662756598240467</v>
      </c>
      <c r="DU52" s="444">
        <f t="shared" ref="DU52:DX52" si="226">DK52/DK51</f>
        <v>1.466275659824047</v>
      </c>
      <c r="DV52" s="444">
        <f t="shared" si="226"/>
        <v>1.4662756598240474</v>
      </c>
      <c r="DW52" s="444">
        <f t="shared" si="226"/>
        <v>1.4662756598240472</v>
      </c>
      <c r="DX52" s="444">
        <f t="shared" si="226"/>
        <v>1.4662756598240474</v>
      </c>
      <c r="DZ52" s="33" t="s">
        <v>1201</v>
      </c>
      <c r="EA52" s="88"/>
      <c r="EB52" s="88"/>
      <c r="EC52" s="88"/>
      <c r="ED52" s="88"/>
      <c r="EE52" s="88"/>
      <c r="EF52" s="88"/>
      <c r="EG52" s="88"/>
      <c r="EH52" s="102"/>
      <c r="EJ52" s="224" t="s">
        <v>828</v>
      </c>
      <c r="EK52" s="88">
        <f t="shared" si="206"/>
        <v>0.10133086919903939</v>
      </c>
      <c r="EL52" s="88">
        <f t="shared" si="206"/>
        <v>0.12446074151621145</v>
      </c>
      <c r="EM52" s="88">
        <f t="shared" si="206"/>
        <v>0.13006057168602647</v>
      </c>
      <c r="EN52" s="88">
        <f t="shared" si="206"/>
        <v>0.13618804542807331</v>
      </c>
      <c r="EO52" s="88">
        <f t="shared" si="206"/>
        <v>0.14292142566454902</v>
      </c>
      <c r="EP52" s="88">
        <f t="shared" si="206"/>
        <v>0.15035525820750376</v>
      </c>
      <c r="EQ52" s="88">
        <f t="shared" si="206"/>
        <v>0.15860483874632256</v>
      </c>
      <c r="ER52" s="102">
        <f t="shared" si="119"/>
        <v>0.56521739130434823</v>
      </c>
    </row>
    <row r="53" spans="1:148" x14ac:dyDescent="0.35">
      <c r="A53" t="s">
        <v>1189</v>
      </c>
      <c r="B53" t="s">
        <v>2010</v>
      </c>
      <c r="C53" t="s">
        <v>452</v>
      </c>
      <c r="D53" t="s">
        <v>2261</v>
      </c>
      <c r="E53" t="s">
        <v>851</v>
      </c>
      <c r="F53">
        <v>2022</v>
      </c>
      <c r="G53" s="63" t="s">
        <v>282</v>
      </c>
      <c r="H53" s="71"/>
      <c r="I53" s="71"/>
      <c r="J53" s="71"/>
      <c r="K53" s="71"/>
      <c r="L53" s="71"/>
      <c r="M53" s="71"/>
      <c r="N53" s="71"/>
      <c r="O53" s="71"/>
      <c r="P53" s="71"/>
      <c r="Q53" s="71"/>
      <c r="R53" s="71"/>
      <c r="S53" s="71"/>
      <c r="T53" s="71"/>
      <c r="U53" s="71"/>
      <c r="V53" s="71"/>
      <c r="W53" s="71"/>
      <c r="X53" s="71"/>
      <c r="Y53" s="71"/>
      <c r="Z53" s="71"/>
      <c r="AA53" s="71"/>
      <c r="AB53" s="71"/>
      <c r="AC53" s="305">
        <f t="shared" ref="AC53:AI55" si="227">AC$52*BV53</f>
        <v>1.8457925054762832</v>
      </c>
      <c r="AD53" s="71">
        <f t="shared" si="227"/>
        <v>1.9146228136839345</v>
      </c>
      <c r="AE53" s="71">
        <f t="shared" si="227"/>
        <v>1.9746991491664014</v>
      </c>
      <c r="AF53" s="71">
        <f t="shared" si="227"/>
        <v>2.1856475280417014</v>
      </c>
      <c r="AG53" s="71">
        <f t="shared" si="227"/>
        <v>2.2687022526383163</v>
      </c>
      <c r="AH53" s="71">
        <f t="shared" si="227"/>
        <v>2.3517569772349316</v>
      </c>
      <c r="AI53" s="71">
        <f t="shared" si="227"/>
        <v>2.4348117018315469</v>
      </c>
      <c r="AJ53" s="417"/>
      <c r="AK53" s="66" t="s">
        <v>2227</v>
      </c>
      <c r="AL53">
        <v>3</v>
      </c>
      <c r="AM53">
        <v>1</v>
      </c>
      <c r="AN53">
        <v>1</v>
      </c>
      <c r="AO53">
        <v>3</v>
      </c>
      <c r="AP53">
        <v>1</v>
      </c>
      <c r="AT53" s="493"/>
      <c r="AU53" s="493"/>
      <c r="AV53" s="493"/>
      <c r="AW53" s="493"/>
      <c r="AX53" s="493"/>
      <c r="AY53" s="493"/>
      <c r="BA53" s="17" t="s">
        <v>988</v>
      </c>
      <c r="BB53" s="73" cm="1">
        <f t="array" ref="BB53">1/AVERAGE(_xlfn._xlws.FILTER('ANL-DOE-LDV Data'!$AX:$AX, ('ANL-DOE-LDV Data'!$A:$A=$BA53)*('ANL-DOE-LDV Data'!$B:$B=BB$2-5)*('ANL-DOE-LDV Data'!$D:$D="Midsize_SUV_B")))</f>
        <v>0.67980448554814843</v>
      </c>
      <c r="BC53" s="73" cm="1">
        <f t="array" ref="BC53">1/AVERAGE(_xlfn._xlws.FILTER('ANL-DOE-LDV Data'!$AX:$AX, ('ANL-DOE-LDV Data'!$A:$A=$BA53)*('ANL-DOE-LDV Data'!$B:$B=BC$2-5)*('ANL-DOE-LDV Data'!$D:$D="Midsize_SUV_B")))</f>
        <v>0.70568536697764683</v>
      </c>
      <c r="BD53" s="73" cm="1">
        <f t="array" ref="BD53">1/AVERAGE(_xlfn._xlws.FILTER('ANL-DOE-LDV Data'!$AX:$AX, ('ANL-DOE-LDV Data'!$A:$A=$BA53)*('ANL-DOE-LDV Data'!$B:$B=BD$2-5)*('ANL-DOE-LDV Data'!$D:$D="Midsize_SUV_B")))</f>
        <v>0.7205598684930703</v>
      </c>
      <c r="BE53" s="73" cm="1">
        <f t="array" ref="BE53">1/AVERAGE(_xlfn._xlws.FILTER('ANL-DOE-LDV Data'!$AX:$AX, ('ANL-DOE-LDV Data'!$A:$A=$BA53)*('ANL-DOE-LDV Data'!$B:$B=BE$2-5)*('ANL-DOE-LDV Data'!$D:$D="Midsize_SUV_B")))</f>
        <v>0.77549284470767788</v>
      </c>
      <c r="BF53" s="73">
        <f t="shared" ref="BF53:BG53" si="228">($BH53-$BE53)/3 + BE53</f>
        <v>0.79570416584079695</v>
      </c>
      <c r="BG53" s="73">
        <f t="shared" si="228"/>
        <v>0.81591548697391603</v>
      </c>
      <c r="BH53" s="73" cm="1">
        <f t="array" ref="BH53">1/AVERAGE(_xlfn._xlws.FILTER('ANL-DOE-LDV Data'!$AX:$AX, ('ANL-DOE-LDV Data'!$A:$A=$BA53)*('ANL-DOE-LDV Data'!$B:$B=BH$2-5)*('ANL-DOE-LDV Data'!$D:$D="Midsize_SUV_B")))</f>
        <v>0.8361268081070351</v>
      </c>
      <c r="BI53" s="102">
        <f t="shared" si="156"/>
        <v>0.229951884522855</v>
      </c>
      <c r="BK53" s="17" t="s">
        <v>979</v>
      </c>
      <c r="BL53" s="88">
        <f t="shared" si="171"/>
        <v>1.4172527690359593</v>
      </c>
      <c r="BM53" s="88">
        <f t="shared" si="172"/>
        <v>1.4839239614657647</v>
      </c>
      <c r="BN53" s="88">
        <f t="shared" si="173"/>
        <v>1.5304859856421911</v>
      </c>
      <c r="BO53" s="88">
        <f t="shared" si="174"/>
        <v>1.6939810363687156</v>
      </c>
      <c r="BP53" s="88">
        <f t="shared" si="175"/>
        <v>1.7583524076179264</v>
      </c>
      <c r="BQ53" s="88">
        <f t="shared" si="176"/>
        <v>1.8227237788671373</v>
      </c>
      <c r="BR53" s="88">
        <f t="shared" si="177"/>
        <v>1.8870951501163484</v>
      </c>
      <c r="BS53" s="102">
        <f t="shared" si="178"/>
        <v>0.33151629077428746</v>
      </c>
      <c r="BU53" s="443" t="s">
        <v>2204</v>
      </c>
      <c r="BV53" s="444">
        <f>BL53/BL52+(BW53-BL53/BL52)/5</f>
        <v>0.95633635796943151</v>
      </c>
      <c r="BW53" s="444">
        <f t="shared" ref="BW53:CB53" si="229">BM53/BM52</f>
        <v>0.95705528992092237</v>
      </c>
      <c r="BX53" s="444">
        <f t="shared" si="229"/>
        <v>0.9667868818388593</v>
      </c>
      <c r="BY53" s="444">
        <f t="shared" si="229"/>
        <v>0.96807745527998967</v>
      </c>
      <c r="BZ53" s="444">
        <f t="shared" si="229"/>
        <v>0.96957792383932695</v>
      </c>
      <c r="CA53" s="444">
        <f t="shared" si="229"/>
        <v>0.97097658732267444</v>
      </c>
      <c r="CB53" s="444">
        <f t="shared" si="229"/>
        <v>0.97228346680769306</v>
      </c>
      <c r="CN53" s="17" t="s">
        <v>627</v>
      </c>
      <c r="CO53" s="73" cm="1">
        <f t="array" ref="CO53">1/AVERAGE(_xlfn._xlws.FILTER('ANL-DOE-MHDV Data'!$AX:$AX,('ANL-DOE-MHDV Data'!$A:$A=$CN53)*('ANL-DOE-MHDV Data'!$B:$B=CO$33)*('ANL-DOE-MHDV Data'!$D:$D="School")))</f>
        <v>0.21738970019759854</v>
      </c>
      <c r="CP53" s="73" cm="1">
        <f t="array" ref="CP53">1/AVERAGE(_xlfn._xlws.FILTER('ANL-DOE-MHDV Data'!$AX:$AX,('ANL-DOE-MHDV Data'!$A:$A=$CN53)*('ANL-DOE-MHDV Data'!$B:$B=CP$33)*('ANL-DOE-MHDV Data'!$D:$D="School")))</f>
        <v>0.23042804959330435</v>
      </c>
      <c r="CQ53" s="73" cm="1">
        <f t="array" ref="CQ53">1/AVERAGE(_xlfn._xlws.FILTER('ANL-DOE-MHDV Data'!$AX:$AX,('ANL-DOE-MHDV Data'!$A:$A=$CN53)*('ANL-DOE-MHDV Data'!$B:$B=CQ$33)*('ANL-DOE-MHDV Data'!$D:$D="School")))</f>
        <v>0.24555462080740167</v>
      </c>
      <c r="CR53" s="73" cm="1">
        <f t="array" ref="CR53">1/AVERAGE(_xlfn._xlws.FILTER('ANL-DOE-MHDV Data'!$AX:$AX,('ANL-DOE-MHDV Data'!$A:$A=$CN53)*('ANL-DOE-MHDV Data'!$B:$B=CR$33)*('ANL-DOE-MHDV Data'!$D:$D="School")))</f>
        <v>0.25656221176866045</v>
      </c>
      <c r="CS53" s="73">
        <f t="shared" si="197"/>
        <v>0.26588146071002822</v>
      </c>
      <c r="CT53" s="73">
        <f t="shared" si="197"/>
        <v>0.27520070965139598</v>
      </c>
      <c r="CU53" s="73" cm="1">
        <f t="array" ref="CU53">1/AVERAGE(_xlfn._xlws.FILTER('ANL-DOE-MHDV Data'!$AX:$AX,('ANL-DOE-MHDV Data'!$A:$A=$CN53)*('ANL-DOE-MHDV Data'!$B:$B=CU$33)*('ANL-DOE-MHDV Data'!$D:$D="School")))</f>
        <v>0.2845199585927638</v>
      </c>
      <c r="CV53" s="102">
        <f t="shared" si="116"/>
        <v>0.30880146729190272</v>
      </c>
      <c r="CX53" s="443" t="s">
        <v>2213</v>
      </c>
      <c r="CY53" s="444">
        <f t="shared" ref="CY53:DE53" si="230">CO53/CO49</f>
        <v>2.2208123684404297</v>
      </c>
      <c r="CZ53" s="444">
        <f t="shared" si="230"/>
        <v>2.2125317275907608</v>
      </c>
      <c r="DA53" s="444">
        <f t="shared" si="230"/>
        <v>2.2297622421126237</v>
      </c>
      <c r="DB53" s="444">
        <f t="shared" si="230"/>
        <v>2.2347978451591599</v>
      </c>
      <c r="DC53" s="444">
        <f t="shared" si="230"/>
        <v>2.2311924374019712</v>
      </c>
      <c r="DD53" s="444">
        <f t="shared" si="230"/>
        <v>2.227841675181816</v>
      </c>
      <c r="DE53" s="444">
        <f t="shared" si="230"/>
        <v>2.2247195007579537</v>
      </c>
      <c r="DG53" s="17" t="s">
        <v>232</v>
      </c>
      <c r="DI53" s="73">
        <f>1/('GREET-AFLEET Summary'!V88*MJ_Btu/(km_mile*tonne_ton))</f>
        <v>4.772887651909226</v>
      </c>
      <c r="DJ53" s="73">
        <f>1/('GREET-AFLEET Summary'!W88*MJ_Btu/(km_mile*tonne_ton))</f>
        <v>4.9503917381372542</v>
      </c>
      <c r="DK53" s="73">
        <f>1/('GREET-AFLEET Summary'!X88*MJ_Btu/(km_mile*tonne_ton))</f>
        <v>5.1416085863914827</v>
      </c>
      <c r="DL53" s="73">
        <f>1/('GREET-AFLEET Summary'!Y88*MJ_Btu/(km_mile*tonne_ton))</f>
        <v>5.3244213361298476</v>
      </c>
      <c r="DM53" s="73">
        <f>1/('GREET-AFLEET Summary'!Z88*MJ_Btu/(km_mile*tonne_ton))</f>
        <v>5.5098489448507868</v>
      </c>
      <c r="DN53" s="73">
        <f>1/('GREET-AFLEET Summary'!AA88*MJ_Btu/(km_mile*tonne_ton))</f>
        <v>5.7017342314873805</v>
      </c>
      <c r="DO53" s="102">
        <f>(DN53-DJ53)/DJ53</f>
        <v>0.1517743510199141</v>
      </c>
      <c r="DQ53" s="443" t="s">
        <v>2220</v>
      </c>
      <c r="DR53" s="445"/>
      <c r="DS53" s="444">
        <f>DI53/DI51</f>
        <v>0.92592592592592571</v>
      </c>
      <c r="DT53" s="444">
        <f t="shared" ref="DT53:DX53" si="231">DJ53/DJ51</f>
        <v>0.92592592592592571</v>
      </c>
      <c r="DU53" s="444">
        <f t="shared" si="231"/>
        <v>0.92592592592592571</v>
      </c>
      <c r="DV53" s="444">
        <f t="shared" si="231"/>
        <v>0.92592592592592593</v>
      </c>
      <c r="DW53" s="444">
        <f t="shared" si="231"/>
        <v>0.92592592592592571</v>
      </c>
      <c r="DX53" s="444">
        <f t="shared" si="231"/>
        <v>0.92592592592592571</v>
      </c>
      <c r="DZ53" s="306" t="s">
        <v>109</v>
      </c>
      <c r="EA53" s="88">
        <f t="shared" ref="EA53:EG56" si="232">1/(EA22*DSL_PJ_ML*10)</f>
        <v>6.8010613963966321E-2</v>
      </c>
      <c r="EB53" s="88">
        <f t="shared" si="232"/>
        <v>7.1322767622885697E-2</v>
      </c>
      <c r="EC53" s="88">
        <f t="shared" si="232"/>
        <v>7.792846090062161E-2</v>
      </c>
      <c r="ED53" s="88">
        <f t="shared" si="232"/>
        <v>8.3114266387930874E-2</v>
      </c>
      <c r="EE53" s="88">
        <f t="shared" si="232"/>
        <v>8.5877228764241309E-2</v>
      </c>
      <c r="EF53" s="88">
        <f t="shared" si="232"/>
        <v>8.7199023867593289E-2</v>
      </c>
      <c r="EG53" s="88">
        <f t="shared" si="232"/>
        <v>8.8080029689929451E-2</v>
      </c>
      <c r="EH53" s="102">
        <f t="shared" si="118"/>
        <v>0.29509240626171079</v>
      </c>
      <c r="EJ53" s="224" t="s">
        <v>829</v>
      </c>
      <c r="EK53" s="88">
        <f t="shared" si="206"/>
        <v>8.9215221794806412E-2</v>
      </c>
      <c r="EL53" s="88">
        <f t="shared" si="206"/>
        <v>0.11234509411197847</v>
      </c>
      <c r="EM53" s="88">
        <f t="shared" si="206"/>
        <v>0.11797995776649775</v>
      </c>
      <c r="EN53" s="88">
        <f t="shared" si="206"/>
        <v>0.12420992253304551</v>
      </c>
      <c r="EO53" s="88">
        <f t="shared" si="206"/>
        <v>0.13113451751746616</v>
      </c>
      <c r="EP53" s="88">
        <f t="shared" si="206"/>
        <v>0.13887677685429073</v>
      </c>
      <c r="EQ53" s="88">
        <f t="shared" si="206"/>
        <v>0.14759061383338348</v>
      </c>
      <c r="ER53" s="102">
        <f t="shared" si="119"/>
        <v>0.65432098765432134</v>
      </c>
    </row>
    <row r="54" spans="1:148" x14ac:dyDescent="0.35">
      <c r="A54" t="s">
        <v>1190</v>
      </c>
      <c r="B54" t="s">
        <v>2010</v>
      </c>
      <c r="C54" t="s">
        <v>452</v>
      </c>
      <c r="D54" t="s">
        <v>2261</v>
      </c>
      <c r="E54" t="s">
        <v>851</v>
      </c>
      <c r="F54">
        <v>2022</v>
      </c>
      <c r="G54" s="63" t="s">
        <v>282</v>
      </c>
      <c r="H54" s="71"/>
      <c r="I54" s="71"/>
      <c r="J54" s="71"/>
      <c r="K54" s="71"/>
      <c r="L54" s="71"/>
      <c r="M54" s="71"/>
      <c r="N54" s="71"/>
      <c r="O54" s="71"/>
      <c r="P54" s="71"/>
      <c r="Q54" s="71"/>
      <c r="R54" s="71"/>
      <c r="S54" s="71"/>
      <c r="T54" s="71"/>
      <c r="U54" s="71"/>
      <c r="V54" s="71"/>
      <c r="W54" s="71"/>
      <c r="X54" s="71"/>
      <c r="Y54" s="71"/>
      <c r="Z54" s="71"/>
      <c r="AA54" s="71"/>
      <c r="AB54" s="71"/>
      <c r="AC54" s="305">
        <f t="shared" si="227"/>
        <v>1.657686786744244</v>
      </c>
      <c r="AD54" s="71">
        <f t="shared" si="227"/>
        <v>1.7194487839206618</v>
      </c>
      <c r="AE54" s="71">
        <f t="shared" si="227"/>
        <v>1.8035829790930908</v>
      </c>
      <c r="AF54" s="71">
        <f t="shared" si="227"/>
        <v>1.9957432235978536</v>
      </c>
      <c r="AG54" s="71">
        <f t="shared" si="227"/>
        <v>2.0763616817019415</v>
      </c>
      <c r="AH54" s="71">
        <f t="shared" si="227"/>
        <v>2.1569801398060284</v>
      </c>
      <c r="AI54" s="71">
        <f t="shared" si="227"/>
        <v>2.2375985979101154</v>
      </c>
      <c r="AJ54" s="417"/>
      <c r="AK54" s="66" t="s">
        <v>2227</v>
      </c>
      <c r="AL54">
        <v>3</v>
      </c>
      <c r="AM54">
        <v>1</v>
      </c>
      <c r="AN54">
        <v>1</v>
      </c>
      <c r="AO54">
        <v>3</v>
      </c>
      <c r="AP54">
        <v>1</v>
      </c>
      <c r="AT54" s="493"/>
      <c r="AU54" s="493"/>
      <c r="AV54" s="493"/>
      <c r="AW54" s="493"/>
      <c r="AX54" s="493"/>
      <c r="AY54" s="493"/>
      <c r="BA54" s="17" t="s">
        <v>990</v>
      </c>
      <c r="BB54" s="73" cm="1">
        <f t="array" ref="BB54">1/AVERAGE(_xlfn._xlws.FILTER('ANL-DOE-LDV Data'!$AX:$AX, ('ANL-DOE-LDV Data'!$A:$A=$BA54)*('ANL-DOE-LDV Data'!$B:$B=BB$2-5)*('ANL-DOE-LDV Data'!$D:$D="Midsize_SUV_B")))</f>
        <v>0.67062236996910929</v>
      </c>
      <c r="BC54" s="73" cm="1">
        <f t="array" ref="BC54">1/AVERAGE(_xlfn._xlws.FILTER('ANL-DOE-LDV Data'!$AX:$AX, ('ANL-DOE-LDV Data'!$A:$A=$BA54)*('ANL-DOE-LDV Data'!$B:$B=BC$2-5)*('ANL-DOE-LDV Data'!$D:$D="Midsize_SUV_B")))</f>
        <v>0.69579588235533718</v>
      </c>
      <c r="BD54" s="73" cm="1">
        <f t="array" ref="BD54">1/AVERAGE(_xlfn._xlws.FILTER('ANL-DOE-LDV Data'!$AX:$AX, ('ANL-DOE-LDV Data'!$A:$A=$BA54)*('ANL-DOE-LDV Data'!$B:$B=BD$2-5)*('ANL-DOE-LDV Data'!$D:$D="Midsize_SUV_B")))</f>
        <v>0.71025213195468184</v>
      </c>
      <c r="BE54" s="73" cm="1">
        <f t="array" ref="BE54">1/AVERAGE(_xlfn._xlws.FILTER('ANL-DOE-LDV Data'!$AX:$AX, ('ANL-DOE-LDV Data'!$A:$A=$BA54)*('ANL-DOE-LDV Data'!$B:$B=BE$2-5)*('ANL-DOE-LDV Data'!$D:$D="Midsize_SUV_B")))</f>
        <v>0.76510741493999113</v>
      </c>
      <c r="BF54" s="73">
        <f t="shared" ref="BF54:BG54" si="233">($BH54-$BE54)/3 + BE54</f>
        <v>0.78524979146157048</v>
      </c>
      <c r="BG54" s="73">
        <f t="shared" si="233"/>
        <v>0.80539216798314983</v>
      </c>
      <c r="BH54" s="73" cm="1">
        <f t="array" ref="BH54">1/AVERAGE(_xlfn._xlws.FILTER('ANL-DOE-LDV Data'!$AX:$AX, ('ANL-DOE-LDV Data'!$A:$A=$BA54)*('ANL-DOE-LDV Data'!$B:$B=BH$2-5)*('ANL-DOE-LDV Data'!$D:$D="Midsize_SUV_B")))</f>
        <v>0.82553454450472918</v>
      </c>
      <c r="BI54" s="102">
        <f t="shared" si="156"/>
        <v>0.23099762470308824</v>
      </c>
      <c r="BK54" s="17" t="s">
        <v>980</v>
      </c>
      <c r="BL54" s="88">
        <f t="shared" si="171"/>
        <v>1.2728297291660109</v>
      </c>
      <c r="BM54" s="88">
        <f t="shared" si="172"/>
        <v>1.3326547833531908</v>
      </c>
      <c r="BN54" s="88">
        <f t="shared" si="173"/>
        <v>1.3978627957631038</v>
      </c>
      <c r="BO54" s="88">
        <f t="shared" si="174"/>
        <v>1.5467961466162032</v>
      </c>
      <c r="BP54" s="88">
        <f t="shared" si="175"/>
        <v>1.6092792951831503</v>
      </c>
      <c r="BQ54" s="88">
        <f t="shared" si="176"/>
        <v>1.6717624437500966</v>
      </c>
      <c r="BR54" s="88">
        <f t="shared" si="177"/>
        <v>1.7342455923170437</v>
      </c>
      <c r="BS54" s="102">
        <f t="shared" si="178"/>
        <v>0.36251185258955548</v>
      </c>
      <c r="BU54" s="443" t="s">
        <v>2205</v>
      </c>
      <c r="BV54" s="444">
        <f>BL54/BL52+(BW54-BL54/BL52)/5</f>
        <v>0.85887559928084767</v>
      </c>
      <c r="BW54" s="444">
        <f t="shared" ref="BW54:CB54" si="234">BM54/BM52</f>
        <v>0.85949438324776117</v>
      </c>
      <c r="BX54" s="444">
        <f t="shared" si="234"/>
        <v>0.88301064252300221</v>
      </c>
      <c r="BY54" s="444">
        <f t="shared" si="234"/>
        <v>0.88396413259916595</v>
      </c>
      <c r="BZ54" s="444">
        <f t="shared" si="234"/>
        <v>0.88737711003853414</v>
      </c>
      <c r="CA54" s="444">
        <f t="shared" si="234"/>
        <v>0.89055852086132548</v>
      </c>
      <c r="CB54" s="444">
        <f t="shared" si="234"/>
        <v>0.89353115908862113</v>
      </c>
      <c r="CN54" s="17" t="s">
        <v>1065</v>
      </c>
      <c r="CO54" s="73" cm="1">
        <f t="array" ref="CO54">1/AVERAGE(_xlfn._xlws.FILTER('ANL-DOE-MHDV Data'!$AX:$AX,('ANL-DOE-MHDV Data'!$A:$A=$CN54)*('ANL-DOE-MHDV Data'!$B:$B=CO$33)*('ANL-DOE-MHDV Data'!$D:$D="School")))</f>
        <v>0.22768664398269486</v>
      </c>
      <c r="CP54" s="73" cm="1">
        <f t="array" ref="CP54">1/AVERAGE(_xlfn._xlws.FILTER('ANL-DOE-MHDV Data'!$AX:$AX,('ANL-DOE-MHDV Data'!$A:$A=$CN54)*('ANL-DOE-MHDV Data'!$B:$B=CP$33)*('ANL-DOE-MHDV Data'!$D:$D="School")))</f>
        <v>0.24343234790131635</v>
      </c>
      <c r="CQ54" s="73" cm="1">
        <f t="array" ref="CQ54">1/AVERAGE(_xlfn._xlws.FILTER('ANL-DOE-MHDV Data'!$AX:$AX,('ANL-DOE-MHDV Data'!$A:$A=$CN54)*('ANL-DOE-MHDV Data'!$B:$B=CQ$33)*('ANL-DOE-MHDV Data'!$D:$D="School")))</f>
        <v>0.26065456982531243</v>
      </c>
      <c r="CR54" s="73" cm="1">
        <f t="array" ref="CR54">1/AVERAGE(_xlfn._xlws.FILTER('ANL-DOE-MHDV Data'!$AX:$AX,('ANL-DOE-MHDV Data'!$A:$A=$CN54)*('ANL-DOE-MHDV Data'!$B:$B=CR$33)*('ANL-DOE-MHDV Data'!$D:$D="School")))</f>
        <v>0.27492846729080767</v>
      </c>
      <c r="CS54" s="73">
        <f t="shared" si="197"/>
        <v>0.28642336665370804</v>
      </c>
      <c r="CT54" s="73">
        <f t="shared" si="197"/>
        <v>0.29791826601660842</v>
      </c>
      <c r="CU54" s="73" cm="1">
        <f t="array" ref="CU54">1/AVERAGE(_xlfn._xlws.FILTER('ANL-DOE-MHDV Data'!$AX:$AX,('ANL-DOE-MHDV Data'!$A:$A=$CN54)*('ANL-DOE-MHDV Data'!$B:$B=CU$33)*('ANL-DOE-MHDV Data'!$D:$D="School")))</f>
        <v>0.30941316537950886</v>
      </c>
      <c r="CV54" s="102">
        <f t="shared" si="116"/>
        <v>0.35894297516645529</v>
      </c>
      <c r="CX54" s="443" t="s">
        <v>2214</v>
      </c>
      <c r="CY54" s="444">
        <f t="shared" ref="CY54:DE54" si="235">CO54/CO49</f>
        <v>2.3260040131885114</v>
      </c>
      <c r="CZ54" s="444">
        <f t="shared" si="235"/>
        <v>2.337396832565235</v>
      </c>
      <c r="DA54" s="444">
        <f t="shared" si="235"/>
        <v>2.3668775448801131</v>
      </c>
      <c r="DB54" s="444">
        <f t="shared" si="235"/>
        <v>2.394778022994339</v>
      </c>
      <c r="DC54" s="444">
        <f t="shared" si="235"/>
        <v>2.4035735619413261</v>
      </c>
      <c r="DD54" s="444">
        <f t="shared" si="235"/>
        <v>2.4117478827378309</v>
      </c>
      <c r="DE54" s="444">
        <f t="shared" si="235"/>
        <v>2.4193645543028213</v>
      </c>
      <c r="DG54" s="74" t="s">
        <v>1156</v>
      </c>
      <c r="DH54" s="73"/>
      <c r="DI54" s="73"/>
      <c r="DJ54" s="73"/>
      <c r="DK54" s="73"/>
      <c r="DL54" s="73"/>
      <c r="DM54" s="73"/>
      <c r="DN54" s="73"/>
      <c r="DO54" s="102"/>
      <c r="DQ54" s="74" t="s">
        <v>2209</v>
      </c>
      <c r="DZ54" s="17" t="s">
        <v>110</v>
      </c>
      <c r="EA54" s="88">
        <f t="shared" si="232"/>
        <v>7.0992010475080691E-2</v>
      </c>
      <c r="EB54" s="88">
        <f t="shared" si="232"/>
        <v>7.3928792746911637E-2</v>
      </c>
      <c r="EC54" s="88">
        <f t="shared" si="232"/>
        <v>7.7537430090766996E-2</v>
      </c>
      <c r="ED54" s="88">
        <f t="shared" si="232"/>
        <v>8.0308958913273304E-2</v>
      </c>
      <c r="EE54" s="88">
        <f t="shared" si="232"/>
        <v>8.2377426003796911E-2</v>
      </c>
      <c r="EF54" s="88">
        <f t="shared" si="232"/>
        <v>8.3759916502063353E-2</v>
      </c>
      <c r="EG54" s="88">
        <f t="shared" si="232"/>
        <v>8.4437901453722403E-2</v>
      </c>
      <c r="EH54" s="102">
        <f t="shared" si="118"/>
        <v>0.18940005908638732</v>
      </c>
      <c r="EJ54" s="224" t="s">
        <v>240</v>
      </c>
      <c r="EK54" s="88">
        <f t="shared" si="206"/>
        <v>7.2693884425397828E-2</v>
      </c>
      <c r="EL54" s="88">
        <f t="shared" si="206"/>
        <v>8.8113799303512527E-2</v>
      </c>
      <c r="EM54" s="88">
        <f t="shared" si="206"/>
        <v>9.2232940327863722E-2</v>
      </c>
      <c r="EN54" s="88">
        <f t="shared" si="206"/>
        <v>9.6756090919635274E-2</v>
      </c>
      <c r="EO54" s="88">
        <f t="shared" si="206"/>
        <v>0.10174575480114113</v>
      </c>
      <c r="EP54" s="88">
        <f t="shared" si="206"/>
        <v>0.1072780298848911</v>
      </c>
      <c r="EQ54" s="88">
        <f t="shared" si="206"/>
        <v>0.11344651660327237</v>
      </c>
      <c r="ER54" s="102">
        <f t="shared" si="119"/>
        <v>0.56060606060606066</v>
      </c>
    </row>
    <row r="55" spans="1:148" x14ac:dyDescent="0.35">
      <c r="A55" t="s">
        <v>1191</v>
      </c>
      <c r="B55" t="s">
        <v>2010</v>
      </c>
      <c r="C55" t="s">
        <v>452</v>
      </c>
      <c r="D55" t="s">
        <v>2261</v>
      </c>
      <c r="E55" t="s">
        <v>851</v>
      </c>
      <c r="F55">
        <v>2022</v>
      </c>
      <c r="G55" s="63" t="s">
        <v>282</v>
      </c>
      <c r="H55" s="71"/>
      <c r="I55" s="71"/>
      <c r="J55" s="71"/>
      <c r="K55" s="71"/>
      <c r="L55" s="71"/>
      <c r="M55" s="71"/>
      <c r="N55" s="71"/>
      <c r="O55" s="71"/>
      <c r="P55" s="71"/>
      <c r="Q55" s="71"/>
      <c r="R55" s="71"/>
      <c r="S55" s="71"/>
      <c r="T55" s="71"/>
      <c r="U55" s="71"/>
      <c r="V55" s="71"/>
      <c r="W55" s="71"/>
      <c r="X55" s="71"/>
      <c r="Y55" s="71"/>
      <c r="Z55" s="71"/>
      <c r="AA55" s="71"/>
      <c r="AB55" s="71"/>
      <c r="AC55" s="305">
        <f t="shared" si="227"/>
        <v>1.4956964663042542</v>
      </c>
      <c r="AD55" s="71">
        <f t="shared" si="227"/>
        <v>1.551278106476377</v>
      </c>
      <c r="AE55" s="71">
        <f t="shared" si="227"/>
        <v>1.6646249226424772</v>
      </c>
      <c r="AF55" s="71">
        <f t="shared" si="227"/>
        <v>1.8390739129497515</v>
      </c>
      <c r="AG55" s="71">
        <f t="shared" si="227"/>
        <v>1.9160646965178743</v>
      </c>
      <c r="AH55" s="71">
        <f t="shared" si="227"/>
        <v>1.9930554800859968</v>
      </c>
      <c r="AI55" s="71">
        <f t="shared" si="227"/>
        <v>2.0700462636541195</v>
      </c>
      <c r="AJ55" s="417"/>
      <c r="AK55" s="66" t="s">
        <v>2227</v>
      </c>
      <c r="AL55">
        <v>3</v>
      </c>
      <c r="AM55">
        <v>1</v>
      </c>
      <c r="AN55">
        <v>1</v>
      </c>
      <c r="AO55">
        <v>3</v>
      </c>
      <c r="AP55">
        <v>1</v>
      </c>
      <c r="BA55" s="33" t="s">
        <v>2159</v>
      </c>
      <c r="BB55" s="73"/>
      <c r="BC55" s="73"/>
      <c r="BD55" s="73"/>
      <c r="BE55" s="73"/>
      <c r="BF55" s="73"/>
      <c r="BG55" s="73"/>
      <c r="BH55" s="73"/>
      <c r="BI55" s="102"/>
      <c r="BK55" s="17" t="s">
        <v>981</v>
      </c>
      <c r="BL55" s="88">
        <f t="shared" si="171"/>
        <v>1.1484747571188372</v>
      </c>
      <c r="BM55" s="88">
        <f t="shared" si="172"/>
        <v>1.2023144906898335</v>
      </c>
      <c r="BN55" s="88">
        <f t="shared" si="173"/>
        <v>1.2901636771001326</v>
      </c>
      <c r="BO55" s="88">
        <f t="shared" si="174"/>
        <v>1.4253699615548667</v>
      </c>
      <c r="BP55" s="88">
        <f t="shared" si="175"/>
        <v>1.4850414894047497</v>
      </c>
      <c r="BQ55" s="88">
        <f t="shared" si="176"/>
        <v>1.5447130172546322</v>
      </c>
      <c r="BR55" s="88">
        <f t="shared" si="177"/>
        <v>1.6043845451045149</v>
      </c>
      <c r="BS55" s="102">
        <f t="shared" si="178"/>
        <v>0.3969697942072426</v>
      </c>
      <c r="BU55" s="443" t="s">
        <v>2206</v>
      </c>
      <c r="BV55" s="444">
        <f>BL55/BL52+(BW55-BL55/BL52)/5</f>
        <v>0.77494567074540455</v>
      </c>
      <c r="BW55" s="444">
        <f t="shared" ref="BW55:CB55" si="236">BM55/BM52</f>
        <v>0.77543154052629792</v>
      </c>
      <c r="BX55" s="444">
        <f t="shared" si="236"/>
        <v>0.81497859513037108</v>
      </c>
      <c r="BY55" s="444">
        <f t="shared" si="236"/>
        <v>0.81457141230607433</v>
      </c>
      <c r="BZ55" s="444">
        <f t="shared" si="236"/>
        <v>0.81887080079864616</v>
      </c>
      <c r="CA55" s="444">
        <f t="shared" si="236"/>
        <v>0.82287848069827818</v>
      </c>
      <c r="CB55" s="444">
        <f t="shared" si="236"/>
        <v>0.82662316603946817</v>
      </c>
      <c r="CN55" s="33" t="s">
        <v>1296</v>
      </c>
      <c r="CV55" s="102"/>
      <c r="CX55" s="33" t="s">
        <v>1296</v>
      </c>
      <c r="DG55" s="33"/>
      <c r="DH55" s="73"/>
      <c r="DI55" s="73"/>
      <c r="DJ55" s="73"/>
      <c r="DK55" s="73"/>
      <c r="DL55" s="73"/>
      <c r="DM55" s="73"/>
      <c r="DN55" s="73"/>
      <c r="DO55" s="102"/>
      <c r="DZ55" s="17" t="s">
        <v>240</v>
      </c>
      <c r="EA55" s="88">
        <f t="shared" si="232"/>
        <v>6.5042544691327156E-2</v>
      </c>
      <c r="EB55" s="88">
        <f t="shared" si="232"/>
        <v>6.7955025170830713E-2</v>
      </c>
      <c r="EC55" s="88">
        <f t="shared" si="232"/>
        <v>7.3307530952197317E-2</v>
      </c>
      <c r="ED55" s="88">
        <f t="shared" si="232"/>
        <v>7.7762928114405036E-2</v>
      </c>
      <c r="EE55" s="88">
        <f t="shared" si="232"/>
        <v>8.0506637625567631E-2</v>
      </c>
      <c r="EF55" s="88">
        <f t="shared" si="232"/>
        <v>8.1745649814473978E-2</v>
      </c>
      <c r="EG55" s="88">
        <f t="shared" si="232"/>
        <v>8.2587863536666764E-2</v>
      </c>
      <c r="EH55" s="102">
        <f t="shared" si="118"/>
        <v>0.26975142083700054</v>
      </c>
      <c r="EJ55" s="4" t="s">
        <v>1221</v>
      </c>
      <c r="EK55" s="88"/>
      <c r="EL55" s="88"/>
      <c r="EM55" s="88"/>
      <c r="EN55" s="88"/>
      <c r="EO55" s="88"/>
      <c r="EP55" s="88"/>
      <c r="EQ55" s="88"/>
      <c r="ER55" s="102"/>
    </row>
    <row r="56" spans="1:148" x14ac:dyDescent="0.35">
      <c r="A56" t="s">
        <v>1192</v>
      </c>
      <c r="B56" t="s">
        <v>2093</v>
      </c>
      <c r="C56" t="s">
        <v>452</v>
      </c>
      <c r="D56" t="s">
        <v>2261</v>
      </c>
      <c r="E56" t="s">
        <v>851</v>
      </c>
      <c r="F56">
        <v>2022</v>
      </c>
      <c r="G56" s="63" t="s">
        <v>282</v>
      </c>
      <c r="H56" s="71"/>
      <c r="I56" s="71"/>
      <c r="J56" s="71"/>
      <c r="K56" s="71"/>
      <c r="L56" s="71"/>
      <c r="M56" s="71"/>
      <c r="N56" s="71"/>
      <c r="O56" s="71"/>
      <c r="P56" s="71"/>
      <c r="Q56" s="71"/>
      <c r="R56" s="71"/>
      <c r="S56" s="71"/>
      <c r="T56" s="71"/>
      <c r="U56" s="71"/>
      <c r="V56" s="71"/>
      <c r="W56" s="71"/>
      <c r="X56" s="71"/>
      <c r="Y56" s="71"/>
      <c r="Z56" s="71"/>
      <c r="AA56" s="71"/>
      <c r="AB56" s="71"/>
      <c r="AC56" s="305">
        <f t="shared" ref="AC56:AI57" si="237">AC$46*BV56</f>
        <v>1.0411115681271836</v>
      </c>
      <c r="AD56" s="71">
        <f t="shared" si="237"/>
        <v>1.070015742737064</v>
      </c>
      <c r="AE56" s="71">
        <f t="shared" si="237"/>
        <v>1.0879746004139537</v>
      </c>
      <c r="AF56" s="71">
        <f t="shared" si="237"/>
        <v>1.167224430296349</v>
      </c>
      <c r="AG56" s="71">
        <f t="shared" si="237"/>
        <v>1.1964719470326721</v>
      </c>
      <c r="AH56" s="71">
        <f t="shared" si="237"/>
        <v>1.2257194637689952</v>
      </c>
      <c r="AI56" s="71">
        <f t="shared" si="237"/>
        <v>1.2549669805053183</v>
      </c>
      <c r="AJ56" s="417"/>
      <c r="AK56" s="66" t="s">
        <v>2227</v>
      </c>
      <c r="AL56">
        <v>3</v>
      </c>
      <c r="AM56">
        <v>1</v>
      </c>
      <c r="AN56">
        <v>1</v>
      </c>
      <c r="AO56">
        <v>3</v>
      </c>
      <c r="AP56">
        <v>1</v>
      </c>
      <c r="BA56" s="17" t="s">
        <v>985</v>
      </c>
      <c r="BB56" s="73" cm="1">
        <f t="array" ref="BB56">1/AVERAGE(_xlfn._xlws.FILTER('ANL-DOE-LDV Data'!$AX:$AX, ('ANL-DOE-LDV Data'!$A:$A=$BA56)*('ANL-DOE-LDV Data'!$B:$B=BB$2-5)*('ANL-DOE-LDV Data'!$D:$D="Pickup_B")))</f>
        <v>0.23700988130458067</v>
      </c>
      <c r="BC56" s="73" cm="1">
        <f t="array" ref="BC56">1/AVERAGE(_xlfn._xlws.FILTER('ANL-DOE-LDV Data'!$AX:$AX, ('ANL-DOE-LDV Data'!$A:$A=$BA56)*('ANL-DOE-LDV Data'!$B:$B=BC$2-5)*('ANL-DOE-LDV Data'!$D:$D="Pickup_B")))</f>
        <v>0.23488279123875574</v>
      </c>
      <c r="BD56" s="73" cm="1">
        <f t="array" ref="BD56">1/AVERAGE(_xlfn._xlws.FILTER('ANL-DOE-LDV Data'!$AX:$AX, ('ANL-DOE-LDV Data'!$A:$A=$BA56)*('ANL-DOE-LDV Data'!$B:$B=BD$2-5)*('ANL-DOE-LDV Data'!$D:$D="Pickup_B")))</f>
        <v>0.26950850359079215</v>
      </c>
      <c r="BE56" s="73" cm="1">
        <f t="array" ref="BE56">1/AVERAGE(_xlfn._xlws.FILTER('ANL-DOE-LDV Data'!$AX:$AX, ('ANL-DOE-LDV Data'!$A:$A=$BA56)*('ANL-DOE-LDV Data'!$B:$B=BE$2-5)*('ANL-DOE-LDV Data'!$D:$D="Pickup_B")))</f>
        <v>0.29561345954204088</v>
      </c>
      <c r="BF56" s="73">
        <f t="shared" ref="BF56:BG56" si="238">($BH56-$BE56)/3 + BE56</f>
        <v>0.30993889363126753</v>
      </c>
      <c r="BG56" s="73">
        <f t="shared" si="238"/>
        <v>0.32426432772049418</v>
      </c>
      <c r="BH56" s="73" cm="1">
        <f t="array" ref="BH56">1/AVERAGE(_xlfn._xlws.FILTER('ANL-DOE-LDV Data'!$AX:$AX, ('ANL-DOE-LDV Data'!$A:$A=$BA56)*('ANL-DOE-LDV Data'!$B:$B=BH$2-5)*('ANL-DOE-LDV Data'!$D:$D="Pickup_B")))</f>
        <v>0.33858976180972078</v>
      </c>
      <c r="BI56" s="102">
        <f t="shared" ref="BI56:BI67" si="239">(BH56-BB56)/BB56</f>
        <v>0.42858922145359885</v>
      </c>
      <c r="BK56" s="17" t="s">
        <v>988</v>
      </c>
      <c r="BL56" s="88">
        <f t="shared" si="171"/>
        <v>0.6606585509526518</v>
      </c>
      <c r="BM56" s="88">
        <f t="shared" si="172"/>
        <v>0.68382182164191563</v>
      </c>
      <c r="BN56" s="88">
        <f t="shared" si="173"/>
        <v>0.69529890396951322</v>
      </c>
      <c r="BO56" s="88">
        <f t="shared" si="174"/>
        <v>0.74594560090162387</v>
      </c>
      <c r="BP56" s="88">
        <f t="shared" si="175"/>
        <v>0.76463699895710979</v>
      </c>
      <c r="BQ56" s="88">
        <f t="shared" si="176"/>
        <v>0.7833283970125956</v>
      </c>
      <c r="BR56" s="88">
        <f t="shared" si="177"/>
        <v>0.80201979506808163</v>
      </c>
      <c r="BS56" s="102">
        <f t="shared" si="178"/>
        <v>0.21397020277962153</v>
      </c>
      <c r="BU56" s="443" t="s">
        <v>2207</v>
      </c>
      <c r="BV56" s="444">
        <f>BL56/BL46+(BW56-BL56/BL46)/5</f>
        <v>2.3094701728429605</v>
      </c>
      <c r="BW56" s="444">
        <f t="shared" ref="BW56:CB56" si="240">BM56/BM46</f>
        <v>2.3961055270012976</v>
      </c>
      <c r="BX56" s="444">
        <f t="shared" si="240"/>
        <v>2.1109531047529457</v>
      </c>
      <c r="BY56" s="444">
        <f t="shared" si="240"/>
        <v>2.0745701709309801</v>
      </c>
      <c r="BZ56" s="444">
        <f t="shared" si="240"/>
        <v>2.0229172587371798</v>
      </c>
      <c r="CA56" s="444">
        <f t="shared" si="240"/>
        <v>1.9760649301982043</v>
      </c>
      <c r="CB56" s="444">
        <f t="shared" si="240"/>
        <v>1.9333736597620286</v>
      </c>
      <c r="CN56" s="17" t="s">
        <v>1017</v>
      </c>
      <c r="CO56" s="73" cm="1">
        <f t="array" ref="CO56">1/AVERAGE(_xlfn._xlws.FILTER('ANL-DOE-MHDV Data'!$AX:$AX,('ANL-DOE-MHDV Data'!$A:$A=$CN56)*('ANL-DOE-MHDV Data'!$B:$B=CO$33)*('ANL-DOE-MHDV Data'!$D:$D="Transit")))</f>
        <v>8.0245961739679669E-2</v>
      </c>
      <c r="CP56" s="73" cm="1">
        <f t="array" ref="CP56">1/AVERAGE(_xlfn._xlws.FILTER('ANL-DOE-MHDV Data'!$AX:$AX,('ANL-DOE-MHDV Data'!$A:$A=$CN56)*('ANL-DOE-MHDV Data'!$B:$B=CP$33)*('ANL-DOE-MHDV Data'!$D:$D="Transit")))</f>
        <v>8.5533737670200241E-2</v>
      </c>
      <c r="CQ56" s="73" cm="1">
        <f t="array" ref="CQ56">1/AVERAGE(_xlfn._xlws.FILTER('ANL-DOE-MHDV Data'!$AX:$AX,('ANL-DOE-MHDV Data'!$A:$A=$CN56)*('ANL-DOE-MHDV Data'!$B:$B=CQ$33)*('ANL-DOE-MHDV Data'!$D:$D="Transit")))</f>
        <v>9.0613851150885064E-2</v>
      </c>
      <c r="CR56" s="73" cm="1">
        <f t="array" ref="CR56">1/AVERAGE(_xlfn._xlws.FILTER('ANL-DOE-MHDV Data'!$AX:$AX,('ANL-DOE-MHDV Data'!$A:$A=$CN56)*('ANL-DOE-MHDV Data'!$B:$B=CR$33)*('ANL-DOE-MHDV Data'!$D:$D="Transit")))</f>
        <v>9.4144939668999297E-2</v>
      </c>
      <c r="CS56" s="73">
        <f t="shared" ref="CS56:CT61" si="241">($CU56-$CR56)/3 + CR56</f>
        <v>9.7561743487994387E-2</v>
      </c>
      <c r="CT56" s="73">
        <f t="shared" si="241"/>
        <v>0.10097854730698948</v>
      </c>
      <c r="CU56" s="73" cm="1">
        <f t="array" ref="CU56">1/AVERAGE(_xlfn._xlws.FILTER('ANL-DOE-MHDV Data'!$AX:$AX,('ANL-DOE-MHDV Data'!$A:$A=$CN56)*('ANL-DOE-MHDV Data'!$B:$B=CU$33)*('ANL-DOE-MHDV Data'!$D:$D="Transit")))</f>
        <v>0.10439535112598455</v>
      </c>
      <c r="CV56" s="102">
        <f t="shared" si="116"/>
        <v>0.30094211425425038</v>
      </c>
      <c r="CX56" s="17" t="s">
        <v>1727</v>
      </c>
      <c r="CY56" s="73">
        <f t="shared" ref="CY56:CZ56" si="242">CO56/$CO56</f>
        <v>1</v>
      </c>
      <c r="CZ56" s="73">
        <f t="shared" si="242"/>
        <v>1.0658946047363016</v>
      </c>
      <c r="DA56" s="73">
        <f t="shared" ref="DA56" si="243">CQ56/$CO56</f>
        <v>1.1292013851717442</v>
      </c>
      <c r="DB56" s="73">
        <f t="shared" ref="DB56" si="244">CR56/$CO56</f>
        <v>1.1732047024921743</v>
      </c>
      <c r="DC56" s="73">
        <f t="shared" ref="DC56" si="245">CS56/$CO56</f>
        <v>1.2157838397461997</v>
      </c>
      <c r="DD56" s="73">
        <f t="shared" ref="DD56" si="246">CT56/$CO56</f>
        <v>1.2583629770002251</v>
      </c>
      <c r="DE56" s="73">
        <f t="shared" ref="DE56" si="247">CU56/$CO56</f>
        <v>1.3009421142542503</v>
      </c>
      <c r="DG56" s="33"/>
      <c r="DH56" s="73"/>
      <c r="DI56" s="73"/>
      <c r="DJ56" s="73"/>
      <c r="DK56" s="73"/>
      <c r="DL56" s="73"/>
      <c r="DM56" s="73"/>
      <c r="DN56" s="73"/>
      <c r="DO56" s="102"/>
      <c r="DZ56" s="17" t="s">
        <v>246</v>
      </c>
      <c r="EA56" s="88">
        <f t="shared" si="232"/>
        <v>0.13780416659993952</v>
      </c>
      <c r="EB56" s="88">
        <f t="shared" si="232"/>
        <v>0.13132005935101759</v>
      </c>
      <c r="EC56" s="88">
        <f t="shared" si="232"/>
        <v>0.12824020670973701</v>
      </c>
      <c r="ED56" s="88">
        <f t="shared" si="232"/>
        <v>0.12691334506292506</v>
      </c>
      <c r="EE56" s="88">
        <f t="shared" si="232"/>
        <v>0.1269050513515656</v>
      </c>
      <c r="EF56" s="88">
        <f t="shared" si="232"/>
        <v>0.12776074648505184</v>
      </c>
      <c r="EG56" s="88">
        <f t="shared" si="232"/>
        <v>0.12793966155453765</v>
      </c>
      <c r="EH56" s="102">
        <f t="shared" si="118"/>
        <v>-7.1583503523805658E-2</v>
      </c>
      <c r="EJ56" s="224" t="s">
        <v>109</v>
      </c>
      <c r="EK56" s="88">
        <f t="shared" ref="EK56:EQ61" si="248">1/(EK25*DSL_PJ_ML*10)</f>
        <v>9.2519489268688165E-2</v>
      </c>
      <c r="EL56" s="88">
        <f t="shared" si="248"/>
        <v>0.11234509411197847</v>
      </c>
      <c r="EM56" s="88">
        <f t="shared" si="248"/>
        <v>0.11725337492269595</v>
      </c>
      <c r="EN56" s="88">
        <f t="shared" si="248"/>
        <v>0.12261012809175315</v>
      </c>
      <c r="EO56" s="88">
        <f t="shared" si="248"/>
        <v>0.12847976188337959</v>
      </c>
      <c r="EP56" s="88">
        <f t="shared" si="248"/>
        <v>0.134939638179192</v>
      </c>
      <c r="EQ56" s="88">
        <f t="shared" si="248"/>
        <v>0.14208350137691397</v>
      </c>
      <c r="ER56" s="102">
        <f t="shared" si="119"/>
        <v>0.53571428571428581</v>
      </c>
    </row>
    <row r="57" spans="1:148" x14ac:dyDescent="0.35">
      <c r="A57" t="s">
        <v>1193</v>
      </c>
      <c r="B57" t="s">
        <v>2093</v>
      </c>
      <c r="C57" t="s">
        <v>452</v>
      </c>
      <c r="D57" t="s">
        <v>2261</v>
      </c>
      <c r="E57" t="s">
        <v>851</v>
      </c>
      <c r="F57">
        <v>2022</v>
      </c>
      <c r="G57" s="63" t="s">
        <v>282</v>
      </c>
      <c r="H57" s="71"/>
      <c r="I57" s="71"/>
      <c r="J57" s="71"/>
      <c r="K57" s="71"/>
      <c r="L57" s="71"/>
      <c r="M57" s="71"/>
      <c r="N57" s="71"/>
      <c r="O57" s="71"/>
      <c r="P57" s="71"/>
      <c r="Q57" s="71"/>
      <c r="R57" s="71"/>
      <c r="S57" s="71"/>
      <c r="T57" s="71"/>
      <c r="U57" s="71"/>
      <c r="V57" s="71"/>
      <c r="W57" s="71"/>
      <c r="X57" s="71"/>
      <c r="Y57" s="71"/>
      <c r="Z57" s="71"/>
      <c r="AA57" s="71"/>
      <c r="AB57" s="71"/>
      <c r="AC57" s="305">
        <f t="shared" si="237"/>
        <v>1.026227045119382</v>
      </c>
      <c r="AD57" s="71">
        <f t="shared" si="237"/>
        <v>1.0545159096919665</v>
      </c>
      <c r="AE57" s="71">
        <f t="shared" si="237"/>
        <v>1.0719543848723299</v>
      </c>
      <c r="AF57" s="71">
        <f t="shared" si="237"/>
        <v>1.1509977335923129</v>
      </c>
      <c r="AG57" s="71">
        <f t="shared" si="237"/>
        <v>1.1796420127812659</v>
      </c>
      <c r="AH57" s="71">
        <f t="shared" si="237"/>
        <v>1.2082862919702195</v>
      </c>
      <c r="AI57" s="71">
        <f t="shared" si="237"/>
        <v>1.2369305711591727</v>
      </c>
      <c r="AJ57" s="417"/>
      <c r="AK57" s="66" t="s">
        <v>2227</v>
      </c>
      <c r="AL57">
        <v>3</v>
      </c>
      <c r="AM57">
        <v>1</v>
      </c>
      <c r="AN57">
        <v>1</v>
      </c>
      <c r="AO57">
        <v>3</v>
      </c>
      <c r="AP57">
        <v>1</v>
      </c>
      <c r="BA57" s="17" t="s">
        <v>982</v>
      </c>
      <c r="BB57" s="73" cm="1">
        <f t="array" ref="BB57">1/AVERAGE(_xlfn._xlws.FILTER('ANL-DOE-LDV Data'!$AX:$AX, ('ANL-DOE-LDV Data'!$A:$A=$BA57)*('ANL-DOE-LDV Data'!$B:$B=BB$2-5)*('ANL-DOE-LDV Data'!$D:$D="Pickup_B")))</f>
        <v>0.29133771955701243</v>
      </c>
      <c r="BC57" s="73" cm="1">
        <f t="array" ref="BC57">1/AVERAGE(_xlfn._xlws.FILTER('ANL-DOE-LDV Data'!$AX:$AX, ('ANL-DOE-LDV Data'!$A:$A=$BA57)*('ANL-DOE-LDV Data'!$B:$B=BC$2-5)*('ANL-DOE-LDV Data'!$D:$D="Pickup_B")))</f>
        <v>0.28798423439659365</v>
      </c>
      <c r="BD57" s="73" cm="1">
        <f t="array" ref="BD57">1/AVERAGE(_xlfn._xlws.FILTER('ANL-DOE-LDV Data'!$AX:$AX, ('ANL-DOE-LDV Data'!$A:$A=$BA57)*('ANL-DOE-LDV Data'!$B:$B=BD$2-5)*('ANL-DOE-LDV Data'!$D:$D="Pickup_B")))</f>
        <v>0.32945181616906044</v>
      </c>
      <c r="BE57" s="73" cm="1">
        <f t="array" ref="BE57">1/AVERAGE(_xlfn._xlws.FILTER('ANL-DOE-LDV Data'!$AX:$AX, ('ANL-DOE-LDV Data'!$A:$A=$BA57)*('ANL-DOE-LDV Data'!$B:$B=BE$2-5)*('ANL-DOE-LDV Data'!$D:$D="Pickup_B")))</f>
        <v>0.35977908424961552</v>
      </c>
      <c r="BF57" s="73">
        <f t="shared" ref="BF57:BG57" si="249">($BH57-$BE57)/3 + BE57</f>
        <v>0.37784995341525168</v>
      </c>
      <c r="BG57" s="73">
        <f t="shared" si="249"/>
        <v>0.39592082258088784</v>
      </c>
      <c r="BH57" s="73" cm="1">
        <f t="array" ref="BH57">1/AVERAGE(_xlfn._xlws.FILTER('ANL-DOE-LDV Data'!$AX:$AX, ('ANL-DOE-LDV Data'!$A:$A=$BA57)*('ANL-DOE-LDV Data'!$B:$B=BH$2-5)*('ANL-DOE-LDV Data'!$D:$D="Pickup_B")))</f>
        <v>0.41399169174652406</v>
      </c>
      <c r="BI57" s="102">
        <f t="shared" si="239"/>
        <v>0.42100271937327788</v>
      </c>
      <c r="BK57" s="17" t="s">
        <v>990</v>
      </c>
      <c r="BL57" s="88">
        <f t="shared" si="171"/>
        <v>0.6512459417440295</v>
      </c>
      <c r="BM57" s="88">
        <f t="shared" si="172"/>
        <v>0.67391624395300054</v>
      </c>
      <c r="BN57" s="88">
        <f t="shared" si="173"/>
        <v>0.6850607621018554</v>
      </c>
      <c r="BO57" s="88">
        <f t="shared" si="174"/>
        <v>0.73557550179354791</v>
      </c>
      <c r="BP57" s="88">
        <f t="shared" si="175"/>
        <v>0.75388138496168255</v>
      </c>
      <c r="BQ57" s="88">
        <f t="shared" si="176"/>
        <v>0.77218726812981742</v>
      </c>
      <c r="BR57" s="88">
        <f t="shared" si="177"/>
        <v>0.79049315129795228</v>
      </c>
      <c r="BS57" s="102">
        <f t="shared" si="178"/>
        <v>0.21381662537661314</v>
      </c>
      <c r="BU57" s="443" t="s">
        <v>2208</v>
      </c>
      <c r="BV57" s="444">
        <f>BL57/BL46+(BW57-BL57/BL46)/5</f>
        <v>2.2764522303131804</v>
      </c>
      <c r="BW57" s="444">
        <f t="shared" ref="BW57:CB57" si="250">BM57/BM46</f>
        <v>2.3613964716635185</v>
      </c>
      <c r="BX57" s="444">
        <f t="shared" si="250"/>
        <v>2.0798697286120551</v>
      </c>
      <c r="BY57" s="444">
        <f t="shared" si="250"/>
        <v>2.0457295983031516</v>
      </c>
      <c r="BZ57" s="444">
        <f t="shared" si="250"/>
        <v>1.994462296174107</v>
      </c>
      <c r="CA57" s="444">
        <f t="shared" si="250"/>
        <v>1.9479597393841883</v>
      </c>
      <c r="CB57" s="444">
        <f t="shared" si="250"/>
        <v>1.9055871767005519</v>
      </c>
      <c r="CN57" s="17" t="s">
        <v>1020</v>
      </c>
      <c r="CO57" s="73" cm="1">
        <f t="array" ref="CO57">1/AVERAGE(_xlfn._xlws.FILTER('ANL-DOE-MHDV Data'!$AX:$AX,('ANL-DOE-MHDV Data'!$A:$A=$CN57)*('ANL-DOE-MHDV Data'!$B:$B=CO$33)*('ANL-DOE-MHDV Data'!$D:$D="Transit")))</f>
        <v>9.1769918196827019E-2</v>
      </c>
      <c r="CP57" s="73" cm="1">
        <f t="array" ref="CP57">1/AVERAGE(_xlfn._xlws.FILTER('ANL-DOE-MHDV Data'!$AX:$AX,('ANL-DOE-MHDV Data'!$A:$A=$CN57)*('ANL-DOE-MHDV Data'!$B:$B=CP$33)*('ANL-DOE-MHDV Data'!$D:$D="Transit")))</f>
        <v>0.10112254891360654</v>
      </c>
      <c r="CQ57" s="73" cm="1">
        <f t="array" ref="CQ57">1/AVERAGE(_xlfn._xlws.FILTER('ANL-DOE-MHDV Data'!$AX:$AX,('ANL-DOE-MHDV Data'!$A:$A=$CN57)*('ANL-DOE-MHDV Data'!$B:$B=CQ$33)*('ANL-DOE-MHDV Data'!$D:$D="Transit")))</f>
        <v>0.10966395738179807</v>
      </c>
      <c r="CR57" s="73" cm="1">
        <f t="array" ref="CR57">1/AVERAGE(_xlfn._xlws.FILTER('ANL-DOE-MHDV Data'!$AX:$AX,('ANL-DOE-MHDV Data'!$A:$A=$CN57)*('ANL-DOE-MHDV Data'!$B:$B=CR$33)*('ANL-DOE-MHDV Data'!$D:$D="Transit")))</f>
        <v>0.11708278497756683</v>
      </c>
      <c r="CS57" s="73">
        <f t="shared" si="241"/>
        <v>0.12400367552376153</v>
      </c>
      <c r="CT57" s="73">
        <f t="shared" si="241"/>
        <v>0.13092456606995623</v>
      </c>
      <c r="CU57" s="73" cm="1">
        <f t="array" ref="CU57">1/AVERAGE(_xlfn._xlws.FILTER('ANL-DOE-MHDV Data'!$AX:$AX,('ANL-DOE-MHDV Data'!$A:$A=$CN57)*('ANL-DOE-MHDV Data'!$B:$B=CU$33)*('ANL-DOE-MHDV Data'!$D:$D="Transit")))</f>
        <v>0.13784545661615094</v>
      </c>
      <c r="CV57" s="102">
        <f t="shared" si="116"/>
        <v>0.50207670797419324</v>
      </c>
      <c r="CX57" s="443" t="s">
        <v>2210</v>
      </c>
      <c r="CY57" s="444">
        <f t="shared" ref="CY57:DE57" si="251">CO57/CO56</f>
        <v>1.1436079300106268</v>
      </c>
      <c r="CZ57" s="444">
        <f t="shared" si="251"/>
        <v>1.1822533618665587</v>
      </c>
      <c r="DA57" s="444">
        <f t="shared" si="251"/>
        <v>1.2102339321081481</v>
      </c>
      <c r="DB57" s="444">
        <f t="shared" si="251"/>
        <v>1.2436439535594144</v>
      </c>
      <c r="DC57" s="444">
        <f t="shared" si="251"/>
        <v>1.2710276701750518</v>
      </c>
      <c r="DD57" s="444">
        <f t="shared" si="251"/>
        <v>1.296558225104254</v>
      </c>
      <c r="DE57" s="444">
        <f t="shared" si="251"/>
        <v>1.3204175773095368</v>
      </c>
      <c r="DZ57" s="17" t="s">
        <v>1197</v>
      </c>
      <c r="EA57" s="88"/>
      <c r="EB57" s="267">
        <f t="shared" ref="EB57:EG59" si="252">1/(EB26*DSL_PJ_ML*10)</f>
        <v>2.9343910771228741E-2</v>
      </c>
      <c r="EC57" s="88">
        <f t="shared" si="252"/>
        <v>6.1252241500487262E-2</v>
      </c>
      <c r="ED57" s="88">
        <f t="shared" si="252"/>
        <v>8.2338798868710483E-2</v>
      </c>
      <c r="EE57" s="88">
        <f t="shared" si="252"/>
        <v>0.10235304434208468</v>
      </c>
      <c r="EF57" s="88">
        <f t="shared" si="252"/>
        <v>0.11365590803309226</v>
      </c>
      <c r="EG57" s="88">
        <f t="shared" si="252"/>
        <v>0.11676893551981064</v>
      </c>
      <c r="EH57" s="102">
        <f>(EG57-EB57)/EB57</f>
        <v>2.9793242431169338</v>
      </c>
      <c r="EJ57" s="224" t="s">
        <v>246</v>
      </c>
      <c r="EK57" s="88">
        <f t="shared" si="248"/>
        <v>0.16411195120279209</v>
      </c>
      <c r="EL57" s="88">
        <f t="shared" si="248"/>
        <v>0.18944466850255193</v>
      </c>
      <c r="EM57" s="88">
        <f t="shared" si="248"/>
        <v>0.20030887888262658</v>
      </c>
      <c r="EN57" s="88">
        <f t="shared" si="248"/>
        <v>0.21249497037358483</v>
      </c>
      <c r="EO57" s="88">
        <f t="shared" si="248"/>
        <v>0.22625982675406001</v>
      </c>
      <c r="EP57" s="88">
        <f t="shared" si="248"/>
        <v>0.24193150306602956</v>
      </c>
      <c r="EQ57" s="88">
        <f t="shared" si="248"/>
        <v>0.25993570794536197</v>
      </c>
      <c r="ER57" s="102">
        <f t="shared" si="119"/>
        <v>0.58389261744966436</v>
      </c>
    </row>
    <row r="58" spans="1:148" x14ac:dyDescent="0.35">
      <c r="A58" t="s">
        <v>1203</v>
      </c>
      <c r="B58" t="s">
        <v>1094</v>
      </c>
      <c r="C58" t="s">
        <v>453</v>
      </c>
      <c r="D58" t="s">
        <v>2261</v>
      </c>
      <c r="E58" t="s">
        <v>851</v>
      </c>
      <c r="F58">
        <v>2022</v>
      </c>
      <c r="G58" s="63" t="s">
        <v>283</v>
      </c>
      <c r="H58" s="71"/>
      <c r="I58" s="71"/>
      <c r="J58" s="71"/>
      <c r="K58" s="71"/>
      <c r="L58" s="71"/>
      <c r="M58" s="71"/>
      <c r="N58" s="71"/>
      <c r="O58" s="71"/>
      <c r="P58" s="71"/>
      <c r="Q58" s="71"/>
      <c r="R58" s="71"/>
      <c r="S58" s="71"/>
      <c r="T58" s="71"/>
      <c r="U58" s="71"/>
      <c r="V58" s="71"/>
      <c r="W58" s="71"/>
      <c r="X58" s="71"/>
      <c r="Y58" s="71"/>
      <c r="Z58" s="71"/>
      <c r="AA58" s="71"/>
      <c r="AB58" s="71"/>
      <c r="AC58" s="305">
        <f t="shared" ref="AC58:AI59" si="253">$AB13*BV46</f>
        <v>0.14652074207853211</v>
      </c>
      <c r="AD58" s="71">
        <f t="shared" si="253"/>
        <v>0.14514377740583062</v>
      </c>
      <c r="AE58" s="71">
        <f t="shared" si="253"/>
        <v>0.16751525631032618</v>
      </c>
      <c r="AF58" s="71">
        <f t="shared" si="253"/>
        <v>0.18286914520301664</v>
      </c>
      <c r="AG58" s="71">
        <f t="shared" si="253"/>
        <v>0.19223771509920773</v>
      </c>
      <c r="AH58" s="71">
        <f t="shared" si="253"/>
        <v>0.20160628499539879</v>
      </c>
      <c r="AI58" s="71">
        <f t="shared" si="253"/>
        <v>0.21097485489158982</v>
      </c>
      <c r="AJ58" s="417">
        <f>AC58/AB13</f>
        <v>0.99765607049028748</v>
      </c>
      <c r="AK58" s="66" t="s">
        <v>2227</v>
      </c>
      <c r="AL58">
        <v>3</v>
      </c>
      <c r="AM58">
        <v>1</v>
      </c>
      <c r="AN58">
        <v>1</v>
      </c>
      <c r="AO58">
        <v>3</v>
      </c>
      <c r="AP58">
        <v>1</v>
      </c>
      <c r="BA58" s="17" t="s">
        <v>984</v>
      </c>
      <c r="BB58" s="73" cm="1">
        <f t="array" ref="BB58">1/AVERAGE(_xlfn._xlws.FILTER('ANL-DOE-LDV Data'!$AX:$AX, ('ANL-DOE-LDV Data'!$A:$A=$BA58)*('ANL-DOE-LDV Data'!$B:$B=BB$2-5)*('ANL-DOE-LDV Data'!$D:$D="Pickup_B")))</f>
        <v>0.23935250905411384</v>
      </c>
      <c r="BC58" s="73" cm="1">
        <f t="array" ref="BC58">1/AVERAGE(_xlfn._xlws.FILTER('ANL-DOE-LDV Data'!$AX:$AX, ('ANL-DOE-LDV Data'!$A:$A=$BA58)*('ANL-DOE-LDV Data'!$B:$B=BC$2-5)*('ANL-DOE-LDV Data'!$D:$D="Pickup_B")))</f>
        <v>0.26001205859065285</v>
      </c>
      <c r="BD58" s="73" cm="1">
        <f t="array" ref="BD58">1/AVERAGE(_xlfn._xlws.FILTER('ANL-DOE-LDV Data'!$AX:$AX, ('ANL-DOE-LDV Data'!$A:$A=$BA58)*('ANL-DOE-LDV Data'!$B:$B=BD$2-5)*('ANL-DOE-LDV Data'!$D:$D="Pickup_B")))</f>
        <v>0.28858793131191229</v>
      </c>
      <c r="BE58" s="73" cm="1">
        <f t="array" ref="BE58">1/AVERAGE(_xlfn._xlws.FILTER('ANL-DOE-LDV Data'!$AX:$AX, ('ANL-DOE-LDV Data'!$A:$A=$BA58)*('ANL-DOE-LDV Data'!$B:$B=BE$2-5)*('ANL-DOE-LDV Data'!$D:$D="Pickup_B")))</f>
        <v>0.31090557089774606</v>
      </c>
      <c r="BF58" s="73">
        <f t="shared" ref="BF58:BG58" si="254">($BH58-$BE58)/3 + BE58</f>
        <v>0.32603431526178839</v>
      </c>
      <c r="BG58" s="73">
        <f t="shared" si="254"/>
        <v>0.34116305962583071</v>
      </c>
      <c r="BH58" s="73" cm="1">
        <f t="array" ref="BH58">1/AVERAGE(_xlfn._xlws.FILTER('ANL-DOE-LDV Data'!$AX:$AX, ('ANL-DOE-LDV Data'!$A:$A=$BA58)*('ANL-DOE-LDV Data'!$B:$B=BH$2-5)*('ANL-DOE-LDV Data'!$D:$D="Pickup_B")))</f>
        <v>0.35629180398987298</v>
      </c>
      <c r="BI58" s="102">
        <f t="shared" si="239"/>
        <v>0.48856515186695199</v>
      </c>
      <c r="BK58" s="438" t="s">
        <v>2173</v>
      </c>
      <c r="BU58" s="74" t="s">
        <v>2209</v>
      </c>
      <c r="CN58" s="17" t="s">
        <v>1021</v>
      </c>
      <c r="CO58" s="73" cm="1">
        <f t="array" ref="CO58">1/AVERAGE(_xlfn._xlws.FILTER('ANL-DOE-MHDV Data'!$AX:$AX,('ANL-DOE-MHDV Data'!$A:$A=$CN58)*('ANL-DOE-MHDV Data'!$B:$B=CO$33)*('ANL-DOE-MHDV Data'!$D:$D="Transit")))</f>
        <v>0.19984569244600023</v>
      </c>
      <c r="CP58" s="73" cm="1">
        <f t="array" ref="CP58">1/AVERAGE(_xlfn._xlws.FILTER('ANL-DOE-MHDV Data'!$AX:$AX,('ANL-DOE-MHDV Data'!$A:$A=$CN58)*('ANL-DOE-MHDV Data'!$B:$B=CP$33)*('ANL-DOE-MHDV Data'!$D:$D="Transit")))</f>
        <v>0.21789830421505305</v>
      </c>
      <c r="CQ58" s="73" cm="1">
        <f t="array" ref="CQ58">1/AVERAGE(_xlfn._xlws.FILTER('ANL-DOE-MHDV Data'!$AX:$AX,('ANL-DOE-MHDV Data'!$A:$A=$CN58)*('ANL-DOE-MHDV Data'!$B:$B=CQ$33)*('ANL-DOE-MHDV Data'!$D:$D="Transit")))</f>
        <v>0.23599525970874022</v>
      </c>
      <c r="CR58" s="73" cm="1">
        <f t="array" ref="CR58">1/AVERAGE(_xlfn._xlws.FILTER('ANL-DOE-MHDV Data'!$AX:$AX,('ANL-DOE-MHDV Data'!$A:$A=$CN58)*('ANL-DOE-MHDV Data'!$B:$B=CR$33)*('ANL-DOE-MHDV Data'!$D:$D="Transit")))</f>
        <v>0.25182608075024532</v>
      </c>
      <c r="CS58" s="73">
        <f t="shared" si="241"/>
        <v>0.26433443511416438</v>
      </c>
      <c r="CT58" s="73">
        <f t="shared" si="241"/>
        <v>0.27684278947808344</v>
      </c>
      <c r="CU58" s="73" cm="1">
        <f t="array" ref="CU58">1/AVERAGE(_xlfn._xlws.FILTER('ANL-DOE-MHDV Data'!$AX:$AX,('ANL-DOE-MHDV Data'!$A:$A=$CN58)*('ANL-DOE-MHDV Data'!$B:$B=CU$33)*('ANL-DOE-MHDV Data'!$D:$D="Transit")))</f>
        <v>0.2893511438420025</v>
      </c>
      <c r="CV58" s="102">
        <f t="shared" si="116"/>
        <v>0.44787280776735933</v>
      </c>
      <c r="CX58" s="443" t="s">
        <v>2211</v>
      </c>
      <c r="CY58" s="444">
        <f t="shared" ref="CY58:DE58" si="255">CO58/CO56</f>
        <v>2.4904143225836797</v>
      </c>
      <c r="CZ58" s="444">
        <f t="shared" si="255"/>
        <v>2.5475129481096945</v>
      </c>
      <c r="DA58" s="444">
        <f t="shared" si="255"/>
        <v>2.604406023045795</v>
      </c>
      <c r="DB58" s="444">
        <f t="shared" si="255"/>
        <v>2.6748764366479101</v>
      </c>
      <c r="DC58" s="444">
        <f t="shared" si="255"/>
        <v>2.7094066348526509</v>
      </c>
      <c r="DD58" s="444">
        <f t="shared" si="255"/>
        <v>2.7416000414072217</v>
      </c>
      <c r="DE58" s="444">
        <f t="shared" si="255"/>
        <v>2.771686102121663</v>
      </c>
      <c r="DZ58" s="17" t="s">
        <v>1198</v>
      </c>
      <c r="EA58" s="88"/>
      <c r="EB58" s="267">
        <f t="shared" si="252"/>
        <v>3.2199371168065205E-2</v>
      </c>
      <c r="EC58" s="88">
        <f t="shared" si="252"/>
        <v>6.7062960269908323E-2</v>
      </c>
      <c r="ED58" s="88">
        <f t="shared" si="252"/>
        <v>9.0199456378605394E-2</v>
      </c>
      <c r="EE58" s="88">
        <f t="shared" si="252"/>
        <v>0.11306614912809317</v>
      </c>
      <c r="EF58" s="88">
        <f t="shared" si="252"/>
        <v>0.12647778117199981</v>
      </c>
      <c r="EG58" s="88">
        <f t="shared" si="252"/>
        <v>0.12992635773316319</v>
      </c>
      <c r="EH58" s="102">
        <f t="shared" ref="EH58:EH59" si="256">(EG58-EB58)/EB58</f>
        <v>3.0350588542555754</v>
      </c>
      <c r="EJ58" s="224" t="s">
        <v>627</v>
      </c>
      <c r="EK58" s="88">
        <f t="shared" si="248"/>
        <v>0.12996785397268099</v>
      </c>
      <c r="EL58" s="88">
        <f t="shared" si="248"/>
        <v>0.15419914878114693</v>
      </c>
      <c r="EM58" s="88">
        <f t="shared" si="248"/>
        <v>0.16166039791571857</v>
      </c>
      <c r="EN58" s="88">
        <f t="shared" si="248"/>
        <v>0.16988041814872118</v>
      </c>
      <c r="EO58" s="88">
        <f t="shared" si="248"/>
        <v>0.17898115483525984</v>
      </c>
      <c r="EP58" s="88">
        <f t="shared" si="248"/>
        <v>0.18911216359951977</v>
      </c>
      <c r="EQ58" s="88">
        <f t="shared" si="248"/>
        <v>0.20045889341549097</v>
      </c>
      <c r="ER58" s="102">
        <f t="shared" si="119"/>
        <v>0.54237288135593187</v>
      </c>
    </row>
    <row r="59" spans="1:148" ht="15.5" x14ac:dyDescent="0.35">
      <c r="A59" t="s">
        <v>1204</v>
      </c>
      <c r="B59" t="s">
        <v>10</v>
      </c>
      <c r="C59" t="s">
        <v>453</v>
      </c>
      <c r="D59" t="s">
        <v>2261</v>
      </c>
      <c r="E59" t="s">
        <v>851</v>
      </c>
      <c r="F59">
        <v>2022</v>
      </c>
      <c r="G59" s="63" t="s">
        <v>283</v>
      </c>
      <c r="H59" s="71"/>
      <c r="I59" s="71"/>
      <c r="J59" s="71"/>
      <c r="K59" s="71"/>
      <c r="L59" s="71"/>
      <c r="M59" s="71"/>
      <c r="N59" s="71"/>
      <c r="O59" s="71"/>
      <c r="P59" s="71"/>
      <c r="Q59" s="71"/>
      <c r="R59" s="71"/>
      <c r="S59" s="71"/>
      <c r="T59" s="71"/>
      <c r="U59" s="71"/>
      <c r="V59" s="71"/>
      <c r="W59" s="71"/>
      <c r="X59" s="71"/>
      <c r="Y59" s="71"/>
      <c r="Z59" s="71"/>
      <c r="AA59" s="71"/>
      <c r="AB59" s="71"/>
      <c r="AC59" s="305">
        <f t="shared" si="253"/>
        <v>0.17172581646961282</v>
      </c>
      <c r="AD59" s="71">
        <f t="shared" si="253"/>
        <v>0.1686919267472887</v>
      </c>
      <c r="AE59" s="71">
        <f t="shared" si="253"/>
        <v>0.19245110943783644</v>
      </c>
      <c r="AF59" s="71">
        <f t="shared" si="253"/>
        <v>0.20950787958196565</v>
      </c>
      <c r="AG59" s="71">
        <f t="shared" si="253"/>
        <v>0.22051143288730249</v>
      </c>
      <c r="AH59" s="71">
        <f t="shared" si="253"/>
        <v>0.23151498619263933</v>
      </c>
      <c r="AI59" s="71">
        <f t="shared" si="253"/>
        <v>0.24251853949797617</v>
      </c>
      <c r="AJ59" s="417">
        <f>AC59/AB14</f>
        <v>0.99560265786862512</v>
      </c>
      <c r="AK59" s="66" t="s">
        <v>2227</v>
      </c>
      <c r="AL59">
        <v>3</v>
      </c>
      <c r="AM59">
        <v>1</v>
      </c>
      <c r="AN59">
        <v>1</v>
      </c>
      <c r="AO59">
        <v>3</v>
      </c>
      <c r="AP59">
        <v>1</v>
      </c>
      <c r="AT59" s="189" t="s">
        <v>1594</v>
      </c>
      <c r="BA59" s="17" t="s">
        <v>991</v>
      </c>
      <c r="BB59" s="73" cm="1">
        <f t="array" ref="BB59">1/AVERAGE(_xlfn._xlws.FILTER('ANL-DOE-LDV Data'!$AX:$AX, ('ANL-DOE-LDV Data'!$A:$A=$BA59)*('ANL-DOE-LDV Data'!$B:$B=BB$2-5)*('ANL-DOE-LDV Data'!$D:$D="Pickup_B")))</f>
        <v>0.39079648375680676</v>
      </c>
      <c r="BC59" s="73" cm="1">
        <f t="array" ref="BC59">1/AVERAGE(_xlfn._xlws.FILTER('ANL-DOE-LDV Data'!$AX:$AX, ('ANL-DOE-LDV Data'!$A:$A=$BA59)*('ANL-DOE-LDV Data'!$B:$B=BC$2-5)*('ANL-DOE-LDV Data'!$D:$D="Pickup_B")))</f>
        <v>0.40328563174126475</v>
      </c>
      <c r="BD59" s="73" cm="1">
        <f t="array" ref="BD59">1/AVERAGE(_xlfn._xlws.FILTER('ANL-DOE-LDV Data'!$AX:$AX, ('ANL-DOE-LDV Data'!$A:$A=$BA59)*('ANL-DOE-LDV Data'!$B:$B=BD$2-5)*('ANL-DOE-LDV Data'!$D:$D="Pickup_B")))</f>
        <v>0.41387003296329505</v>
      </c>
      <c r="BE59" s="73" cm="1">
        <f t="array" ref="BE59">1/AVERAGE(_xlfn._xlws.FILTER('ANL-DOE-LDV Data'!$AX:$AX, ('ANL-DOE-LDV Data'!$A:$A=$BA59)*('ANL-DOE-LDV Data'!$B:$B=BE$2-5)*('ANL-DOE-LDV Data'!$D:$D="Pickup_B")))</f>
        <v>0.43931725655428583</v>
      </c>
      <c r="BF59" s="73">
        <f t="shared" ref="BF59:BG59" si="257">($BH59-$BE59)/3 + BE59</f>
        <v>0.46049921495238416</v>
      </c>
      <c r="BG59" s="73">
        <f t="shared" si="257"/>
        <v>0.48168117335048249</v>
      </c>
      <c r="BH59" s="73" cm="1">
        <f t="array" ref="BH59">1/AVERAGE(_xlfn._xlws.FILTER('ANL-DOE-LDV Data'!$AX:$AX, ('ANL-DOE-LDV Data'!$A:$A=$BA59)*('ANL-DOE-LDV Data'!$B:$B=BH$2-5)*('ANL-DOE-LDV Data'!$D:$D="Pickup_B")))</f>
        <v>0.50286313174858077</v>
      </c>
      <c r="BI59" s="102">
        <f t="shared" si="239"/>
        <v>0.28676472959647525</v>
      </c>
      <c r="CN59" s="17" t="s">
        <v>246</v>
      </c>
      <c r="CO59" s="73" cm="1">
        <f t="array" ref="CO59">1/AVERAGE(_xlfn._xlws.FILTER('ANL-DOE-MHDV Data'!$AX:$AX,('ANL-DOE-MHDV Data'!$A:$A=$CN59)*('ANL-DOE-MHDV Data'!$B:$B=CO$33)*('ANL-DOE-MHDV Data'!$D:$D="Transit")))</f>
        <v>0.28693125089145627</v>
      </c>
      <c r="CP59" s="73" cm="1">
        <f t="array" ref="CP59">1/AVERAGE(_xlfn._xlws.FILTER('ANL-DOE-MHDV Data'!$AX:$AX,('ANL-DOE-MHDV Data'!$A:$A=$CN59)*('ANL-DOE-MHDV Data'!$B:$B=CP$33)*('ANL-DOE-MHDV Data'!$D:$D="Transit")))</f>
        <v>0.3076661313756977</v>
      </c>
      <c r="CQ59" s="73" cm="1">
        <f t="array" ref="CQ59">1/AVERAGE(_xlfn._xlws.FILTER('ANL-DOE-MHDV Data'!$AX:$AX,('ANL-DOE-MHDV Data'!$A:$A=$CN59)*('ANL-DOE-MHDV Data'!$B:$B=CQ$33)*('ANL-DOE-MHDV Data'!$D:$D="Transit")))</f>
        <v>0.33016166092236993</v>
      </c>
      <c r="CR59" s="73" cm="1">
        <f t="array" ref="CR59">1/AVERAGE(_xlfn._xlws.FILTER('ANL-DOE-MHDV Data'!$AX:$AX,('ANL-DOE-MHDV Data'!$A:$A=$CN59)*('ANL-DOE-MHDV Data'!$B:$B=CR$33)*('ANL-DOE-MHDV Data'!$D:$D="Transit")))</f>
        <v>0.3492491319444444</v>
      </c>
      <c r="CS59" s="73">
        <f t="shared" si="241"/>
        <v>0.36354588003573746</v>
      </c>
      <c r="CT59" s="73">
        <f t="shared" si="241"/>
        <v>0.37784262812703051</v>
      </c>
      <c r="CU59" s="73" cm="1">
        <f t="array" ref="CU59">1/AVERAGE(_xlfn._xlws.FILTER('ANL-DOE-MHDV Data'!$AX:$AX,('ANL-DOE-MHDV Data'!$A:$A=$CN59)*('ANL-DOE-MHDV Data'!$B:$B=CU$33)*('ANL-DOE-MHDV Data'!$D:$D="Transit")))</f>
        <v>0.39213937621832357</v>
      </c>
      <c r="CV59" s="102">
        <f t="shared" si="116"/>
        <v>0.36666666666666664</v>
      </c>
      <c r="CX59" s="443" t="s">
        <v>2212</v>
      </c>
      <c r="CY59" s="444">
        <f t="shared" ref="CY59:DE59" si="258">CO59/CO56</f>
        <v>3.5756472309755591</v>
      </c>
      <c r="CZ59" s="444">
        <f t="shared" si="258"/>
        <v>3.5970149295005949</v>
      </c>
      <c r="DA59" s="444">
        <f t="shared" si="258"/>
        <v>3.643611398577502</v>
      </c>
      <c r="DB59" s="444">
        <f t="shared" si="258"/>
        <v>3.7096962744079125</v>
      </c>
      <c r="DC59" s="444">
        <f t="shared" si="258"/>
        <v>3.7263159414578744</v>
      </c>
      <c r="DD59" s="444">
        <f t="shared" si="258"/>
        <v>3.7418108915583224</v>
      </c>
      <c r="DE59" s="444">
        <f t="shared" si="258"/>
        <v>3.7562915588558043</v>
      </c>
      <c r="DZ59" s="17" t="s">
        <v>627</v>
      </c>
      <c r="EA59" s="88"/>
      <c r="EB59" s="88">
        <f t="shared" si="252"/>
        <v>7.8264119404843416E-2</v>
      </c>
      <c r="EC59" s="88">
        <f t="shared" si="252"/>
        <v>7.8300422290156463E-2</v>
      </c>
      <c r="ED59" s="88">
        <f t="shared" si="252"/>
        <v>7.830433234000056E-2</v>
      </c>
      <c r="EE59" s="88">
        <f t="shared" si="252"/>
        <v>7.8310830732699205E-2</v>
      </c>
      <c r="EF59" s="88">
        <f t="shared" si="252"/>
        <v>7.8320897734269604E-2</v>
      </c>
      <c r="EG59" s="88">
        <f t="shared" si="252"/>
        <v>7.8333883505441987E-2</v>
      </c>
      <c r="EH59" s="102">
        <f t="shared" si="256"/>
        <v>8.9139315856473673E-4</v>
      </c>
      <c r="EJ59" s="224" t="s">
        <v>828</v>
      </c>
      <c r="EK59" s="88">
        <f t="shared" si="248"/>
        <v>0.10133086919903939</v>
      </c>
      <c r="EL59" s="88">
        <f t="shared" si="248"/>
        <v>0.12446074151621145</v>
      </c>
      <c r="EM59" s="88">
        <f t="shared" si="248"/>
        <v>0.13006057168602647</v>
      </c>
      <c r="EN59" s="88">
        <f t="shared" si="248"/>
        <v>0.13618804542807331</v>
      </c>
      <c r="EO59" s="88">
        <f t="shared" si="248"/>
        <v>0.14292142566454902</v>
      </c>
      <c r="EP59" s="88">
        <f t="shared" si="248"/>
        <v>0.15035525820750376</v>
      </c>
      <c r="EQ59" s="88">
        <f t="shared" si="248"/>
        <v>0.15860483874632256</v>
      </c>
      <c r="ER59" s="102">
        <f t="shared" si="119"/>
        <v>0.56521739130434823</v>
      </c>
    </row>
    <row r="60" spans="1:148" ht="15" thickBot="1" x14ac:dyDescent="0.4">
      <c r="A60" t="s">
        <v>1205</v>
      </c>
      <c r="B60" t="s">
        <v>11</v>
      </c>
      <c r="C60" t="s">
        <v>453</v>
      </c>
      <c r="D60" t="s">
        <v>2261</v>
      </c>
      <c r="E60" t="s">
        <v>851</v>
      </c>
      <c r="F60">
        <v>2022</v>
      </c>
      <c r="G60" s="63" t="s">
        <v>283</v>
      </c>
      <c r="H60" s="71"/>
      <c r="I60" s="71"/>
      <c r="J60" s="71"/>
      <c r="K60" s="71"/>
      <c r="L60" s="71"/>
      <c r="M60" s="71"/>
      <c r="N60" s="71"/>
      <c r="O60" s="71"/>
      <c r="P60" s="71"/>
      <c r="Q60" s="71"/>
      <c r="R60" s="71"/>
      <c r="S60" s="71"/>
      <c r="T60" s="71"/>
      <c r="U60" s="71"/>
      <c r="V60" s="71"/>
      <c r="W60" s="71"/>
      <c r="X60" s="71"/>
      <c r="Y60" s="71"/>
      <c r="Z60" s="71"/>
      <c r="AA60" s="71"/>
      <c r="AB60" s="71"/>
      <c r="AC60" s="305">
        <f t="shared" ref="AC60:AI60" si="259">AC58*BV48</f>
        <v>0.14922368459752094</v>
      </c>
      <c r="AD60" s="71">
        <f t="shared" si="259"/>
        <v>0.15830824385817566</v>
      </c>
      <c r="AE60" s="71">
        <f t="shared" si="259"/>
        <v>0.1767217940355795</v>
      </c>
      <c r="AF60" s="71">
        <f t="shared" si="259"/>
        <v>0.18966261118548253</v>
      </c>
      <c r="AG60" s="71">
        <f t="shared" si="259"/>
        <v>0.19934809938154341</v>
      </c>
      <c r="AH60" s="71">
        <f t="shared" si="259"/>
        <v>0.20903358757760429</v>
      </c>
      <c r="AI60" s="71">
        <f t="shared" si="259"/>
        <v>0.21871907577366517</v>
      </c>
      <c r="AJ60" s="417"/>
      <c r="AK60" s="66" t="s">
        <v>2227</v>
      </c>
      <c r="AL60">
        <v>3</v>
      </c>
      <c r="AM60">
        <v>1</v>
      </c>
      <c r="AN60">
        <v>1</v>
      </c>
      <c r="AO60">
        <v>3</v>
      </c>
      <c r="AP60">
        <v>1</v>
      </c>
      <c r="AT60" s="105" t="s">
        <v>1595</v>
      </c>
      <c r="AU60" s="105" t="s">
        <v>1671</v>
      </c>
      <c r="AV60" s="105" t="s">
        <v>1605</v>
      </c>
      <c r="AW60" s="32"/>
      <c r="BA60" s="17" t="s">
        <v>992</v>
      </c>
      <c r="BB60" s="73" cm="1">
        <f t="array" ref="BB60">1/AVERAGE(_xlfn._xlws.FILTER('ANL-DOE-LDV Data'!$AX:$AX, ('ANL-DOE-LDV Data'!$A:$A=$BA60)*('ANL-DOE-LDV Data'!$B:$B=BB$2-5)*('ANL-DOE-LDV Data'!$D:$D="Pickup_B")))</f>
        <v>0.51186892548024454</v>
      </c>
      <c r="BC60" s="73" cm="1">
        <f t="array" ref="BC60">1/AVERAGE(_xlfn._xlws.FILTER('ANL-DOE-LDV Data'!$AX:$AX, ('ANL-DOE-LDV Data'!$A:$A=$BA60)*('ANL-DOE-LDV Data'!$B:$B=BC$2-5)*('ANL-DOE-LDV Data'!$D:$D="Pickup_B")))</f>
        <v>0.53837790211775083</v>
      </c>
      <c r="BD60" s="73" cm="1">
        <f t="array" ref="BD60">1/AVERAGE(_xlfn._xlws.FILTER('ANL-DOE-LDV Data'!$AX:$AX, ('ANL-DOE-LDV Data'!$A:$A=$BA60)*('ANL-DOE-LDV Data'!$B:$B=BD$2-5)*('ANL-DOE-LDV Data'!$D:$D="Pickup_B")))</f>
        <v>0.55239751083895516</v>
      </c>
      <c r="BE60" s="73" cm="1">
        <f t="array" ref="BE60">1/AVERAGE(_xlfn._xlws.FILTER('ANL-DOE-LDV Data'!$AX:$AX, ('ANL-DOE-LDV Data'!$A:$A=$BA60)*('ANL-DOE-LDV Data'!$B:$B=BE$2-5)*('ANL-DOE-LDV Data'!$D:$D="Pickup_B")))</f>
        <v>0.60515074151133263</v>
      </c>
      <c r="BF60" s="73">
        <f t="shared" ref="BF60:BG60" si="260">($BH60-$BE60)/3 + BE60</f>
        <v>0.63433546367641713</v>
      </c>
      <c r="BG60" s="73">
        <f t="shared" si="260"/>
        <v>0.66352018584150163</v>
      </c>
      <c r="BH60" s="73" cm="1">
        <f t="array" ref="BH60">1/AVERAGE(_xlfn._xlws.FILTER('ANL-DOE-LDV Data'!$AX:$AX, ('ANL-DOE-LDV Data'!$A:$A=$BA60)*('ANL-DOE-LDV Data'!$B:$B=BH$2-5)*('ANL-DOE-LDV Data'!$D:$D="Pickup_B")))</f>
        <v>0.69270490800658624</v>
      </c>
      <c r="BI60" s="102">
        <f t="shared" si="239"/>
        <v>0.35328572125506186</v>
      </c>
      <c r="CN60" s="17" t="s">
        <v>627</v>
      </c>
      <c r="CO60" s="73" cm="1">
        <f t="array" ref="CO60">1/AVERAGE(_xlfn._xlws.FILTER('ANL-DOE-MHDV Data'!$AX:$AX,('ANL-DOE-MHDV Data'!$A:$A=$CN60)*('ANL-DOE-MHDV Data'!$B:$B=CO$33)*('ANL-DOE-MHDV Data'!$D:$D="Transit")))</f>
        <v>0.14810918535044998</v>
      </c>
      <c r="CP60" s="73" cm="1">
        <f t="array" ref="CP60">1/AVERAGE(_xlfn._xlws.FILTER('ANL-DOE-MHDV Data'!$AX:$AX,('ANL-DOE-MHDV Data'!$A:$A=$CN60)*('ANL-DOE-MHDV Data'!$B:$B=CP$33)*('ANL-DOE-MHDV Data'!$D:$D="Transit")))</f>
        <v>0.15709442790503494</v>
      </c>
      <c r="CQ60" s="73" cm="1">
        <f t="array" ref="CQ60">1/AVERAGE(_xlfn._xlws.FILTER('ANL-DOE-MHDV Data'!$AX:$AX,('ANL-DOE-MHDV Data'!$A:$A=$CN60)*('ANL-DOE-MHDV Data'!$B:$B=CQ$33)*('ANL-DOE-MHDV Data'!$D:$D="Transit")))</f>
        <v>0.16801842516862522</v>
      </c>
      <c r="CR60" s="73" cm="1">
        <f t="array" ref="CR60">1/AVERAGE(_xlfn._xlws.FILTER('ANL-DOE-MHDV Data'!$AX:$AX,('ANL-DOE-MHDV Data'!$A:$A=$CN60)*('ANL-DOE-MHDV Data'!$B:$B=CR$33)*('ANL-DOE-MHDV Data'!$D:$D="Transit")))</f>
        <v>0.17636178534970839</v>
      </c>
      <c r="CS60" s="73">
        <f t="shared" si="241"/>
        <v>0.18270397878974526</v>
      </c>
      <c r="CT60" s="73">
        <f t="shared" si="241"/>
        <v>0.18904617222978212</v>
      </c>
      <c r="CU60" s="73" cm="1">
        <f t="array" ref="CU60">1/AVERAGE(_xlfn._xlws.FILTER('ANL-DOE-MHDV Data'!$AX:$AX,('ANL-DOE-MHDV Data'!$A:$A=$CN60)*('ANL-DOE-MHDV Data'!$B:$B=CU$33)*('ANL-DOE-MHDV Data'!$D:$D="Transit")))</f>
        <v>0.19538836566981901</v>
      </c>
      <c r="CV60" s="102">
        <f t="shared" si="116"/>
        <v>0.31921842124442817</v>
      </c>
      <c r="CX60" s="443" t="s">
        <v>2213</v>
      </c>
      <c r="CY60" s="444">
        <f t="shared" ref="CY60:DE60" si="261">CO60/CO56</f>
        <v>1.8456902022175354</v>
      </c>
      <c r="CZ60" s="444">
        <f t="shared" si="261"/>
        <v>1.8366370064495181</v>
      </c>
      <c r="DA60" s="444">
        <f t="shared" si="261"/>
        <v>1.8542245256616501</v>
      </c>
      <c r="DB60" s="444">
        <f t="shared" si="261"/>
        <v>1.8733007421298717</v>
      </c>
      <c r="DC60" s="444">
        <f t="shared" si="261"/>
        <v>1.8727010430295168</v>
      </c>
      <c r="DD60" s="444">
        <f t="shared" si="261"/>
        <v>1.872141927879535</v>
      </c>
      <c r="DE60" s="444">
        <f t="shared" si="261"/>
        <v>1.8716194118071778</v>
      </c>
      <c r="EA60" s="88"/>
      <c r="EB60" s="88"/>
      <c r="EC60" s="88"/>
      <c r="ED60" s="88"/>
      <c r="EE60" s="88"/>
      <c r="EF60" s="88"/>
      <c r="EG60" s="88"/>
      <c r="EH60" s="102"/>
      <c r="EJ60" s="224" t="s">
        <v>829</v>
      </c>
      <c r="EK60" s="88">
        <f t="shared" si="248"/>
        <v>8.8113799303512527E-2</v>
      </c>
      <c r="EL60" s="88">
        <f t="shared" si="248"/>
        <v>0.11124367162068456</v>
      </c>
      <c r="EM60" s="88">
        <f t="shared" si="248"/>
        <v>0.11700668757591626</v>
      </c>
      <c r="EN60" s="88">
        <f t="shared" si="248"/>
        <v>0.1233994370626799</v>
      </c>
      <c r="EO60" s="88">
        <f t="shared" si="248"/>
        <v>0.13053110330272971</v>
      </c>
      <c r="EP60" s="88">
        <f t="shared" si="248"/>
        <v>0.13853765796628004</v>
      </c>
      <c r="EQ60" s="88">
        <f t="shared" si="248"/>
        <v>0.14759061383338348</v>
      </c>
      <c r="ER60" s="102">
        <f t="shared" si="119"/>
        <v>0.67500000000000004</v>
      </c>
    </row>
    <row r="61" spans="1:148" ht="15" thickTop="1" x14ac:dyDescent="0.35">
      <c r="A61" t="s">
        <v>1206</v>
      </c>
      <c r="B61" t="s">
        <v>1094</v>
      </c>
      <c r="C61" t="s">
        <v>453</v>
      </c>
      <c r="D61" t="s">
        <v>2261</v>
      </c>
      <c r="E61" t="s">
        <v>851</v>
      </c>
      <c r="F61">
        <v>2022</v>
      </c>
      <c r="G61" s="63" t="s">
        <v>283</v>
      </c>
      <c r="H61" s="71"/>
      <c r="I61" s="71"/>
      <c r="J61" s="71"/>
      <c r="K61" s="71"/>
      <c r="L61" s="71"/>
      <c r="M61" s="71"/>
      <c r="N61" s="71"/>
      <c r="O61" s="71"/>
      <c r="P61" s="71"/>
      <c r="Q61" s="71"/>
      <c r="R61" s="71"/>
      <c r="S61" s="71"/>
      <c r="T61" s="71"/>
      <c r="U61" s="71"/>
      <c r="V61" s="71"/>
      <c r="W61" s="71"/>
      <c r="X61" s="71"/>
      <c r="Y61" s="71"/>
      <c r="Z61" s="71"/>
      <c r="AA61" s="71"/>
      <c r="AB61" s="71"/>
      <c r="AC61" s="305">
        <f t="shared" ref="AC61:AI62" si="262">$AB15*BV49</f>
        <v>0.24359466963854534</v>
      </c>
      <c r="AD61" s="71">
        <f t="shared" si="262"/>
        <v>0.24970395311908009</v>
      </c>
      <c r="AE61" s="71">
        <f t="shared" si="262"/>
        <v>0.25585077686411706</v>
      </c>
      <c r="AF61" s="71">
        <f t="shared" si="262"/>
        <v>0.27217294463914288</v>
      </c>
      <c r="AG61" s="71">
        <f t="shared" si="262"/>
        <v>0.28452355537716206</v>
      </c>
      <c r="AH61" s="71">
        <f t="shared" si="262"/>
        <v>0.2968741661151813</v>
      </c>
      <c r="AI61" s="71">
        <f t="shared" si="262"/>
        <v>0.30922477685320066</v>
      </c>
      <c r="AJ61" s="417">
        <f>AC61/AB15</f>
        <v>1.0063094873303005</v>
      </c>
      <c r="AK61" s="66" t="s">
        <v>2227</v>
      </c>
      <c r="AL61">
        <v>3</v>
      </c>
      <c r="AM61">
        <v>1</v>
      </c>
      <c r="AN61">
        <v>1</v>
      </c>
      <c r="AO61">
        <v>3</v>
      </c>
      <c r="AP61">
        <v>1</v>
      </c>
      <c r="AT61" s="33" t="s">
        <v>32</v>
      </c>
      <c r="AV61" s="33">
        <v>2018</v>
      </c>
      <c r="AW61" s="33">
        <v>2021</v>
      </c>
      <c r="BA61" s="17" t="s">
        <v>987</v>
      </c>
      <c r="BB61" s="73" cm="1">
        <f t="array" ref="BB61">1/AVERAGE(_xlfn._xlws.FILTER('ANL-DOE-LDV Data'!$AX:$AX, ('ANL-DOE-LDV Data'!$A:$A=$BA61)*('ANL-DOE-LDV Data'!$B:$B=BB$2-5)*('ANL-DOE-LDV Data'!$D:$D="Pickup_B")))</f>
        <v>0.70203488345791665</v>
      </c>
      <c r="BC61" s="73" cm="1">
        <f t="array" ref="BC61">1/AVERAGE(_xlfn._xlws.FILTER('ANL-DOE-LDV Data'!$AX:$AX, ('ANL-DOE-LDV Data'!$A:$A=$BA61)*('ANL-DOE-LDV Data'!$B:$B=BC$2-5)*('ANL-DOE-LDV Data'!$D:$D="Pickup_B")))</f>
        <v>0.74410669552191278</v>
      </c>
      <c r="BD61" s="73" cm="1">
        <f t="array" ref="BD61">1/AVERAGE(_xlfn._xlws.FILTER('ANL-DOE-LDV Data'!$AX:$AX, ('ANL-DOE-LDV Data'!$A:$A=$BA61)*('ANL-DOE-LDV Data'!$B:$B=BD$2-5)*('ANL-DOE-LDV Data'!$D:$D="Pickup_B")))</f>
        <v>0.75947300119019023</v>
      </c>
      <c r="BE61" s="73" cm="1">
        <f t="array" ref="BE61">1/AVERAGE(_xlfn._xlws.FILTER('ANL-DOE-LDV Data'!$AX:$AX, ('ANL-DOE-LDV Data'!$A:$A=$BA61)*('ANL-DOE-LDV Data'!$B:$B=BE$2-5)*('ANL-DOE-LDV Data'!$D:$D="Pickup_B")))</f>
        <v>0.83362887726934509</v>
      </c>
      <c r="BF61" s="73">
        <f t="shared" ref="BF61:BG61" si="263">($BH61-$BE61)/3 + BE61</f>
        <v>0.87078150231390461</v>
      </c>
      <c r="BG61" s="73">
        <f t="shared" si="263"/>
        <v>0.90793412735846413</v>
      </c>
      <c r="BH61" s="73" cm="1">
        <f t="array" ref="BH61">1/AVERAGE(_xlfn._xlws.FILTER('ANL-DOE-LDV Data'!$AX:$AX, ('ANL-DOE-LDV Data'!$A:$A=$BA61)*('ANL-DOE-LDV Data'!$B:$B=BH$2-5)*('ANL-DOE-LDV Data'!$D:$D="Pickup_B")))</f>
        <v>0.94508675240302364</v>
      </c>
      <c r="BI61" s="102">
        <f t="shared" si="239"/>
        <v>0.34621052980720823</v>
      </c>
      <c r="CN61" s="17" t="s">
        <v>1065</v>
      </c>
      <c r="CO61" s="73" cm="1">
        <f t="array" ref="CO61">1/AVERAGE(_xlfn._xlws.FILTER('ANL-DOE-MHDV Data'!$AX:$AX,('ANL-DOE-MHDV Data'!$A:$A=$CN61)*('ANL-DOE-MHDV Data'!$B:$B=CO$33)*('ANL-DOE-MHDV Data'!$D:$D="Transit")))</f>
        <v>0.14795028477976471</v>
      </c>
      <c r="CP61" s="73" cm="1">
        <f t="array" ref="CP61">1/AVERAGE(_xlfn._xlws.FILTER('ANL-DOE-MHDV Data'!$AX:$AX,('ANL-DOE-MHDV Data'!$A:$A=$CN61)*('ANL-DOE-MHDV Data'!$B:$B=CP$33)*('ANL-DOE-MHDV Data'!$D:$D="Transit")))</f>
        <v>0.15830628276014247</v>
      </c>
      <c r="CQ61" s="73" cm="1">
        <f t="array" ref="CQ61">1/AVERAGE(_xlfn._xlws.FILTER('ANL-DOE-MHDV Data'!$AX:$AX,('ANL-DOE-MHDV Data'!$A:$A=$CN61)*('ANL-DOE-MHDV Data'!$B:$B=CQ$33)*('ANL-DOE-MHDV Data'!$D:$D="Transit")))</f>
        <v>0.17007598800877913</v>
      </c>
      <c r="CR61" s="73" cm="1">
        <f t="array" ref="CR61">1/AVERAGE(_xlfn._xlws.FILTER('ANL-DOE-MHDV Data'!$AX:$AX,('ANL-DOE-MHDV Data'!$A:$A=$CN61)*('ANL-DOE-MHDV Data'!$B:$B=CR$33)*('ANL-DOE-MHDV Data'!$D:$D="Transit")))</f>
        <v>0.17967936483610439</v>
      </c>
      <c r="CS61" s="73">
        <f t="shared" si="241"/>
        <v>0.18738028734317971</v>
      </c>
      <c r="CT61" s="73">
        <f t="shared" si="241"/>
        <v>0.19508120985025504</v>
      </c>
      <c r="CU61" s="73" cm="1">
        <f t="array" ref="CU61">1/AVERAGE(_xlfn._xlws.FILTER('ANL-DOE-MHDV Data'!$AX:$AX,('ANL-DOE-MHDV Data'!$A:$A=$CN61)*('ANL-DOE-MHDV Data'!$B:$B=CU$33)*('ANL-DOE-MHDV Data'!$D:$D="Transit")))</f>
        <v>0.20278213235733039</v>
      </c>
      <c r="CV61" s="102">
        <f t="shared" si="116"/>
        <v>0.37060994954614024</v>
      </c>
      <c r="CX61" s="443" t="s">
        <v>2214</v>
      </c>
      <c r="CY61" s="444">
        <f t="shared" ref="CY61:DE61" si="264">CO61/CO56</f>
        <v>1.8437100331568075</v>
      </c>
      <c r="CZ61" s="444">
        <f t="shared" si="264"/>
        <v>1.8508051567971642</v>
      </c>
      <c r="DA61" s="444">
        <f t="shared" si="264"/>
        <v>1.8769314607937611</v>
      </c>
      <c r="DB61" s="444">
        <f t="shared" si="264"/>
        <v>1.9085398054088982</v>
      </c>
      <c r="DC61" s="444">
        <f t="shared" si="264"/>
        <v>1.9206328284430267</v>
      </c>
      <c r="DD61" s="444">
        <f t="shared" si="264"/>
        <v>1.9319074699815177</v>
      </c>
      <c r="DE61" s="444">
        <f t="shared" si="264"/>
        <v>1.9424440855858844</v>
      </c>
      <c r="DG61" s="412" t="s">
        <v>1623</v>
      </c>
      <c r="DH61" s="293"/>
      <c r="DI61" s="293"/>
      <c r="DJ61" s="293"/>
      <c r="DK61" s="293"/>
      <c r="DL61" s="293"/>
      <c r="DM61" s="293"/>
      <c r="DN61" s="293"/>
      <c r="DO61" s="293"/>
      <c r="DP61" s="294"/>
      <c r="EA61" s="88"/>
      <c r="EB61" s="88"/>
      <c r="EC61" s="88"/>
      <c r="ED61" s="88"/>
      <c r="EE61" s="88"/>
      <c r="EF61" s="88"/>
      <c r="EG61" s="88"/>
      <c r="EH61" s="102"/>
      <c r="EJ61" s="224" t="s">
        <v>240</v>
      </c>
      <c r="EK61" s="88">
        <f t="shared" si="248"/>
        <v>7.2693884425397828E-2</v>
      </c>
      <c r="EL61" s="88">
        <f t="shared" si="248"/>
        <v>8.7012376812218614E-2</v>
      </c>
      <c r="EM61" s="88">
        <f t="shared" si="248"/>
        <v>9.1121790912179659E-2</v>
      </c>
      <c r="EN61" s="88">
        <f t="shared" si="248"/>
        <v>9.5638603823774773E-2</v>
      </c>
      <c r="EO61" s="88">
        <f t="shared" si="248"/>
        <v>0.10062655821821201</v>
      </c>
      <c r="EP61" s="88">
        <f t="shared" si="248"/>
        <v>0.10616342625414234</v>
      </c>
      <c r="EQ61" s="88">
        <f t="shared" si="248"/>
        <v>0.11234509411197847</v>
      </c>
      <c r="ER61" s="102">
        <f t="shared" si="119"/>
        <v>0.54545454545454564</v>
      </c>
    </row>
    <row r="62" spans="1:148" x14ac:dyDescent="0.35">
      <c r="A62" t="s">
        <v>1207</v>
      </c>
      <c r="B62" t="s">
        <v>2071</v>
      </c>
      <c r="C62" t="s">
        <v>453</v>
      </c>
      <c r="D62" t="s">
        <v>2261</v>
      </c>
      <c r="E62" t="s">
        <v>851</v>
      </c>
      <c r="F62">
        <v>2022</v>
      </c>
      <c r="G62" s="63" t="s">
        <v>283</v>
      </c>
      <c r="H62" s="71"/>
      <c r="I62" s="71"/>
      <c r="J62" s="71"/>
      <c r="K62" s="71"/>
      <c r="L62" s="71"/>
      <c r="M62" s="71"/>
      <c r="N62" s="71"/>
      <c r="O62" s="71"/>
      <c r="P62" s="71"/>
      <c r="Q62" s="71"/>
      <c r="R62" s="71"/>
      <c r="S62" s="71"/>
      <c r="T62" s="71"/>
      <c r="U62" s="71"/>
      <c r="V62" s="71"/>
      <c r="W62" s="71"/>
      <c r="X62" s="71"/>
      <c r="Y62" s="71"/>
      <c r="Z62" s="71"/>
      <c r="AA62" s="71"/>
      <c r="AB62" s="71"/>
      <c r="AC62" s="305">
        <f t="shared" si="262"/>
        <v>0.42748432442970896</v>
      </c>
      <c r="AD62" s="71">
        <f t="shared" si="262"/>
        <v>0.44451043609787122</v>
      </c>
      <c r="AE62" s="71">
        <f t="shared" si="262"/>
        <v>0.45582503554255877</v>
      </c>
      <c r="AF62" s="71">
        <f t="shared" si="262"/>
        <v>0.49764553759540597</v>
      </c>
      <c r="AG62" s="71">
        <f t="shared" si="262"/>
        <v>0.52127243694400971</v>
      </c>
      <c r="AH62" s="71">
        <f t="shared" si="262"/>
        <v>0.54489933629261367</v>
      </c>
      <c r="AI62" s="71">
        <f t="shared" si="262"/>
        <v>0.56852623564121729</v>
      </c>
      <c r="AJ62" s="417">
        <f>AC62/AB16</f>
        <v>1.0100572976352538</v>
      </c>
      <c r="AK62" s="66" t="s">
        <v>2227</v>
      </c>
      <c r="AL62">
        <v>3</v>
      </c>
      <c r="AM62">
        <v>1</v>
      </c>
      <c r="AN62">
        <v>1</v>
      </c>
      <c r="AO62">
        <v>3</v>
      </c>
      <c r="AP62">
        <v>1</v>
      </c>
      <c r="AT62" s="17" t="s">
        <v>532</v>
      </c>
      <c r="AU62" t="s">
        <v>1600</v>
      </c>
      <c r="AV62" s="35">
        <f>'Background Data'!AP42+'Background Data'!AP45+'Background Data'!AP47</f>
        <v>0.60709100187808107</v>
      </c>
      <c r="AW62" s="35">
        <f>'Background Data'!AR42+'Background Data'!AR45+'Background Data'!AR47</f>
        <v>0.54500397685625612</v>
      </c>
      <c r="BA62" s="17" t="s">
        <v>975</v>
      </c>
      <c r="BB62" s="73" cm="1">
        <f t="array" ref="BB62">1/AVERAGE(_xlfn._xlws.FILTER('ANL-DOE-LDV Data'!$AX:$AX, ('ANL-DOE-LDV Data'!$A:$A=$BA62)*('ANL-DOE-LDV Data'!$B:$B=BB$2-5)*('ANL-DOE-LDV Data'!$D:$D="Pickup_B")))</f>
        <v>1.2124412182516509</v>
      </c>
      <c r="BC62" s="73" cm="1">
        <f t="array" ref="BC62">1/AVERAGE(_xlfn._xlws.FILTER('ANL-DOE-LDV Data'!$AX:$AX, ('ANL-DOE-LDV Data'!$A:$A=$BA62)*('ANL-DOE-LDV Data'!$B:$B=BC$2-5)*('ANL-DOE-LDV Data'!$D:$D="Pickup_B")))</f>
        <v>1.2693042672252253</v>
      </c>
      <c r="BD62" s="73" cm="1">
        <f t="array" ref="BD62">1/AVERAGE(_xlfn._xlws.FILTER('ANL-DOE-LDV Data'!$AX:$AX, ('ANL-DOE-LDV Data'!$A:$A=$BA62)*('ANL-DOE-LDV Data'!$B:$B=BD$2-5)*('ANL-DOE-LDV Data'!$D:$D="Pickup_B")))</f>
        <v>1.2958203581527237</v>
      </c>
      <c r="BE62" s="73" cm="1">
        <f t="array" ref="BE62">1/AVERAGE(_xlfn._xlws.FILTER('ANL-DOE-LDV Data'!$AX:$AX, ('ANL-DOE-LDV Data'!$A:$A=$BA62)*('ANL-DOE-LDV Data'!$B:$B=BE$2-5)*('ANL-DOE-LDV Data'!$D:$D="Pickup_B")))</f>
        <v>1.4353414307443626</v>
      </c>
      <c r="BF62" s="73">
        <f t="shared" ref="BF62:BG62" si="265">($BH62-$BE62)/3 + BE62</f>
        <v>1.4894671375197426</v>
      </c>
      <c r="BG62" s="73">
        <f t="shared" si="265"/>
        <v>1.5435928442951226</v>
      </c>
      <c r="BH62" s="73" cm="1">
        <f t="array" ref="BH62">1/AVERAGE(_xlfn._xlws.FILTER('ANL-DOE-LDV Data'!$AX:$AX, ('ANL-DOE-LDV Data'!$A:$A=$BA62)*('ANL-DOE-LDV Data'!$B:$B=BH$2-5)*('ANL-DOE-LDV Data'!$D:$D="Pickup_B")))</f>
        <v>1.5977185510705025</v>
      </c>
      <c r="BI62" s="102">
        <f t="shared" si="239"/>
        <v>0.31776990671302352</v>
      </c>
      <c r="CN62" s="33" t="s">
        <v>2223</v>
      </c>
      <c r="CX62" s="74" t="s">
        <v>2224</v>
      </c>
      <c r="DG62" s="87" t="s">
        <v>1627</v>
      </c>
      <c r="DH62">
        <v>2020</v>
      </c>
      <c r="DI62">
        <v>2023</v>
      </c>
      <c r="DJ62">
        <v>2025</v>
      </c>
      <c r="DK62">
        <v>2030</v>
      </c>
      <c r="DL62">
        <v>2035</v>
      </c>
      <c r="DM62">
        <v>2040</v>
      </c>
      <c r="DN62">
        <v>2045</v>
      </c>
      <c r="DO62">
        <v>2050</v>
      </c>
      <c r="DP62" s="63"/>
      <c r="EA62" s="88"/>
      <c r="EB62" s="88"/>
      <c r="EC62" s="88"/>
      <c r="ED62" s="88"/>
      <c r="EE62" s="88"/>
      <c r="EF62" s="88"/>
      <c r="EG62" s="88"/>
      <c r="EH62" s="102"/>
      <c r="EJ62" s="74" t="s">
        <v>1229</v>
      </c>
    </row>
    <row r="63" spans="1:148" x14ac:dyDescent="0.35">
      <c r="A63" t="s">
        <v>1208</v>
      </c>
      <c r="B63" t="s">
        <v>2072</v>
      </c>
      <c r="C63" t="s">
        <v>453</v>
      </c>
      <c r="D63" t="s">
        <v>2261</v>
      </c>
      <c r="E63" t="s">
        <v>851</v>
      </c>
      <c r="F63">
        <v>2022</v>
      </c>
      <c r="G63" s="63" t="s">
        <v>283</v>
      </c>
      <c r="H63" s="71"/>
      <c r="I63" s="71"/>
      <c r="J63" s="71"/>
      <c r="K63" s="71"/>
      <c r="L63" s="71"/>
      <c r="M63" s="71"/>
      <c r="N63" s="71"/>
      <c r="O63" s="71"/>
      <c r="P63" s="71"/>
      <c r="Q63" s="71"/>
      <c r="R63" s="71"/>
      <c r="S63" s="71"/>
      <c r="T63" s="71"/>
      <c r="U63" s="71"/>
      <c r="V63" s="71"/>
      <c r="W63" s="71"/>
      <c r="X63" s="71"/>
      <c r="Y63" s="71"/>
      <c r="Z63" s="71"/>
      <c r="AA63" s="71"/>
      <c r="AB63" s="71"/>
      <c r="AC63" s="305">
        <f t="shared" ref="AC63:AI63" si="266">AC62*BV51</f>
        <v>0.58720751639332602</v>
      </c>
      <c r="AD63" s="71">
        <f t="shared" si="266"/>
        <v>0.61495443962067975</v>
      </c>
      <c r="AE63" s="71">
        <f t="shared" si="266"/>
        <v>0.62679801934101109</v>
      </c>
      <c r="AF63" s="71">
        <f t="shared" si="266"/>
        <v>0.6882386309018983</v>
      </c>
      <c r="AG63" s="71">
        <f t="shared" si="266"/>
        <v>0.71796754419166964</v>
      </c>
      <c r="AH63" s="71">
        <f t="shared" si="266"/>
        <v>0.74769645748144098</v>
      </c>
      <c r="AI63" s="71">
        <f t="shared" si="266"/>
        <v>0.77742537077121221</v>
      </c>
      <c r="AJ63" s="417"/>
      <c r="AK63" s="66" t="s">
        <v>2227</v>
      </c>
      <c r="AL63">
        <v>3</v>
      </c>
      <c r="AM63">
        <v>1</v>
      </c>
      <c r="AN63">
        <v>1</v>
      </c>
      <c r="AO63">
        <v>3</v>
      </c>
      <c r="AP63">
        <v>1</v>
      </c>
      <c r="AT63" s="17" t="s">
        <v>1596</v>
      </c>
      <c r="AU63" t="s">
        <v>1601</v>
      </c>
      <c r="AV63" s="35">
        <f>'Background Data'!AP43+'Background Data'!AP44+'Background Data'!AP46+'Background Data'!AP48</f>
        <v>0.39290899812191887</v>
      </c>
      <c r="AW63" s="35">
        <f>'Background Data'!AR43+'Background Data'!AR44+'Background Data'!AR46+'Background Data'!AR48</f>
        <v>0.45499602314374388</v>
      </c>
      <c r="BA63" s="17" t="s">
        <v>979</v>
      </c>
      <c r="BB63" s="73" cm="1">
        <f t="array" ref="BB63">1/AVERAGE(_xlfn._xlws.FILTER('ANL-DOE-LDV Data'!$AX:$AX, ('ANL-DOE-LDV Data'!$A:$A=$BA63)*('ANL-DOE-LDV Data'!$B:$B=BB$2-5)*('ANL-DOE-LDV Data'!$D:$D="Pickup_B")))</f>
        <v>1.1600700637897583</v>
      </c>
      <c r="BC63" s="73" cm="1">
        <f t="array" ref="BC63">1/AVERAGE(_xlfn._xlws.FILTER('ANL-DOE-LDV Data'!$AX:$AX, ('ANL-DOE-LDV Data'!$A:$A=$BA63)*('ANL-DOE-LDV Data'!$B:$B=BC$2-5)*('ANL-DOE-LDV Data'!$D:$D="Pickup_B")))</f>
        <v>1.215808616897639</v>
      </c>
      <c r="BD63" s="73" cm="1">
        <f t="array" ref="BD63">1/AVERAGE(_xlfn._xlws.FILTER('ANL-DOE-LDV Data'!$AX:$AX, ('ANL-DOE-LDV Data'!$A:$A=$BA63)*('ANL-DOE-LDV Data'!$B:$B=BD$2-5)*('ANL-DOE-LDV Data'!$D:$D="Pickup_B")))</f>
        <v>1.2541467535852548</v>
      </c>
      <c r="BE63" s="73" cm="1">
        <f t="array" ref="BE63">1/AVERAGE(_xlfn._xlws.FILTER('ANL-DOE-LDV Data'!$AX:$AX, ('ANL-DOE-LDV Data'!$A:$A=$BA63)*('ANL-DOE-LDV Data'!$B:$B=BE$2-5)*('ANL-DOE-LDV Data'!$D:$D="Pickup_B")))</f>
        <v>1.3911483219628249</v>
      </c>
      <c r="BF63" s="73">
        <f t="shared" ref="BF63:BG63" si="267">($BH63-$BE63)/3 + BE63</f>
        <v>1.4458520688103782</v>
      </c>
      <c r="BG63" s="73">
        <f t="shared" si="267"/>
        <v>1.5005558156579315</v>
      </c>
      <c r="BH63" s="73" cm="1">
        <f t="array" ref="BH63">1/AVERAGE(_xlfn._xlws.FILTER('ANL-DOE-LDV Data'!$AX:$AX, ('ANL-DOE-LDV Data'!$A:$A=$BA63)*('ANL-DOE-LDV Data'!$B:$B=BH$2-5)*('ANL-DOE-LDV Data'!$D:$D="Pickup_B")))</f>
        <v>1.5552595625054848</v>
      </c>
      <c r="BI63" s="102">
        <f t="shared" si="239"/>
        <v>0.34066002653728289</v>
      </c>
      <c r="CN63" s="17" t="s">
        <v>1017</v>
      </c>
      <c r="CO63" s="73" cm="1">
        <f t="array" ref="CO63">1/AVERAGE(_xlfn._xlws.FILTER('ANL-DOE-MHDV Data'!$AX:$AX,('ANL-DOE-MHDV Data'!$A:$A=$CN63)*('ANL-DOE-MHDV Data'!$B:$B=CO$33)*('ANL-DOE-MHDV Data'!$E:$E="Medium 7")*('ANL-DOE-MHDV Data'!$D:$D="Box")))</f>
        <v>7.5571112930844203E-2</v>
      </c>
      <c r="CP63" s="73" cm="1">
        <f t="array" ref="CP63">1/AVERAGE(_xlfn._xlws.FILTER('ANL-DOE-MHDV Data'!$AX:$AX,('ANL-DOE-MHDV Data'!$A:$A=$CN63)*('ANL-DOE-MHDV Data'!$B:$B=CP$33)*('ANL-DOE-MHDV Data'!$E:$E="Medium 7")*('ANL-DOE-MHDV Data'!$D:$D="Box")))</f>
        <v>8.0928794946336674E-2</v>
      </c>
      <c r="CQ63" s="73" cm="1">
        <f t="array" ref="CQ63">1/AVERAGE(_xlfn._xlws.FILTER('ANL-DOE-MHDV Data'!$AX:$AX,('ANL-DOE-MHDV Data'!$A:$A=$CN63)*('ANL-DOE-MHDV Data'!$B:$B=CQ$33)*('ANL-DOE-MHDV Data'!$E:$E="Medium 7")*('ANL-DOE-MHDV Data'!$D:$D="Box")))</f>
        <v>8.590169424349986E-2</v>
      </c>
      <c r="CR63" s="73" cm="1">
        <f t="array" ref="CR63">1/AVERAGE(_xlfn._xlws.FILTER('ANL-DOE-MHDV Data'!$AX:$AX,('ANL-DOE-MHDV Data'!$A:$A=$CN63)*('ANL-DOE-MHDV Data'!$B:$B=CR$33)*('ANL-DOE-MHDV Data'!$E:$E="Medium 7")*('ANL-DOE-MHDV Data'!$D:$D="Box")))</f>
        <v>9.0332499626331927E-2</v>
      </c>
      <c r="CS63" s="73">
        <f t="shared" ref="CS63" si="268">($CU63-$CR63)/3 + CR63</f>
        <v>9.409114122343766E-2</v>
      </c>
      <c r="CT63" s="73">
        <f t="shared" ref="CT63" si="269">($CU63-$CR63)/3 + CS63</f>
        <v>9.7849782820543393E-2</v>
      </c>
      <c r="CU63" s="73" cm="1">
        <f t="array" ref="CU63">1/AVERAGE(_xlfn._xlws.FILTER('ANL-DOE-MHDV Data'!$AX:$AX,('ANL-DOE-MHDV Data'!$A:$A=$CN63)*('ANL-DOE-MHDV Data'!$B:$B=CU$33)*('ANL-DOE-MHDV Data'!$E:$E="Medium 7")*('ANL-DOE-MHDV Data'!$D:$D="Box")))</f>
        <v>0.10160842441764911</v>
      </c>
      <c r="CV63" s="102">
        <f t="shared" si="116"/>
        <v>0.34454053244699312</v>
      </c>
      <c r="DG63" s="87" t="s">
        <v>1624</v>
      </c>
      <c r="DH63">
        <v>0.23654570009372447</v>
      </c>
      <c r="DI63">
        <f>(DJ63-DH63)/2 + DH63</f>
        <v>0.23132959240087553</v>
      </c>
      <c r="DJ63">
        <v>0.22611348470802656</v>
      </c>
      <c r="DK63">
        <v>0.21935820039424811</v>
      </c>
      <c r="DL63">
        <v>0.19876363309082443</v>
      </c>
      <c r="DM63">
        <f>($DO$63-$DL$63)/3 + DL63</f>
        <v>0.19221367598526079</v>
      </c>
      <c r="DN63">
        <f>($DO$63-$DL$63)/3 + DM63</f>
        <v>0.18566371887969715</v>
      </c>
      <c r="DO63">
        <v>0.17911376177413352</v>
      </c>
      <c r="DP63" s="63"/>
      <c r="EA63" s="88"/>
      <c r="EB63" s="88"/>
      <c r="EC63" s="88"/>
      <c r="ED63" s="88"/>
      <c r="EE63" s="88"/>
      <c r="EF63" s="88"/>
      <c r="EG63" s="88"/>
    </row>
    <row r="64" spans="1:148" ht="15.5" x14ac:dyDescent="0.35">
      <c r="A64" t="s">
        <v>1209</v>
      </c>
      <c r="B64" t="s">
        <v>2010</v>
      </c>
      <c r="C64" t="s">
        <v>453</v>
      </c>
      <c r="D64" t="s">
        <v>2261</v>
      </c>
      <c r="E64" t="s">
        <v>851</v>
      </c>
      <c r="F64">
        <v>2022</v>
      </c>
      <c r="G64" s="63" t="s">
        <v>283</v>
      </c>
      <c r="H64" s="71"/>
      <c r="I64" s="71"/>
      <c r="J64" s="71"/>
      <c r="K64" s="71"/>
      <c r="L64" s="71"/>
      <c r="M64" s="71"/>
      <c r="N64" s="71"/>
      <c r="O64" s="71"/>
      <c r="P64" s="71"/>
      <c r="Q64" s="71"/>
      <c r="R64" s="71"/>
      <c r="S64" s="71"/>
      <c r="T64" s="71"/>
      <c r="U64" s="71"/>
      <c r="V64" s="71"/>
      <c r="W64" s="71"/>
      <c r="X64" s="71"/>
      <c r="Y64" s="71"/>
      <c r="Z64" s="71"/>
      <c r="AA64" s="71"/>
      <c r="AB64" s="71"/>
      <c r="AC64" s="305">
        <f t="shared" ref="AC64:AI64" si="270">AC58*BL52/BL46</f>
        <v>0.75207392572510634</v>
      </c>
      <c r="AD64" s="71">
        <f t="shared" si="270"/>
        <v>0.78856232929634429</v>
      </c>
      <c r="AE64" s="71">
        <f t="shared" si="270"/>
        <v>0.80511888780412666</v>
      </c>
      <c r="AF64" s="71">
        <f t="shared" si="270"/>
        <v>0.88993819135665519</v>
      </c>
      <c r="AG64" s="71">
        <f t="shared" si="270"/>
        <v>0.92232633413565712</v>
      </c>
      <c r="AH64" s="71">
        <f t="shared" si="270"/>
        <v>0.95471447691465938</v>
      </c>
      <c r="AI64" s="71">
        <f t="shared" si="270"/>
        <v>0.98710261969366153</v>
      </c>
      <c r="AJ64" s="417"/>
      <c r="AK64" s="66" t="s">
        <v>2227</v>
      </c>
      <c r="AL64">
        <v>3</v>
      </c>
      <c r="AM64">
        <v>1</v>
      </c>
      <c r="AN64">
        <v>1</v>
      </c>
      <c r="AO64">
        <v>3</v>
      </c>
      <c r="AP64">
        <v>1</v>
      </c>
      <c r="AT64" s="33" t="s">
        <v>1597</v>
      </c>
      <c r="AV64" s="33">
        <v>2018</v>
      </c>
      <c r="AW64" s="33">
        <v>2021</v>
      </c>
      <c r="BA64" s="17" t="s">
        <v>980</v>
      </c>
      <c r="BB64" s="73" cm="1">
        <f t="array" ref="BB64">1/AVERAGE(_xlfn._xlws.FILTER('ANL-DOE-LDV Data'!$AX:$AX, ('ANL-DOE-LDV Data'!$A:$A=$BA64)*('ANL-DOE-LDV Data'!$B:$B=BB$2-5)*('ANL-DOE-LDV Data'!$D:$D="Pickup_B")))</f>
        <v>1.0432748005722217</v>
      </c>
      <c r="BC64" s="73" cm="1">
        <f t="array" ref="BC64">1/AVERAGE(_xlfn._xlws.FILTER('ANL-DOE-LDV Data'!$AX:$AX, ('ANL-DOE-LDV Data'!$A:$A=$BA64)*('ANL-DOE-LDV Data'!$B:$B=BC$2-5)*('ANL-DOE-LDV Data'!$D:$D="Pickup_B")))</f>
        <v>1.0933457720335096</v>
      </c>
      <c r="BD64" s="73" cm="1">
        <f t="array" ref="BD64">1/AVERAGE(_xlfn._xlws.FILTER('ANL-DOE-LDV Data'!$AX:$AX, ('ANL-DOE-LDV Data'!$A:$A=$BA64)*('ANL-DOE-LDV Data'!$B:$B=BD$2-5)*('ANL-DOE-LDV Data'!$D:$D="Pickup_B")))</f>
        <v>1.1460881517499706</v>
      </c>
      <c r="BE64" s="73" cm="1">
        <f t="array" ref="BE64">1/AVERAGE(_xlfn._xlws.FILTER('ANL-DOE-LDV Data'!$AX:$AX, ('ANL-DOE-LDV Data'!$A:$A=$BA64)*('ANL-DOE-LDV Data'!$B:$B=BE$2-5)*('ANL-DOE-LDV Data'!$D:$D="Pickup_B")))</f>
        <v>1.2713190215613759</v>
      </c>
      <c r="BF64" s="73">
        <f t="shared" ref="BF64:BG64" si="271">($BH64-$BE64)/3 + BE64</f>
        <v>1.3239252516213014</v>
      </c>
      <c r="BG64" s="73">
        <f t="shared" si="271"/>
        <v>1.3765314816812269</v>
      </c>
      <c r="BH64" s="73" cm="1">
        <f t="array" ref="BH64">1/AVERAGE(_xlfn._xlws.FILTER('ANL-DOE-LDV Data'!$AX:$AX, ('ANL-DOE-LDV Data'!$A:$A=$BA64)*('ANL-DOE-LDV Data'!$B:$B=BH$2-5)*('ANL-DOE-LDV Data'!$D:$D="Pickup_B")))</f>
        <v>1.4291377117411526</v>
      </c>
      <c r="BI64" s="102">
        <f t="shared" si="239"/>
        <v>0.36985740569722425</v>
      </c>
      <c r="CN64" s="17" t="s">
        <v>1020</v>
      </c>
      <c r="CO64" s="73" cm="1">
        <f t="array" ref="CO64">1/AVERAGE(_xlfn._xlws.FILTER('ANL-DOE-MHDV Data'!$AX:$AX,('ANL-DOE-MHDV Data'!$A:$A=$CN64)*('ANL-DOE-MHDV Data'!$B:$B=CO$33)*('ANL-DOE-MHDV Data'!$E:$E="Medium 7")*('ANL-DOE-MHDV Data'!$D:$D="Box")))</f>
        <v>9.0276801373829138E-2</v>
      </c>
      <c r="CP64" s="73" cm="1">
        <f t="array" ref="CP64">1/AVERAGE(_xlfn._xlws.FILTER('ANL-DOE-MHDV Data'!$AX:$AX,('ANL-DOE-MHDV Data'!$A:$A=$CN64)*('ANL-DOE-MHDV Data'!$B:$B=CP$33)*('ANL-DOE-MHDV Data'!$E:$E="Medium 7")*('ANL-DOE-MHDV Data'!$D:$D="Box")))</f>
        <v>9.9195872337555419E-2</v>
      </c>
      <c r="CQ64" s="73" cm="1">
        <f t="array" ref="CQ64">1/AVERAGE(_xlfn._xlws.FILTER('ANL-DOE-MHDV Data'!$AX:$AX,('ANL-DOE-MHDV Data'!$A:$A=$CN64)*('ANL-DOE-MHDV Data'!$B:$B=CQ$33)*('ANL-DOE-MHDV Data'!$E:$E="Medium 7")*('ANL-DOE-MHDV Data'!$D:$D="Box")))</f>
        <v>0.10507533008436917</v>
      </c>
      <c r="CR64" s="73" cm="1">
        <f t="array" ref="CR64">1/AVERAGE(_xlfn._xlws.FILTER('ANL-DOE-MHDV Data'!$AX:$AX,('ANL-DOE-MHDV Data'!$A:$A=$CN64)*('ANL-DOE-MHDV Data'!$B:$B=CR$33)*('ANL-DOE-MHDV Data'!$E:$E="Medium 7")*('ANL-DOE-MHDV Data'!$D:$D="Box")))</f>
        <v>0.11045264716962815</v>
      </c>
      <c r="CS64" s="73">
        <f t="shared" ref="CS64" si="272">($CU64-$CR64)/3 + CR64</f>
        <v>0.1160050401327091</v>
      </c>
      <c r="CT64" s="73">
        <f t="shared" ref="CT64" si="273">($CU64-$CR64)/3 + CS64</f>
        <v>0.12155743309579005</v>
      </c>
      <c r="CU64" s="73" cm="1">
        <f t="array" ref="CU64">1/AVERAGE(_xlfn._xlws.FILTER('ANL-DOE-MHDV Data'!$AX:$AX,('ANL-DOE-MHDV Data'!$A:$A=$CN64)*('ANL-DOE-MHDV Data'!$B:$B=CU$33)*('ANL-DOE-MHDV Data'!$E:$E="Medium 7")*('ANL-DOE-MHDV Data'!$D:$D="Box")))</f>
        <v>0.127109826058871</v>
      </c>
      <c r="CV64" s="102">
        <f t="shared" si="116"/>
        <v>0.40800099388235084</v>
      </c>
      <c r="CX64" s="470" t="s">
        <v>2216</v>
      </c>
      <c r="CY64" s="470"/>
      <c r="CZ64" s="470"/>
      <c r="DA64" s="470"/>
      <c r="DB64" s="470"/>
      <c r="DC64" s="470"/>
      <c r="DD64" s="470"/>
      <c r="DE64" s="470"/>
      <c r="DG64" s="87" t="s">
        <v>1625</v>
      </c>
      <c r="DH64">
        <v>0.32</v>
      </c>
      <c r="DI64">
        <v>0.32</v>
      </c>
      <c r="DJ64">
        <v>0.32</v>
      </c>
      <c r="DK64">
        <v>0.32</v>
      </c>
      <c r="DL64">
        <v>0.32</v>
      </c>
      <c r="DP64" s="63"/>
      <c r="EA64" s="88"/>
      <c r="EB64" s="88"/>
      <c r="EC64" s="88"/>
      <c r="ED64" s="88"/>
      <c r="EE64" s="88"/>
      <c r="EF64" s="88"/>
      <c r="EG64" s="88"/>
    </row>
    <row r="65" spans="1:137" ht="15" thickBot="1" x14ac:dyDescent="0.4">
      <c r="A65" t="s">
        <v>1210</v>
      </c>
      <c r="B65" t="s">
        <v>2010</v>
      </c>
      <c r="C65" t="s">
        <v>453</v>
      </c>
      <c r="D65" t="s">
        <v>2261</v>
      </c>
      <c r="E65" t="s">
        <v>851</v>
      </c>
      <c r="F65">
        <v>2022</v>
      </c>
      <c r="G65" s="63" t="s">
        <v>283</v>
      </c>
      <c r="H65" s="71"/>
      <c r="I65" s="71"/>
      <c r="J65" s="71"/>
      <c r="K65" s="71"/>
      <c r="L65" s="71"/>
      <c r="M65" s="71"/>
      <c r="N65" s="71"/>
      <c r="O65" s="71"/>
      <c r="P65" s="71"/>
      <c r="Q65" s="71"/>
      <c r="R65" s="71"/>
      <c r="S65" s="71"/>
      <c r="T65" s="71"/>
      <c r="U65" s="71"/>
      <c r="V65" s="71"/>
      <c r="W65" s="71"/>
      <c r="X65" s="71"/>
      <c r="Y65" s="71"/>
      <c r="Z65" s="71"/>
      <c r="AA65" s="71"/>
      <c r="AB65" s="71"/>
      <c r="AC65" s="305">
        <f t="shared" ref="AC65:AI67" si="274">AC$64*BV53</f>
        <v>0.71923563905172094</v>
      </c>
      <c r="AD65" s="71">
        <f t="shared" si="274"/>
        <v>0.7546977486854306</v>
      </c>
      <c r="AE65" s="71">
        <f t="shared" si="274"/>
        <v>0.77837837904972207</v>
      </c>
      <c r="AF65" s="71">
        <f t="shared" si="274"/>
        <v>0.86152909964502722</v>
      </c>
      <c r="AG65" s="71">
        <f t="shared" si="274"/>
        <v>0.89426725215358782</v>
      </c>
      <c r="AH65" s="71">
        <f t="shared" si="274"/>
        <v>0.9270054046621482</v>
      </c>
      <c r="AI65" s="71">
        <f t="shared" si="274"/>
        <v>0.95974355717070903</v>
      </c>
      <c r="AJ65" s="417"/>
      <c r="AK65" s="66" t="s">
        <v>2227</v>
      </c>
      <c r="AL65">
        <v>3</v>
      </c>
      <c r="AM65">
        <v>1</v>
      </c>
      <c r="AN65">
        <v>1</v>
      </c>
      <c r="AO65">
        <v>3</v>
      </c>
      <c r="AP65">
        <v>1</v>
      </c>
      <c r="AT65" s="17" t="s">
        <v>1598</v>
      </c>
      <c r="AU65" t="s">
        <v>1598</v>
      </c>
      <c r="AV65" s="35">
        <f>'Background Data'!AP56</f>
        <v>0.52796277179654827</v>
      </c>
      <c r="AW65" s="35">
        <f>'Background Data'!AR56</f>
        <v>0.56868624710569682</v>
      </c>
      <c r="BA65" s="17" t="s">
        <v>981</v>
      </c>
      <c r="BB65" s="73" cm="1">
        <f t="array" ref="BB65">1/AVERAGE(_xlfn._xlws.FILTER('ANL-DOE-LDV Data'!$AX:$AX, ('ANL-DOE-LDV Data'!$A:$A=$BA65)*('ANL-DOE-LDV Data'!$B:$B=BB$2-5)*('ANL-DOE-LDV Data'!$D:$D="Pickup_B")))</f>
        <v>0.94166480818461196</v>
      </c>
      <c r="BC65" s="73" cm="1">
        <f t="array" ref="BC65">1/AVERAGE(_xlfn._xlws.FILTER('ANL-DOE-LDV Data'!$AX:$AX, ('ANL-DOE-LDV Data'!$A:$A=$BA65)*('ANL-DOE-LDV Data'!$B:$B=BC$2-5)*('ANL-DOE-LDV Data'!$D:$D="Pickup_B")))</f>
        <v>0.98668941448353398</v>
      </c>
      <c r="BD65" s="73" cm="1">
        <f t="array" ref="BD65">1/AVERAGE(_xlfn._xlws.FILTER('ANL-DOE-LDV Data'!$AX:$AX, ('ANL-DOE-LDV Data'!$A:$A=$BA65)*('ANL-DOE-LDV Data'!$B:$B=BD$2-5)*('ANL-DOE-LDV Data'!$D:$D="Pickup_B")))</f>
        <v>1.0589152531408648</v>
      </c>
      <c r="BE65" s="73" cm="1">
        <f t="array" ref="BE65">1/AVERAGE(_xlfn._xlws.FILTER('ANL-DOE-LDV Data'!$AX:$AX, ('ANL-DOE-LDV Data'!$A:$A=$BA65)*('ANL-DOE-LDV Data'!$B:$B=BE$2-5)*('ANL-DOE-LDV Data'!$D:$D="Pickup_B")))</f>
        <v>1.1723977676623625</v>
      </c>
      <c r="BF65" s="73">
        <f t="shared" ref="BF65:BG65" si="275">($BH65-$BE65)/3 + BE65</f>
        <v>1.2225108924068793</v>
      </c>
      <c r="BG65" s="73">
        <f t="shared" si="275"/>
        <v>1.2726240171513961</v>
      </c>
      <c r="BH65" s="73" cm="1">
        <f t="array" ref="BH65">1/AVERAGE(_xlfn._xlws.FILTER('ANL-DOE-LDV Data'!$AX:$AX, ('ANL-DOE-LDV Data'!$A:$A=$BA65)*('ANL-DOE-LDV Data'!$B:$B=BH$2-5)*('ANL-DOE-LDV Data'!$D:$D="Pickup_B")))</f>
        <v>1.3227371418959131</v>
      </c>
      <c r="BI65" s="102">
        <f t="shared" si="239"/>
        <v>0.40467938315115676</v>
      </c>
      <c r="CN65" s="17" t="s">
        <v>246</v>
      </c>
      <c r="CO65" s="73" cm="1">
        <f t="array" ref="CO65">1/AVERAGE(_xlfn._xlws.FILTER('ANL-DOE-MHDV Data'!$AX:$AX,('ANL-DOE-MHDV Data'!$A:$A=$CN65)*('ANL-DOE-MHDV Data'!$B:$B=CO$33)*('ANL-DOE-MHDV Data'!$E:$E="Medium 7")*('ANL-DOE-MHDV Data'!$D:$D="Box")))</f>
        <v>0.32300497752087348</v>
      </c>
      <c r="CP65" s="73" cm="1">
        <f t="array" ref="CP65">1/AVERAGE(_xlfn._xlws.FILTER('ANL-DOE-MHDV Data'!$AX:$AX,('ANL-DOE-MHDV Data'!$A:$A=$CN65)*('ANL-DOE-MHDV Data'!$B:$B=CP$33)*('ANL-DOE-MHDV Data'!$E:$E="Medium 7")*('ANL-DOE-MHDV Data'!$D:$D="Box")))</f>
        <v>0.34600533195734434</v>
      </c>
      <c r="CQ65" s="73" cm="1">
        <f t="array" ref="CQ65">1/AVERAGE(_xlfn._xlws.FILTER('ANL-DOE-MHDV Data'!$AX:$AX,('ANL-DOE-MHDV Data'!$A:$A=$CN65)*('ANL-DOE-MHDV Data'!$B:$B=CQ$33)*('ANL-DOE-MHDV Data'!$E:$E="Medium 7")*('ANL-DOE-MHDV Data'!$D:$D="Box")))</f>
        <v>0.36763066520467824</v>
      </c>
      <c r="CR65" s="73" cm="1">
        <f t="array" ref="CR65">1/AVERAGE(_xlfn._xlws.FILTER('ANL-DOE-MHDV Data'!$AX:$AX,('ANL-DOE-MHDV Data'!$A:$A=$CN65)*('ANL-DOE-MHDV Data'!$B:$B=CR$33)*('ANL-DOE-MHDV Data'!$E:$E="Medium 7")*('ANL-DOE-MHDV Data'!$D:$D="Box")))</f>
        <v>0.38704665704665697</v>
      </c>
      <c r="CS65" s="73">
        <f t="shared" ref="CS65:CS66" si="276">($CU65-$CR65)/3 + CR65</f>
        <v>0.40145070331467503</v>
      </c>
      <c r="CT65" s="73">
        <f t="shared" ref="CT65:CT66" si="277">($CU65-$CR65)/3 + CS65</f>
        <v>0.41585474958269308</v>
      </c>
      <c r="CU65" s="73" cm="1">
        <f t="array" ref="CU65">1/AVERAGE(_xlfn._xlws.FILTER('ANL-DOE-MHDV Data'!$AX:$AX,('ANL-DOE-MHDV Data'!$A:$A=$CN65)*('ANL-DOE-MHDV Data'!$B:$B=CU$33)*('ANL-DOE-MHDV Data'!$E:$E="Medium 7")*('ANL-DOE-MHDV Data'!$D:$D="Box")))</f>
        <v>0.43025879585071114</v>
      </c>
      <c r="CV65" s="102">
        <f t="shared" si="116"/>
        <v>0.33205004812319533</v>
      </c>
      <c r="CX65" s="105" t="s">
        <v>245</v>
      </c>
      <c r="CY65" s="105">
        <v>2021</v>
      </c>
      <c r="CZ65" s="105">
        <v>2025</v>
      </c>
      <c r="DA65" s="105">
        <v>2030</v>
      </c>
      <c r="DB65" s="105">
        <v>2035</v>
      </c>
      <c r="DC65" s="105">
        <v>2040</v>
      </c>
      <c r="DD65" s="105">
        <v>2045</v>
      </c>
      <c r="DE65" s="105">
        <v>2050</v>
      </c>
      <c r="DG65" s="87" t="s">
        <v>1626</v>
      </c>
      <c r="DI65">
        <v>0.29156536860957066</v>
      </c>
      <c r="DJ65">
        <v>0.28645845840213047</v>
      </c>
      <c r="DK65">
        <v>0.28328650475713701</v>
      </c>
      <c r="DL65">
        <v>0.282905393733204</v>
      </c>
      <c r="DM65">
        <v>0.28234444551145138</v>
      </c>
      <c r="DN65">
        <v>0.28214662240687582</v>
      </c>
      <c r="DO65">
        <v>0.28196172536077885</v>
      </c>
      <c r="DP65" s="63"/>
      <c r="EA65" s="88"/>
      <c r="EB65" s="88"/>
      <c r="EC65" s="88"/>
      <c r="ED65" s="88"/>
      <c r="EE65" s="88"/>
      <c r="EF65" s="88"/>
      <c r="EG65" s="88"/>
    </row>
    <row r="66" spans="1:137" ht="15" thickTop="1" x14ac:dyDescent="0.35">
      <c r="A66" t="s">
        <v>1211</v>
      </c>
      <c r="B66" t="s">
        <v>2010</v>
      </c>
      <c r="C66" t="s">
        <v>453</v>
      </c>
      <c r="D66" t="s">
        <v>2261</v>
      </c>
      <c r="E66" t="s">
        <v>851</v>
      </c>
      <c r="F66">
        <v>2022</v>
      </c>
      <c r="G66" s="63" t="s">
        <v>283</v>
      </c>
      <c r="H66" s="71"/>
      <c r="I66" s="71"/>
      <c r="J66" s="71"/>
      <c r="K66" s="71"/>
      <c r="L66" s="71"/>
      <c r="M66" s="71"/>
      <c r="N66" s="71"/>
      <c r="O66" s="71"/>
      <c r="P66" s="71"/>
      <c r="Q66" s="71"/>
      <c r="R66" s="71"/>
      <c r="S66" s="71"/>
      <c r="T66" s="71"/>
      <c r="U66" s="71"/>
      <c r="V66" s="71"/>
      <c r="W66" s="71"/>
      <c r="X66" s="71"/>
      <c r="Y66" s="71"/>
      <c r="Z66" s="71"/>
      <c r="AA66" s="71"/>
      <c r="AB66" s="71"/>
      <c r="AC66" s="305">
        <f t="shared" si="274"/>
        <v>0.64593794366065038</v>
      </c>
      <c r="AD66" s="71">
        <f t="shared" si="274"/>
        <v>0.67776489287097941</v>
      </c>
      <c r="AE66" s="71">
        <f t="shared" si="274"/>
        <v>0.71092854642732684</v>
      </c>
      <c r="AF66" s="71">
        <f t="shared" si="274"/>
        <v>0.78667344138945627</v>
      </c>
      <c r="AG66" s="71">
        <f t="shared" si="274"/>
        <v>0.81845127689773478</v>
      </c>
      <c r="AH66" s="71">
        <f t="shared" si="274"/>
        <v>0.85022911240601318</v>
      </c>
      <c r="AI66" s="71">
        <f t="shared" si="274"/>
        <v>0.88200694791429179</v>
      </c>
      <c r="AJ66" s="417"/>
      <c r="AK66" s="66" t="s">
        <v>2227</v>
      </c>
      <c r="AL66">
        <v>3</v>
      </c>
      <c r="AM66">
        <v>1</v>
      </c>
      <c r="AN66">
        <v>1</v>
      </c>
      <c r="AO66">
        <v>3</v>
      </c>
      <c r="AP66">
        <v>1</v>
      </c>
      <c r="AT66" s="17" t="s">
        <v>1599</v>
      </c>
      <c r="AU66" t="s">
        <v>1602</v>
      </c>
      <c r="AV66" s="35">
        <f>'Background Data'!AP57+'Background Data'!AP53</f>
        <v>0.1599742743495487</v>
      </c>
      <c r="AW66" s="35">
        <f>'Background Data'!AR57+'Background Data'!AR53</f>
        <v>0.14746865808631804</v>
      </c>
      <c r="BA66" s="17" t="s">
        <v>988</v>
      </c>
      <c r="BB66" s="73" cm="1">
        <f t="array" ref="BB66">1/AVERAGE(_xlfn._xlws.FILTER('ANL-DOE-LDV Data'!$AX:$AX, ('ANL-DOE-LDV Data'!$A:$A=$BA66)*('ANL-DOE-LDV Data'!$B:$B=BB$2-5)*('ANL-DOE-LDV Data'!$D:$D="Pickup_B")))</f>
        <v>0.52418444266198017</v>
      </c>
      <c r="BC66" s="73" cm="1">
        <f t="array" ref="BC66">1/AVERAGE(_xlfn._xlws.FILTER('ANL-DOE-LDV Data'!$AX:$AX, ('ANL-DOE-LDV Data'!$A:$A=$BA66)*('ANL-DOE-LDV Data'!$B:$B=BC$2-5)*('ANL-DOE-LDV Data'!$D:$D="Pickup_B")))</f>
        <v>0.54127790346798321</v>
      </c>
      <c r="BD66" s="73" cm="1">
        <f t="array" ref="BD66">1/AVERAGE(_xlfn._xlws.FILTER('ANL-DOE-LDV Data'!$AX:$AX, ('ANL-DOE-LDV Data'!$A:$A=$BA66)*('ANL-DOE-LDV Data'!$B:$B=BD$2-5)*('ANL-DOE-LDV Data'!$D:$D="Pickup_B")))</f>
        <v>0.54958971671045853</v>
      </c>
      <c r="BE66" s="73" cm="1">
        <f t="array" ref="BE66">1/AVERAGE(_xlfn._xlws.FILTER('ANL-DOE-LDV Data'!$AX:$AX, ('ANL-DOE-LDV Data'!$A:$A=$BA66)*('ANL-DOE-LDV Data'!$B:$B=BE$2-5)*('ANL-DOE-LDV Data'!$D:$D="Pickup_B")))</f>
        <v>0.58413013473508468</v>
      </c>
      <c r="BF66" s="73">
        <f t="shared" ref="BF66:BG66" si="278">($BH66-$BE66)/3 + BE66</f>
        <v>0.59774198216787588</v>
      </c>
      <c r="BG66" s="73">
        <f t="shared" si="278"/>
        <v>0.61135382960066709</v>
      </c>
      <c r="BH66" s="73" cm="1">
        <f t="array" ref="BH66">1/AVERAGE(_xlfn._xlws.FILTER('ANL-DOE-LDV Data'!$AX:$AX, ('ANL-DOE-LDV Data'!$A:$A=$BA66)*('ANL-DOE-LDV Data'!$B:$B=BH$2-5)*('ANL-DOE-LDV Data'!$D:$D="Pickup_B")))</f>
        <v>0.62496567703345818</v>
      </c>
      <c r="BI66" s="102">
        <f t="shared" si="239"/>
        <v>0.19226292535443806</v>
      </c>
      <c r="CN66" s="17" t="s">
        <v>627</v>
      </c>
      <c r="CO66" s="73" cm="1">
        <f t="array" ref="CO66">1/AVERAGE(_xlfn._xlws.FILTER('ANL-DOE-MHDV Data'!$AX:$AX,('ANL-DOE-MHDV Data'!$A:$A=$CN66)*('ANL-DOE-MHDV Data'!$B:$B=CO$33)*('ANL-DOE-MHDV Data'!$E:$E="Medium 7")*('ANL-DOE-MHDV Data'!$D:$D="Box")))</f>
        <v>0.15409036513666052</v>
      </c>
      <c r="CP66" s="73" cm="1">
        <f t="array" ref="CP66">1/AVERAGE(_xlfn._xlws.FILTER('ANL-DOE-MHDV Data'!$AX:$AX,('ANL-DOE-MHDV Data'!$A:$A=$CN66)*('ANL-DOE-MHDV Data'!$B:$B=CP$33)*('ANL-DOE-MHDV Data'!$E:$E="Medium 7")*('ANL-DOE-MHDV Data'!$D:$D="Box")))</f>
        <v>0.16275544895503241</v>
      </c>
      <c r="CQ66" s="73" cm="1">
        <f t="array" ref="CQ66">1/AVERAGE(_xlfn._xlws.FILTER('ANL-DOE-MHDV Data'!$AX:$AX,('ANL-DOE-MHDV Data'!$A:$A=$CN66)*('ANL-DOE-MHDV Data'!$B:$B=CQ$33)*('ANL-DOE-MHDV Data'!$E:$E="Medium 7")*('ANL-DOE-MHDV Data'!$D:$D="Box")))</f>
        <v>0.17290929724832826</v>
      </c>
      <c r="CR66" s="73" cm="1">
        <f t="array" ref="CR66">1/AVERAGE(_xlfn._xlws.FILTER('ANL-DOE-MHDV Data'!$AX:$AX,('ANL-DOE-MHDV Data'!$A:$A=$CN66)*('ANL-DOE-MHDV Data'!$B:$B=CR$33)*('ANL-DOE-MHDV Data'!$E:$E="Medium 7")*('ANL-DOE-MHDV Data'!$D:$D="Box")))</f>
        <v>0.17970930271098248</v>
      </c>
      <c r="CS66" s="73">
        <f t="shared" si="276"/>
        <v>0.18578335326680828</v>
      </c>
      <c r="CT66" s="73">
        <f t="shared" si="277"/>
        <v>0.19185740382263408</v>
      </c>
      <c r="CU66" s="73" cm="1">
        <f t="array" ref="CU66">1/AVERAGE(_xlfn._xlws.FILTER('ANL-DOE-MHDV Data'!$AX:$AX,('ANL-DOE-MHDV Data'!$A:$A=$CN66)*('ANL-DOE-MHDV Data'!$B:$B=CU$33)*('ANL-DOE-MHDV Data'!$E:$E="Medium 7")*('ANL-DOE-MHDV Data'!$D:$D="Box")))</f>
        <v>0.19793145437845991</v>
      </c>
      <c r="CV66" s="102">
        <f t="shared" si="116"/>
        <v>0.28451544782126614</v>
      </c>
      <c r="CX66" s="33" t="s">
        <v>1199</v>
      </c>
      <c r="CY66" s="73">
        <f>EA45/EA44</f>
        <v>0.84419405957892157</v>
      </c>
      <c r="CZ66" s="73">
        <f t="shared" ref="CZ66:DE66" si="279">EB45/EB44</f>
        <v>0.82330843120574326</v>
      </c>
      <c r="DA66" s="73">
        <f t="shared" si="279"/>
        <v>0.79433015649393701</v>
      </c>
      <c r="DB66" s="73">
        <f t="shared" si="279"/>
        <v>0.77981105375623794</v>
      </c>
      <c r="DC66" s="73">
        <f t="shared" si="279"/>
        <v>0.77801216935628126</v>
      </c>
      <c r="DD66" s="73">
        <f t="shared" si="279"/>
        <v>0.77979563726312529</v>
      </c>
      <c r="DE66" s="73">
        <f t="shared" si="279"/>
        <v>0.78316362944236073</v>
      </c>
      <c r="DG66" s="87"/>
      <c r="DP66" s="63"/>
      <c r="EA66" s="88"/>
      <c r="EB66" s="88"/>
      <c r="EC66" s="88"/>
      <c r="ED66" s="88"/>
      <c r="EE66" s="88"/>
      <c r="EF66" s="88"/>
      <c r="EG66" s="88"/>
    </row>
    <row r="67" spans="1:137" x14ac:dyDescent="0.35">
      <c r="A67" t="s">
        <v>1212</v>
      </c>
      <c r="B67" t="s">
        <v>2010</v>
      </c>
      <c r="C67" t="s">
        <v>453</v>
      </c>
      <c r="D67" t="s">
        <v>2261</v>
      </c>
      <c r="E67" t="s">
        <v>851</v>
      </c>
      <c r="F67">
        <v>2022</v>
      </c>
      <c r="G67" s="63" t="s">
        <v>283</v>
      </c>
      <c r="H67" s="71"/>
      <c r="I67" s="71"/>
      <c r="J67" s="71"/>
      <c r="K67" s="71"/>
      <c r="L67" s="71"/>
      <c r="M67" s="71"/>
      <c r="N67" s="71"/>
      <c r="O67" s="71"/>
      <c r="P67" s="71"/>
      <c r="Q67" s="71"/>
      <c r="R67" s="71"/>
      <c r="S67" s="71"/>
      <c r="T67" s="71"/>
      <c r="U67" s="71"/>
      <c r="V67" s="71"/>
      <c r="W67" s="71"/>
      <c r="X67" s="71"/>
      <c r="Y67" s="71"/>
      <c r="Z67" s="71"/>
      <c r="AA67" s="71"/>
      <c r="AB67" s="71"/>
      <c r="AC67" s="305">
        <f t="shared" si="274"/>
        <v>0.58281643282117213</v>
      </c>
      <c r="AD67" s="71">
        <f t="shared" si="274"/>
        <v>0.61147610180727008</v>
      </c>
      <c r="AE67" s="71">
        <f t="shared" si="274"/>
        <v>0.65615466009553403</v>
      </c>
      <c r="AF67" s="71">
        <f t="shared" si="274"/>
        <v>0.72491820939850404</v>
      </c>
      <c r="AG67" s="71">
        <f t="shared" si="274"/>
        <v>0.75526610383134529</v>
      </c>
      <c r="AH67" s="71">
        <f t="shared" si="274"/>
        <v>0.78561399826418632</v>
      </c>
      <c r="AI67" s="71">
        <f t="shared" si="274"/>
        <v>0.81596189269702757</v>
      </c>
      <c r="AJ67" s="417"/>
      <c r="AK67" s="66" t="s">
        <v>2227</v>
      </c>
      <c r="AL67">
        <v>3</v>
      </c>
      <c r="AM67">
        <v>1</v>
      </c>
      <c r="AN67">
        <v>1</v>
      </c>
      <c r="AO67">
        <v>3</v>
      </c>
      <c r="AP67">
        <v>1</v>
      </c>
      <c r="AT67" s="17" t="s">
        <v>1066</v>
      </c>
      <c r="AU67" t="s">
        <v>1603</v>
      </c>
      <c r="AV67" s="35">
        <f>'Background Data'!AP54+'Background Data'!AP55+'Background Data'!AP58</f>
        <v>0.31206295385390309</v>
      </c>
      <c r="AW67" s="35">
        <f>'Background Data'!AR54+'Background Data'!AR55+'Background Data'!AR58</f>
        <v>0.28384509480798514</v>
      </c>
      <c r="BA67" s="17" t="s">
        <v>990</v>
      </c>
      <c r="BB67" s="73" cm="1">
        <f t="array" ref="BB67">1/AVERAGE(_xlfn._xlws.FILTER('ANL-DOE-LDV Data'!$AX:$AX, ('ANL-DOE-LDV Data'!$A:$A=$BA67)*('ANL-DOE-LDV Data'!$B:$B=BB$2-5)*('ANL-DOE-LDV Data'!$D:$D="Pickup_B")))</f>
        <v>0.51663092798564181</v>
      </c>
      <c r="BC67" s="73" cm="1">
        <f t="array" ref="BC67">1/AVERAGE(_xlfn._xlws.FILTER('ANL-DOE-LDV Data'!$AX:$AX, ('ANL-DOE-LDV Data'!$A:$A=$BA67)*('ANL-DOE-LDV Data'!$B:$B=BC$2-5)*('ANL-DOE-LDV Data'!$D:$D="Pickup_B")))</f>
        <v>0.53383719456724521</v>
      </c>
      <c r="BD67" s="73" cm="1">
        <f t="array" ref="BD67">1/AVERAGE(_xlfn._xlws.FILTER('ANL-DOE-LDV Data'!$AX:$AX, ('ANL-DOE-LDV Data'!$A:$A=$BA67)*('ANL-DOE-LDV Data'!$B:$B=BD$2-5)*('ANL-DOE-LDV Data'!$D:$D="Pickup_B")))</f>
        <v>0.54192035452373666</v>
      </c>
      <c r="BE67" s="73" cm="1">
        <f t="array" ref="BE67">1/AVERAGE(_xlfn._xlws.FILTER('ANL-DOE-LDV Data'!$AX:$AX, ('ANL-DOE-LDV Data'!$A:$A=$BA67)*('ANL-DOE-LDV Data'!$B:$B=BE$2-5)*('ANL-DOE-LDV Data'!$D:$D="Pickup_B")))</f>
        <v>0.57618425903362258</v>
      </c>
      <c r="BF67" s="73">
        <f t="shared" ref="BF67:BG67" si="280">($BH67-$BE67)/3 + BE67</f>
        <v>0.5896889270794029</v>
      </c>
      <c r="BG67" s="73">
        <f t="shared" si="280"/>
        <v>0.60319359512518322</v>
      </c>
      <c r="BH67" s="73" cm="1">
        <f t="array" ref="BH67">1/AVERAGE(_xlfn._xlws.FILTER('ANL-DOE-LDV Data'!$AX:$AX, ('ANL-DOE-LDV Data'!$A:$A=$BA67)*('ANL-DOE-LDV Data'!$B:$B=BH$2-5)*('ANL-DOE-LDV Data'!$D:$D="Pickup_B")))</f>
        <v>0.61669826317096343</v>
      </c>
      <c r="BI67" s="102">
        <f t="shared" si="239"/>
        <v>0.19369211126303823</v>
      </c>
      <c r="CN67" s="92" t="s">
        <v>2164</v>
      </c>
      <c r="CX67" s="33" t="s">
        <v>1201</v>
      </c>
      <c r="CY67" s="73">
        <f>EA54/EA53</f>
        <v>1.0438372238882299</v>
      </c>
      <c r="CZ67" s="73">
        <f t="shared" ref="CZ67:DE67" si="281">EB54/EB53</f>
        <v>1.0365384744715056</v>
      </c>
      <c r="DA67" s="73">
        <f t="shared" si="281"/>
        <v>0.99498218230752333</v>
      </c>
      <c r="DB67" s="73">
        <f t="shared" si="281"/>
        <v>0.96624758183433923</v>
      </c>
      <c r="DC67" s="73">
        <f t="shared" si="281"/>
        <v>0.95924644040328311</v>
      </c>
      <c r="DD67" s="73">
        <f t="shared" si="281"/>
        <v>0.96056025385385024</v>
      </c>
      <c r="DE67" s="73">
        <f t="shared" si="281"/>
        <v>0.95864978419025815</v>
      </c>
      <c r="DG67" s="87" t="s">
        <v>1834</v>
      </c>
      <c r="DP67" s="63"/>
      <c r="EA67" s="88"/>
      <c r="EB67" s="88"/>
      <c r="EC67" s="88"/>
      <c r="ED67" s="88"/>
      <c r="EE67" s="88"/>
      <c r="EF67" s="88"/>
      <c r="EG67" s="88"/>
    </row>
    <row r="68" spans="1:137" x14ac:dyDescent="0.35">
      <c r="A68" t="s">
        <v>1213</v>
      </c>
      <c r="B68" t="s">
        <v>2093</v>
      </c>
      <c r="C68" t="s">
        <v>453</v>
      </c>
      <c r="D68" t="s">
        <v>2261</v>
      </c>
      <c r="E68" t="s">
        <v>851</v>
      </c>
      <c r="F68">
        <v>2022</v>
      </c>
      <c r="G68" s="63" t="s">
        <v>283</v>
      </c>
      <c r="H68" s="71"/>
      <c r="I68" s="71"/>
      <c r="J68" s="71"/>
      <c r="K68" s="71"/>
      <c r="L68" s="71"/>
      <c r="M68" s="71"/>
      <c r="N68" s="71"/>
      <c r="O68" s="71"/>
      <c r="P68" s="71"/>
      <c r="Q68" s="71"/>
      <c r="R68" s="71"/>
      <c r="S68" s="71"/>
      <c r="T68" s="71"/>
      <c r="U68" s="71"/>
      <c r="V68" s="71"/>
      <c r="W68" s="71"/>
      <c r="X68" s="71"/>
      <c r="Y68" s="71"/>
      <c r="Z68" s="71"/>
      <c r="AA68" s="71"/>
      <c r="AB68" s="71"/>
      <c r="AC68" s="305">
        <f t="shared" ref="AC68:AI69" si="282">AC$58*BV56</f>
        <v>0.33838528353318637</v>
      </c>
      <c r="AD68" s="71">
        <f t="shared" si="282"/>
        <v>0.34777980725195684</v>
      </c>
      <c r="AE68" s="71">
        <f t="shared" si="282"/>
        <v>0.35361685040176855</v>
      </c>
      <c r="AF68" s="71">
        <f t="shared" si="282"/>
        <v>0.37937487382182444</v>
      </c>
      <c r="AG68" s="71">
        <f t="shared" si="282"/>
        <v>0.38888099165438827</v>
      </c>
      <c r="AH68" s="71">
        <f t="shared" si="282"/>
        <v>0.398387109486952</v>
      </c>
      <c r="AI68" s="71">
        <f t="shared" si="282"/>
        <v>0.40789322731951594</v>
      </c>
      <c r="AJ68" s="417"/>
      <c r="AK68" s="66" t="s">
        <v>2227</v>
      </c>
      <c r="AL68">
        <v>3</v>
      </c>
      <c r="AM68">
        <v>1</v>
      </c>
      <c r="AN68">
        <v>1</v>
      </c>
      <c r="AO68">
        <v>3</v>
      </c>
      <c r="AP68">
        <v>1</v>
      </c>
      <c r="AT68" s="33" t="s">
        <v>1604</v>
      </c>
      <c r="AV68" s="33">
        <v>2020</v>
      </c>
      <c r="BA68" s="74" t="s">
        <v>1051</v>
      </c>
      <c r="DG68" s="87" t="s">
        <v>1627</v>
      </c>
      <c r="DH68">
        <v>2018</v>
      </c>
      <c r="DI68">
        <v>2021</v>
      </c>
      <c r="DJ68">
        <v>2022</v>
      </c>
      <c r="DK68">
        <v>2025</v>
      </c>
      <c r="DL68">
        <v>2030</v>
      </c>
      <c r="DM68">
        <v>2035</v>
      </c>
      <c r="DN68">
        <v>2040</v>
      </c>
      <c r="DO68">
        <v>2045</v>
      </c>
      <c r="DP68" s="63">
        <v>2050</v>
      </c>
      <c r="EA68" s="88"/>
      <c r="EB68" s="88"/>
      <c r="EC68" s="88"/>
      <c r="ED68" s="88"/>
      <c r="EE68" s="88"/>
      <c r="EF68" s="88"/>
      <c r="EG68" s="88"/>
    </row>
    <row r="69" spans="1:137" ht="15.5" x14ac:dyDescent="0.35">
      <c r="A69" t="s">
        <v>1214</v>
      </c>
      <c r="B69" t="s">
        <v>2093</v>
      </c>
      <c r="C69" t="s">
        <v>453</v>
      </c>
      <c r="D69" t="s">
        <v>2261</v>
      </c>
      <c r="E69" t="s">
        <v>851</v>
      </c>
      <c r="F69">
        <v>2022</v>
      </c>
      <c r="G69" s="63" t="s">
        <v>283</v>
      </c>
      <c r="H69" s="71"/>
      <c r="I69" s="71"/>
      <c r="J69" s="71"/>
      <c r="K69" s="71"/>
      <c r="L69" s="71"/>
      <c r="M69" s="71"/>
      <c r="N69" s="71"/>
      <c r="O69" s="71"/>
      <c r="P69" s="71"/>
      <c r="Q69" s="71"/>
      <c r="R69" s="71"/>
      <c r="S69" s="71"/>
      <c r="T69" s="71"/>
      <c r="U69" s="71"/>
      <c r="V69" s="71"/>
      <c r="W69" s="71"/>
      <c r="X69" s="71"/>
      <c r="Y69" s="71"/>
      <c r="Z69" s="71"/>
      <c r="AA69" s="71"/>
      <c r="AB69" s="71"/>
      <c r="AC69" s="305">
        <f t="shared" si="282"/>
        <v>0.33354747009181668</v>
      </c>
      <c r="AD69" s="71">
        <f t="shared" si="282"/>
        <v>0.34274200385004355</v>
      </c>
      <c r="AE69" s="71">
        <f t="shared" si="282"/>
        <v>0.34840991068053695</v>
      </c>
      <c r="AF69" s="71">
        <f t="shared" si="282"/>
        <v>0.37410082295820796</v>
      </c>
      <c r="AG69" s="71">
        <f t="shared" si="282"/>
        <v>0.38341087466802964</v>
      </c>
      <c r="AH69" s="71">
        <f t="shared" si="282"/>
        <v>0.39272092637785144</v>
      </c>
      <c r="AI69" s="71">
        <f t="shared" si="282"/>
        <v>0.40203097808767324</v>
      </c>
      <c r="AJ69" s="417"/>
      <c r="AK69" s="66" t="s">
        <v>2227</v>
      </c>
      <c r="AL69">
        <v>3</v>
      </c>
      <c r="AM69">
        <v>1</v>
      </c>
      <c r="AN69">
        <v>1</v>
      </c>
      <c r="AO69">
        <v>3</v>
      </c>
      <c r="AP69">
        <v>1</v>
      </c>
      <c r="AT69" s="17" t="s">
        <v>1586</v>
      </c>
      <c r="AU69" t="s">
        <v>1586</v>
      </c>
      <c r="AV69" s="35">
        <f>'Background Data'!AP64</f>
        <v>0.34046005535935858</v>
      </c>
      <c r="CX69" s="189" t="s">
        <v>2225</v>
      </c>
      <c r="DG69" s="87" t="s">
        <v>1835</v>
      </c>
      <c r="DI69">
        <v>20.000721955964547</v>
      </c>
      <c r="DJ69">
        <f>(DK69-DI69)/2 + DI69</f>
        <v>19.36619075178757</v>
      </c>
      <c r="DK69">
        <v>18.731659547610597</v>
      </c>
      <c r="DL69">
        <v>17.653181833685419</v>
      </c>
      <c r="DM69">
        <v>16.902469505731968</v>
      </c>
      <c r="DN69">
        <f t="shared" ref="DN69:DO71" si="283">($DP69-$DM69)/3 + DM69</f>
        <v>16.31144582487094</v>
      </c>
      <c r="DO69">
        <f t="shared" si="283"/>
        <v>15.720422144009913</v>
      </c>
      <c r="DP69" s="63">
        <v>15.129398463148883</v>
      </c>
      <c r="EA69" s="88"/>
      <c r="EB69" s="88"/>
      <c r="EC69" s="88"/>
      <c r="ED69" s="88"/>
      <c r="EE69" s="88"/>
      <c r="EF69" s="88"/>
      <c r="EG69" s="88"/>
    </row>
    <row r="70" spans="1:137" ht="15" thickBot="1" x14ac:dyDescent="0.4">
      <c r="A70" t="s">
        <v>1194</v>
      </c>
      <c r="B70" t="s">
        <v>1094</v>
      </c>
      <c r="C70" t="s">
        <v>14</v>
      </c>
      <c r="D70" t="s">
        <v>2261</v>
      </c>
      <c r="E70" t="s">
        <v>851</v>
      </c>
      <c r="F70">
        <v>2022</v>
      </c>
      <c r="G70" s="63" t="s">
        <v>283</v>
      </c>
      <c r="H70" s="71"/>
      <c r="I70" s="71"/>
      <c r="J70" s="71"/>
      <c r="K70" s="71"/>
      <c r="L70" s="71"/>
      <c r="M70" s="71"/>
      <c r="N70" s="71"/>
      <c r="O70" s="71"/>
      <c r="P70" s="71"/>
      <c r="Q70" s="71"/>
      <c r="R70" s="71"/>
      <c r="S70" s="71"/>
      <c r="T70" s="71"/>
      <c r="U70" s="71"/>
      <c r="V70" s="71"/>
      <c r="W70" s="71"/>
      <c r="X70" s="71"/>
      <c r="Y70" s="71"/>
      <c r="Z70" s="71"/>
      <c r="AA70" s="71"/>
      <c r="AB70" s="71"/>
      <c r="AC70" s="305">
        <f t="shared" ref="AC70:AI70" si="284">AC71*DGE_GGE</f>
        <v>0.16688637048485255</v>
      </c>
      <c r="AD70" s="71">
        <f t="shared" si="284"/>
        <v>0.17890589175979435</v>
      </c>
      <c r="AE70" s="71">
        <f t="shared" si="284"/>
        <v>0.1897695544141908</v>
      </c>
      <c r="AF70" s="71">
        <f t="shared" si="284"/>
        <v>0.19859272204380868</v>
      </c>
      <c r="AG70" s="71">
        <f t="shared" si="284"/>
        <v>0.20618980108921192</v>
      </c>
      <c r="AH70" s="71">
        <f t="shared" si="284"/>
        <v>0.21378688013461514</v>
      </c>
      <c r="AI70" s="71">
        <f t="shared" si="284"/>
        <v>0.22138395918001827</v>
      </c>
      <c r="AJ70" s="417">
        <f>AC70/AB17</f>
        <v>0.87943711896394705</v>
      </c>
      <c r="AK70" s="66" t="s">
        <v>2228</v>
      </c>
      <c r="AL70">
        <v>3</v>
      </c>
      <c r="AM70">
        <v>1</v>
      </c>
      <c r="AN70">
        <v>1</v>
      </c>
      <c r="AO70">
        <v>3</v>
      </c>
      <c r="AP70">
        <v>1</v>
      </c>
      <c r="AT70" s="17" t="s">
        <v>1587</v>
      </c>
      <c r="AU70" t="s">
        <v>1587</v>
      </c>
      <c r="AV70" s="35">
        <f>'Background Data'!AP65</f>
        <v>8.5186599217333209E-2</v>
      </c>
      <c r="BA70" s="410" t="s">
        <v>1830</v>
      </c>
      <c r="CX70" s="105" t="s">
        <v>245</v>
      </c>
      <c r="CY70" s="105">
        <v>2021</v>
      </c>
      <c r="CZ70" s="105">
        <v>2025</v>
      </c>
      <c r="DA70" s="105">
        <v>2030</v>
      </c>
      <c r="DB70" s="105">
        <v>2035</v>
      </c>
      <c r="DC70" s="105">
        <v>2040</v>
      </c>
      <c r="DD70" s="105">
        <v>2045</v>
      </c>
      <c r="DE70" s="105">
        <v>2050</v>
      </c>
      <c r="DG70" s="87" t="s">
        <v>1836</v>
      </c>
      <c r="DI70">
        <v>19.239945071804911</v>
      </c>
      <c r="DJ70">
        <f>(DK70-DI70)/2 + DI70</f>
        <v>18.572849776093054</v>
      </c>
      <c r="DK70">
        <v>17.905754480381198</v>
      </c>
      <c r="DL70">
        <v>16.528541358628413</v>
      </c>
      <c r="DM70">
        <v>15.77857531689115</v>
      </c>
      <c r="DN70">
        <f t="shared" si="283"/>
        <v>15.232063309435716</v>
      </c>
      <c r="DO70">
        <f t="shared" si="283"/>
        <v>14.685551301980283</v>
      </c>
      <c r="DP70" s="63">
        <v>14.139039294524851</v>
      </c>
      <c r="EA70" s="88"/>
      <c r="EB70" s="88"/>
      <c r="EC70" s="88"/>
      <c r="ED70" s="88"/>
      <c r="EE70" s="88"/>
      <c r="EF70" s="88"/>
      <c r="EG70" s="88"/>
    </row>
    <row r="71" spans="1:137" ht="15.5" thickTop="1" thickBot="1" x14ac:dyDescent="0.4">
      <c r="A71" t="s">
        <v>1215</v>
      </c>
      <c r="B71" t="s">
        <v>10</v>
      </c>
      <c r="C71" t="s">
        <v>14</v>
      </c>
      <c r="D71" t="s">
        <v>2261</v>
      </c>
      <c r="E71" t="s">
        <v>851</v>
      </c>
      <c r="F71">
        <v>2022</v>
      </c>
      <c r="G71" s="63" t="s">
        <v>283</v>
      </c>
      <c r="H71" s="71"/>
      <c r="I71" s="71"/>
      <c r="J71" s="71"/>
      <c r="K71" s="71"/>
      <c r="L71" s="71"/>
      <c r="M71" s="71"/>
      <c r="N71" s="71"/>
      <c r="O71" s="71"/>
      <c r="P71" s="71"/>
      <c r="Q71" s="71"/>
      <c r="R71" s="71"/>
      <c r="S71" s="71"/>
      <c r="T71" s="71"/>
      <c r="U71" s="71"/>
      <c r="V71" s="71"/>
      <c r="W71" s="71"/>
      <c r="X71" s="71"/>
      <c r="Y71" s="71"/>
      <c r="Z71" s="71"/>
      <c r="AA71" s="71"/>
      <c r="AB71" s="71"/>
      <c r="AC71" s="305">
        <f t="shared" ref="AC71:AI71" si="285">$AB18*CY35</f>
        <v>0.19189935461272495</v>
      </c>
      <c r="AD71" s="71">
        <f t="shared" si="285"/>
        <v>0.20572036569178487</v>
      </c>
      <c r="AE71" s="71">
        <f t="shared" si="285"/>
        <v>0.21821227767987778</v>
      </c>
      <c r="AF71" s="71">
        <f t="shared" si="285"/>
        <v>0.22835786457738438</v>
      </c>
      <c r="AG71" s="71">
        <f t="shared" si="285"/>
        <v>0.23709359633018839</v>
      </c>
      <c r="AH71" s="71">
        <f t="shared" si="285"/>
        <v>0.24582932808299235</v>
      </c>
      <c r="AI71" s="71">
        <f t="shared" si="285"/>
        <v>0.25456505983579625</v>
      </c>
      <c r="AJ71" s="417">
        <f>AC71/AB18</f>
        <v>1</v>
      </c>
      <c r="AK71" s="66" t="s">
        <v>2228</v>
      </c>
      <c r="AL71">
        <v>3</v>
      </c>
      <c r="AM71">
        <v>1</v>
      </c>
      <c r="AN71">
        <v>1</v>
      </c>
      <c r="AO71">
        <v>3</v>
      </c>
      <c r="AP71">
        <v>1</v>
      </c>
      <c r="AT71" s="17" t="s">
        <v>1588</v>
      </c>
      <c r="AU71" t="s">
        <v>1588</v>
      </c>
      <c r="AV71" s="35">
        <f>'Background Data'!AP66</f>
        <v>0.29951321943304382</v>
      </c>
      <c r="BA71" s="105" t="s">
        <v>1823</v>
      </c>
      <c r="BB71" s="105" t="s">
        <v>94</v>
      </c>
      <c r="BC71" s="105">
        <v>2005</v>
      </c>
      <c r="BD71" s="105">
        <v>2020</v>
      </c>
      <c r="BE71" s="105">
        <v>2035</v>
      </c>
      <c r="BF71" s="105">
        <v>2050</v>
      </c>
      <c r="CX71" t="s">
        <v>1727</v>
      </c>
      <c r="CY71" s="73">
        <f>CO63/$CO$63</f>
        <v>1</v>
      </c>
      <c r="CZ71" s="73">
        <f t="shared" ref="CZ71:DE71" si="286">CP63/$CO$63</f>
        <v>1.0708958993417939</v>
      </c>
      <c r="DA71" s="73">
        <f t="shared" si="286"/>
        <v>1.1367001346415166</v>
      </c>
      <c r="DB71" s="73">
        <f t="shared" si="286"/>
        <v>1.1953310745733756</v>
      </c>
      <c r="DC71" s="73">
        <f t="shared" si="286"/>
        <v>1.2450675605312482</v>
      </c>
      <c r="DD71" s="73">
        <f t="shared" si="286"/>
        <v>1.2948040464891208</v>
      </c>
      <c r="DE71" s="73">
        <f t="shared" si="286"/>
        <v>1.3445405324469932</v>
      </c>
      <c r="DG71" s="87" t="s">
        <v>1837</v>
      </c>
      <c r="DI71">
        <v>23.314367568538266</v>
      </c>
      <c r="DJ71">
        <f>(DK71-DI71)/2 + DI71</f>
        <v>22.582352584691805</v>
      </c>
      <c r="DK71">
        <v>21.850337600845343</v>
      </c>
      <c r="DL71">
        <v>20.603794817858521</v>
      </c>
      <c r="DM71">
        <v>19.73831254809431</v>
      </c>
      <c r="DN71">
        <f t="shared" si="283"/>
        <v>19.066161967773322</v>
      </c>
      <c r="DO71">
        <f t="shared" si="283"/>
        <v>18.394011387452334</v>
      </c>
      <c r="DP71" s="63">
        <v>17.721860807131343</v>
      </c>
      <c r="EA71" s="88"/>
      <c r="EB71" s="88"/>
      <c r="EC71" s="88"/>
      <c r="ED71" s="88"/>
      <c r="EE71" s="88"/>
      <c r="EF71" s="88"/>
      <c r="EG71" s="88"/>
    </row>
    <row r="72" spans="1:137" ht="15" thickTop="1" x14ac:dyDescent="0.35">
      <c r="A72" t="s">
        <v>1217</v>
      </c>
      <c r="B72" t="s">
        <v>10</v>
      </c>
      <c r="C72" t="s">
        <v>14</v>
      </c>
      <c r="D72" t="s">
        <v>2261</v>
      </c>
      <c r="E72" t="s">
        <v>851</v>
      </c>
      <c r="F72">
        <v>2022</v>
      </c>
      <c r="G72" s="63" t="s">
        <v>283</v>
      </c>
      <c r="H72" s="71"/>
      <c r="I72" s="71"/>
      <c r="J72" s="71"/>
      <c r="K72" s="71"/>
      <c r="L72" s="71"/>
      <c r="M72" s="71"/>
      <c r="N72" s="71"/>
      <c r="O72" s="71"/>
      <c r="P72" s="71"/>
      <c r="Q72" s="71"/>
      <c r="R72" s="71"/>
      <c r="S72" s="71"/>
      <c r="T72" s="71"/>
      <c r="U72" s="71"/>
      <c r="V72" s="71"/>
      <c r="W72" s="71"/>
      <c r="X72" s="71"/>
      <c r="Y72" s="71"/>
      <c r="Z72" s="71"/>
      <c r="AA72" s="71"/>
      <c r="AB72" s="71"/>
      <c r="AC72" s="305">
        <f t="shared" ref="AC72:AI76" si="287">AC$71*CY36</f>
        <v>0.26141500816494129</v>
      </c>
      <c r="AD72" s="71">
        <f t="shared" si="287"/>
        <v>0.28394913191136584</v>
      </c>
      <c r="AE72" s="71">
        <f t="shared" si="287"/>
        <v>0.30715433211082532</v>
      </c>
      <c r="AF72" s="71">
        <f t="shared" si="287"/>
        <v>0.32625184148060199</v>
      </c>
      <c r="AG72" s="71">
        <f t="shared" si="287"/>
        <v>0.34273937834970369</v>
      </c>
      <c r="AH72" s="71">
        <f t="shared" si="287"/>
        <v>0.35922691521880534</v>
      </c>
      <c r="AI72" s="71">
        <f t="shared" si="287"/>
        <v>0.37571445208790699</v>
      </c>
      <c r="AJ72" s="417"/>
      <c r="AK72" s="66" t="s">
        <v>2228</v>
      </c>
      <c r="AL72">
        <v>3</v>
      </c>
      <c r="AM72">
        <v>1</v>
      </c>
      <c r="AN72">
        <v>1</v>
      </c>
      <c r="AO72">
        <v>3</v>
      </c>
      <c r="AP72">
        <v>1</v>
      </c>
      <c r="AT72" s="17" t="s">
        <v>1589</v>
      </c>
      <c r="AU72" t="s">
        <v>1589</v>
      </c>
      <c r="AV72" s="35">
        <f>'Background Data'!AP67</f>
        <v>4.0946835926314783E-2</v>
      </c>
      <c r="BA72" t="s">
        <v>1824</v>
      </c>
      <c r="BB72" t="s">
        <v>1825</v>
      </c>
      <c r="BC72" s="73">
        <v>0.83526994212715133</v>
      </c>
      <c r="BD72" s="73">
        <v>0.74246217077969012</v>
      </c>
      <c r="BE72" s="73">
        <v>0.66821595370172115</v>
      </c>
      <c r="BF72" s="73">
        <v>0.6074690488197465</v>
      </c>
      <c r="BT72" s="33"/>
      <c r="CX72" t="s">
        <v>828</v>
      </c>
      <c r="CY72" s="73">
        <f>CO64/CO63</f>
        <v>1.1945940435790887</v>
      </c>
      <c r="CZ72" s="73">
        <f t="shared" ref="CZ72:DE72" si="288">CP64/CP63</f>
        <v>1.2257178968663938</v>
      </c>
      <c r="DA72" s="73">
        <f t="shared" si="288"/>
        <v>1.2232043967202682</v>
      </c>
      <c r="DB72" s="73">
        <f t="shared" si="288"/>
        <v>1.2227343162928617</v>
      </c>
      <c r="DC72" s="73">
        <f t="shared" si="288"/>
        <v>1.2329007664731437</v>
      </c>
      <c r="DD72" s="73">
        <f t="shared" si="288"/>
        <v>1.2422861818582318</v>
      </c>
      <c r="DE72" s="73">
        <f t="shared" si="288"/>
        <v>1.2509772372456192</v>
      </c>
      <c r="DG72" s="87" t="s">
        <v>1838</v>
      </c>
      <c r="DH72">
        <v>23.288625667468132</v>
      </c>
      <c r="DI72">
        <f>($DK$72-$DH$72)/3 + DH72</f>
        <v>20.859426618253771</v>
      </c>
      <c r="DJ72">
        <f>($DK$72-$DH$72)/3 + DI72</f>
        <v>18.43022756903941</v>
      </c>
      <c r="DK72">
        <v>16.001028519825045</v>
      </c>
      <c r="DL72">
        <v>15.473721898148993</v>
      </c>
      <c r="DM72">
        <v>14.946415276472941</v>
      </c>
      <c r="DN72">
        <v>14.419108654796888</v>
      </c>
      <c r="DO72">
        <v>13.891802033120836</v>
      </c>
      <c r="DP72" s="63">
        <v>13.36449541144478</v>
      </c>
      <c r="EA72" s="88"/>
      <c r="EB72" s="88"/>
      <c r="EC72" s="88"/>
      <c r="ED72" s="88"/>
      <c r="EE72" s="88"/>
      <c r="EF72" s="88"/>
      <c r="EG72" s="88"/>
    </row>
    <row r="73" spans="1:137" x14ac:dyDescent="0.35">
      <c r="A73" t="s">
        <v>1218</v>
      </c>
      <c r="B73" t="s">
        <v>503</v>
      </c>
      <c r="C73" t="s">
        <v>14</v>
      </c>
      <c r="D73" t="s">
        <v>2261</v>
      </c>
      <c r="E73" t="s">
        <v>851</v>
      </c>
      <c r="F73">
        <v>2022</v>
      </c>
      <c r="G73" s="63" t="s">
        <v>283</v>
      </c>
      <c r="AC73" s="305">
        <f t="shared" si="287"/>
        <v>0.69499991154775764</v>
      </c>
      <c r="AD73" s="71">
        <f t="shared" si="287"/>
        <v>0.76312798801257231</v>
      </c>
      <c r="AE73" s="71">
        <f t="shared" si="287"/>
        <v>0.82311189887961422</v>
      </c>
      <c r="AF73" s="71">
        <f t="shared" si="287"/>
        <v>0.88361659204113385</v>
      </c>
      <c r="AG73" s="71">
        <f t="shared" si="287"/>
        <v>0.92636343146779687</v>
      </c>
      <c r="AH73" s="71">
        <f t="shared" si="287"/>
        <v>0.96911027089445956</v>
      </c>
      <c r="AI73" s="71">
        <f t="shared" si="287"/>
        <v>1.0118571103211225</v>
      </c>
      <c r="AJ73" s="417"/>
      <c r="AK73" s="66" t="s">
        <v>2228</v>
      </c>
      <c r="AL73">
        <v>3</v>
      </c>
      <c r="AM73">
        <v>1</v>
      </c>
      <c r="AN73">
        <v>1</v>
      </c>
      <c r="AO73">
        <v>3</v>
      </c>
      <c r="AP73">
        <v>1</v>
      </c>
      <c r="AT73" s="17" t="s">
        <v>1590</v>
      </c>
      <c r="AU73" t="s">
        <v>1590</v>
      </c>
      <c r="AV73" s="35">
        <f>'Background Data'!AP68</f>
        <v>0.2338932900639496</v>
      </c>
      <c r="BB73" t="s">
        <v>246</v>
      </c>
      <c r="BC73" s="73">
        <v>0.25434250280698495</v>
      </c>
      <c r="BD73" s="73">
        <v>0.25168387037346246</v>
      </c>
      <c r="BE73" s="73">
        <v>0.24908024412821977</v>
      </c>
      <c r="BF73" s="73">
        <v>0.24652993446137797</v>
      </c>
      <c r="CX73" t="s">
        <v>246</v>
      </c>
      <c r="CY73" s="73">
        <f>1/('Background Data'!$BG$77/'Background Data'!$BG$71)</f>
        <v>1.7886178861788617</v>
      </c>
      <c r="CZ73" s="73">
        <f>1/('Background Data'!$BG$77/'Background Data'!$BG$71)</f>
        <v>1.7886178861788617</v>
      </c>
      <c r="DA73" s="73">
        <f>1/('Background Data'!$BG$77/'Background Data'!$BG$71)</f>
        <v>1.7886178861788617</v>
      </c>
      <c r="DB73" s="73">
        <f>1/('Background Data'!$BG$78/'Background Data'!$BG$72)</f>
        <v>1.9263157894736846</v>
      </c>
      <c r="DC73" s="73">
        <f>1/('Background Data'!$BG$78/'Background Data'!$BG$72)</f>
        <v>1.9263157894736846</v>
      </c>
      <c r="DD73" s="73">
        <f>1/('Background Data'!$BG$78/'Background Data'!$BG$72)</f>
        <v>1.9263157894736846</v>
      </c>
      <c r="DE73" s="73">
        <f>1/('Background Data'!$BG$78/'Background Data'!$BG$72)</f>
        <v>1.9263157894736846</v>
      </c>
      <c r="DG73" s="413" t="s">
        <v>1626</v>
      </c>
      <c r="DH73" s="249"/>
      <c r="DI73" s="249"/>
      <c r="DJ73" s="249">
        <v>25.584400005680866</v>
      </c>
      <c r="DK73" s="249">
        <v>24.10473564496705</v>
      </c>
      <c r="DL73" s="249">
        <v>21.522299103709507</v>
      </c>
      <c r="DM73" s="249">
        <v>19.579648899313064</v>
      </c>
      <c r="DN73" s="249">
        <v>18.442538308062968</v>
      </c>
      <c r="DO73" s="249">
        <v>17.802999706589407</v>
      </c>
      <c r="DP73" s="250">
        <v>17.444209316865646</v>
      </c>
      <c r="EA73" s="88"/>
      <c r="EB73" s="88"/>
      <c r="EC73" s="88"/>
      <c r="ED73" s="88"/>
      <c r="EE73" s="88"/>
      <c r="EF73" s="88"/>
      <c r="EG73" s="88"/>
    </row>
    <row r="74" spans="1:137" x14ac:dyDescent="0.35">
      <c r="A74" t="s">
        <v>1245</v>
      </c>
      <c r="B74" t="s">
        <v>2011</v>
      </c>
      <c r="C74" t="s">
        <v>14</v>
      </c>
      <c r="D74" t="s">
        <v>2261</v>
      </c>
      <c r="E74" t="s">
        <v>851</v>
      </c>
      <c r="F74">
        <v>2022</v>
      </c>
      <c r="G74" s="63" t="s">
        <v>283</v>
      </c>
      <c r="AC74" s="305">
        <f t="shared" si="287"/>
        <v>1.022544767616608</v>
      </c>
      <c r="AD74" s="71">
        <f t="shared" si="287"/>
        <v>1.1029174485924165</v>
      </c>
      <c r="AE74" s="71">
        <f t="shared" si="287"/>
        <v>1.1835982996001593</v>
      </c>
      <c r="AF74" s="71">
        <f t="shared" si="287"/>
        <v>1.2571641786176548</v>
      </c>
      <c r="AG74" s="71">
        <f t="shared" si="287"/>
        <v>1.3071792889751894</v>
      </c>
      <c r="AH74" s="71">
        <f t="shared" si="287"/>
        <v>1.3571943993327242</v>
      </c>
      <c r="AI74" s="71">
        <f t="shared" si="287"/>
        <v>1.4072095096902586</v>
      </c>
      <c r="AJ74" s="417"/>
      <c r="AK74" s="66" t="s">
        <v>2228</v>
      </c>
      <c r="AL74">
        <v>3</v>
      </c>
      <c r="AM74">
        <v>1</v>
      </c>
      <c r="AN74">
        <v>1</v>
      </c>
      <c r="AO74">
        <v>3</v>
      </c>
      <c r="AP74">
        <v>1</v>
      </c>
      <c r="AV74" s="35"/>
      <c r="BA74" t="s">
        <v>1826</v>
      </c>
      <c r="BB74" t="s">
        <v>1825</v>
      </c>
      <c r="BC74" s="73">
        <v>1.35</v>
      </c>
      <c r="BD74" s="73">
        <v>1.2</v>
      </c>
      <c r="BE74" s="73">
        <v>1.08</v>
      </c>
      <c r="BF74" s="73">
        <v>0.98181818181818192</v>
      </c>
      <c r="CX74" t="s">
        <v>627</v>
      </c>
      <c r="CY74" s="73">
        <f>CO66/CO65</f>
        <v>0.47705260246865011</v>
      </c>
      <c r="CZ74" s="73">
        <f t="shared" ref="CZ74:DE74" si="289">CP66/CP65</f>
        <v>0.47038422221509857</v>
      </c>
      <c r="DA74" s="73">
        <f t="shared" si="289"/>
        <v>0.47033426102270626</v>
      </c>
      <c r="DB74" s="73">
        <f t="shared" si="289"/>
        <v>0.46430914578166532</v>
      </c>
      <c r="DC74" s="73">
        <f t="shared" si="289"/>
        <v>0.46277999199613551</v>
      </c>
      <c r="DD74" s="73">
        <f t="shared" si="289"/>
        <v>0.46135676943731302</v>
      </c>
      <c r="DE74" s="73">
        <f t="shared" si="289"/>
        <v>0.46002883912485332</v>
      </c>
      <c r="EA74" s="88"/>
      <c r="EB74" s="88"/>
      <c r="EC74" s="88"/>
      <c r="ED74" s="88"/>
      <c r="EE74" s="88"/>
      <c r="EF74" s="88"/>
      <c r="EG74" s="88"/>
    </row>
    <row r="75" spans="1:137" x14ac:dyDescent="0.35">
      <c r="A75" t="s">
        <v>1246</v>
      </c>
      <c r="B75" t="s">
        <v>2094</v>
      </c>
      <c r="C75" t="s">
        <v>14</v>
      </c>
      <c r="D75" t="s">
        <v>2261</v>
      </c>
      <c r="E75" t="s">
        <v>851</v>
      </c>
      <c r="F75">
        <v>2022</v>
      </c>
      <c r="G75" s="63" t="s">
        <v>283</v>
      </c>
      <c r="AC75" s="305">
        <f t="shared" si="287"/>
        <v>0.50648629071845186</v>
      </c>
      <c r="AD75" s="71">
        <f t="shared" si="287"/>
        <v>0.53929346001558665</v>
      </c>
      <c r="AE75" s="71">
        <f t="shared" si="287"/>
        <v>0.57627986996310931</v>
      </c>
      <c r="AF75" s="71">
        <f t="shared" si="287"/>
        <v>0.60522911737359641</v>
      </c>
      <c r="AG75" s="71">
        <f t="shared" si="287"/>
        <v>0.62654269973028809</v>
      </c>
      <c r="AH75" s="71">
        <f t="shared" si="287"/>
        <v>0.64785628208697965</v>
      </c>
      <c r="AI75" s="71">
        <f t="shared" si="287"/>
        <v>0.66916986444367099</v>
      </c>
      <c r="AJ75" s="417"/>
      <c r="AK75" s="66" t="s">
        <v>2228</v>
      </c>
      <c r="AL75">
        <v>3</v>
      </c>
      <c r="AM75">
        <v>1</v>
      </c>
      <c r="AN75">
        <v>1</v>
      </c>
      <c r="AO75">
        <v>3</v>
      </c>
      <c r="AP75">
        <v>1</v>
      </c>
      <c r="AT75" s="375" t="s">
        <v>1681</v>
      </c>
      <c r="AV75" s="35"/>
      <c r="BB75" t="s">
        <v>246</v>
      </c>
      <c r="BC75" s="73">
        <v>0.45696071749258971</v>
      </c>
      <c r="BD75" s="73">
        <v>0.45218412462681351</v>
      </c>
      <c r="BE75" s="73">
        <v>0.44750635782032927</v>
      </c>
      <c r="BF75" s="73">
        <v>0.4429243814603942</v>
      </c>
      <c r="CX75" s="495" t="s">
        <v>2311</v>
      </c>
      <c r="CY75" s="495"/>
      <c r="CZ75" s="495"/>
      <c r="DA75" s="495"/>
      <c r="DB75" s="495"/>
      <c r="DC75" s="495"/>
      <c r="DD75" s="495"/>
      <c r="DE75" s="495"/>
      <c r="EA75" s="88"/>
      <c r="EB75" s="88"/>
      <c r="EC75" s="88"/>
      <c r="ED75" s="88"/>
      <c r="EE75" s="88"/>
      <c r="EF75" s="88"/>
      <c r="EG75" s="88"/>
    </row>
    <row r="76" spans="1:137" ht="15" thickBot="1" x14ac:dyDescent="0.4">
      <c r="A76" t="s">
        <v>1247</v>
      </c>
      <c r="B76" t="s">
        <v>2094</v>
      </c>
      <c r="C76" t="s">
        <v>14</v>
      </c>
      <c r="D76" t="s">
        <v>2261</v>
      </c>
      <c r="E76" t="s">
        <v>851</v>
      </c>
      <c r="F76">
        <v>2022</v>
      </c>
      <c r="G76" s="63" t="s">
        <v>283</v>
      </c>
      <c r="AC76" s="305">
        <f t="shared" si="287"/>
        <v>0.53036053707732111</v>
      </c>
      <c r="AD76" s="71">
        <f t="shared" si="287"/>
        <v>0.57158682858827703</v>
      </c>
      <c r="AE76" s="71">
        <f t="shared" si="287"/>
        <v>0.61475379488720261</v>
      </c>
      <c r="AF76" s="71">
        <f t="shared" si="287"/>
        <v>0.65152964223262855</v>
      </c>
      <c r="AG76" s="71">
        <f t="shared" si="287"/>
        <v>0.67859334676583982</v>
      </c>
      <c r="AH76" s="71">
        <f t="shared" si="287"/>
        <v>0.70565705129905099</v>
      </c>
      <c r="AI76" s="71">
        <f t="shared" si="287"/>
        <v>0.73272075583226204</v>
      </c>
      <c r="AJ76" s="417"/>
      <c r="AK76" s="66" t="s">
        <v>2228</v>
      </c>
      <c r="AL76">
        <v>3</v>
      </c>
      <c r="AM76">
        <v>1</v>
      </c>
      <c r="AN76">
        <v>1</v>
      </c>
      <c r="AO76">
        <v>3</v>
      </c>
      <c r="AP76">
        <v>1</v>
      </c>
      <c r="AT76" s="105" t="s">
        <v>1595</v>
      </c>
      <c r="AU76" s="105" t="s">
        <v>743</v>
      </c>
      <c r="AV76" s="105" t="s">
        <v>2189</v>
      </c>
      <c r="BA76" t="s">
        <v>1827</v>
      </c>
      <c r="BB76" t="s">
        <v>1825</v>
      </c>
      <c r="BC76" s="73">
        <v>1.8066273214542745</v>
      </c>
      <c r="BD76" s="73">
        <v>1.6058909524037996</v>
      </c>
      <c r="BE76" s="73">
        <v>1.4453018571634197</v>
      </c>
      <c r="BF76" s="73">
        <v>1.3139107792394724</v>
      </c>
      <c r="CX76" s="495"/>
      <c r="CY76" s="495"/>
      <c r="CZ76" s="495"/>
      <c r="DA76" s="495"/>
      <c r="DB76" s="495"/>
      <c r="DC76" s="495"/>
      <c r="DD76" s="495"/>
      <c r="DE76" s="495"/>
      <c r="EA76" s="88"/>
      <c r="EB76" s="88"/>
      <c r="EC76" s="88"/>
      <c r="ED76" s="88"/>
      <c r="EE76" s="88"/>
      <c r="EF76" s="88"/>
      <c r="EG76" s="88"/>
    </row>
    <row r="77" spans="1:137" ht="15" thickTop="1" x14ac:dyDescent="0.35">
      <c r="A77" t="s">
        <v>1249</v>
      </c>
      <c r="B77" t="s">
        <v>10</v>
      </c>
      <c r="C77" t="s">
        <v>15</v>
      </c>
      <c r="D77" t="s">
        <v>2261</v>
      </c>
      <c r="E77" t="s">
        <v>851</v>
      </c>
      <c r="F77">
        <v>2022</v>
      </c>
      <c r="G77" s="63" t="s">
        <v>283</v>
      </c>
      <c r="AC77" s="305">
        <f t="shared" ref="AC77:AI77" si="290">$AB19*CY42</f>
        <v>0.6952609637813485</v>
      </c>
      <c r="AD77" s="71">
        <f t="shared" si="290"/>
        <v>0.73572608064066602</v>
      </c>
      <c r="AE77" s="71">
        <f t="shared" si="290"/>
        <v>0.77709422684038809</v>
      </c>
      <c r="AF77" s="71">
        <f t="shared" si="290"/>
        <v>0.808036765789933</v>
      </c>
      <c r="AG77" s="71">
        <f t="shared" si="290"/>
        <v>0.83022371967780784</v>
      </c>
      <c r="AH77" s="71">
        <f t="shared" si="290"/>
        <v>0.85241067356568279</v>
      </c>
      <c r="AI77" s="71">
        <f t="shared" si="290"/>
        <v>0.87459762745355762</v>
      </c>
      <c r="AJ77" s="417">
        <f>AC77/AB19</f>
        <v>1</v>
      </c>
      <c r="AK77" s="66" t="s">
        <v>2229</v>
      </c>
      <c r="AL77">
        <v>3</v>
      </c>
      <c r="AM77">
        <v>1</v>
      </c>
      <c r="AN77">
        <v>1</v>
      </c>
      <c r="AO77">
        <v>3</v>
      </c>
      <c r="AP77">
        <v>1</v>
      </c>
      <c r="AT77" s="33" t="s">
        <v>1678</v>
      </c>
      <c r="BB77" t="s">
        <v>246</v>
      </c>
      <c r="BC77" s="73">
        <v>0.52897539079724254</v>
      </c>
      <c r="BD77" s="73">
        <v>0.52344603131155709</v>
      </c>
      <c r="BE77" s="73">
        <v>0.51803107236695489</v>
      </c>
      <c r="BF77" s="73">
        <v>0.51272699995364135</v>
      </c>
      <c r="EA77" s="88"/>
      <c r="EB77" s="88"/>
      <c r="EC77" s="88"/>
      <c r="ED77" s="88"/>
      <c r="EE77" s="88"/>
      <c r="EF77" s="88"/>
      <c r="EG77" s="88"/>
    </row>
    <row r="78" spans="1:137" x14ac:dyDescent="0.35">
      <c r="A78" t="s">
        <v>1250</v>
      </c>
      <c r="B78" t="s">
        <v>10</v>
      </c>
      <c r="C78" t="s">
        <v>15</v>
      </c>
      <c r="D78" t="s">
        <v>2261</v>
      </c>
      <c r="E78" t="s">
        <v>851</v>
      </c>
      <c r="F78">
        <v>2022</v>
      </c>
      <c r="G78" s="63" t="s">
        <v>283</v>
      </c>
      <c r="AC78" s="305">
        <f t="shared" ref="AC78:AI82" si="291">AC$77*CY43</f>
        <v>0.88962049411382993</v>
      </c>
      <c r="AD78" s="71">
        <f t="shared" si="291"/>
        <v>0.95761985515591619</v>
      </c>
      <c r="AE78" s="71">
        <f t="shared" si="291"/>
        <v>1.0225692658046412</v>
      </c>
      <c r="AF78" s="71">
        <f t="shared" si="291"/>
        <v>1.0503911431687845</v>
      </c>
      <c r="AG78" s="71">
        <f t="shared" si="291"/>
        <v>1.0957628220604689</v>
      </c>
      <c r="AH78" s="71">
        <f t="shared" si="291"/>
        <v>1.141134500952153</v>
      </c>
      <c r="AI78" s="71">
        <f t="shared" si="291"/>
        <v>1.1865061798438381</v>
      </c>
      <c r="AJ78" s="417"/>
      <c r="AK78" s="66" t="s">
        <v>2229</v>
      </c>
      <c r="AL78">
        <v>3</v>
      </c>
      <c r="AM78">
        <v>1</v>
      </c>
      <c r="AN78">
        <v>1</v>
      </c>
      <c r="AO78">
        <v>3</v>
      </c>
      <c r="AP78">
        <v>1</v>
      </c>
      <c r="AT78" s="17" t="s">
        <v>1679</v>
      </c>
      <c r="AU78" t="s">
        <v>2178</v>
      </c>
      <c r="AV78" s="34">
        <f>'Background Data'!AO107/SUM('Background Data'!AO107,'Background Data'!AO114)</f>
        <v>0.18272858103533385</v>
      </c>
      <c r="EA78" s="88"/>
      <c r="EB78" s="88"/>
      <c r="EC78" s="88"/>
      <c r="ED78" s="88"/>
      <c r="EE78" s="88"/>
      <c r="EF78" s="88"/>
      <c r="EG78" s="88"/>
    </row>
    <row r="79" spans="1:137" x14ac:dyDescent="0.35">
      <c r="A79" t="s">
        <v>1251</v>
      </c>
      <c r="B79" t="s">
        <v>503</v>
      </c>
      <c r="C79" t="s">
        <v>15</v>
      </c>
      <c r="D79" t="s">
        <v>2261</v>
      </c>
      <c r="E79" t="s">
        <v>851</v>
      </c>
      <c r="F79">
        <v>2022</v>
      </c>
      <c r="G79" s="63" t="s">
        <v>283</v>
      </c>
      <c r="AC79" s="305">
        <f t="shared" si="291"/>
        <v>2.0117039678431365</v>
      </c>
      <c r="AD79" s="71">
        <f t="shared" si="291"/>
        <v>2.2039707447164516</v>
      </c>
      <c r="AE79" s="71">
        <f t="shared" si="291"/>
        <v>2.3962127292239295</v>
      </c>
      <c r="AF79" s="71">
        <f t="shared" si="291"/>
        <v>2.5603494993158029</v>
      </c>
      <c r="AG79" s="71">
        <f t="shared" si="291"/>
        <v>2.6801050316257435</v>
      </c>
      <c r="AH79" s="71">
        <f t="shared" si="291"/>
        <v>2.7998605639356842</v>
      </c>
      <c r="AI79" s="71">
        <f t="shared" si="291"/>
        <v>2.9196160962456252</v>
      </c>
      <c r="AJ79" s="417"/>
      <c r="AK79" s="66" t="s">
        <v>2229</v>
      </c>
      <c r="AL79">
        <v>3</v>
      </c>
      <c r="AM79">
        <v>1</v>
      </c>
      <c r="AN79">
        <v>1</v>
      </c>
      <c r="AO79">
        <v>3</v>
      </c>
      <c r="AP79">
        <v>1</v>
      </c>
      <c r="AT79" s="17" t="s">
        <v>1680</v>
      </c>
      <c r="AU79" t="s">
        <v>2179</v>
      </c>
      <c r="AV79" s="34">
        <f>'Background Data'!AO114/SUM('Background Data'!AO107,'Background Data'!AO114)</f>
        <v>0.81727141896466615</v>
      </c>
      <c r="BA79" s="33" t="s">
        <v>1832</v>
      </c>
      <c r="BJ79" s="33" t="s">
        <v>2217</v>
      </c>
      <c r="EA79" s="88"/>
      <c r="EB79" s="88"/>
      <c r="EC79" s="88"/>
      <c r="ED79" s="88"/>
      <c r="EE79" s="88"/>
      <c r="EF79" s="88"/>
      <c r="EG79" s="88"/>
    </row>
    <row r="80" spans="1:137" ht="15" thickBot="1" x14ac:dyDescent="0.4">
      <c r="A80" t="s">
        <v>1252</v>
      </c>
      <c r="B80" t="s">
        <v>2012</v>
      </c>
      <c r="C80" t="s">
        <v>15</v>
      </c>
      <c r="D80" t="s">
        <v>2261</v>
      </c>
      <c r="E80" t="s">
        <v>851</v>
      </c>
      <c r="F80">
        <v>2022</v>
      </c>
      <c r="G80" s="63" t="s">
        <v>283</v>
      </c>
      <c r="AC80" s="305">
        <f t="shared" si="291"/>
        <v>2.7760840798494208</v>
      </c>
      <c r="AD80" s="71">
        <f t="shared" si="291"/>
        <v>3.0228969754611086</v>
      </c>
      <c r="AE80" s="71">
        <f t="shared" si="291"/>
        <v>3.3081342775178997</v>
      </c>
      <c r="AF80" s="71">
        <f t="shared" si="291"/>
        <v>3.5466261469781921</v>
      </c>
      <c r="AG80" s="71">
        <f t="shared" si="291"/>
        <v>3.7047609825262646</v>
      </c>
      <c r="AH80" s="71">
        <f t="shared" si="291"/>
        <v>3.8628958180743367</v>
      </c>
      <c r="AI80" s="71">
        <f t="shared" si="291"/>
        <v>4.0210306536224092</v>
      </c>
      <c r="AJ80" s="417"/>
      <c r="AK80" s="66" t="s">
        <v>2229</v>
      </c>
      <c r="AL80">
        <v>3</v>
      </c>
      <c r="AM80">
        <v>1</v>
      </c>
      <c r="AN80">
        <v>1</v>
      </c>
      <c r="AO80">
        <v>3</v>
      </c>
      <c r="AP80">
        <v>1</v>
      </c>
      <c r="BA80" s="105" t="s">
        <v>1831</v>
      </c>
      <c r="BB80" s="105">
        <v>2020</v>
      </c>
      <c r="BC80" s="105">
        <v>2025</v>
      </c>
      <c r="BD80" s="105">
        <v>2030</v>
      </c>
      <c r="BE80" s="105">
        <v>2035</v>
      </c>
      <c r="BF80" s="105">
        <v>2040</v>
      </c>
      <c r="BG80" s="105">
        <v>2045</v>
      </c>
      <c r="BH80" s="105">
        <v>2050</v>
      </c>
      <c r="BJ80" s="105" t="s">
        <v>1831</v>
      </c>
      <c r="BK80" s="100" t="s">
        <v>2174</v>
      </c>
      <c r="BL80" s="105">
        <v>2025</v>
      </c>
      <c r="BM80" s="105">
        <v>2030</v>
      </c>
      <c r="BN80" s="105">
        <v>2035</v>
      </c>
      <c r="BO80" s="105">
        <v>2040</v>
      </c>
      <c r="BP80" s="105">
        <v>2045</v>
      </c>
      <c r="BQ80" s="105">
        <v>2050</v>
      </c>
      <c r="EA80" s="88"/>
      <c r="EB80" s="88"/>
      <c r="EC80" s="88"/>
      <c r="ED80" s="88"/>
      <c r="EE80" s="88"/>
      <c r="EF80" s="88"/>
      <c r="EG80" s="88"/>
    </row>
    <row r="81" spans="1:137" ht="15" thickTop="1" x14ac:dyDescent="0.35">
      <c r="A81" t="s">
        <v>1253</v>
      </c>
      <c r="B81" t="s">
        <v>2095</v>
      </c>
      <c r="C81" t="s">
        <v>15</v>
      </c>
      <c r="D81" t="s">
        <v>2261</v>
      </c>
      <c r="E81" t="s">
        <v>851</v>
      </c>
      <c r="F81">
        <v>2022</v>
      </c>
      <c r="G81" s="63" t="s">
        <v>283</v>
      </c>
      <c r="AC81" s="305">
        <f t="shared" si="291"/>
        <v>1.0730328111417786</v>
      </c>
      <c r="AD81" s="71">
        <f t="shared" si="291"/>
        <v>1.1677103415926353</v>
      </c>
      <c r="AE81" s="71">
        <f t="shared" si="291"/>
        <v>1.2775593822975908</v>
      </c>
      <c r="AF81" s="71">
        <f t="shared" si="291"/>
        <v>1.3475732534722555</v>
      </c>
      <c r="AG81" s="71">
        <f t="shared" si="291"/>
        <v>1.4129503673050299</v>
      </c>
      <c r="AH81" s="71">
        <f t="shared" si="291"/>
        <v>1.4783274811378035</v>
      </c>
      <c r="AI81" s="71">
        <f t="shared" si="291"/>
        <v>1.5437045949705779</v>
      </c>
      <c r="AJ81" s="417"/>
      <c r="AK81" s="66" t="s">
        <v>2229</v>
      </c>
      <c r="AL81">
        <v>3</v>
      </c>
      <c r="AM81">
        <v>1</v>
      </c>
      <c r="AN81">
        <v>1</v>
      </c>
      <c r="AO81">
        <v>3</v>
      </c>
      <c r="AP81">
        <v>1</v>
      </c>
      <c r="BA81" t="s">
        <v>1833</v>
      </c>
      <c r="BB81" s="95">
        <f>$BP$91/BD76</f>
        <v>0.71065908790677212</v>
      </c>
      <c r="BC81" s="88">
        <f>($BE81-$BB81)/3 + BB81</f>
        <v>0.73697979486628218</v>
      </c>
      <c r="BD81" s="88">
        <f>($BE81-$BB81)/3 + BC81</f>
        <v>0.76330050182579223</v>
      </c>
      <c r="BE81" s="95">
        <f>$BP$91/BE76</f>
        <v>0.7896212087853024</v>
      </c>
      <c r="BF81" s="88">
        <f>($BH81-$BE81)/3 + BE81</f>
        <v>0.81594191574481245</v>
      </c>
      <c r="BG81" s="88">
        <f>($BH81-$BE81)/3 + BF81</f>
        <v>0.84226262270432251</v>
      </c>
      <c r="BH81" s="95">
        <f>$BP$91/BF76</f>
        <v>0.86858332966383267</v>
      </c>
      <c r="BJ81" t="s">
        <v>1833</v>
      </c>
      <c r="BK81" s="73">
        <f t="shared" ref="BK81" si="292">1+(BL81-1)/5</f>
        <v>1.0074074074074073</v>
      </c>
      <c r="BL81" s="73">
        <f>BC81/$BB81</f>
        <v>1.037037037037037</v>
      </c>
      <c r="BM81" s="73">
        <f t="shared" ref="BM81:BQ81" si="293">BD81/$BB81</f>
        <v>1.074074074074074</v>
      </c>
      <c r="BN81" s="73">
        <f t="shared" si="293"/>
        <v>1.1111111111111112</v>
      </c>
      <c r="BO81" s="73">
        <f t="shared" si="293"/>
        <v>1.1481481481481481</v>
      </c>
      <c r="BP81" s="73">
        <f t="shared" si="293"/>
        <v>1.1851851851851851</v>
      </c>
      <c r="BQ81" s="73">
        <f t="shared" si="293"/>
        <v>1.2222222222222223</v>
      </c>
      <c r="EA81" s="88"/>
      <c r="EB81" s="88"/>
      <c r="EC81" s="88"/>
      <c r="ED81" s="88"/>
      <c r="EE81" s="88"/>
      <c r="EF81" s="88"/>
      <c r="EG81" s="88"/>
    </row>
    <row r="82" spans="1:137" x14ac:dyDescent="0.35">
      <c r="A82" t="s">
        <v>1254</v>
      </c>
      <c r="B82" t="s">
        <v>2095</v>
      </c>
      <c r="C82" t="s">
        <v>15</v>
      </c>
      <c r="D82" t="s">
        <v>2261</v>
      </c>
      <c r="E82" t="s">
        <v>851</v>
      </c>
      <c r="F82">
        <v>2022</v>
      </c>
      <c r="G82" s="63" t="s">
        <v>283</v>
      </c>
      <c r="AC82" s="305">
        <f t="shared" si="291"/>
        <v>1.2401044574233211</v>
      </c>
      <c r="AD82" s="71">
        <f t="shared" si="291"/>
        <v>1.3807590986798941</v>
      </c>
      <c r="AE82" s="71">
        <f t="shared" si="291"/>
        <v>1.5076834783808903</v>
      </c>
      <c r="AF82" s="71">
        <f t="shared" si="291"/>
        <v>1.6293507857993632</v>
      </c>
      <c r="AG82" s="71">
        <f t="shared" si="291"/>
        <v>1.712675228361392</v>
      </c>
      <c r="AH82" s="71">
        <f t="shared" si="291"/>
        <v>1.7959996709234205</v>
      </c>
      <c r="AI82" s="71">
        <f t="shared" si="291"/>
        <v>1.879324113485449</v>
      </c>
      <c r="AJ82" s="417"/>
      <c r="AK82" s="66" t="s">
        <v>2229</v>
      </c>
      <c r="AL82">
        <v>3</v>
      </c>
      <c r="AM82">
        <v>1</v>
      </c>
      <c r="AN82">
        <v>1</v>
      </c>
      <c r="AO82">
        <v>3</v>
      </c>
      <c r="AP82">
        <v>1</v>
      </c>
      <c r="BA82" t="s">
        <v>246</v>
      </c>
      <c r="BB82" s="95">
        <f>$BP$91/BD77</f>
        <v>2.1802457774940143</v>
      </c>
      <c r="BC82" s="88">
        <f>($BE82-$BB82)/3 + BB82</f>
        <v>2.1878424526769202</v>
      </c>
      <c r="BD82" s="88">
        <f>($BE82-$BB82)/3 + BC82</f>
        <v>2.1954391278598262</v>
      </c>
      <c r="BE82" s="95">
        <f>$BP$91/BE77</f>
        <v>2.2030358030427317</v>
      </c>
      <c r="BF82" s="88">
        <f>($BH82-$BE82)/3 + BE82</f>
        <v>2.2106324782256377</v>
      </c>
      <c r="BG82" s="88">
        <f>($BH82-$BE82)/3 + BF82</f>
        <v>2.2182291534085437</v>
      </c>
      <c r="BH82" s="95">
        <f>$BP$91/BF77</f>
        <v>2.2258258285914496</v>
      </c>
      <c r="BJ82" s="445" t="s">
        <v>2212</v>
      </c>
      <c r="BK82" s="444">
        <f>BB82/BB81+(BL82-BB82/BB81)/5</f>
        <v>3.0480686215106996</v>
      </c>
      <c r="BL82" s="444">
        <f>BC82/BC81</f>
        <v>2.9686600201486977</v>
      </c>
      <c r="BM82" s="444">
        <f t="shared" ref="BM82:BQ82" si="294">BD82/BD81</f>
        <v>2.8762448375291263</v>
      </c>
      <c r="BN82" s="444">
        <f t="shared" si="294"/>
        <v>2.7899906670841919</v>
      </c>
      <c r="BO82" s="444">
        <f t="shared" si="294"/>
        <v>2.7093012818292541</v>
      </c>
      <c r="BP82" s="444">
        <f t="shared" si="294"/>
        <v>2.6336549831527503</v>
      </c>
      <c r="BQ82" s="444">
        <f t="shared" si="294"/>
        <v>2.562593308638458</v>
      </c>
      <c r="EA82" s="88"/>
      <c r="EB82" s="88"/>
      <c r="EC82" s="88"/>
      <c r="ED82" s="88"/>
      <c r="EE82" s="88"/>
      <c r="EF82" s="88"/>
      <c r="EG82" s="88"/>
    </row>
    <row r="83" spans="1:137" x14ac:dyDescent="0.35">
      <c r="A83" t="s">
        <v>1257</v>
      </c>
      <c r="B83" t="s">
        <v>1094</v>
      </c>
      <c r="C83" t="s">
        <v>462</v>
      </c>
      <c r="D83" t="s">
        <v>2261</v>
      </c>
      <c r="E83" t="s">
        <v>1828</v>
      </c>
      <c r="F83">
        <v>2015</v>
      </c>
      <c r="G83" s="63" t="s">
        <v>282</v>
      </c>
      <c r="AC83" s="305">
        <f t="shared" ref="AC83:AI83" si="295">$AB20*BK81</f>
        <v>0.68201315233204141</v>
      </c>
      <c r="AD83" s="71">
        <f t="shared" si="295"/>
        <v>0.7020723626947486</v>
      </c>
      <c r="AE83" s="71">
        <f t="shared" si="295"/>
        <v>0.72714637564813245</v>
      </c>
      <c r="AF83" s="71">
        <f t="shared" si="295"/>
        <v>0.75222038860151641</v>
      </c>
      <c r="AG83" s="71">
        <f t="shared" si="295"/>
        <v>0.77729440155490026</v>
      </c>
      <c r="AH83" s="71">
        <f t="shared" si="295"/>
        <v>0.80236841450828411</v>
      </c>
      <c r="AI83" s="71">
        <f t="shared" si="295"/>
        <v>0.82744242746166807</v>
      </c>
      <c r="AJ83" s="417">
        <f>AC83/AB20</f>
        <v>1.0074074074074073</v>
      </c>
      <c r="AK83" s="66" t="s">
        <v>2230</v>
      </c>
      <c r="AL83">
        <v>3</v>
      </c>
      <c r="AM83">
        <v>1</v>
      </c>
      <c r="AN83">
        <v>3</v>
      </c>
      <c r="AO83">
        <v>2</v>
      </c>
      <c r="AP83">
        <v>1</v>
      </c>
      <c r="BJ83" s="74" t="s">
        <v>2209</v>
      </c>
      <c r="EA83" s="88"/>
      <c r="EB83" s="88"/>
      <c r="EC83" s="88"/>
      <c r="ED83" s="88"/>
      <c r="EE83" s="88"/>
      <c r="EF83" s="88"/>
      <c r="EG83" s="88"/>
    </row>
    <row r="84" spans="1:137" ht="16" thickBot="1" x14ac:dyDescent="0.4">
      <c r="A84" t="s">
        <v>1258</v>
      </c>
      <c r="B84" t="s">
        <v>2010</v>
      </c>
      <c r="C84" t="s">
        <v>462</v>
      </c>
      <c r="D84" t="s">
        <v>2261</v>
      </c>
      <c r="E84" t="s">
        <v>1828</v>
      </c>
      <c r="F84">
        <v>2015</v>
      </c>
      <c r="G84" s="63" t="s">
        <v>282</v>
      </c>
      <c r="AC84" s="305">
        <f t="shared" ref="AC84:AI84" si="296">AC83*BK82</f>
        <v>2.0788228890808922</v>
      </c>
      <c r="AD84" s="71">
        <f t="shared" si="296"/>
        <v>2.0842141543832362</v>
      </c>
      <c r="AE84" s="71">
        <f t="shared" si="296"/>
        <v>2.0914510090859557</v>
      </c>
      <c r="AF84" s="71">
        <f t="shared" si="296"/>
        <v>2.0986878637886748</v>
      </c>
      <c r="AG84" s="71">
        <f t="shared" si="296"/>
        <v>2.1059247184913943</v>
      </c>
      <c r="AH84" s="71">
        <f t="shared" si="296"/>
        <v>2.1131615731941138</v>
      </c>
      <c r="AI84" s="71">
        <f t="shared" si="296"/>
        <v>2.1203984278968333</v>
      </c>
      <c r="AJ84" s="417"/>
      <c r="AK84" s="66" t="s">
        <v>2231</v>
      </c>
      <c r="AL84">
        <v>3</v>
      </c>
      <c r="AM84">
        <v>1</v>
      </c>
      <c r="AN84">
        <v>3</v>
      </c>
      <c r="AO84">
        <v>2</v>
      </c>
      <c r="AP84">
        <v>1</v>
      </c>
      <c r="AT84" s="189" t="s">
        <v>2298</v>
      </c>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EA84" s="88"/>
      <c r="EB84" s="88"/>
      <c r="EC84" s="88"/>
      <c r="ED84" s="88"/>
      <c r="EE84" s="88"/>
      <c r="EF84" s="88"/>
      <c r="EG84" s="88"/>
    </row>
    <row r="85" spans="1:137" ht="15" thickBot="1" x14ac:dyDescent="0.4">
      <c r="A85" t="s">
        <v>1273</v>
      </c>
      <c r="B85" t="s">
        <v>1094</v>
      </c>
      <c r="C85" t="s">
        <v>467</v>
      </c>
      <c r="D85" t="s">
        <v>2261</v>
      </c>
      <c r="E85" t="s">
        <v>851</v>
      </c>
      <c r="F85">
        <v>2022</v>
      </c>
      <c r="G85" s="63" t="s">
        <v>282</v>
      </c>
      <c r="AC85" s="305">
        <f>AC86*'GREET-AFLEET Summary'!$I$6</f>
        <v>2.4349242154187194</v>
      </c>
      <c r="AD85" s="71">
        <f>AD86*'GREET-AFLEET Summary'!$I$6</f>
        <v>2.5906228354637362</v>
      </c>
      <c r="AE85" s="71">
        <f>AE86*'GREET-AFLEET Summary'!$I$6</f>
        <v>2.7393524104864095</v>
      </c>
      <c r="AF85" s="71">
        <f>AF86*'GREET-AFLEET Summary'!$I$6</f>
        <v>2.855701434172023</v>
      </c>
      <c r="AG85" s="71">
        <f>AG86*'GREET-AFLEET Summary'!$I$6</f>
        <v>2.9642128082317432</v>
      </c>
      <c r="AH85" s="71">
        <f>AH86*'GREET-AFLEET Summary'!$I$6</f>
        <v>3.0727241822914633</v>
      </c>
      <c r="AI85" s="71">
        <f>AI86*'GREET-AFLEET Summary'!$I$6</f>
        <v>3.1812355563511834</v>
      </c>
      <c r="AJ85" s="417">
        <f>AC85/AB21</f>
        <v>1</v>
      </c>
      <c r="AK85" s="66" t="s">
        <v>2232</v>
      </c>
      <c r="AL85">
        <v>3</v>
      </c>
      <c r="AM85">
        <v>1</v>
      </c>
      <c r="AN85">
        <v>1</v>
      </c>
      <c r="AO85">
        <v>3</v>
      </c>
      <c r="AP85">
        <v>2</v>
      </c>
      <c r="AT85" s="8" t="s">
        <v>257</v>
      </c>
      <c r="AU85" s="8">
        <v>2000</v>
      </c>
      <c r="AV85" s="8">
        <v>2001</v>
      </c>
      <c r="AW85" s="8">
        <v>2002</v>
      </c>
      <c r="AX85" s="8">
        <v>2003</v>
      </c>
      <c r="AY85" s="8">
        <v>2004</v>
      </c>
      <c r="AZ85" s="8">
        <v>2005</v>
      </c>
      <c r="BA85" s="8">
        <v>2006</v>
      </c>
      <c r="BB85" s="8">
        <v>2007</v>
      </c>
      <c r="BC85" s="8">
        <v>2008</v>
      </c>
      <c r="BD85" s="8">
        <v>2009</v>
      </c>
      <c r="BE85" s="8">
        <v>2010</v>
      </c>
      <c r="BF85" s="8">
        <v>2011</v>
      </c>
      <c r="BG85" s="8">
        <v>2012</v>
      </c>
      <c r="BH85" s="8">
        <v>2013</v>
      </c>
      <c r="BI85" s="8">
        <v>2014</v>
      </c>
      <c r="BJ85" s="8">
        <v>2015</v>
      </c>
      <c r="BK85" s="8">
        <v>2016</v>
      </c>
      <c r="BL85" s="8">
        <v>2017</v>
      </c>
      <c r="BM85" s="8">
        <v>2018</v>
      </c>
      <c r="BN85" s="8">
        <v>2019</v>
      </c>
      <c r="BO85" s="8">
        <v>2020</v>
      </c>
      <c r="BP85" s="183" t="s">
        <v>672</v>
      </c>
      <c r="EA85" s="88"/>
      <c r="EB85" s="88"/>
      <c r="EC85" s="88"/>
      <c r="ED85" s="88"/>
      <c r="EE85" s="88"/>
      <c r="EF85" s="88"/>
      <c r="EG85" s="88"/>
    </row>
    <row r="86" spans="1:137" ht="15" thickTop="1" x14ac:dyDescent="0.35">
      <c r="A86" t="s">
        <v>1274</v>
      </c>
      <c r="B86" t="s">
        <v>10</v>
      </c>
      <c r="C86" t="s">
        <v>467</v>
      </c>
      <c r="D86" t="s">
        <v>2261</v>
      </c>
      <c r="E86" t="s">
        <v>851</v>
      </c>
      <c r="F86">
        <v>2022</v>
      </c>
      <c r="G86" s="63" t="s">
        <v>282</v>
      </c>
      <c r="AC86" s="305">
        <f t="shared" ref="AC86:AI86" si="297">$AB22*CY49</f>
        <v>2.9219090585024632</v>
      </c>
      <c r="AD86" s="71">
        <f t="shared" si="297"/>
        <v>3.1087474025564834</v>
      </c>
      <c r="AE86" s="71">
        <f t="shared" si="297"/>
        <v>3.2872228925836913</v>
      </c>
      <c r="AF86" s="71">
        <f t="shared" si="297"/>
        <v>3.4268417210064275</v>
      </c>
      <c r="AG86" s="71">
        <f t="shared" si="297"/>
        <v>3.5570553698780918</v>
      </c>
      <c r="AH86" s="71">
        <f t="shared" si="297"/>
        <v>3.6872690187497557</v>
      </c>
      <c r="AI86" s="71">
        <f t="shared" si="297"/>
        <v>3.81748266762142</v>
      </c>
      <c r="AJ86" s="417">
        <f>AC86/AB22</f>
        <v>1</v>
      </c>
      <c r="AK86" s="66" t="s">
        <v>2233</v>
      </c>
      <c r="AL86">
        <v>3</v>
      </c>
      <c r="AM86">
        <v>1</v>
      </c>
      <c r="AN86">
        <v>1</v>
      </c>
      <c r="AO86">
        <v>3</v>
      </c>
      <c r="AP86">
        <v>1</v>
      </c>
      <c r="AT86" t="s">
        <v>585</v>
      </c>
      <c r="AU86" s="95"/>
      <c r="AV86" s="95"/>
      <c r="AW86" s="95"/>
      <c r="AX86" s="95"/>
      <c r="AY86" s="95"/>
      <c r="AZ86" s="95"/>
      <c r="BA86" s="95"/>
      <c r="BB86" s="95"/>
      <c r="BC86" s="95">
        <f>'Background Data'!J21/('Background Data'!J31*'Background Data'!J10) * 1000</f>
        <v>1.5835999455766376</v>
      </c>
      <c r="BD86" s="95">
        <f>'Background Data'!K21/('Background Data'!K31*'Background Data'!K10) * 1000</f>
        <v>1.5838000378694712</v>
      </c>
      <c r="BE86" s="95">
        <f>'Background Data'!L21/('Background Data'!L31*'Background Data'!L10) * 1000</f>
        <v>1.5840000069492797</v>
      </c>
      <c r="BF86" s="95">
        <f>'Background Data'!M21/('Background Data'!M31*'Background Data'!M10) * 1000</f>
        <v>1.5841999914679632</v>
      </c>
      <c r="BG86" s="95">
        <f>'Background Data'!N21/('Background Data'!N31*'Background Data'!N10) * 1000</f>
        <v>1.5843999818610832</v>
      </c>
      <c r="BH86" s="95">
        <f>'Background Data'!O21/('Background Data'!O31*'Background Data'!O10) * 1000</f>
        <v>1.5845999951794041</v>
      </c>
      <c r="BI86" s="95">
        <f>'Background Data'!P21/('Background Data'!P31*'Background Data'!P10) * 1000</f>
        <v>1.5848000579280128</v>
      </c>
      <c r="BJ86" s="95">
        <f>'Background Data'!Q21/('Background Data'!Q31*'Background Data'!Q10) * 1000</f>
        <v>1.5849999489981239</v>
      </c>
      <c r="BK86" s="95">
        <f>'Background Data'!R21/('Background Data'!R31*'Background Data'!R10) * 1000</f>
        <v>1.5851999454809567</v>
      </c>
      <c r="BL86" s="95">
        <f>'Background Data'!S21/('Background Data'!S31*'Background Data'!S10) * 1000</f>
        <v>1.5854000017150416</v>
      </c>
      <c r="BM86" s="95">
        <f>'Background Data'!T21/('Background Data'!T31*'Background Data'!T10) * 1000</f>
        <v>1.5856000362069118</v>
      </c>
      <c r="BN86" s="95">
        <f>'Background Data'!U21/('Background Data'!U31*'Background Data'!U10) * 1000</f>
        <v>1.5857999449520548</v>
      </c>
      <c r="BO86" s="95">
        <f>'Background Data'!V21/('Background Data'!V31*'Background Data'!V10) * 1000</f>
        <v>1.585999949976981</v>
      </c>
      <c r="BP86" s="184">
        <f>AVERAGE(BJ86:BN86)</f>
        <v>1.5853999754706176</v>
      </c>
      <c r="EA86" s="88"/>
      <c r="EB86" s="88"/>
      <c r="EC86" s="88"/>
      <c r="ED86" s="88"/>
      <c r="EE86" s="88"/>
      <c r="EF86" s="88"/>
      <c r="EG86" s="88"/>
    </row>
    <row r="87" spans="1:137" x14ac:dyDescent="0.35">
      <c r="A87" t="s">
        <v>1275</v>
      </c>
      <c r="B87" t="s">
        <v>11</v>
      </c>
      <c r="C87" t="s">
        <v>467</v>
      </c>
      <c r="D87" t="s">
        <v>2261</v>
      </c>
      <c r="E87" t="s">
        <v>851</v>
      </c>
      <c r="F87">
        <v>2022</v>
      </c>
      <c r="G87" s="63" t="s">
        <v>282</v>
      </c>
      <c r="AC87" s="305">
        <f>AC86*'GREET-AFLEET Summary'!$I$9</f>
        <v>2.4836226997270936</v>
      </c>
      <c r="AD87" s="71">
        <f>AD86*'GREET-AFLEET Summary'!$I$9</f>
        <v>2.642435292173011</v>
      </c>
      <c r="AE87" s="71">
        <f>AE86*'GREET-AFLEET Summary'!$I$9</f>
        <v>2.7941394586961374</v>
      </c>
      <c r="AF87" s="71">
        <f>AF86*'GREET-AFLEET Summary'!$I$9</f>
        <v>2.9128154628554634</v>
      </c>
      <c r="AG87" s="71">
        <f>AG86*'GREET-AFLEET Summary'!$I$9</f>
        <v>3.0234970643963779</v>
      </c>
      <c r="AH87" s="71">
        <f>AH86*'GREET-AFLEET Summary'!$I$9</f>
        <v>3.1341786659372923</v>
      </c>
      <c r="AI87" s="71">
        <f>AI86*'GREET-AFLEET Summary'!$I$9</f>
        <v>3.2448602674782068</v>
      </c>
      <c r="AJ87" s="417">
        <f>AC87/AB23</f>
        <v>1</v>
      </c>
      <c r="AK87" s="66" t="s">
        <v>2234</v>
      </c>
      <c r="AL87">
        <v>3</v>
      </c>
      <c r="AM87">
        <v>1</v>
      </c>
      <c r="AN87">
        <v>1</v>
      </c>
      <c r="AO87">
        <v>3</v>
      </c>
      <c r="AP87">
        <v>2</v>
      </c>
      <c r="AT87" t="s">
        <v>630</v>
      </c>
      <c r="AU87" s="95"/>
      <c r="AV87" s="95"/>
      <c r="AW87" s="95"/>
      <c r="AX87" s="95"/>
      <c r="AY87" s="95"/>
      <c r="AZ87" s="95"/>
      <c r="BA87" s="95">
        <f>'Background Data'!H22/('Background Data'!H32*'Background Data'!H11) * 1000</f>
        <v>1.7070995612888236</v>
      </c>
      <c r="BB87" s="95">
        <f>'Background Data'!I22/('Background Data'!I32*'Background Data'!I11) * 1000</f>
        <v>1.7074995334973817</v>
      </c>
      <c r="BC87" s="95">
        <f>'Background Data'!J22/('Background Data'!J32*'Background Data'!J11) * 1000</f>
        <v>1.7079009013905735</v>
      </c>
      <c r="BD87" s="95">
        <f>'Background Data'!K22/('Background Data'!K32*'Background Data'!K11) * 1000</f>
        <v>1.7083006870029729</v>
      </c>
      <c r="BE87" s="95">
        <f>'Background Data'!L22/('Background Data'!L32*'Background Data'!L11) * 1000</f>
        <v>1.7086994182790689</v>
      </c>
      <c r="BF87" s="95">
        <f>'Background Data'!M22/('Background Data'!M32*'Background Data'!M11) * 1000</f>
        <v>1.7090994665822186</v>
      </c>
      <c r="BG87" s="95">
        <f>'Background Data'!N22/('Background Data'!N32*'Background Data'!N11) * 1000</f>
        <v>1.7094995103705786</v>
      </c>
      <c r="BH87" s="95">
        <f>'Background Data'!O22/('Background Data'!O32*'Background Data'!O11) * 1000</f>
        <v>1.7098997588307061</v>
      </c>
      <c r="BI87" s="95">
        <f>'Background Data'!P22/('Background Data'!P32*'Background Data'!P11) * 1000</f>
        <v>1.710299764541467</v>
      </c>
      <c r="BJ87" s="95">
        <f>'Background Data'!Q22/('Background Data'!Q32*'Background Data'!Q11) * 1000</f>
        <v>1.7107002662243316</v>
      </c>
      <c r="BK87" s="95">
        <f>'Background Data'!R22/('Background Data'!R32*'Background Data'!R11) * 1000</f>
        <v>1.7110995860111102</v>
      </c>
      <c r="BL87" s="95">
        <f>'Background Data'!S22/('Background Data'!S32*'Background Data'!S11) * 1000</f>
        <v>1.7114994267367183</v>
      </c>
      <c r="BM87" s="95">
        <f>'Background Data'!T22/('Background Data'!T32*'Background Data'!T11) * 1000</f>
        <v>1.7119000637267727</v>
      </c>
      <c r="BN87" s="95">
        <f>'Background Data'!U22/('Background Data'!U32*'Background Data'!U11) * 1000</f>
        <v>1.712299859525785</v>
      </c>
      <c r="BO87" s="95">
        <f>'Background Data'!V22/('Background Data'!V32*'Background Data'!V11) * 1000</f>
        <v>1.7126996443963469</v>
      </c>
      <c r="BP87" s="184">
        <f t="shared" ref="BP87:BP94" si="298">AVERAGE(BJ87:BN87)</f>
        <v>1.7114998404449437</v>
      </c>
      <c r="EA87" s="88"/>
      <c r="EB87" s="88"/>
      <c r="EC87" s="88"/>
      <c r="ED87" s="88"/>
      <c r="EE87" s="88"/>
      <c r="EF87" s="88"/>
      <c r="EG87" s="88"/>
    </row>
    <row r="88" spans="1:137" x14ac:dyDescent="0.35">
      <c r="A88" t="s">
        <v>1276</v>
      </c>
      <c r="B88" t="s">
        <v>10</v>
      </c>
      <c r="C88" t="s">
        <v>467</v>
      </c>
      <c r="D88" t="s">
        <v>2261</v>
      </c>
      <c r="E88" t="s">
        <v>851</v>
      </c>
      <c r="F88">
        <v>2022</v>
      </c>
      <c r="G88" s="63" t="s">
        <v>282</v>
      </c>
      <c r="AC88" s="305">
        <f t="shared" ref="AC88:AI92" si="299">AC$86*CY50</f>
        <v>3.6179878429497094</v>
      </c>
      <c r="AD88" s="71">
        <f t="shared" si="299"/>
        <v>3.983175872095396</v>
      </c>
      <c r="AE88" s="71">
        <f t="shared" si="299"/>
        <v>4.1581087548777766</v>
      </c>
      <c r="AF88" s="71">
        <f t="shared" si="299"/>
        <v>4.2855685106870043</v>
      </c>
      <c r="AG88" s="71">
        <f t="shared" si="299"/>
        <v>4.5002704051377345</v>
      </c>
      <c r="AH88" s="71">
        <f t="shared" si="299"/>
        <v>4.7149722995884638</v>
      </c>
      <c r="AI88" s="71">
        <f t="shared" si="299"/>
        <v>4.9296741940391957</v>
      </c>
      <c r="AJ88" s="417"/>
      <c r="AK88" s="66" t="s">
        <v>2233</v>
      </c>
      <c r="AL88">
        <v>3</v>
      </c>
      <c r="AM88">
        <v>1</v>
      </c>
      <c r="AN88">
        <v>1</v>
      </c>
      <c r="AO88">
        <v>3</v>
      </c>
      <c r="AP88">
        <v>1</v>
      </c>
      <c r="AT88" t="s">
        <v>631</v>
      </c>
      <c r="AU88" s="95"/>
      <c r="AV88" s="95"/>
      <c r="AW88" s="95"/>
      <c r="AX88" s="95"/>
      <c r="AY88" s="95"/>
      <c r="AZ88" s="95"/>
      <c r="BA88" s="95">
        <f>'Background Data'!H23/('Background Data'!H33*'Background Data'!H12) * 1000</f>
        <v>0.5533336283597049</v>
      </c>
      <c r="BB88" s="95">
        <f>'Background Data'!I23/('Background Data'!I33*'Background Data'!I12) * 1000</f>
        <v>0.55666698297794215</v>
      </c>
      <c r="BC88" s="95">
        <f>'Background Data'!J23/('Background Data'!J33*'Background Data'!J12) * 1000</f>
        <v>0.55666605666818947</v>
      </c>
      <c r="BD88" s="95">
        <f>'Background Data'!K23/('Background Data'!K33*'Background Data'!K12) * 1000</f>
        <v>0.55666620243188647</v>
      </c>
      <c r="BE88" s="95">
        <f>'Background Data'!L23/('Background Data'!L33*'Background Data'!L12) * 1000</f>
        <v>0.55666705945835326</v>
      </c>
      <c r="BF88" s="95">
        <f>'Background Data'!M23/('Background Data'!M33*'Background Data'!M12) * 1000</f>
        <v>0.5566670271109343</v>
      </c>
      <c r="BG88" s="95">
        <f>'Background Data'!N23/('Background Data'!N33*'Background Data'!N12) * 1000</f>
        <v>0.5566669984261432</v>
      </c>
      <c r="BH88" s="95">
        <f>'Background Data'!O23/('Background Data'!O33*'Background Data'!O12) * 1000</f>
        <v>0.5566668300567772</v>
      </c>
      <c r="BI88" s="95">
        <f>'Background Data'!P23/('Background Data'!P33*'Background Data'!P12) * 1000</f>
        <v>0.5566668261634129</v>
      </c>
      <c r="BJ88" s="95">
        <f>'Background Data'!Q23/('Background Data'!Q33*'Background Data'!Q12) * 1000</f>
        <v>0.55666648632580329</v>
      </c>
      <c r="BK88" s="95">
        <f>'Background Data'!R23/('Background Data'!R33*'Background Data'!R12) * 1000</f>
        <v>0.55666694682653795</v>
      </c>
      <c r="BL88" s="95">
        <f>'Background Data'!S23/('Background Data'!S33*'Background Data'!S12) * 1000</f>
        <v>0.55666705374976411</v>
      </c>
      <c r="BM88" s="95">
        <f>'Background Data'!T23/('Background Data'!T33*'Background Data'!T12) * 1000</f>
        <v>0.55666662366652075</v>
      </c>
      <c r="BN88" s="95">
        <f>'Background Data'!U23/('Background Data'!U33*'Background Data'!U12) * 1000</f>
        <v>0.55666676126192627</v>
      </c>
      <c r="BO88" s="95">
        <f>'Background Data'!V23/('Background Data'!V33*'Background Data'!V12) * 1000</f>
        <v>0.55666690537190011</v>
      </c>
      <c r="BP88" s="184">
        <f t="shared" si="298"/>
        <v>0.55666677436611045</v>
      </c>
      <c r="EA88" s="88"/>
      <c r="EB88" s="88"/>
      <c r="EC88" s="88"/>
      <c r="ED88" s="88"/>
      <c r="EE88" s="88"/>
      <c r="EF88" s="88"/>
      <c r="EG88" s="88"/>
    </row>
    <row r="89" spans="1:137" x14ac:dyDescent="0.35">
      <c r="A89" t="s">
        <v>1277</v>
      </c>
      <c r="B89" t="s">
        <v>503</v>
      </c>
      <c r="C89" t="s">
        <v>467</v>
      </c>
      <c r="D89" t="s">
        <v>2261</v>
      </c>
      <c r="E89" t="s">
        <v>851</v>
      </c>
      <c r="F89">
        <v>2022</v>
      </c>
      <c r="G89" s="63" t="s">
        <v>282</v>
      </c>
      <c r="AC89" s="305">
        <f t="shared" si="299"/>
        <v>9.1204779238287017</v>
      </c>
      <c r="AD89" s="71">
        <f t="shared" si="299"/>
        <v>9.9451049538274656</v>
      </c>
      <c r="AE89" s="71">
        <f t="shared" si="299"/>
        <v>10.695651644039797</v>
      </c>
      <c r="AF89" s="71">
        <f t="shared" si="299"/>
        <v>11.386803675825281</v>
      </c>
      <c r="AG89" s="71">
        <f t="shared" si="299"/>
        <v>11.928761814299385</v>
      </c>
      <c r="AH89" s="71">
        <f t="shared" si="299"/>
        <v>12.470719952773484</v>
      </c>
      <c r="AI89" s="71">
        <f t="shared" si="299"/>
        <v>13.01267809124759</v>
      </c>
      <c r="AJ89" s="417"/>
      <c r="AK89" s="66" t="s">
        <v>2233</v>
      </c>
      <c r="AL89">
        <v>3</v>
      </c>
      <c r="AM89">
        <v>1</v>
      </c>
      <c r="AN89">
        <v>1</v>
      </c>
      <c r="AO89">
        <v>3</v>
      </c>
      <c r="AP89">
        <v>1</v>
      </c>
      <c r="AT89" t="s">
        <v>633</v>
      </c>
      <c r="AU89" s="95"/>
      <c r="AV89" s="95"/>
      <c r="AW89" s="95"/>
      <c r="AX89" s="95"/>
      <c r="AY89" s="95"/>
      <c r="AZ89" s="95"/>
      <c r="BA89" s="95">
        <f>'Background Data'!H24/('Background Data'!H34*'Background Data'!H13) * 1000</f>
        <v>1.2549990583784976</v>
      </c>
      <c r="BB89" s="95">
        <f>'Background Data'!I24/('Background Data'!I34*'Background Data'!I13) * 1000</f>
        <v>1.2599983469419092</v>
      </c>
      <c r="BC89" s="95">
        <f>'Background Data'!J24/('Background Data'!J34*'Background Data'!J13) * 1000</f>
        <v>1.2600000021471014</v>
      </c>
      <c r="BD89" s="95">
        <f>'Background Data'!K24/('Background Data'!K34*'Background Data'!K13) * 1000</f>
        <v>1.260000000736605</v>
      </c>
      <c r="BE89" s="95">
        <f>'Background Data'!L24/('Background Data'!L34*'Background Data'!L13) * 1000</f>
        <v>1.2600000015576245</v>
      </c>
      <c r="BF89" s="95">
        <f>'Background Data'!M24/('Background Data'!M34*'Background Data'!M13) * 1000</f>
        <v>1.2599999997412639</v>
      </c>
      <c r="BG89" s="95">
        <f>'Background Data'!N24/('Background Data'!N34*'Background Data'!N13) * 1000</f>
        <v>1.2599999993989424</v>
      </c>
      <c r="BH89" s="95">
        <f>'Background Data'!O24/('Background Data'!O34*'Background Data'!O13) * 1000</f>
        <v>1.2599999999164004</v>
      </c>
      <c r="BI89" s="95">
        <f>'Background Data'!P24/('Background Data'!P34*'Background Data'!P13) * 1000</f>
        <v>1.2599999986115438</v>
      </c>
      <c r="BJ89" s="95">
        <f>'Background Data'!Q24/('Background Data'!Q34*'Background Data'!Q13) * 1000</f>
        <v>1.2599999982332586</v>
      </c>
      <c r="BK89" s="95">
        <f>'Background Data'!R24/('Background Data'!R34*'Background Data'!R13) * 1000</f>
        <v>1.2599999985698722</v>
      </c>
      <c r="BL89" s="95">
        <f>'Background Data'!S24/('Background Data'!S34*'Background Data'!S13) * 1000</f>
        <v>1.2600000012292538</v>
      </c>
      <c r="BM89" s="95">
        <f>'Background Data'!T24/('Background Data'!T34*'Background Data'!T13) * 1000</f>
        <v>1.2600000022150641</v>
      </c>
      <c r="BN89" s="95">
        <f>'Background Data'!U24/('Background Data'!U34*'Background Data'!U13) * 1000</f>
        <v>1.2599999984372312</v>
      </c>
      <c r="BO89" s="95">
        <f>'Background Data'!V24/('Background Data'!V34*'Background Data'!V13) * 1000</f>
        <v>1.2600000006215042</v>
      </c>
      <c r="BP89" s="184">
        <f t="shared" si="298"/>
        <v>1.259999999736936</v>
      </c>
      <c r="EA89" s="88"/>
      <c r="EB89" s="88"/>
      <c r="EC89" s="88"/>
      <c r="ED89" s="88"/>
      <c r="EE89" s="88"/>
      <c r="EF89" s="88"/>
      <c r="EG89" s="88"/>
    </row>
    <row r="90" spans="1:137" x14ac:dyDescent="0.35">
      <c r="A90" t="s">
        <v>1278</v>
      </c>
      <c r="B90" t="s">
        <v>2012</v>
      </c>
      <c r="C90" t="s">
        <v>467</v>
      </c>
      <c r="D90" t="s">
        <v>2261</v>
      </c>
      <c r="E90" t="s">
        <v>851</v>
      </c>
      <c r="F90">
        <v>2022</v>
      </c>
      <c r="G90" s="63" t="s">
        <v>282</v>
      </c>
      <c r="AC90" s="305">
        <f t="shared" si="299"/>
        <v>13.244630564214539</v>
      </c>
      <c r="AD90" s="71">
        <f t="shared" si="299"/>
        <v>14.195707758985263</v>
      </c>
      <c r="AE90" s="71">
        <f t="shared" si="299"/>
        <v>15.129212350845968</v>
      </c>
      <c r="AF90" s="71">
        <f t="shared" si="299"/>
        <v>15.980796758618142</v>
      </c>
      <c r="AG90" s="71">
        <f t="shared" si="299"/>
        <v>16.608333623749061</v>
      </c>
      <c r="AH90" s="71">
        <f t="shared" si="299"/>
        <v>17.235870488879979</v>
      </c>
      <c r="AI90" s="71">
        <f t="shared" si="299"/>
        <v>17.863407354010906</v>
      </c>
      <c r="AJ90" s="417"/>
      <c r="AK90" s="66" t="s">
        <v>2233</v>
      </c>
      <c r="AL90">
        <v>3</v>
      </c>
      <c r="AM90">
        <v>1</v>
      </c>
      <c r="AN90">
        <v>1</v>
      </c>
      <c r="AO90">
        <v>3</v>
      </c>
      <c r="AP90">
        <v>1</v>
      </c>
      <c r="AT90" t="s">
        <v>632</v>
      </c>
      <c r="AU90" s="95"/>
      <c r="AV90" s="95"/>
      <c r="AW90" s="95"/>
      <c r="AX90" s="95">
        <f>'Background Data'!E25/('Background Data'!E35*'Background Data'!E14) * 1000</f>
        <v>7.1986241506303132</v>
      </c>
      <c r="AY90" s="95">
        <f>'Background Data'!F25/('Background Data'!F35*'Background Data'!F14) * 1000</f>
        <v>7.198624222683998</v>
      </c>
      <c r="AZ90" s="95">
        <f>'Background Data'!G25/('Background Data'!G35*'Background Data'!G14) * 1000</f>
        <v>6.8997233974045846</v>
      </c>
      <c r="BA90" s="95">
        <f>'Background Data'!H25/('Background Data'!H35*'Background Data'!H14) * 1000</f>
        <v>6.8874689746304805</v>
      </c>
      <c r="BB90" s="95">
        <f>'Background Data'!I25/('Background Data'!I35*'Background Data'!I14) * 1000</f>
        <v>6.6614371076889238</v>
      </c>
      <c r="BC90" s="95">
        <f>'Background Data'!J25/('Background Data'!J35*'Background Data'!J14) * 1000</f>
        <v>6.6432925949946231</v>
      </c>
      <c r="BD90" s="95">
        <f>'Background Data'!K25/('Background Data'!K35*'Background Data'!K14) * 1000</f>
        <v>5.9271786549137824</v>
      </c>
      <c r="BE90" s="95">
        <f>'Background Data'!L25/('Background Data'!L35*'Background Data'!L14) * 1000</f>
        <v>6.1006858431177662</v>
      </c>
      <c r="BF90" s="95">
        <f>'Background Data'!M25/('Background Data'!M35*'Background Data'!M14) * 1000</f>
        <v>5.993645921922254</v>
      </c>
      <c r="BG90" s="95">
        <f>'Background Data'!N25/('Background Data'!N35*'Background Data'!N14) * 1000</f>
        <v>6.1544767433234657</v>
      </c>
      <c r="BH90" s="95">
        <f>'Background Data'!O25/('Background Data'!O35*'Background Data'!O14) * 1000</f>
        <v>6.2778935922871355</v>
      </c>
      <c r="BI90" s="95">
        <f>'Background Data'!P25/('Background Data'!P35*'Background Data'!P14) * 1000</f>
        <v>6.5837916274449597</v>
      </c>
      <c r="BJ90" s="95">
        <f>'Background Data'!Q25/('Background Data'!Q35*'Background Data'!Q14) * 1000</f>
        <v>7.1089403940038833</v>
      </c>
      <c r="BK90" s="95">
        <f>'Background Data'!R25/('Background Data'!R35*'Background Data'!R14) * 1000</f>
        <v>7.9766331700855035</v>
      </c>
      <c r="BL90" s="95">
        <f>'Background Data'!S25/('Background Data'!S35*'Background Data'!S14) * 1000</f>
        <v>7.5491378182646232</v>
      </c>
      <c r="BM90" s="95">
        <f>'Background Data'!T25/('Background Data'!T35*'Background Data'!T14) * 1000</f>
        <v>6.4137640819697568</v>
      </c>
      <c r="BN90" s="95">
        <f>'Background Data'!U25/('Background Data'!U35*'Background Data'!U14) * 1000</f>
        <v>6.5898706493565538</v>
      </c>
      <c r="BO90" s="95">
        <f>'Background Data'!V25/('Background Data'!V35*'Background Data'!V14) * 1000</f>
        <v>6.572168315299054</v>
      </c>
      <c r="BP90" s="184">
        <f t="shared" si="298"/>
        <v>7.1276692227360643</v>
      </c>
      <c r="EA90" s="88"/>
      <c r="EB90" s="88"/>
      <c r="EC90" s="88"/>
      <c r="ED90" s="88"/>
      <c r="EE90" s="88"/>
      <c r="EF90" s="88"/>
      <c r="EG90" s="88"/>
    </row>
    <row r="91" spans="1:137" x14ac:dyDescent="0.35">
      <c r="A91" t="s">
        <v>1279</v>
      </c>
      <c r="B91" t="s">
        <v>2095</v>
      </c>
      <c r="C91" t="s">
        <v>467</v>
      </c>
      <c r="D91" t="s">
        <v>2261</v>
      </c>
      <c r="E91" t="s">
        <v>851</v>
      </c>
      <c r="F91">
        <v>2022</v>
      </c>
      <c r="G91" s="63" t="s">
        <v>282</v>
      </c>
      <c r="AC91" s="305">
        <f t="shared" si="299"/>
        <v>6.4890117765804014</v>
      </c>
      <c r="AD91" s="71">
        <f t="shared" si="299"/>
        <v>6.8782022612215865</v>
      </c>
      <c r="AE91" s="71">
        <f t="shared" si="299"/>
        <v>7.3297254872913564</v>
      </c>
      <c r="AF91" s="71">
        <f t="shared" si="299"/>
        <v>7.6582984938066714</v>
      </c>
      <c r="AG91" s="71">
        <f t="shared" si="299"/>
        <v>7.9364750406920699</v>
      </c>
      <c r="AH91" s="71">
        <f t="shared" si="299"/>
        <v>8.2146515875774657</v>
      </c>
      <c r="AI91" s="71">
        <f t="shared" si="299"/>
        <v>8.4928281344628669</v>
      </c>
      <c r="AJ91" s="417"/>
      <c r="AK91" s="66" t="s">
        <v>2233</v>
      </c>
      <c r="AL91">
        <v>3</v>
      </c>
      <c r="AM91">
        <v>1</v>
      </c>
      <c r="AN91">
        <v>1</v>
      </c>
      <c r="AO91">
        <v>3</v>
      </c>
      <c r="AP91">
        <v>1</v>
      </c>
      <c r="AT91" t="s">
        <v>634</v>
      </c>
      <c r="AU91" s="95"/>
      <c r="AV91" s="95"/>
      <c r="AW91" s="95"/>
      <c r="AX91" s="95"/>
      <c r="AY91" s="95"/>
      <c r="AZ91" s="95">
        <f>'Background Data'!G26/('Background Data'!G36*'Background Data'!G15) * 1000</f>
        <v>1.2700400015744422</v>
      </c>
      <c r="BA91" s="95">
        <f>'Background Data'!H26/('Background Data'!H36*'Background Data'!H15) * 1000</f>
        <v>1.2700639998868897</v>
      </c>
      <c r="BB91" s="95">
        <f>'Background Data'!I26/('Background Data'!I36*'Background Data'!I15) * 1000</f>
        <v>1.2699509990872164</v>
      </c>
      <c r="BC91" s="95">
        <f>'Background Data'!J26/('Background Data'!J36*'Background Data'!J15) * 1000</f>
        <v>1.2700220010018772</v>
      </c>
      <c r="BD91" s="95">
        <f>'Background Data'!K26/('Background Data'!K36*'Background Data'!K15) * 1000</f>
        <v>1.07712999951018</v>
      </c>
      <c r="BE91" s="95">
        <f>'Background Data'!L26/('Background Data'!L36*'Background Data'!L15) * 1000</f>
        <v>1.0771349991993673</v>
      </c>
      <c r="BF91" s="95">
        <f>'Background Data'!M26/('Background Data'!M36*'Background Data'!M15) * 1000</f>
        <v>1.0771219995653112</v>
      </c>
      <c r="BG91" s="95">
        <f>'Background Data'!N26/('Background Data'!N36*'Background Data'!N15) * 1000</f>
        <v>1.0771100006308565</v>
      </c>
      <c r="BH91" s="95">
        <f>'Background Data'!O26/('Background Data'!O36*'Background Data'!O15) * 1000</f>
        <v>1.0771380003172664</v>
      </c>
      <c r="BI91" s="95">
        <f>'Background Data'!P26/('Background Data'!P36*'Background Data'!P15) * 1000</f>
        <v>1.0771160010138057</v>
      </c>
      <c r="BJ91" s="95">
        <f>'Background Data'!Q26/('Background Data'!Q36*'Background Data'!Q15) * 1000</f>
        <v>1.0771189990414238</v>
      </c>
      <c r="BK91" s="95">
        <f>'Background Data'!R26/('Background Data'!R36*'Background Data'!R15) * 1000</f>
        <v>1.1457569998880743</v>
      </c>
      <c r="BL91" s="95">
        <f>'Background Data'!S26/('Background Data'!S36*'Background Data'!S15) * 1000</f>
        <v>1.1604549992583233</v>
      </c>
      <c r="BM91" s="95">
        <f>'Background Data'!T26/('Background Data'!T36*'Background Data'!T15) * 1000</f>
        <v>1.160439999579191</v>
      </c>
      <c r="BN91" s="95">
        <f>'Background Data'!U26/('Background Data'!U36*'Background Data'!U15) * 1000</f>
        <v>1.1624339997980977</v>
      </c>
      <c r="BO91" s="95">
        <f>'Background Data'!V26/('Background Data'!V36*'Background Data'!V15) * 1000</f>
        <v>1.2044579995464979</v>
      </c>
      <c r="BP91" s="184">
        <f t="shared" si="298"/>
        <v>1.1412409995130219</v>
      </c>
      <c r="EA91" s="88"/>
      <c r="EB91" s="88"/>
      <c r="EC91" s="88"/>
      <c r="ED91" s="88"/>
      <c r="EE91" s="88"/>
      <c r="EF91" s="88"/>
      <c r="EG91" s="88"/>
    </row>
    <row r="92" spans="1:137" x14ac:dyDescent="0.35">
      <c r="A92" t="s">
        <v>1280</v>
      </c>
      <c r="B92" t="s">
        <v>2095</v>
      </c>
      <c r="C92" t="s">
        <v>467</v>
      </c>
      <c r="D92" t="s">
        <v>2261</v>
      </c>
      <c r="E92" t="s">
        <v>851</v>
      </c>
      <c r="F92">
        <v>2022</v>
      </c>
      <c r="G92" s="63" t="s">
        <v>282</v>
      </c>
      <c r="AC92" s="305">
        <f t="shared" si="299"/>
        <v>6.7963721962485941</v>
      </c>
      <c r="AD92" s="71">
        <f t="shared" si="299"/>
        <v>7.2663763319809256</v>
      </c>
      <c r="AE92" s="71">
        <f t="shared" si="299"/>
        <v>7.7804540494721914</v>
      </c>
      <c r="AF92" s="71">
        <f t="shared" si="299"/>
        <v>8.2065252417462897</v>
      </c>
      <c r="AG92" s="71">
        <f t="shared" si="299"/>
        <v>8.5496442454004065</v>
      </c>
      <c r="AH92" s="71">
        <f t="shared" si="299"/>
        <v>8.8927632490545232</v>
      </c>
      <c r="AI92" s="71">
        <f t="shared" si="299"/>
        <v>9.2358822527086417</v>
      </c>
      <c r="AJ92" s="417"/>
      <c r="AK92" s="66" t="s">
        <v>2233</v>
      </c>
      <c r="AL92">
        <v>3</v>
      </c>
      <c r="AM92">
        <v>1</v>
      </c>
      <c r="AN92">
        <v>1</v>
      </c>
      <c r="AO92">
        <v>3</v>
      </c>
      <c r="AP92">
        <v>1</v>
      </c>
      <c r="AT92" t="s">
        <v>2166</v>
      </c>
      <c r="BC92" s="95"/>
      <c r="BD92" s="95">
        <f>('Background Data'!K27*1000)/('Background Data'!K37*'Background Data'!K16)</f>
        <v>21.59000000103865</v>
      </c>
      <c r="BE92" s="95">
        <f>('Background Data'!L27*1000)/('Background Data'!L37*'Background Data'!L16)</f>
        <v>21.820000000495227</v>
      </c>
      <c r="BF92" s="95">
        <f>('Background Data'!M27*1000)/('Background Data'!M37*'Background Data'!M16)</f>
        <v>22.050000000060088</v>
      </c>
      <c r="BG92" s="95">
        <f>('Background Data'!N27*1000)/('Background Data'!N37*'Background Data'!N16)</f>
        <v>22.280000001252787</v>
      </c>
      <c r="BH92" s="95">
        <f>('Background Data'!O27*1000)/('Background Data'!O37*'Background Data'!O16)</f>
        <v>22.280000000634736</v>
      </c>
      <c r="BI92" s="95">
        <f>('Background Data'!P27*1000)/('Background Data'!P37*'Background Data'!P16)</f>
        <v>22.280000001021467</v>
      </c>
      <c r="BJ92" s="95">
        <f>('Background Data'!Q27*1000)/('Background Data'!Q37*'Background Data'!Q16)</f>
        <v>22.279999999176969</v>
      </c>
      <c r="BK92" s="95">
        <f>('Background Data'!R27*1000)/('Background Data'!R37*'Background Data'!R16)</f>
        <v>22.280000000558278</v>
      </c>
      <c r="BL92" s="95">
        <f>('Background Data'!S27*1000)/('Background Data'!S37*'Background Data'!S16)</f>
        <v>22.280000001161209</v>
      </c>
      <c r="BM92" s="95">
        <f>('Background Data'!T27*1000)/('Background Data'!T37*'Background Data'!T16)</f>
        <v>22.279999999170546</v>
      </c>
      <c r="BN92" s="95">
        <f>('Background Data'!U27*1000)/('Background Data'!U37*'Background Data'!U16)</f>
        <v>22.279999998370378</v>
      </c>
      <c r="BO92" s="95">
        <f>('Background Data'!V27*1000)/('Background Data'!V37*'Background Data'!V16)</f>
        <v>22.279999998889654</v>
      </c>
      <c r="BP92" s="184">
        <f t="shared" si="298"/>
        <v>22.279999999687476</v>
      </c>
      <c r="EA92" s="88"/>
      <c r="EB92" s="88"/>
      <c r="EC92" s="88"/>
      <c r="ED92" s="88"/>
      <c r="EE92" s="88"/>
      <c r="EF92" s="88"/>
      <c r="EG92" s="88"/>
    </row>
    <row r="93" spans="1:137" x14ac:dyDescent="0.35">
      <c r="A93" t="s">
        <v>1281</v>
      </c>
      <c r="B93" t="s">
        <v>1094</v>
      </c>
      <c r="C93" t="s">
        <v>468</v>
      </c>
      <c r="D93" t="s">
        <v>2261</v>
      </c>
      <c r="E93" t="s">
        <v>851</v>
      </c>
      <c r="F93">
        <v>2022</v>
      </c>
      <c r="G93" s="63" t="s">
        <v>282</v>
      </c>
      <c r="AC93" s="305">
        <f>AC94*'GREET-AFLEET Summary'!$I$16</f>
        <v>0.62157697559539626</v>
      </c>
      <c r="AD93" s="71">
        <f>AD94*'GREET-AFLEET Summary'!$I$16</f>
        <v>0.66253554471544063</v>
      </c>
      <c r="AE93" s="71">
        <f>AE94*'GREET-AFLEET Summary'!$I$16</f>
        <v>0.70188558183318484</v>
      </c>
      <c r="AF93" s="71">
        <f>AF94*'GREET-AFLEET Summary'!$I$16</f>
        <v>0.7292370307293824</v>
      </c>
      <c r="AG93" s="71">
        <f>AG94*'GREET-AFLEET Summary'!$I$16</f>
        <v>0.75570324208720074</v>
      </c>
      <c r="AH93" s="71">
        <f>AH94*'GREET-AFLEET Summary'!$I$16</f>
        <v>0.78216945344501909</v>
      </c>
      <c r="AI93" s="71">
        <f>AI94*'GREET-AFLEET Summary'!$I$16</f>
        <v>0.80863566480283733</v>
      </c>
      <c r="AJ93" s="417">
        <f>AC93/AB24</f>
        <v>1.0000000000000002</v>
      </c>
      <c r="AK93" s="66" t="s">
        <v>2235</v>
      </c>
      <c r="AL93">
        <v>3</v>
      </c>
      <c r="AM93">
        <v>1</v>
      </c>
      <c r="AN93">
        <v>1</v>
      </c>
      <c r="AO93">
        <v>3</v>
      </c>
      <c r="AP93">
        <v>2</v>
      </c>
      <c r="AT93" t="s">
        <v>2167</v>
      </c>
      <c r="BC93" s="95"/>
      <c r="BD93" s="95">
        <f>('Background Data'!K28*1000)/('Background Data'!K38*'Background Data'!K17)</f>
        <v>12.079999999456993</v>
      </c>
      <c r="BE93" s="95">
        <f>('Background Data'!L28*1000)/('Background Data'!L38*'Background Data'!L17)</f>
        <v>12.180000001321956</v>
      </c>
      <c r="BF93" s="95">
        <f>('Background Data'!M28*1000)/('Background Data'!M38*'Background Data'!M17)</f>
        <v>12.289999999932887</v>
      </c>
      <c r="BG93" s="95">
        <f>('Background Data'!N28*1000)/('Background Data'!N38*'Background Data'!N17)</f>
        <v>12.389999999689858</v>
      </c>
      <c r="BH93" s="95">
        <f>('Background Data'!O28*1000)/('Background Data'!O38*'Background Data'!O17)</f>
        <v>12.389999999893462</v>
      </c>
      <c r="BI93" s="95">
        <f>('Background Data'!P28*1000)/('Background Data'!P38*'Background Data'!P17)</f>
        <v>12.389999999579841</v>
      </c>
      <c r="BJ93" s="95">
        <f>('Background Data'!Q28*1000)/('Background Data'!Q38*'Background Data'!Q17)</f>
        <v>12.389999998666669</v>
      </c>
      <c r="BK93" s="95">
        <f>('Background Data'!R28*1000)/('Background Data'!R38*'Background Data'!R17)</f>
        <v>12.389999999311483</v>
      </c>
      <c r="BL93" s="95">
        <f>('Background Data'!S28*1000)/('Background Data'!S38*'Background Data'!S17)</f>
        <v>12.389999999337462</v>
      </c>
      <c r="BM93" s="95">
        <f>('Background Data'!T28*1000)/('Background Data'!T38*'Background Data'!T17)</f>
        <v>12.389999998505779</v>
      </c>
      <c r="BN93" s="95">
        <f>('Background Data'!U28*1000)/('Background Data'!U38*'Background Data'!U17)</f>
        <v>12.390000000380647</v>
      </c>
      <c r="BO93" s="95">
        <f>('Background Data'!V28*1000)/('Background Data'!V38*'Background Data'!V17)</f>
        <v>12.39000000120981</v>
      </c>
      <c r="BP93" s="184">
        <f t="shared" si="298"/>
        <v>12.389999999240407</v>
      </c>
    </row>
    <row r="94" spans="1:137" ht="15" thickBot="1" x14ac:dyDescent="0.4">
      <c r="A94" t="s">
        <v>1282</v>
      </c>
      <c r="B94" t="s">
        <v>10</v>
      </c>
      <c r="C94" t="s">
        <v>468</v>
      </c>
      <c r="D94" t="s">
        <v>2261</v>
      </c>
      <c r="E94" t="s">
        <v>851</v>
      </c>
      <c r="F94">
        <v>2022</v>
      </c>
      <c r="G94" s="63" t="s">
        <v>282</v>
      </c>
      <c r="AC94" s="305">
        <f t="shared" ref="AC94:AI94" si="300">$AB25*CY56</f>
        <v>0.74589237071447545</v>
      </c>
      <c r="AD94" s="71">
        <f t="shared" si="300"/>
        <v>0.79504265365852878</v>
      </c>
      <c r="AE94" s="71">
        <f t="shared" si="300"/>
        <v>0.8422626981998218</v>
      </c>
      <c r="AF94" s="71">
        <f t="shared" si="300"/>
        <v>0.87508443687525883</v>
      </c>
      <c r="AG94" s="71">
        <f t="shared" si="300"/>
        <v>0.90684389050464087</v>
      </c>
      <c r="AH94" s="71">
        <f t="shared" si="300"/>
        <v>0.93860334413402291</v>
      </c>
      <c r="AI94" s="71">
        <f t="shared" si="300"/>
        <v>0.97036279776340473</v>
      </c>
      <c r="AJ94" s="417">
        <f>AC94/AB25</f>
        <v>1</v>
      </c>
      <c r="AK94" s="66" t="s">
        <v>2236</v>
      </c>
      <c r="AL94">
        <v>3</v>
      </c>
      <c r="AM94">
        <v>1</v>
      </c>
      <c r="AN94">
        <v>1</v>
      </c>
      <c r="AO94">
        <v>3</v>
      </c>
      <c r="AP94">
        <v>1</v>
      </c>
      <c r="AT94" t="s">
        <v>2168</v>
      </c>
      <c r="BC94" s="95"/>
      <c r="BD94" s="95">
        <f>('Background Data'!K29*1000)/('Background Data'!K39*'Background Data'!K18)</f>
        <v>16.880000003128718</v>
      </c>
      <c r="BE94" s="95">
        <f>('Background Data'!L29*1000)/('Background Data'!L39*'Background Data'!L18)</f>
        <v>16.879999998870446</v>
      </c>
      <c r="BF94" s="95">
        <f>('Background Data'!M29*1000)/('Background Data'!M39*'Background Data'!M18)</f>
        <v>16.880000002227028</v>
      </c>
      <c r="BG94" s="95">
        <f>('Background Data'!N29*1000)/('Background Data'!N39*'Background Data'!N18)</f>
        <v>16.879999999997278</v>
      </c>
      <c r="BH94" s="95">
        <f>('Background Data'!O29*1000)/('Background Data'!O39*'Background Data'!O18)</f>
        <v>16.880000005364781</v>
      </c>
      <c r="BI94" s="95">
        <f>('Background Data'!P29*1000)/('Background Data'!P39*'Background Data'!P18)</f>
        <v>16.879999998114489</v>
      </c>
      <c r="BJ94" s="95">
        <f>('Background Data'!Q29*1000)/('Background Data'!Q39*'Background Data'!Q18)</f>
        <v>16.87999999530448</v>
      </c>
      <c r="BK94" s="95">
        <f>('Background Data'!R29*1000)/('Background Data'!R39*'Background Data'!R18)</f>
        <v>16.880000004190006</v>
      </c>
      <c r="BL94" s="95">
        <f>('Background Data'!S29*1000)/('Background Data'!S39*'Background Data'!S18)</f>
        <v>16.879999998084074</v>
      </c>
      <c r="BM94" s="95">
        <f>('Background Data'!T29*1000)/('Background Data'!T39*'Background Data'!T18)</f>
        <v>16.880000005830524</v>
      </c>
      <c r="BN94" s="95">
        <f>('Background Data'!U29*1000)/('Background Data'!U39*'Background Data'!U18)</f>
        <v>16.880000005036432</v>
      </c>
      <c r="BO94" s="95">
        <f>('Background Data'!V29*1000)/('Background Data'!V39*'Background Data'!V18)</f>
        <v>16.880000000330149</v>
      </c>
      <c r="BP94" s="185">
        <f t="shared" si="298"/>
        <v>16.880000001689105</v>
      </c>
    </row>
    <row r="95" spans="1:137" x14ac:dyDescent="0.35">
      <c r="A95" t="s">
        <v>1283</v>
      </c>
      <c r="B95" t="s">
        <v>11</v>
      </c>
      <c r="C95" t="s">
        <v>468</v>
      </c>
      <c r="D95" t="s">
        <v>2261</v>
      </c>
      <c r="E95" t="s">
        <v>851</v>
      </c>
      <c r="F95">
        <v>2022</v>
      </c>
      <c r="G95" s="63" t="s">
        <v>282</v>
      </c>
      <c r="AC95" s="305">
        <f>AC94*'GREET-AFLEET Summary'!$I$19</f>
        <v>0.63400851510730416</v>
      </c>
      <c r="AD95" s="71">
        <f>AD94*'GREET-AFLEET Summary'!$I$19</f>
        <v>0.67578625560974948</v>
      </c>
      <c r="AE95" s="71">
        <f>AE94*'GREET-AFLEET Summary'!$I$19</f>
        <v>0.71592329346984851</v>
      </c>
      <c r="AF95" s="71">
        <f>AF94*'GREET-AFLEET Summary'!$I$19</f>
        <v>0.74382177134396998</v>
      </c>
      <c r="AG95" s="71">
        <f>AG94*'GREET-AFLEET Summary'!$I$19</f>
        <v>0.77081730692894468</v>
      </c>
      <c r="AH95" s="71">
        <f>AH94*'GREET-AFLEET Summary'!$I$19</f>
        <v>0.79781284251391948</v>
      </c>
      <c r="AI95" s="71">
        <f>AI94*'GREET-AFLEET Summary'!$I$19</f>
        <v>0.82480837809889396</v>
      </c>
      <c r="AJ95" s="417">
        <f>AC95/AB26</f>
        <v>1.0000000000000002</v>
      </c>
      <c r="AK95" s="66" t="s">
        <v>2237</v>
      </c>
      <c r="AL95">
        <v>3</v>
      </c>
      <c r="AM95">
        <v>1</v>
      </c>
      <c r="AN95">
        <v>1</v>
      </c>
      <c r="AO95">
        <v>3</v>
      </c>
      <c r="AP95">
        <v>2</v>
      </c>
      <c r="AT95" s="74" t="s">
        <v>2169</v>
      </c>
    </row>
    <row r="96" spans="1:137" x14ac:dyDescent="0.35">
      <c r="A96" t="s">
        <v>1284</v>
      </c>
      <c r="B96" t="s">
        <v>10</v>
      </c>
      <c r="C96" t="s">
        <v>468</v>
      </c>
      <c r="D96" t="s">
        <v>2261</v>
      </c>
      <c r="E96" t="s">
        <v>851</v>
      </c>
      <c r="F96">
        <v>2022</v>
      </c>
      <c r="G96" s="63" t="s">
        <v>282</v>
      </c>
      <c r="AC96" s="305">
        <f t="shared" ref="AC96:AI100" si="301">AC$94*CY57</f>
        <v>0.85300843008350036</v>
      </c>
      <c r="AD96" s="71">
        <f t="shared" si="301"/>
        <v>0.93994185011510578</v>
      </c>
      <c r="AE96" s="71">
        <f t="shared" si="301"/>
        <v>1.0193348971103888</v>
      </c>
      <c r="AF96" s="71">
        <f t="shared" si="301"/>
        <v>1.0882934687738606</v>
      </c>
      <c r="AG96" s="71">
        <f t="shared" si="301"/>
        <v>1.1526236773605936</v>
      </c>
      <c r="AH96" s="71">
        <f t="shared" si="301"/>
        <v>1.2169538859473261</v>
      </c>
      <c r="AI96" s="71">
        <f t="shared" si="301"/>
        <v>1.2812840945340589</v>
      </c>
      <c r="AJ96" s="417"/>
      <c r="AK96" s="66" t="s">
        <v>2236</v>
      </c>
      <c r="AL96">
        <v>3</v>
      </c>
      <c r="AM96">
        <v>1</v>
      </c>
      <c r="AN96">
        <v>1</v>
      </c>
      <c r="AO96">
        <v>3</v>
      </c>
      <c r="AP96">
        <v>1</v>
      </c>
    </row>
    <row r="97" spans="1:64" x14ac:dyDescent="0.35">
      <c r="A97" t="s">
        <v>1285</v>
      </c>
      <c r="B97" t="s">
        <v>503</v>
      </c>
      <c r="C97" t="s">
        <v>468</v>
      </c>
      <c r="D97" t="s">
        <v>2261</v>
      </c>
      <c r="E97" t="s">
        <v>851</v>
      </c>
      <c r="F97">
        <v>2022</v>
      </c>
      <c r="G97" s="63" t="s">
        <v>282</v>
      </c>
      <c r="AC97" s="305">
        <f t="shared" si="301"/>
        <v>1.8575810431332251</v>
      </c>
      <c r="AD97" s="71">
        <f t="shared" si="301"/>
        <v>2.0253814544945934</v>
      </c>
      <c r="AE97" s="71">
        <f t="shared" si="301"/>
        <v>2.1935940441784187</v>
      </c>
      <c r="AF97" s="71">
        <f t="shared" si="301"/>
        <v>2.3407427402749352</v>
      </c>
      <c r="AG97" s="71">
        <f t="shared" si="301"/>
        <v>2.457008853708865</v>
      </c>
      <c r="AH97" s="71">
        <f t="shared" si="301"/>
        <v>2.5732749671427939</v>
      </c>
      <c r="AI97" s="71">
        <f t="shared" si="301"/>
        <v>2.6895410805767228</v>
      </c>
      <c r="AJ97" s="417"/>
      <c r="AK97" s="66" t="s">
        <v>2236</v>
      </c>
      <c r="AL97">
        <v>3</v>
      </c>
      <c r="AM97">
        <v>1</v>
      </c>
      <c r="AN97">
        <v>1</v>
      </c>
      <c r="AO97">
        <v>3</v>
      </c>
      <c r="AP97">
        <v>1</v>
      </c>
    </row>
    <row r="98" spans="1:64" x14ac:dyDescent="0.35">
      <c r="A98" t="s">
        <v>1286</v>
      </c>
      <c r="B98" t="s">
        <v>2012</v>
      </c>
      <c r="C98" t="s">
        <v>468</v>
      </c>
      <c r="D98" t="s">
        <v>2261</v>
      </c>
      <c r="E98" t="s">
        <v>851</v>
      </c>
      <c r="F98">
        <v>2022</v>
      </c>
      <c r="G98" s="63" t="s">
        <v>282</v>
      </c>
      <c r="AC98" s="305">
        <f t="shared" si="301"/>
        <v>2.6670479899510093</v>
      </c>
      <c r="AD98" s="71">
        <f t="shared" si="301"/>
        <v>2.8597802947994988</v>
      </c>
      <c r="AE98" s="71">
        <f t="shared" si="301"/>
        <v>3.0688779677575133</v>
      </c>
      <c r="AF98" s="71">
        <f t="shared" si="301"/>
        <v>3.2462974752684937</v>
      </c>
      <c r="AG98" s="71">
        <f t="shared" si="301"/>
        <v>3.3791868456011223</v>
      </c>
      <c r="AH98" s="71">
        <f t="shared" si="301"/>
        <v>3.5120762159337513</v>
      </c>
      <c r="AI98" s="71">
        <f t="shared" si="301"/>
        <v>3.644965586266379</v>
      </c>
      <c r="AJ98" s="417">
        <f>AC98/AB27</f>
        <v>0.9384900868702255</v>
      </c>
      <c r="AK98" s="66" t="s">
        <v>2236</v>
      </c>
      <c r="AL98">
        <v>3</v>
      </c>
      <c r="AM98">
        <v>1</v>
      </c>
      <c r="AN98">
        <v>1</v>
      </c>
      <c r="AO98">
        <v>3</v>
      </c>
      <c r="AP98">
        <v>1</v>
      </c>
      <c r="AZ98" s="33"/>
      <c r="BA98" s="33"/>
      <c r="BB98" s="33"/>
      <c r="BC98" s="33"/>
      <c r="BD98" s="33"/>
      <c r="BE98" s="33"/>
      <c r="BF98" s="33"/>
      <c r="BG98" s="33"/>
      <c r="BH98" s="33"/>
    </row>
    <row r="99" spans="1:64" ht="16" thickBot="1" x14ac:dyDescent="0.4">
      <c r="A99" t="s">
        <v>1287</v>
      </c>
      <c r="B99" t="s">
        <v>2095</v>
      </c>
      <c r="C99" t="s">
        <v>468</v>
      </c>
      <c r="D99" t="s">
        <v>2261</v>
      </c>
      <c r="E99" t="s">
        <v>851</v>
      </c>
      <c r="F99">
        <v>2022</v>
      </c>
      <c r="G99" s="63" t="s">
        <v>282</v>
      </c>
      <c r="AC99" s="305">
        <f t="shared" si="301"/>
        <v>1.376686240536517</v>
      </c>
      <c r="AD99" s="71">
        <f t="shared" si="301"/>
        <v>1.4602047594150813</v>
      </c>
      <c r="AE99" s="71">
        <f t="shared" si="301"/>
        <v>1.5617441520520661</v>
      </c>
      <c r="AF99" s="71">
        <f t="shared" si="301"/>
        <v>1.6392963250247232</v>
      </c>
      <c r="AG99" s="71">
        <f t="shared" si="301"/>
        <v>1.6982474996129859</v>
      </c>
      <c r="AH99" s="71">
        <f t="shared" si="301"/>
        <v>1.7571986742012484</v>
      </c>
      <c r="AI99" s="71">
        <f t="shared" si="301"/>
        <v>1.8161498487895109</v>
      </c>
      <c r="AJ99" s="417"/>
      <c r="AK99" s="66" t="s">
        <v>2236</v>
      </c>
      <c r="AL99">
        <v>3</v>
      </c>
      <c r="AM99">
        <v>1</v>
      </c>
      <c r="AN99">
        <v>1</v>
      </c>
      <c r="AO99">
        <v>3</v>
      </c>
      <c r="AP99">
        <v>1</v>
      </c>
      <c r="AT99" s="431" t="s">
        <v>1236</v>
      </c>
      <c r="AU99" s="431"/>
      <c r="AV99" s="431"/>
      <c r="AW99" s="431"/>
      <c r="AX99" s="431"/>
      <c r="AY99" s="431"/>
      <c r="AZ99" s="431"/>
      <c r="BA99" s="431"/>
      <c r="BB99" s="431"/>
      <c r="BC99" s="71"/>
      <c r="BD99" s="71"/>
      <c r="BE99" s="71"/>
      <c r="BF99" s="71"/>
      <c r="BG99" s="71"/>
      <c r="BH99" s="71"/>
      <c r="BI99" s="71"/>
      <c r="BL99" s="71"/>
    </row>
    <row r="100" spans="1:64" ht="15" thickBot="1" x14ac:dyDescent="0.4">
      <c r="A100" t="s">
        <v>1288</v>
      </c>
      <c r="B100" t="s">
        <v>2095</v>
      </c>
      <c r="C100" t="s">
        <v>468</v>
      </c>
      <c r="D100" t="s">
        <v>2261</v>
      </c>
      <c r="E100" t="s">
        <v>851</v>
      </c>
      <c r="F100">
        <v>2022</v>
      </c>
      <c r="G100" s="63" t="s">
        <v>282</v>
      </c>
      <c r="AC100" s="305">
        <f t="shared" si="301"/>
        <v>1.3752092475413953</v>
      </c>
      <c r="AD100" s="71">
        <f t="shared" si="301"/>
        <v>1.4714690432649069</v>
      </c>
      <c r="AE100" s="71">
        <f t="shared" si="301"/>
        <v>1.5808693565042862</v>
      </c>
      <c r="AF100" s="71">
        <f t="shared" si="301"/>
        <v>1.6701334808702617</v>
      </c>
      <c r="AG100" s="71">
        <f t="shared" si="301"/>
        <v>1.7417141463762069</v>
      </c>
      <c r="AH100" s="71">
        <f t="shared" si="301"/>
        <v>1.8132948118821521</v>
      </c>
      <c r="AI100" s="71">
        <f t="shared" si="301"/>
        <v>1.8848754773880971</v>
      </c>
      <c r="AJ100" s="417"/>
      <c r="AK100" s="66" t="s">
        <v>2236</v>
      </c>
      <c r="AL100">
        <v>3</v>
      </c>
      <c r="AM100">
        <v>1</v>
      </c>
      <c r="AN100">
        <v>1</v>
      </c>
      <c r="AO100">
        <v>3</v>
      </c>
      <c r="AP100">
        <v>1</v>
      </c>
      <c r="AT100" s="435" t="s">
        <v>1230</v>
      </c>
      <c r="AU100" s="436" t="s">
        <v>571</v>
      </c>
      <c r="AV100" s="436" t="s">
        <v>572</v>
      </c>
      <c r="AW100" s="436">
        <v>2018</v>
      </c>
      <c r="AX100" s="436">
        <v>2020</v>
      </c>
      <c r="AY100" s="436">
        <v>2023</v>
      </c>
      <c r="AZ100" s="71"/>
      <c r="BA100" s="435" t="s">
        <v>1235</v>
      </c>
      <c r="BB100" s="437"/>
      <c r="BC100" s="71"/>
      <c r="BD100" s="71"/>
      <c r="BE100" s="71"/>
      <c r="BF100" s="71"/>
      <c r="BG100" s="71"/>
      <c r="BH100" s="71"/>
      <c r="BI100" s="71"/>
      <c r="BJ100" s="71"/>
      <c r="BK100" s="71"/>
      <c r="BL100" s="71"/>
    </row>
    <row r="101" spans="1:64" ht="15" thickTop="1" x14ac:dyDescent="0.35">
      <c r="A101" t="s">
        <v>1289</v>
      </c>
      <c r="B101" t="s">
        <v>1094</v>
      </c>
      <c r="C101" t="s">
        <v>469</v>
      </c>
      <c r="D101" t="s">
        <v>2261</v>
      </c>
      <c r="E101" t="s">
        <v>1294</v>
      </c>
      <c r="F101">
        <v>2023</v>
      </c>
      <c r="G101" s="63" t="s">
        <v>282</v>
      </c>
      <c r="AC101" s="305">
        <f>AC102*'GREET-AFLEET Summary'!$I$16</f>
        <v>1.9097293837074112</v>
      </c>
      <c r="AD101" s="71">
        <f>AD102*'GREET-AFLEET Summary'!$I$16</f>
        <v>2.045121365864798</v>
      </c>
      <c r="AE101" s="71">
        <f>AE102*'GREET-AFLEET Summary'!$I$16</f>
        <v>2.1707896475890749</v>
      </c>
      <c r="AF101" s="71">
        <f>AF102*'GREET-AFLEET Summary'!$I$16</f>
        <v>2.28275887637133</v>
      </c>
      <c r="AG101" s="71">
        <f>AG102*'GREET-AFLEET Summary'!$I$16</f>
        <v>2.3777421050474308</v>
      </c>
      <c r="AH101" s="71">
        <f>AH102*'GREET-AFLEET Summary'!$I$16</f>
        <v>2.4727253337235306</v>
      </c>
      <c r="AI101" s="71">
        <f>AI102*'GREET-AFLEET Summary'!$I$16</f>
        <v>2.5677085623996305</v>
      </c>
      <c r="AJ101" s="417">
        <f>AC101/AB28</f>
        <v>1.0000000000000002</v>
      </c>
      <c r="AK101" s="66" t="s">
        <v>2307</v>
      </c>
      <c r="AL101">
        <v>3</v>
      </c>
      <c r="AM101">
        <v>1</v>
      </c>
      <c r="AN101">
        <v>1</v>
      </c>
      <c r="AO101">
        <v>3</v>
      </c>
      <c r="AP101">
        <v>2</v>
      </c>
      <c r="AT101" t="s">
        <v>1231</v>
      </c>
      <c r="AU101" s="71">
        <f t="shared" ref="AU101:AY102" si="302">AU14</f>
        <v>13.837955474027982</v>
      </c>
      <c r="AV101" s="71">
        <f t="shared" si="302"/>
        <v>12.229724574489094</v>
      </c>
      <c r="AW101" s="71">
        <f t="shared" si="302"/>
        <v>11.399157836197276</v>
      </c>
      <c r="AX101" s="71">
        <f t="shared" si="302"/>
        <v>11.29143039839191</v>
      </c>
      <c r="AY101" s="71">
        <f t="shared" si="302"/>
        <v>11.042558267163377</v>
      </c>
      <c r="BA101" t="s">
        <v>1237</v>
      </c>
      <c r="BB101" s="73">
        <f>GSL_PJ_ML*1000</f>
        <v>33.568209791995379</v>
      </c>
    </row>
    <row r="102" spans="1:64" x14ac:dyDescent="0.35">
      <c r="A102" t="s">
        <v>1290</v>
      </c>
      <c r="B102" t="s">
        <v>10</v>
      </c>
      <c r="C102" t="s">
        <v>469</v>
      </c>
      <c r="D102" t="s">
        <v>2261</v>
      </c>
      <c r="E102" t="s">
        <v>1294</v>
      </c>
      <c r="F102">
        <v>2023</v>
      </c>
      <c r="G102" s="63" t="s">
        <v>282</v>
      </c>
      <c r="AC102" s="305">
        <f t="shared" ref="AC102:AI102" si="303">$AB29*CY71</f>
        <v>2.2916752604488932</v>
      </c>
      <c r="AD102" s="71">
        <f t="shared" si="303"/>
        <v>2.4541456390377574</v>
      </c>
      <c r="AE102" s="71">
        <f t="shared" si="303"/>
        <v>2.6049475771068895</v>
      </c>
      <c r="AF102" s="71">
        <f t="shared" si="303"/>
        <v>2.7393106516455958</v>
      </c>
      <c r="AG102" s="71">
        <f t="shared" si="303"/>
        <v>2.8532905260569166</v>
      </c>
      <c r="AH102" s="71">
        <f t="shared" si="303"/>
        <v>2.9672704004682369</v>
      </c>
      <c r="AI102" s="71">
        <f t="shared" si="303"/>
        <v>3.0812502748795567</v>
      </c>
      <c r="AJ102" s="417">
        <f>AC102/AB29</f>
        <v>1</v>
      </c>
      <c r="AK102" s="66" t="s">
        <v>2306</v>
      </c>
      <c r="AL102">
        <v>3</v>
      </c>
      <c r="AM102">
        <v>1</v>
      </c>
      <c r="AN102">
        <v>1</v>
      </c>
      <c r="AO102">
        <v>3</v>
      </c>
      <c r="AP102">
        <v>1</v>
      </c>
      <c r="AT102" t="s">
        <v>1232</v>
      </c>
      <c r="AU102" s="71">
        <f t="shared" si="302"/>
        <v>11.5428571428571</v>
      </c>
      <c r="AV102" s="71">
        <f t="shared" si="302"/>
        <v>9.4513558347743079</v>
      </c>
      <c r="AW102" s="71">
        <f t="shared" si="302"/>
        <v>8.7081019432680762</v>
      </c>
      <c r="AX102" s="71">
        <f t="shared" si="302"/>
        <v>9.6143002175157974</v>
      </c>
      <c r="AY102" s="71">
        <f t="shared" si="302"/>
        <v>9.9164639176002929</v>
      </c>
      <c r="BA102" t="s">
        <v>1238</v>
      </c>
      <c r="BB102" s="73">
        <f>DSL_PJ_ML*1000</f>
        <v>38.599424122374032</v>
      </c>
    </row>
    <row r="103" spans="1:64" x14ac:dyDescent="0.35">
      <c r="A103" t="s">
        <v>1291</v>
      </c>
      <c r="B103" t="s">
        <v>10</v>
      </c>
      <c r="C103" t="s">
        <v>469</v>
      </c>
      <c r="D103" t="s">
        <v>2261</v>
      </c>
      <c r="E103" t="s">
        <v>1294</v>
      </c>
      <c r="F103">
        <v>2023</v>
      </c>
      <c r="G103" s="63" t="s">
        <v>282</v>
      </c>
      <c r="AC103" s="305">
        <f t="shared" ref="AC103:AI103" si="304">AC102*CY72</f>
        <v>2.7376216159498048</v>
      </c>
      <c r="AD103" s="71">
        <f t="shared" si="304"/>
        <v>3.008090231285192</v>
      </c>
      <c r="AE103" s="71">
        <f t="shared" si="304"/>
        <v>3.1863833295429571</v>
      </c>
      <c r="AF103" s="71">
        <f t="shared" si="304"/>
        <v>3.349449136753631</v>
      </c>
      <c r="AG103" s="71">
        <f t="shared" si="304"/>
        <v>3.5178240765461317</v>
      </c>
      <c r="AH103" s="71">
        <f t="shared" si="304"/>
        <v>3.6861990163386325</v>
      </c>
      <c r="AI103" s="71">
        <f t="shared" si="304"/>
        <v>3.8545739561311323</v>
      </c>
      <c r="AJ103" s="417"/>
      <c r="AK103" s="66" t="s">
        <v>2306</v>
      </c>
      <c r="AL103">
        <v>3</v>
      </c>
      <c r="AM103">
        <v>1</v>
      </c>
      <c r="AN103">
        <v>1</v>
      </c>
      <c r="AO103">
        <v>3</v>
      </c>
      <c r="AP103">
        <v>1</v>
      </c>
      <c r="AT103" s="293" t="s">
        <v>1233</v>
      </c>
      <c r="AU103" s="311">
        <f t="shared" ref="AU103:AY104" si="305">100/AU101</f>
        <v>7.2265010671328449</v>
      </c>
      <c r="AV103" s="311">
        <f t="shared" si="305"/>
        <v>8.1767990269051154</v>
      </c>
      <c r="AW103" s="311">
        <f t="shared" si="305"/>
        <v>8.7725778901364606</v>
      </c>
      <c r="AX103" s="311">
        <f t="shared" si="305"/>
        <v>8.8562738706906163</v>
      </c>
      <c r="AY103" s="311">
        <f t="shared" si="305"/>
        <v>9.0558725234318462</v>
      </c>
      <c r="AZ103" s="33"/>
      <c r="BA103" s="293" t="s">
        <v>1239</v>
      </c>
      <c r="BB103" s="310">
        <f>1/BB101</f>
        <v>2.9790090272805027E-2</v>
      </c>
    </row>
    <row r="104" spans="1:64" x14ac:dyDescent="0.35">
      <c r="A104" t="s">
        <v>1292</v>
      </c>
      <c r="B104" t="s">
        <v>2012</v>
      </c>
      <c r="C104" t="s">
        <v>469</v>
      </c>
      <c r="D104" t="s">
        <v>2261</v>
      </c>
      <c r="E104" t="s">
        <v>1294</v>
      </c>
      <c r="F104">
        <v>2023</v>
      </c>
      <c r="G104" s="63" t="s">
        <v>282</v>
      </c>
      <c r="AC104" s="305">
        <f>AC98/$BP$93*$BP$94*CY73</f>
        <v>6.4990448742956586</v>
      </c>
      <c r="AD104" s="71">
        <f t="shared" ref="AD104:AI104" si="306">AD98/$BP$93*$BP$94*CZ73</f>
        <v>6.9686936780128264</v>
      </c>
      <c r="AE104" s="71">
        <f t="shared" si="306"/>
        <v>7.4782215023283882</v>
      </c>
      <c r="AF104" s="71">
        <f t="shared" si="306"/>
        <v>8.5195554603641508</v>
      </c>
      <c r="AG104" s="71">
        <f t="shared" si="306"/>
        <v>8.8683091926597601</v>
      </c>
      <c r="AH104" s="71">
        <f t="shared" si="306"/>
        <v>9.2170629249553695</v>
      </c>
      <c r="AI104" s="71">
        <f t="shared" si="306"/>
        <v>9.5658166572509753</v>
      </c>
      <c r="AJ104" s="417"/>
      <c r="AK104" s="66" t="s">
        <v>2308</v>
      </c>
      <c r="AL104">
        <v>3</v>
      </c>
      <c r="AM104">
        <v>1</v>
      </c>
      <c r="AN104">
        <v>1</v>
      </c>
      <c r="AO104">
        <v>3</v>
      </c>
      <c r="AP104">
        <v>1</v>
      </c>
      <c r="AT104" t="s">
        <v>1234</v>
      </c>
      <c r="AU104" s="71">
        <f t="shared" si="305"/>
        <v>8.663366336633695</v>
      </c>
      <c r="AV104" s="71">
        <f t="shared" si="305"/>
        <v>10.580492550293227</v>
      </c>
      <c r="AW104" s="71">
        <f t="shared" si="305"/>
        <v>11.483558719395383</v>
      </c>
      <c r="AX104" s="71">
        <f t="shared" si="305"/>
        <v>10.401173017024698</v>
      </c>
      <c r="AY104" s="71">
        <f t="shared" si="305"/>
        <v>10.084239788591821</v>
      </c>
      <c r="AZ104" s="95"/>
      <c r="BA104" t="s">
        <v>1240</v>
      </c>
      <c r="BB104" s="73">
        <f>1/BB102</f>
        <v>2.5907122262488709E-2</v>
      </c>
      <c r="BC104" s="33"/>
      <c r="BD104" s="33"/>
      <c r="BE104" s="33"/>
      <c r="BF104" s="33"/>
      <c r="BG104" s="33"/>
      <c r="BH104" s="33"/>
    </row>
    <row r="105" spans="1:64" x14ac:dyDescent="0.35">
      <c r="A105" t="s">
        <v>1293</v>
      </c>
      <c r="B105" t="s">
        <v>2095</v>
      </c>
      <c r="C105" t="s">
        <v>469</v>
      </c>
      <c r="D105" t="s">
        <v>2261</v>
      </c>
      <c r="E105" t="s">
        <v>1294</v>
      </c>
      <c r="F105">
        <v>2023</v>
      </c>
      <c r="G105" s="63" t="s">
        <v>282</v>
      </c>
      <c r="AC105" s="305">
        <f>AC104*CY74</f>
        <v>3.100386270843285</v>
      </c>
      <c r="AD105" s="71">
        <f t="shared" ref="AD105:AI105" si="307">AD104*CZ74</f>
        <v>3.2779635555873377</v>
      </c>
      <c r="AE105" s="71">
        <f t="shared" si="307"/>
        <v>3.5172637840617345</v>
      </c>
      <c r="AF105" s="71">
        <f t="shared" si="307"/>
        <v>3.9557075182412014</v>
      </c>
      <c r="AG105" s="71">
        <f t="shared" si="307"/>
        <v>4.1040760571983386</v>
      </c>
      <c r="AH105" s="71">
        <f t="shared" si="307"/>
        <v>4.2523543747578403</v>
      </c>
      <c r="AI105" s="71">
        <f t="shared" si="307"/>
        <v>4.4005515321163511</v>
      </c>
      <c r="AJ105" s="417"/>
      <c r="AK105" s="66" t="s">
        <v>2312</v>
      </c>
      <c r="AL105">
        <v>3</v>
      </c>
      <c r="AM105">
        <v>1</v>
      </c>
      <c r="AN105">
        <v>1</v>
      </c>
      <c r="AO105">
        <v>3</v>
      </c>
      <c r="AP105">
        <v>1</v>
      </c>
      <c r="BC105" s="95"/>
      <c r="BD105" s="95"/>
      <c r="BE105" s="95"/>
      <c r="BF105" s="95"/>
      <c r="BG105" s="95"/>
      <c r="BH105" s="95"/>
    </row>
    <row r="106" spans="1:64" x14ac:dyDescent="0.35">
      <c r="A106" t="s">
        <v>1297</v>
      </c>
      <c r="B106" t="s">
        <v>13</v>
      </c>
      <c r="C106" t="s">
        <v>471</v>
      </c>
      <c r="D106" t="s">
        <v>2261</v>
      </c>
      <c r="E106" t="s">
        <v>1294</v>
      </c>
      <c r="F106">
        <v>2023</v>
      </c>
      <c r="G106" s="63" t="s">
        <v>282</v>
      </c>
      <c r="AC106" s="305">
        <f>$DH$35</f>
        <v>0.80048180185528828</v>
      </c>
      <c r="AD106" s="71">
        <f t="shared" ref="AD106:AI106" si="308">$DH$35</f>
        <v>0.80048180185528828</v>
      </c>
      <c r="AE106" s="71">
        <f t="shared" si="308"/>
        <v>0.80048180185528828</v>
      </c>
      <c r="AF106" s="71">
        <f t="shared" si="308"/>
        <v>0.80048180185528828</v>
      </c>
      <c r="AG106" s="71">
        <f t="shared" si="308"/>
        <v>0.80048180185528828</v>
      </c>
      <c r="AH106" s="71">
        <f t="shared" si="308"/>
        <v>0.80048180185528828</v>
      </c>
      <c r="AI106" s="71">
        <f t="shared" si="308"/>
        <v>0.80048180185528828</v>
      </c>
      <c r="AJ106" s="417">
        <f>AC106/AA30</f>
        <v>1.0693812496981205</v>
      </c>
      <c r="AK106" s="66" t="s">
        <v>1949</v>
      </c>
      <c r="AL106">
        <v>3</v>
      </c>
      <c r="AM106">
        <v>1</v>
      </c>
      <c r="AN106">
        <v>1</v>
      </c>
      <c r="AO106">
        <v>3</v>
      </c>
      <c r="AP106">
        <v>1</v>
      </c>
      <c r="AT106" s="33" t="s">
        <v>1243</v>
      </c>
      <c r="AU106" s="33"/>
      <c r="AV106" s="33"/>
      <c r="AW106" s="33"/>
      <c r="AX106" s="33"/>
      <c r="AY106" s="33"/>
      <c r="AZ106" s="95"/>
      <c r="BA106" s="95"/>
      <c r="BB106" s="95"/>
      <c r="BC106" s="95"/>
      <c r="BD106" s="95"/>
      <c r="BE106" s="95"/>
      <c r="BF106" s="95"/>
      <c r="BG106" s="95"/>
      <c r="BH106" s="95"/>
    </row>
    <row r="107" spans="1:64" x14ac:dyDescent="0.35">
      <c r="A107" t="s">
        <v>1298</v>
      </c>
      <c r="B107" t="s">
        <v>1301</v>
      </c>
      <c r="C107" t="s">
        <v>471</v>
      </c>
      <c r="D107" t="s">
        <v>2261</v>
      </c>
      <c r="E107" t="s">
        <v>1294</v>
      </c>
      <c r="F107">
        <v>2023</v>
      </c>
      <c r="G107" s="63" t="s">
        <v>282</v>
      </c>
      <c r="AC107" s="305">
        <f>$DH$36</f>
        <v>0.8028904732751132</v>
      </c>
      <c r="AD107" s="71">
        <f t="shared" ref="AD107:AI107" si="309">$DH$36</f>
        <v>0.8028904732751132</v>
      </c>
      <c r="AE107" s="71">
        <f t="shared" si="309"/>
        <v>0.8028904732751132</v>
      </c>
      <c r="AF107" s="71">
        <f t="shared" si="309"/>
        <v>0.8028904732751132</v>
      </c>
      <c r="AG107" s="71">
        <f t="shared" si="309"/>
        <v>0.8028904732751132</v>
      </c>
      <c r="AH107" s="71">
        <f t="shared" si="309"/>
        <v>0.8028904732751132</v>
      </c>
      <c r="AI107" s="71">
        <f t="shared" si="309"/>
        <v>0.8028904732751132</v>
      </c>
      <c r="AJ107" s="417"/>
      <c r="AK107" s="66" t="s">
        <v>1949</v>
      </c>
      <c r="AL107">
        <v>3</v>
      </c>
      <c r="AM107">
        <v>1</v>
      </c>
      <c r="AN107">
        <v>1</v>
      </c>
      <c r="AO107">
        <v>3</v>
      </c>
      <c r="AP107">
        <v>1</v>
      </c>
      <c r="AT107" t="s">
        <v>1241</v>
      </c>
      <c r="AU107" s="71">
        <f>1/(AU101*$BB$101/100)</f>
        <v>0.21527811914640929</v>
      </c>
      <c r="AV107" s="71">
        <f>1/(AV101*$BB$101/100)</f>
        <v>0.24358758115408768</v>
      </c>
      <c r="AW107" s="71">
        <f>1/(AW101*$BB$101/100)</f>
        <v>0.26133588727237861</v>
      </c>
      <c r="AX107" s="308">
        <f>1/(AX101*$BB$101/100)</f>
        <v>0.26382919808855781</v>
      </c>
      <c r="AY107" s="314">
        <f>1/(AY101*$BB$101/100)</f>
        <v>0.26977525997204932</v>
      </c>
      <c r="AZ107" s="73"/>
      <c r="BA107" s="73"/>
      <c r="BB107" s="73"/>
      <c r="BC107" s="73"/>
      <c r="BD107" s="73"/>
      <c r="BE107" s="73"/>
      <c r="BF107" s="73"/>
      <c r="BG107" s="73"/>
      <c r="BH107" s="73"/>
    </row>
    <row r="108" spans="1:64" x14ac:dyDescent="0.35">
      <c r="A108" t="s">
        <v>1299</v>
      </c>
      <c r="B108" t="s">
        <v>13</v>
      </c>
      <c r="C108" t="s">
        <v>470</v>
      </c>
      <c r="D108" t="s">
        <v>2261</v>
      </c>
      <c r="E108" t="s">
        <v>1294</v>
      </c>
      <c r="F108">
        <v>2023</v>
      </c>
      <c r="G108" s="63" t="s">
        <v>283</v>
      </c>
      <c r="AC108" s="305">
        <f>AA31*AJ106</f>
        <v>0.45461651727123303</v>
      </c>
      <c r="AD108" s="71">
        <f>AC108</f>
        <v>0.45461651727123303</v>
      </c>
      <c r="AE108" s="71">
        <f t="shared" ref="AE108:AI108" si="310">AD108</f>
        <v>0.45461651727123303</v>
      </c>
      <c r="AF108" s="71">
        <f t="shared" si="310"/>
        <v>0.45461651727123303</v>
      </c>
      <c r="AG108" s="71">
        <f t="shared" si="310"/>
        <v>0.45461651727123303</v>
      </c>
      <c r="AH108" s="71">
        <f t="shared" si="310"/>
        <v>0.45461651727123303</v>
      </c>
      <c r="AI108" s="71">
        <f t="shared" si="310"/>
        <v>0.45461651727123303</v>
      </c>
      <c r="AJ108" s="417">
        <f>AC108/AA31</f>
        <v>1.0693812496981205</v>
      </c>
      <c r="AK108" s="66" t="s">
        <v>1950</v>
      </c>
      <c r="AL108">
        <v>3</v>
      </c>
      <c r="AM108">
        <v>1</v>
      </c>
      <c r="AN108">
        <v>1</v>
      </c>
      <c r="AO108">
        <v>3</v>
      </c>
      <c r="AP108">
        <v>1</v>
      </c>
      <c r="AT108" t="s">
        <v>1242</v>
      </c>
      <c r="AU108" s="71">
        <f>1/(AU102*$BB$102/100)</f>
        <v>0.22444289088789809</v>
      </c>
      <c r="AV108" s="71">
        <f>1/(AV102*$BB$102/100)</f>
        <v>0.27411011409779762</v>
      </c>
      <c r="AW108" s="71">
        <f>1/(AW102*$BB$102/100)</f>
        <v>0.29750595975184446</v>
      </c>
      <c r="AX108" s="313">
        <f>1/(AX102*$BB$102/100)</f>
        <v>0.26946446102535743</v>
      </c>
      <c r="AY108" s="312">
        <f>1/(AY102*$BB$102/100)</f>
        <v>0.2612536331273016</v>
      </c>
    </row>
    <row r="109" spans="1:64" x14ac:dyDescent="0.35">
      <c r="A109" t="s">
        <v>1300</v>
      </c>
      <c r="B109" t="s">
        <v>1301</v>
      </c>
      <c r="C109" t="s">
        <v>470</v>
      </c>
      <c r="D109" t="s">
        <v>2261</v>
      </c>
      <c r="E109" t="s">
        <v>1294</v>
      </c>
      <c r="F109">
        <v>2023</v>
      </c>
      <c r="G109" s="63" t="s">
        <v>283</v>
      </c>
      <c r="AC109" s="305">
        <f t="shared" ref="AC109:AI109" si="311">$DH$41/$DH$39 * AC108</f>
        <v>0.45598447068328296</v>
      </c>
      <c r="AD109" s="71">
        <f t="shared" si="311"/>
        <v>0.45598447068328296</v>
      </c>
      <c r="AE109" s="71">
        <f t="shared" si="311"/>
        <v>0.45598447068328296</v>
      </c>
      <c r="AF109" s="71">
        <f t="shared" si="311"/>
        <v>0.45598447068328296</v>
      </c>
      <c r="AG109" s="71">
        <f t="shared" si="311"/>
        <v>0.45598447068328296</v>
      </c>
      <c r="AH109" s="71">
        <f t="shared" si="311"/>
        <v>0.45598447068328296</v>
      </c>
      <c r="AI109" s="71">
        <f t="shared" si="311"/>
        <v>0.45598447068328296</v>
      </c>
      <c r="AJ109" s="417"/>
      <c r="AK109" s="66" t="s">
        <v>1950</v>
      </c>
      <c r="AL109">
        <v>3</v>
      </c>
      <c r="AM109">
        <v>1</v>
      </c>
      <c r="AN109">
        <v>1</v>
      </c>
      <c r="AO109">
        <v>3</v>
      </c>
      <c r="AP109">
        <v>1</v>
      </c>
    </row>
    <row r="110" spans="1:64" x14ac:dyDescent="0.35">
      <c r="A110" t="s">
        <v>1302</v>
      </c>
      <c r="B110" t="s">
        <v>10</v>
      </c>
      <c r="C110" t="s">
        <v>474</v>
      </c>
      <c r="D110" t="s">
        <v>2261</v>
      </c>
      <c r="E110" t="s">
        <v>1306</v>
      </c>
      <c r="F110">
        <v>2021</v>
      </c>
      <c r="G110" s="63" t="s">
        <v>282</v>
      </c>
      <c r="AC110" s="305">
        <f t="shared" ref="AC110:AI110" si="312">$AA$32*DR48</f>
        <v>0.75714719501744265</v>
      </c>
      <c r="AD110" s="71">
        <f t="shared" si="312"/>
        <v>0.76367949587367323</v>
      </c>
      <c r="AE110" s="71">
        <f t="shared" si="312"/>
        <v>0.7712846212700325</v>
      </c>
      <c r="AF110" s="71">
        <f t="shared" si="312"/>
        <v>0.77904274201857582</v>
      </c>
      <c r="AG110" s="71">
        <f t="shared" si="312"/>
        <v>0.78681195651424363</v>
      </c>
      <c r="AH110" s="71">
        <f t="shared" si="312"/>
        <v>0.79471789531686665</v>
      </c>
      <c r="AI110" s="71">
        <f t="shared" si="312"/>
        <v>0.80270327351772608</v>
      </c>
      <c r="AJ110" s="417">
        <f>AC110/AA32</f>
        <v>1.0021615416194771</v>
      </c>
      <c r="AK110" s="66" t="s">
        <v>1929</v>
      </c>
      <c r="AL110">
        <v>3</v>
      </c>
      <c r="AM110">
        <v>1</v>
      </c>
      <c r="AN110">
        <v>1</v>
      </c>
      <c r="AO110">
        <v>3</v>
      </c>
      <c r="AP110">
        <v>1</v>
      </c>
      <c r="AT110" s="33" t="s">
        <v>1244</v>
      </c>
      <c r="AZ110" s="33"/>
      <c r="BA110" s="33"/>
      <c r="BB110" s="33"/>
      <c r="BC110" s="33"/>
      <c r="BD110" s="33"/>
      <c r="BE110" s="33"/>
      <c r="BF110" s="33"/>
      <c r="BG110" s="33"/>
      <c r="BH110" s="33"/>
    </row>
    <row r="111" spans="1:64" x14ac:dyDescent="0.35">
      <c r="A111" t="s">
        <v>1303</v>
      </c>
      <c r="B111" t="s">
        <v>2095</v>
      </c>
      <c r="C111" t="s">
        <v>474</v>
      </c>
      <c r="D111" t="s">
        <v>2261</v>
      </c>
      <c r="E111" t="s">
        <v>1306</v>
      </c>
      <c r="F111">
        <v>2021</v>
      </c>
      <c r="G111" s="63" t="s">
        <v>282</v>
      </c>
      <c r="AC111" s="305"/>
      <c r="AD111" s="71"/>
      <c r="AE111" s="71">
        <f>AE110*DT49</f>
        <v>1.3432457780337395</v>
      </c>
      <c r="AF111" s="71">
        <f>AF110*DU49</f>
        <v>1.3569199677421491</v>
      </c>
      <c r="AG111" s="71">
        <f>AG110*DV49</f>
        <v>1.370430729904808</v>
      </c>
      <c r="AH111" s="71">
        <f>AH110*DW49</f>
        <v>1.3841076832970718</v>
      </c>
      <c r="AI111" s="71">
        <f>AI110*DX49</f>
        <v>1.3979211332301764</v>
      </c>
      <c r="AJ111" s="417"/>
      <c r="AK111" s="66" t="s">
        <v>2098</v>
      </c>
      <c r="AL111">
        <v>3</v>
      </c>
      <c r="AM111">
        <v>1</v>
      </c>
      <c r="AN111">
        <v>1</v>
      </c>
      <c r="AO111">
        <v>3</v>
      </c>
      <c r="AP111">
        <v>1</v>
      </c>
      <c r="AT111" t="s">
        <v>1241</v>
      </c>
      <c r="AU111" s="73">
        <f t="shared" ref="AU111:AY112" si="313">1/(AU101*$BB$101/100)</f>
        <v>0.21527811914640929</v>
      </c>
      <c r="AV111" s="73">
        <f t="shared" si="313"/>
        <v>0.24358758115408768</v>
      </c>
      <c r="AW111" s="73">
        <f t="shared" si="313"/>
        <v>0.26133588727237861</v>
      </c>
      <c r="AX111" s="73">
        <f t="shared" si="313"/>
        <v>0.26382919808855781</v>
      </c>
      <c r="AY111" s="73">
        <f t="shared" si="313"/>
        <v>0.26977525997204932</v>
      </c>
      <c r="AZ111" s="95"/>
      <c r="BA111" s="95"/>
      <c r="BB111" s="95"/>
      <c r="BC111" s="95"/>
      <c r="BD111" s="95"/>
      <c r="BE111" s="95"/>
      <c r="BF111" s="95"/>
      <c r="BG111" s="95"/>
      <c r="BH111" s="95"/>
    </row>
    <row r="112" spans="1:64" x14ac:dyDescent="0.35">
      <c r="A112" t="s">
        <v>1304</v>
      </c>
      <c r="B112" t="s">
        <v>10</v>
      </c>
      <c r="C112" t="s">
        <v>475</v>
      </c>
      <c r="D112" t="s">
        <v>2261</v>
      </c>
      <c r="E112" t="s">
        <v>1306</v>
      </c>
      <c r="F112">
        <v>2021</v>
      </c>
      <c r="G112" s="63" t="s">
        <v>283</v>
      </c>
      <c r="AC112" s="305">
        <f t="shared" ref="AC112:AI112" si="314">$AA$33*DR51</f>
        <v>4.7430447086186094</v>
      </c>
      <c r="AD112" s="71">
        <f t="shared" si="314"/>
        <v>4.8781314250033168</v>
      </c>
      <c r="AE112" s="71">
        <f t="shared" si="314"/>
        <v>5.0595495358505467</v>
      </c>
      <c r="AF112" s="71">
        <f t="shared" si="314"/>
        <v>5.2549827797246023</v>
      </c>
      <c r="AG112" s="71">
        <f t="shared" si="314"/>
        <v>5.441826611892588</v>
      </c>
      <c r="AH112" s="71">
        <f t="shared" si="314"/>
        <v>5.6313429615604891</v>
      </c>
      <c r="AI112" s="71">
        <f t="shared" si="314"/>
        <v>5.8274593831073718</v>
      </c>
      <c r="AJ112" s="417">
        <f>AC112/AA33</f>
        <v>1.0071713147410359</v>
      </c>
      <c r="AK112" s="66" t="s">
        <v>1930</v>
      </c>
      <c r="AL112">
        <v>3</v>
      </c>
      <c r="AM112">
        <v>1</v>
      </c>
      <c r="AN112">
        <v>1</v>
      </c>
      <c r="AO112">
        <v>3</v>
      </c>
      <c r="AP112">
        <v>1</v>
      </c>
      <c r="AT112" t="s">
        <v>1242</v>
      </c>
      <c r="AU112" s="73">
        <f t="shared" si="313"/>
        <v>0.25808246523469802</v>
      </c>
      <c r="AV112" s="73">
        <f t="shared" si="313"/>
        <v>0.31519382820397635</v>
      </c>
      <c r="AW112" s="73">
        <f t="shared" si="313"/>
        <v>0.34209625090384571</v>
      </c>
      <c r="AX112" s="73">
        <f t="shared" si="313"/>
        <v>0.30985188312022954</v>
      </c>
      <c r="AY112" s="73">
        <f t="shared" si="313"/>
        <v>0.30041041363476262</v>
      </c>
      <c r="AZ112" s="95"/>
      <c r="BA112" s="95"/>
      <c r="BB112" s="95"/>
      <c r="BC112" s="95"/>
      <c r="BD112" s="95"/>
      <c r="BE112" s="95"/>
      <c r="BF112" s="95"/>
      <c r="BG112" s="95"/>
      <c r="BH112" s="95"/>
    </row>
    <row r="113" spans="1:69" x14ac:dyDescent="0.35">
      <c r="A113" t="s">
        <v>1305</v>
      </c>
      <c r="B113" t="s">
        <v>2095</v>
      </c>
      <c r="C113" t="s">
        <v>475</v>
      </c>
      <c r="D113" t="s">
        <v>2261</v>
      </c>
      <c r="E113" t="s">
        <v>1306</v>
      </c>
      <c r="F113">
        <v>2021</v>
      </c>
      <c r="G113" s="63" t="s">
        <v>283</v>
      </c>
      <c r="AC113" s="305"/>
      <c r="AD113" s="71"/>
      <c r="AE113" s="71">
        <f t="shared" ref="AE113:AI114" si="315">AE$112*DT52</f>
        <v>7.4186943340917093</v>
      </c>
      <c r="AF113" s="71">
        <f t="shared" si="315"/>
        <v>7.7052533427046956</v>
      </c>
      <c r="AG113" s="71">
        <f t="shared" si="315"/>
        <v>7.9792179060008648</v>
      </c>
      <c r="AH113" s="71">
        <f t="shared" si="315"/>
        <v>8.2571011166576103</v>
      </c>
      <c r="AI113" s="71">
        <f t="shared" si="315"/>
        <v>8.544661852063598</v>
      </c>
      <c r="AJ113" s="417"/>
      <c r="AK113" s="66" t="s">
        <v>2097</v>
      </c>
      <c r="AL113">
        <v>3</v>
      </c>
      <c r="AM113">
        <v>1</v>
      </c>
      <c r="AN113">
        <v>1</v>
      </c>
      <c r="AO113">
        <v>3</v>
      </c>
      <c r="AP113">
        <v>1</v>
      </c>
    </row>
    <row r="114" spans="1:69" x14ac:dyDescent="0.35">
      <c r="A114" t="s">
        <v>1310</v>
      </c>
      <c r="B114" t="s">
        <v>1311</v>
      </c>
      <c r="C114" t="s">
        <v>475</v>
      </c>
      <c r="D114" t="s">
        <v>2261</v>
      </c>
      <c r="E114" t="s">
        <v>1306</v>
      </c>
      <c r="F114">
        <v>2021</v>
      </c>
      <c r="G114" s="63" t="s">
        <v>283</v>
      </c>
      <c r="AC114" s="305"/>
      <c r="AD114" s="71">
        <f>AD$112*DS53</f>
        <v>4.5167883564845512</v>
      </c>
      <c r="AE114" s="71">
        <f t="shared" si="315"/>
        <v>4.6847680887505048</v>
      </c>
      <c r="AF114" s="71">
        <f t="shared" si="315"/>
        <v>4.865724796041297</v>
      </c>
      <c r="AG114" s="71">
        <f t="shared" si="315"/>
        <v>5.0387283443449888</v>
      </c>
      <c r="AH114" s="71">
        <f t="shared" si="315"/>
        <v>5.2142064458893405</v>
      </c>
      <c r="AI114" s="71">
        <f t="shared" si="315"/>
        <v>5.3957957250994166</v>
      </c>
      <c r="AJ114" s="417"/>
      <c r="AK114" s="66" t="s">
        <v>1931</v>
      </c>
      <c r="AL114">
        <v>3</v>
      </c>
      <c r="AM114">
        <v>1</v>
      </c>
      <c r="AN114">
        <v>1</v>
      </c>
      <c r="AO114">
        <v>3</v>
      </c>
      <c r="AP114">
        <v>1</v>
      </c>
    </row>
    <row r="115" spans="1:69" x14ac:dyDescent="0.35">
      <c r="A115" t="s">
        <v>1922</v>
      </c>
      <c r="B115" t="s">
        <v>10</v>
      </c>
      <c r="C115" t="s">
        <v>1925</v>
      </c>
      <c r="D115" t="s">
        <v>2261</v>
      </c>
      <c r="G115" s="63" t="s">
        <v>1927</v>
      </c>
      <c r="AC115" s="305">
        <v>1</v>
      </c>
      <c r="AD115" s="71">
        <v>1</v>
      </c>
      <c r="AE115" s="71">
        <v>1</v>
      </c>
      <c r="AF115" s="71">
        <v>1</v>
      </c>
      <c r="AG115" s="71">
        <v>1</v>
      </c>
      <c r="AH115" s="71">
        <v>1</v>
      </c>
      <c r="AI115" s="71">
        <v>1</v>
      </c>
      <c r="AJ115" s="417"/>
      <c r="AK115" s="66" t="s">
        <v>1928</v>
      </c>
    </row>
    <row r="116" spans="1:69" x14ac:dyDescent="0.35">
      <c r="A116" t="s">
        <v>1997</v>
      </c>
      <c r="B116" t="s">
        <v>493</v>
      </c>
      <c r="C116" t="s">
        <v>2010</v>
      </c>
      <c r="D116" t="s">
        <v>2261</v>
      </c>
      <c r="E116" t="s">
        <v>2022</v>
      </c>
      <c r="F116">
        <v>2022</v>
      </c>
      <c r="G116" s="63" t="s">
        <v>1927</v>
      </c>
      <c r="R116" s="71">
        <v>0.9</v>
      </c>
      <c r="S116" s="71">
        <v>0.9</v>
      </c>
      <c r="T116" s="71">
        <v>0.9</v>
      </c>
      <c r="U116" s="71">
        <v>0.9</v>
      </c>
      <c r="V116" s="71">
        <v>0.9</v>
      </c>
      <c r="W116" s="71">
        <v>0.9</v>
      </c>
      <c r="X116" s="71">
        <v>0.9</v>
      </c>
      <c r="Y116" s="71">
        <v>0.9</v>
      </c>
      <c r="Z116" s="71">
        <v>0.9</v>
      </c>
      <c r="AA116" s="71">
        <v>0.9</v>
      </c>
      <c r="AB116" s="71">
        <v>0.9</v>
      </c>
      <c r="AC116" s="305">
        <v>0.9</v>
      </c>
      <c r="AD116" s="71">
        <v>0.9</v>
      </c>
      <c r="AE116" s="71">
        <v>0.9</v>
      </c>
      <c r="AF116" s="71">
        <v>0.9</v>
      </c>
      <c r="AG116" s="71">
        <v>0.9</v>
      </c>
      <c r="AH116" s="71">
        <v>0.9</v>
      </c>
      <c r="AI116" s="71">
        <v>0.9</v>
      </c>
      <c r="AJ116" s="417"/>
      <c r="AK116" s="66" t="s">
        <v>2053</v>
      </c>
      <c r="AL116">
        <v>3</v>
      </c>
      <c r="AM116">
        <v>1</v>
      </c>
      <c r="AN116">
        <v>1</v>
      </c>
      <c r="AO116">
        <v>3</v>
      </c>
      <c r="AP116">
        <v>1</v>
      </c>
    </row>
    <row r="117" spans="1:69" x14ac:dyDescent="0.35">
      <c r="A117" t="s">
        <v>2007</v>
      </c>
      <c r="B117" t="s">
        <v>493</v>
      </c>
      <c r="C117" t="s">
        <v>2011</v>
      </c>
      <c r="D117" t="s">
        <v>2261</v>
      </c>
      <c r="E117" t="s">
        <v>2022</v>
      </c>
      <c r="F117">
        <v>2022</v>
      </c>
      <c r="G117" s="63" t="s">
        <v>1927</v>
      </c>
      <c r="R117" s="71"/>
      <c r="S117" s="71"/>
      <c r="T117" s="71"/>
      <c r="U117" s="71"/>
      <c r="V117" s="71"/>
      <c r="W117" s="71"/>
      <c r="X117" s="71"/>
      <c r="Y117" s="71"/>
      <c r="Z117" s="71"/>
      <c r="AA117" s="71"/>
      <c r="AB117" s="71"/>
      <c r="AC117" s="305">
        <v>0.9</v>
      </c>
      <c r="AD117" s="71">
        <v>0.9</v>
      </c>
      <c r="AE117" s="71">
        <v>0.9</v>
      </c>
      <c r="AF117" s="71">
        <v>0.9</v>
      </c>
      <c r="AG117" s="71">
        <v>0.9</v>
      </c>
      <c r="AH117" s="71">
        <v>0.9</v>
      </c>
      <c r="AI117" s="71">
        <v>0.9</v>
      </c>
      <c r="AJ117" s="417"/>
      <c r="AK117" s="66" t="s">
        <v>2053</v>
      </c>
      <c r="AL117">
        <v>3</v>
      </c>
      <c r="AM117">
        <v>1</v>
      </c>
      <c r="AN117">
        <v>1</v>
      </c>
      <c r="AO117">
        <v>3</v>
      </c>
      <c r="AP117">
        <v>1</v>
      </c>
      <c r="BQ117" s="102"/>
    </row>
    <row r="118" spans="1:69" x14ac:dyDescent="0.35">
      <c r="A118" t="s">
        <v>1998</v>
      </c>
      <c r="B118" t="s">
        <v>493</v>
      </c>
      <c r="C118" t="s">
        <v>2012</v>
      </c>
      <c r="D118" t="s">
        <v>2261</v>
      </c>
      <c r="E118" t="s">
        <v>2022</v>
      </c>
      <c r="F118">
        <v>2022</v>
      </c>
      <c r="G118" s="63" t="s">
        <v>1927</v>
      </c>
      <c r="R118" s="71">
        <v>0.9</v>
      </c>
      <c r="S118" s="71">
        <v>0.9</v>
      </c>
      <c r="T118" s="71">
        <v>0.9</v>
      </c>
      <c r="U118" s="71">
        <v>0.9</v>
      </c>
      <c r="V118" s="71">
        <v>0.9</v>
      </c>
      <c r="W118" s="71">
        <v>0.9</v>
      </c>
      <c r="X118" s="71">
        <v>0.9</v>
      </c>
      <c r="Y118" s="71">
        <v>0.9</v>
      </c>
      <c r="Z118" s="71">
        <v>0.9</v>
      </c>
      <c r="AA118" s="71">
        <v>0.9</v>
      </c>
      <c r="AB118" s="71">
        <v>0.9</v>
      </c>
      <c r="AC118" s="305">
        <v>0.9</v>
      </c>
      <c r="AD118" s="71">
        <v>0.9</v>
      </c>
      <c r="AE118" s="71">
        <v>0.9</v>
      </c>
      <c r="AF118" s="71">
        <v>0.9</v>
      </c>
      <c r="AG118" s="71">
        <v>0.9</v>
      </c>
      <c r="AH118" s="71">
        <v>0.9</v>
      </c>
      <c r="AI118" s="71">
        <v>0.9</v>
      </c>
      <c r="AJ118" s="417"/>
      <c r="AK118" s="66" t="s">
        <v>2053</v>
      </c>
      <c r="AL118">
        <v>3</v>
      </c>
      <c r="AM118">
        <v>1</v>
      </c>
      <c r="AN118">
        <v>1</v>
      </c>
      <c r="AO118">
        <v>3</v>
      </c>
      <c r="AP118">
        <v>1</v>
      </c>
      <c r="BQ118" s="102"/>
    </row>
    <row r="119" spans="1:69" x14ac:dyDescent="0.35">
      <c r="A119" t="s">
        <v>2088</v>
      </c>
      <c r="B119" t="s">
        <v>2118</v>
      </c>
      <c r="C119" t="s">
        <v>498</v>
      </c>
      <c r="D119" t="s">
        <v>2261</v>
      </c>
      <c r="G119" s="63" t="s">
        <v>1927</v>
      </c>
      <c r="R119" s="71"/>
      <c r="S119" s="71"/>
      <c r="T119" s="71"/>
      <c r="U119" s="71"/>
      <c r="V119" s="71"/>
      <c r="W119" s="71"/>
      <c r="X119" s="71"/>
      <c r="Y119" s="71"/>
      <c r="Z119" s="71"/>
      <c r="AA119" s="71"/>
      <c r="AB119" s="71"/>
      <c r="AC119" s="305">
        <v>1E-3</v>
      </c>
      <c r="AD119" s="71">
        <v>1E-3</v>
      </c>
      <c r="AE119" s="71">
        <v>1E-3</v>
      </c>
      <c r="AF119" s="71">
        <v>1E-3</v>
      </c>
      <c r="AG119" s="71">
        <v>1E-3</v>
      </c>
      <c r="AH119" s="71">
        <v>1E-3</v>
      </c>
      <c r="AI119" s="71">
        <v>1E-3</v>
      </c>
      <c r="AJ119" s="417"/>
      <c r="AK119" s="66" t="s">
        <v>2130</v>
      </c>
      <c r="BQ119" s="102"/>
    </row>
    <row r="120" spans="1:69" x14ac:dyDescent="0.35">
      <c r="A120" t="s">
        <v>2088</v>
      </c>
      <c r="B120" t="s">
        <v>497</v>
      </c>
      <c r="C120" t="s">
        <v>498</v>
      </c>
      <c r="D120" t="s">
        <v>2261</v>
      </c>
      <c r="G120" s="63" t="s">
        <v>1927</v>
      </c>
      <c r="R120" s="71"/>
      <c r="S120" s="71"/>
      <c r="T120" s="71"/>
      <c r="U120" s="71"/>
      <c r="V120" s="71"/>
      <c r="W120" s="71"/>
      <c r="X120" s="71"/>
      <c r="Y120" s="71"/>
      <c r="Z120" s="71"/>
      <c r="AA120" s="71"/>
      <c r="AB120" s="71"/>
      <c r="AC120" s="305">
        <v>1</v>
      </c>
      <c r="AD120" s="71">
        <v>1</v>
      </c>
      <c r="AE120" s="71">
        <v>1</v>
      </c>
      <c r="AF120" s="71">
        <v>1</v>
      </c>
      <c r="AG120" s="71">
        <v>1</v>
      </c>
      <c r="AH120" s="71">
        <v>1</v>
      </c>
      <c r="AI120" s="71">
        <v>1</v>
      </c>
      <c r="AJ120" s="417"/>
      <c r="AK120" s="66" t="s">
        <v>2132</v>
      </c>
      <c r="BB120" s="33"/>
      <c r="BC120" s="33"/>
      <c r="BD120" s="33"/>
      <c r="BE120" s="33"/>
      <c r="BF120" s="33"/>
      <c r="BG120" s="33"/>
      <c r="BH120" s="33"/>
      <c r="BQ120" s="102"/>
    </row>
    <row r="121" spans="1:69" x14ac:dyDescent="0.35">
      <c r="A121" t="s">
        <v>2089</v>
      </c>
      <c r="B121" t="s">
        <v>498</v>
      </c>
      <c r="C121" t="s">
        <v>2093</v>
      </c>
      <c r="D121" t="s">
        <v>2261</v>
      </c>
      <c r="G121" s="63" t="s">
        <v>1927</v>
      </c>
      <c r="R121" s="71"/>
      <c r="S121" s="71"/>
      <c r="T121" s="71"/>
      <c r="U121" s="71"/>
      <c r="V121" s="71"/>
      <c r="W121" s="71"/>
      <c r="X121" s="71"/>
      <c r="Y121" s="71"/>
      <c r="Z121" s="71"/>
      <c r="AA121" s="71"/>
      <c r="AB121" s="71"/>
      <c r="AC121" s="305">
        <v>1</v>
      </c>
      <c r="AD121" s="71">
        <v>1</v>
      </c>
      <c r="AE121" s="71">
        <v>1</v>
      </c>
      <c r="AF121" s="71">
        <v>1</v>
      </c>
      <c r="AG121" s="71">
        <v>1</v>
      </c>
      <c r="AH121" s="71">
        <v>1</v>
      </c>
      <c r="AI121" s="71">
        <v>1</v>
      </c>
      <c r="AJ121" s="417"/>
      <c r="AK121" s="66" t="s">
        <v>2132</v>
      </c>
      <c r="BB121" s="95"/>
      <c r="BC121" s="95"/>
      <c r="BD121" s="95"/>
      <c r="BE121" s="95"/>
      <c r="BF121" s="95"/>
      <c r="BG121" s="95"/>
      <c r="BH121" s="95"/>
      <c r="BQ121" s="102"/>
    </row>
    <row r="122" spans="1:69" x14ac:dyDescent="0.35">
      <c r="A122" t="s">
        <v>2090</v>
      </c>
      <c r="B122" t="s">
        <v>498</v>
      </c>
      <c r="C122" t="s">
        <v>2094</v>
      </c>
      <c r="D122" t="s">
        <v>2261</v>
      </c>
      <c r="G122" s="63" t="s">
        <v>1927</v>
      </c>
      <c r="R122" s="71"/>
      <c r="S122" s="71"/>
      <c r="T122" s="71"/>
      <c r="U122" s="71"/>
      <c r="V122" s="71"/>
      <c r="W122" s="71"/>
      <c r="X122" s="71"/>
      <c r="Y122" s="71"/>
      <c r="Z122" s="71"/>
      <c r="AA122" s="71"/>
      <c r="AB122" s="71"/>
      <c r="AC122" s="305">
        <v>1</v>
      </c>
      <c r="AD122" s="71">
        <v>1</v>
      </c>
      <c r="AE122" s="71">
        <v>1</v>
      </c>
      <c r="AF122" s="71">
        <v>1</v>
      </c>
      <c r="AG122" s="71">
        <v>1</v>
      </c>
      <c r="AH122" s="71">
        <v>1</v>
      </c>
      <c r="AI122" s="71">
        <v>1</v>
      </c>
      <c r="AJ122" s="417"/>
      <c r="AK122" s="66" t="s">
        <v>2132</v>
      </c>
      <c r="BB122" s="95"/>
      <c r="BC122" s="95"/>
      <c r="BD122" s="95"/>
      <c r="BE122" s="95"/>
      <c r="BF122" s="95"/>
      <c r="BG122" s="95"/>
      <c r="BH122" s="95"/>
      <c r="BQ122" s="102"/>
    </row>
    <row r="123" spans="1:69" x14ac:dyDescent="0.35">
      <c r="A123" t="s">
        <v>2091</v>
      </c>
      <c r="B123" t="s">
        <v>498</v>
      </c>
      <c r="C123" t="s">
        <v>2095</v>
      </c>
      <c r="D123" t="s">
        <v>2261</v>
      </c>
      <c r="G123" s="63" t="s">
        <v>1927</v>
      </c>
      <c r="R123" s="71"/>
      <c r="S123" s="71"/>
      <c r="T123" s="71"/>
      <c r="U123" s="71"/>
      <c r="V123" s="71"/>
      <c r="W123" s="71"/>
      <c r="X123" s="71"/>
      <c r="Y123" s="71"/>
      <c r="Z123" s="71"/>
      <c r="AA123" s="71"/>
      <c r="AB123" s="71"/>
      <c r="AC123" s="305">
        <v>1</v>
      </c>
      <c r="AD123" s="71">
        <v>1</v>
      </c>
      <c r="AE123" s="71">
        <v>1</v>
      </c>
      <c r="AF123" s="71">
        <v>1</v>
      </c>
      <c r="AG123" s="71">
        <v>1</v>
      </c>
      <c r="AH123" s="71">
        <v>1</v>
      </c>
      <c r="AI123" s="71">
        <v>1</v>
      </c>
      <c r="AJ123" s="417"/>
      <c r="AK123" s="66" t="s">
        <v>2132</v>
      </c>
      <c r="BB123" s="95"/>
      <c r="BC123" s="95"/>
      <c r="BD123" s="95"/>
      <c r="BE123" s="95"/>
      <c r="BF123" s="95"/>
      <c r="BG123" s="95"/>
      <c r="BH123" s="95"/>
      <c r="BQ123" s="102"/>
    </row>
    <row r="124" spans="1:69" x14ac:dyDescent="0.35">
      <c r="A124" t="s">
        <v>2005</v>
      </c>
      <c r="B124" t="s">
        <v>2013</v>
      </c>
      <c r="C124" t="s">
        <v>1094</v>
      </c>
      <c r="D124" t="s">
        <v>2261</v>
      </c>
      <c r="G124" s="63" t="s">
        <v>1927</v>
      </c>
      <c r="R124" s="71"/>
      <c r="S124" s="71"/>
      <c r="T124" s="71"/>
      <c r="U124" s="71"/>
      <c r="V124" s="71"/>
      <c r="W124" s="71"/>
      <c r="X124" s="71"/>
      <c r="Y124" s="71"/>
      <c r="Z124" s="71"/>
      <c r="AA124" s="71"/>
      <c r="AB124" s="71"/>
      <c r="AC124" s="305">
        <v>1</v>
      </c>
      <c r="AD124" s="71">
        <v>1</v>
      </c>
      <c r="AE124" s="71">
        <v>1</v>
      </c>
      <c r="AF124" s="71">
        <v>1</v>
      </c>
      <c r="AG124" s="71">
        <v>1</v>
      </c>
      <c r="AH124" s="71">
        <v>1</v>
      </c>
      <c r="AI124" s="71">
        <v>1</v>
      </c>
      <c r="AJ124" s="417"/>
      <c r="AK124" s="66" t="s">
        <v>2131</v>
      </c>
      <c r="BB124" s="33"/>
      <c r="BC124" s="33"/>
      <c r="BD124" s="33"/>
      <c r="BE124" s="33"/>
      <c r="BF124" s="33"/>
      <c r="BG124" s="33"/>
      <c r="BH124" s="33"/>
      <c r="BQ124" s="102"/>
    </row>
    <row r="125" spans="1:69" x14ac:dyDescent="0.35">
      <c r="A125" t="s">
        <v>2005</v>
      </c>
      <c r="B125" t="s">
        <v>1833</v>
      </c>
      <c r="C125" t="s">
        <v>1094</v>
      </c>
      <c r="D125" t="s">
        <v>2261</v>
      </c>
      <c r="G125" s="63" t="s">
        <v>1927</v>
      </c>
      <c r="R125" s="71"/>
      <c r="S125" s="71"/>
      <c r="T125" s="71"/>
      <c r="U125" s="71"/>
      <c r="V125" s="71"/>
      <c r="W125" s="71"/>
      <c r="X125" s="71"/>
      <c r="Y125" s="71"/>
      <c r="Z125" s="71"/>
      <c r="AA125" s="71"/>
      <c r="AB125" s="71"/>
      <c r="AC125" s="305">
        <v>1</v>
      </c>
      <c r="AD125" s="71">
        <v>1</v>
      </c>
      <c r="AE125" s="71">
        <v>1</v>
      </c>
      <c r="AF125" s="71">
        <v>1</v>
      </c>
      <c r="AG125" s="71">
        <v>1</v>
      </c>
      <c r="AH125" s="71">
        <v>1</v>
      </c>
      <c r="AI125" s="71">
        <v>1</v>
      </c>
      <c r="AJ125" s="417"/>
      <c r="AK125" s="66" t="s">
        <v>2131</v>
      </c>
      <c r="BB125" s="95"/>
      <c r="BC125" s="95"/>
      <c r="BD125" s="95"/>
      <c r="BE125" s="95"/>
      <c r="BF125" s="95"/>
      <c r="BG125" s="95"/>
      <c r="BH125" s="95"/>
      <c r="BQ125" s="102"/>
    </row>
    <row r="126" spans="1:69" x14ac:dyDescent="0.35">
      <c r="A126" t="s">
        <v>2077</v>
      </c>
      <c r="B126" t="s">
        <v>2014</v>
      </c>
      <c r="C126" t="s">
        <v>10</v>
      </c>
      <c r="D126" t="s">
        <v>2261</v>
      </c>
      <c r="G126" s="63" t="s">
        <v>1927</v>
      </c>
      <c r="R126" s="71"/>
      <c r="S126" s="71"/>
      <c r="T126" s="71"/>
      <c r="U126" s="71"/>
      <c r="V126" s="71"/>
      <c r="W126" s="71"/>
      <c r="X126" s="71"/>
      <c r="Y126" s="71"/>
      <c r="Z126" s="71"/>
      <c r="AA126" s="71"/>
      <c r="AB126" s="71"/>
      <c r="AC126" s="305">
        <v>1</v>
      </c>
      <c r="AD126" s="71">
        <v>1</v>
      </c>
      <c r="AE126" s="71">
        <v>1</v>
      </c>
      <c r="AF126" s="71">
        <v>1</v>
      </c>
      <c r="AG126" s="71">
        <v>1</v>
      </c>
      <c r="AH126" s="71">
        <v>1</v>
      </c>
      <c r="AI126" s="71">
        <v>1</v>
      </c>
      <c r="AJ126" s="417"/>
      <c r="AK126" s="66" t="s">
        <v>2131</v>
      </c>
    </row>
    <row r="127" spans="1:69" x14ac:dyDescent="0.35">
      <c r="A127" t="s">
        <v>2077</v>
      </c>
      <c r="B127" t="s">
        <v>1727</v>
      </c>
      <c r="C127" t="s">
        <v>10</v>
      </c>
      <c r="D127" t="s">
        <v>2261</v>
      </c>
      <c r="G127" s="63" t="s">
        <v>1927</v>
      </c>
      <c r="R127" s="71"/>
      <c r="S127" s="71"/>
      <c r="T127" s="71"/>
      <c r="U127" s="71"/>
      <c r="V127" s="71"/>
      <c r="W127" s="71"/>
      <c r="X127" s="71"/>
      <c r="Y127" s="71"/>
      <c r="Z127" s="71"/>
      <c r="AA127" s="71"/>
      <c r="AB127" s="71"/>
      <c r="AC127" s="305">
        <v>1</v>
      </c>
      <c r="AD127" s="71">
        <v>1</v>
      </c>
      <c r="AE127" s="71">
        <v>1</v>
      </c>
      <c r="AF127" s="71">
        <v>1</v>
      </c>
      <c r="AG127" s="71">
        <v>1</v>
      </c>
      <c r="AH127" s="71">
        <v>1</v>
      </c>
      <c r="AI127" s="71">
        <v>1</v>
      </c>
      <c r="AJ127" s="417"/>
      <c r="AK127" s="66" t="s">
        <v>2131</v>
      </c>
    </row>
    <row r="128" spans="1:69" x14ac:dyDescent="0.35">
      <c r="A128" t="s">
        <v>2120</v>
      </c>
      <c r="B128" t="s">
        <v>1727</v>
      </c>
      <c r="C128" t="s">
        <v>503</v>
      </c>
      <c r="D128" t="s">
        <v>2261</v>
      </c>
      <c r="G128" s="63" t="s">
        <v>1927</v>
      </c>
      <c r="R128" s="71"/>
      <c r="S128" s="71"/>
      <c r="T128" s="71"/>
      <c r="U128" s="71"/>
      <c r="V128" s="71"/>
      <c r="W128" s="71"/>
      <c r="X128" s="71"/>
      <c r="Y128" s="71"/>
      <c r="Z128" s="71"/>
      <c r="AA128" s="71"/>
      <c r="AB128" s="71"/>
      <c r="AC128" s="305">
        <v>1</v>
      </c>
      <c r="AD128" s="71">
        <v>1</v>
      </c>
      <c r="AE128" s="71">
        <v>1</v>
      </c>
      <c r="AF128" s="71">
        <v>1</v>
      </c>
      <c r="AG128" s="71">
        <v>1</v>
      </c>
      <c r="AH128" s="71">
        <v>1</v>
      </c>
      <c r="AI128" s="71">
        <v>1</v>
      </c>
      <c r="AJ128" s="417"/>
      <c r="AK128" s="66" t="s">
        <v>2131</v>
      </c>
    </row>
    <row r="129" spans="1:58" x14ac:dyDescent="0.35">
      <c r="A129" t="s">
        <v>2120</v>
      </c>
      <c r="B129" t="s">
        <v>2011</v>
      </c>
      <c r="C129" t="s">
        <v>503</v>
      </c>
      <c r="D129" t="s">
        <v>2261</v>
      </c>
      <c r="G129" s="63" t="s">
        <v>1927</v>
      </c>
      <c r="R129" s="71"/>
      <c r="S129" s="71"/>
      <c r="T129" s="71"/>
      <c r="U129" s="71"/>
      <c r="V129" s="71"/>
      <c r="W129" s="71"/>
      <c r="X129" s="71"/>
      <c r="Y129" s="71"/>
      <c r="Z129" s="71"/>
      <c r="AA129" s="71"/>
      <c r="AB129" s="71"/>
      <c r="AC129" s="305">
        <v>1</v>
      </c>
      <c r="AD129" s="71">
        <v>1</v>
      </c>
      <c r="AE129" s="71">
        <v>1</v>
      </c>
      <c r="AF129" s="71">
        <v>1</v>
      </c>
      <c r="AG129" s="71">
        <v>1</v>
      </c>
      <c r="AH129" s="71">
        <v>1</v>
      </c>
      <c r="AI129" s="71">
        <v>1</v>
      </c>
      <c r="AJ129" s="417"/>
      <c r="AK129" s="66" t="s">
        <v>2131</v>
      </c>
      <c r="AU129" s="33" t="s">
        <v>127</v>
      </c>
      <c r="AV129" s="33">
        <v>2010</v>
      </c>
      <c r="AW129" s="33">
        <v>2015</v>
      </c>
      <c r="AX129" s="33">
        <v>2020</v>
      </c>
      <c r="AY129" s="33">
        <v>2021</v>
      </c>
      <c r="AZ129" s="33">
        <v>2025</v>
      </c>
      <c r="BA129" s="33">
        <v>2030</v>
      </c>
      <c r="BB129" s="33">
        <v>2035</v>
      </c>
      <c r="BC129" s="33">
        <v>2040</v>
      </c>
      <c r="BD129" s="33">
        <v>2045</v>
      </c>
      <c r="BE129" s="33">
        <v>2050</v>
      </c>
    </row>
    <row r="130" spans="1:58" x14ac:dyDescent="0.35">
      <c r="A130" t="s">
        <v>2121</v>
      </c>
      <c r="B130" t="s">
        <v>1727</v>
      </c>
      <c r="C130" t="s">
        <v>503</v>
      </c>
      <c r="D130" t="s">
        <v>2261</v>
      </c>
      <c r="G130" s="63" t="s">
        <v>1927</v>
      </c>
      <c r="R130" s="71"/>
      <c r="S130" s="71"/>
      <c r="T130" s="71"/>
      <c r="U130" s="71"/>
      <c r="V130" s="71"/>
      <c r="W130" s="71"/>
      <c r="X130" s="71"/>
      <c r="Y130" s="71"/>
      <c r="Z130" s="71"/>
      <c r="AA130" s="71"/>
      <c r="AB130" s="71"/>
      <c r="AC130" s="305">
        <v>1</v>
      </c>
      <c r="AD130" s="71">
        <v>1</v>
      </c>
      <c r="AE130" s="71">
        <v>1</v>
      </c>
      <c r="AF130" s="71">
        <v>1</v>
      </c>
      <c r="AG130" s="71">
        <v>1</v>
      </c>
      <c r="AH130" s="71">
        <v>1</v>
      </c>
      <c r="AI130" s="71">
        <v>1</v>
      </c>
      <c r="AJ130" s="417"/>
      <c r="AK130" s="66" t="s">
        <v>2131</v>
      </c>
      <c r="AT130" t="s">
        <v>1170</v>
      </c>
      <c r="AU130" t="s">
        <v>2251</v>
      </c>
      <c r="AV130">
        <v>2.3231727884754041</v>
      </c>
      <c r="AW130">
        <v>2.3246393546748423</v>
      </c>
      <c r="AX130">
        <v>2.3261059709058189</v>
      </c>
      <c r="AY130">
        <v>2.3470201004337201</v>
      </c>
      <c r="AZ130">
        <v>2.430676618545323</v>
      </c>
      <c r="BA130">
        <v>2.48666470607253</v>
      </c>
      <c r="BB130">
        <v>2.7339017293431782</v>
      </c>
      <c r="BC130">
        <v>2.8309067625901356</v>
      </c>
      <c r="BD130">
        <v>2.9279117958370939</v>
      </c>
      <c r="BE130">
        <v>3.0249168290840509</v>
      </c>
    </row>
    <row r="131" spans="1:58" x14ac:dyDescent="0.35">
      <c r="A131" t="s">
        <v>2121</v>
      </c>
      <c r="B131" t="s">
        <v>2012</v>
      </c>
      <c r="C131" t="s">
        <v>503</v>
      </c>
      <c r="D131" t="s">
        <v>2261</v>
      </c>
      <c r="G131" s="63" t="s">
        <v>1927</v>
      </c>
      <c r="R131" s="71"/>
      <c r="S131" s="71"/>
      <c r="T131" s="71"/>
      <c r="U131" s="71"/>
      <c r="V131" s="71"/>
      <c r="W131" s="71"/>
      <c r="X131" s="71"/>
      <c r="Y131" s="71"/>
      <c r="Z131" s="71"/>
      <c r="AA131" s="71"/>
      <c r="AB131" s="71"/>
      <c r="AC131" s="305">
        <v>1</v>
      </c>
      <c r="AD131" s="71">
        <v>1</v>
      </c>
      <c r="AE131" s="71">
        <v>1</v>
      </c>
      <c r="AF131" s="71">
        <v>1</v>
      </c>
      <c r="AG131" s="71">
        <v>1</v>
      </c>
      <c r="AH131" s="71">
        <v>1</v>
      </c>
      <c r="AI131" s="71">
        <v>1</v>
      </c>
      <c r="AJ131" s="417"/>
      <c r="AK131" s="66" t="s">
        <v>2131</v>
      </c>
      <c r="AT131" t="s">
        <v>1173</v>
      </c>
      <c r="AU131" t="s">
        <v>2252</v>
      </c>
      <c r="AY131">
        <v>2.2411842589960931</v>
      </c>
      <c r="AZ131">
        <v>2.3245815170477062</v>
      </c>
      <c r="BA131">
        <v>2.3970968119667462</v>
      </c>
      <c r="BB131">
        <v>2.644839181795072</v>
      </c>
      <c r="BC131">
        <v>2.7412472184031724</v>
      </c>
      <c r="BD131">
        <v>2.8376552550112728</v>
      </c>
      <c r="BE131">
        <v>2.9340632916193741</v>
      </c>
    </row>
    <row r="132" spans="1:58" x14ac:dyDescent="0.35">
      <c r="A132" t="s">
        <v>2070</v>
      </c>
      <c r="B132" t="s">
        <v>1094</v>
      </c>
      <c r="C132" t="s">
        <v>2071</v>
      </c>
      <c r="D132" t="s">
        <v>2261</v>
      </c>
      <c r="G132" s="63" t="s">
        <v>1927</v>
      </c>
      <c r="R132" s="71"/>
      <c r="S132" s="71"/>
      <c r="T132" s="71"/>
      <c r="U132" s="71"/>
      <c r="V132" s="71"/>
      <c r="W132" s="71"/>
      <c r="X132" s="71"/>
      <c r="Y132" s="71"/>
      <c r="Z132" s="71"/>
      <c r="AA132" s="71"/>
      <c r="AB132" s="71"/>
      <c r="AC132" s="305">
        <v>1</v>
      </c>
      <c r="AD132" s="71">
        <v>1</v>
      </c>
      <c r="AE132" s="71">
        <v>1</v>
      </c>
      <c r="AF132" s="71">
        <v>1</v>
      </c>
      <c r="AG132" s="71">
        <v>1</v>
      </c>
      <c r="AH132" s="71">
        <v>1</v>
      </c>
      <c r="AI132" s="71">
        <v>1</v>
      </c>
      <c r="AJ132" s="417"/>
      <c r="AK132" s="66" t="s">
        <v>2131</v>
      </c>
      <c r="AT132" t="s">
        <v>1174</v>
      </c>
      <c r="AU132" t="s">
        <v>2250</v>
      </c>
      <c r="AV132">
        <v>1.4314418999430523</v>
      </c>
      <c r="AW132">
        <v>1.4323455366924711</v>
      </c>
      <c r="AX132">
        <v>1.4332492042692311</v>
      </c>
      <c r="AY132">
        <v>1.447648109861275</v>
      </c>
      <c r="AZ132">
        <v>1.5052437322294505</v>
      </c>
      <c r="BA132">
        <v>1.5378446334225271</v>
      </c>
      <c r="BB132">
        <v>1.6825978622234974</v>
      </c>
      <c r="BC132">
        <v>1.7600698457926791</v>
      </c>
      <c r="BD132">
        <v>1.8375418293618615</v>
      </c>
      <c r="BE132">
        <v>1.9150138129310434</v>
      </c>
    </row>
    <row r="133" spans="1:58" x14ac:dyDescent="0.35">
      <c r="A133" t="s">
        <v>2070</v>
      </c>
      <c r="B133" t="s">
        <v>493</v>
      </c>
      <c r="C133" t="s">
        <v>2071</v>
      </c>
      <c r="D133" t="s">
        <v>2261</v>
      </c>
      <c r="G133" s="63" t="s">
        <v>1927</v>
      </c>
      <c r="R133" s="71"/>
      <c r="S133" s="71"/>
      <c r="T133" s="71"/>
      <c r="U133" s="71"/>
      <c r="V133" s="71"/>
      <c r="W133" s="71"/>
      <c r="X133" s="71"/>
      <c r="Y133" s="71"/>
      <c r="Z133" s="71"/>
      <c r="AA133" s="71"/>
      <c r="AB133" s="71"/>
      <c r="AC133" s="305">
        <v>1</v>
      </c>
      <c r="AD133" s="71">
        <v>1</v>
      </c>
      <c r="AE133" s="71">
        <v>1</v>
      </c>
      <c r="AF133" s="71">
        <v>1</v>
      </c>
      <c r="AG133" s="71">
        <v>1</v>
      </c>
      <c r="AH133" s="71">
        <v>1</v>
      </c>
      <c r="AI133" s="71">
        <v>1</v>
      </c>
      <c r="AJ133" s="417"/>
      <c r="AK133" s="66" t="s">
        <v>2131</v>
      </c>
      <c r="AT133" t="s">
        <v>1176</v>
      </c>
      <c r="AU133" t="s">
        <v>2253</v>
      </c>
      <c r="AY133">
        <v>1.2975963543359581</v>
      </c>
      <c r="AZ133">
        <v>1.3352343552706327</v>
      </c>
      <c r="BA133">
        <v>1.3635929223520937</v>
      </c>
      <c r="BB133">
        <v>1.4567678363313867</v>
      </c>
      <c r="BC133">
        <v>1.4936523980872969</v>
      </c>
      <c r="BD133">
        <v>1.530536959843207</v>
      </c>
      <c r="BE133">
        <v>1.5674215215991172</v>
      </c>
    </row>
    <row r="134" spans="1:58" x14ac:dyDescent="0.35">
      <c r="A134" t="s">
        <v>2069</v>
      </c>
      <c r="B134" t="s">
        <v>1094</v>
      </c>
      <c r="C134" t="s">
        <v>2072</v>
      </c>
      <c r="D134" t="s">
        <v>2261</v>
      </c>
      <c r="G134" s="63" t="s">
        <v>1927</v>
      </c>
      <c r="R134" s="71"/>
      <c r="S134" s="71"/>
      <c r="T134" s="71"/>
      <c r="U134" s="71"/>
      <c r="V134" s="71"/>
      <c r="W134" s="71"/>
      <c r="X134" s="71"/>
      <c r="Y134" s="71"/>
      <c r="Z134" s="71"/>
      <c r="AA134" s="71"/>
      <c r="AB134" s="71"/>
      <c r="AC134" s="305">
        <v>1</v>
      </c>
      <c r="AD134" s="71">
        <v>1</v>
      </c>
      <c r="AE134" s="71">
        <v>1</v>
      </c>
      <c r="AF134" s="71">
        <v>1</v>
      </c>
      <c r="AG134" s="71">
        <v>1</v>
      </c>
      <c r="AH134" s="71">
        <v>1</v>
      </c>
      <c r="AI134" s="71">
        <v>1</v>
      </c>
      <c r="AJ134" s="417"/>
      <c r="AK134" s="66" t="s">
        <v>2131</v>
      </c>
      <c r="AT134" t="s">
        <v>1177</v>
      </c>
      <c r="AU134" t="s">
        <v>2249</v>
      </c>
      <c r="AV134">
        <v>0.70130979665644289</v>
      </c>
      <c r="AW134">
        <v>0.64046058888633861</v>
      </c>
      <c r="AX134">
        <v>0.93028876550739592</v>
      </c>
      <c r="AY134">
        <v>0.93576956616806761</v>
      </c>
      <c r="AZ134">
        <v>0.95769276881075494</v>
      </c>
      <c r="BA134">
        <v>0.98119533866357578</v>
      </c>
      <c r="BB134">
        <v>1.0454115378322646</v>
      </c>
      <c r="BC134">
        <v>1.0890560915255856</v>
      </c>
      <c r="BD134">
        <v>1.1327006452189068</v>
      </c>
      <c r="BE134">
        <v>1.1763451989122276</v>
      </c>
    </row>
    <row r="135" spans="1:58" x14ac:dyDescent="0.35">
      <c r="A135" t="s">
        <v>2069</v>
      </c>
      <c r="B135" t="s">
        <v>493</v>
      </c>
      <c r="C135" t="s">
        <v>2072</v>
      </c>
      <c r="D135" t="s">
        <v>2261</v>
      </c>
      <c r="G135" s="63" t="s">
        <v>1927</v>
      </c>
      <c r="R135" s="71"/>
      <c r="S135" s="71"/>
      <c r="T135" s="71"/>
      <c r="U135" s="71"/>
      <c r="V135" s="71"/>
      <c r="W135" s="71"/>
      <c r="X135" s="71"/>
      <c r="Y135" s="71"/>
      <c r="Z135" s="71"/>
      <c r="AA135" s="71"/>
      <c r="AB135" s="71"/>
      <c r="AC135" s="305">
        <v>1</v>
      </c>
      <c r="AD135" s="71">
        <v>1</v>
      </c>
      <c r="AE135" s="71">
        <v>1</v>
      </c>
      <c r="AF135" s="71">
        <v>1</v>
      </c>
      <c r="AG135" s="71">
        <v>1</v>
      </c>
      <c r="AH135" s="71">
        <v>1</v>
      </c>
      <c r="AI135" s="71">
        <v>1</v>
      </c>
      <c r="AJ135" s="417"/>
      <c r="AK135" s="66" t="s">
        <v>2131</v>
      </c>
      <c r="AT135" t="s">
        <v>1180</v>
      </c>
      <c r="AU135" t="s">
        <v>2248</v>
      </c>
      <c r="AV135">
        <v>0.47021727934409574</v>
      </c>
      <c r="AW135">
        <v>0.50513418010120259</v>
      </c>
      <c r="AX135">
        <v>0.50538551968055578</v>
      </c>
      <c r="AY135">
        <v>0.50385270381529579</v>
      </c>
      <c r="AZ135">
        <v>0.4977214403542557</v>
      </c>
      <c r="BA135">
        <v>0.57872630069351627</v>
      </c>
      <c r="BB135">
        <v>0.63239309129722976</v>
      </c>
      <c r="BC135">
        <v>0.66510559310174688</v>
      </c>
      <c r="BD135">
        <v>0.69781809490626401</v>
      </c>
      <c r="BE135">
        <v>0.73053059671078113</v>
      </c>
    </row>
    <row r="136" spans="1:58" x14ac:dyDescent="0.35">
      <c r="A136" t="s">
        <v>2083</v>
      </c>
      <c r="B136" t="s">
        <v>501</v>
      </c>
      <c r="C136" t="s">
        <v>13</v>
      </c>
      <c r="D136" t="s">
        <v>2261</v>
      </c>
      <c r="G136" s="63" t="s">
        <v>1927</v>
      </c>
      <c r="R136" s="71"/>
      <c r="S136" s="71"/>
      <c r="T136" s="71"/>
      <c r="U136" s="71"/>
      <c r="V136" s="71"/>
      <c r="W136" s="71"/>
      <c r="X136" s="71"/>
      <c r="Y136" s="71"/>
      <c r="Z136" s="71"/>
      <c r="AA136" s="71"/>
      <c r="AB136" s="71"/>
      <c r="AC136" s="305">
        <v>1</v>
      </c>
      <c r="AD136" s="71">
        <v>1</v>
      </c>
      <c r="AE136" s="71">
        <v>1</v>
      </c>
      <c r="AF136" s="71">
        <v>1</v>
      </c>
      <c r="AG136" s="71">
        <v>1</v>
      </c>
      <c r="AH136" s="71">
        <v>1</v>
      </c>
      <c r="AI136" s="71">
        <v>1</v>
      </c>
      <c r="AJ136" s="417"/>
      <c r="AK136" s="66" t="s">
        <v>2131</v>
      </c>
    </row>
    <row r="137" spans="1:58" x14ac:dyDescent="0.35">
      <c r="A137" t="s">
        <v>2083</v>
      </c>
      <c r="B137" t="s">
        <v>2018</v>
      </c>
      <c r="C137" t="s">
        <v>13</v>
      </c>
      <c r="D137" t="s">
        <v>2261</v>
      </c>
      <c r="G137" s="63" t="s">
        <v>1927</v>
      </c>
      <c r="R137" s="71"/>
      <c r="S137" s="71"/>
      <c r="T137" s="71"/>
      <c r="U137" s="71"/>
      <c r="V137" s="71"/>
      <c r="W137" s="71"/>
      <c r="X137" s="71"/>
      <c r="Y137" s="71"/>
      <c r="Z137" s="71"/>
      <c r="AA137" s="71"/>
      <c r="AB137" s="71"/>
      <c r="AC137" s="305">
        <v>1</v>
      </c>
      <c r="AD137" s="71">
        <v>1</v>
      </c>
      <c r="AE137" s="71">
        <v>1</v>
      </c>
      <c r="AF137" s="71">
        <v>1</v>
      </c>
      <c r="AG137" s="71">
        <v>1</v>
      </c>
      <c r="AH137" s="71">
        <v>1</v>
      </c>
      <c r="AI137" s="71">
        <v>1</v>
      </c>
      <c r="AJ137" s="417"/>
      <c r="AK137" s="66" t="s">
        <v>2131</v>
      </c>
      <c r="AU137" s="33" t="s">
        <v>127</v>
      </c>
      <c r="AV137" s="33">
        <v>2006</v>
      </c>
      <c r="AW137" s="33">
        <v>2010</v>
      </c>
      <c r="AX137" s="33">
        <v>2015</v>
      </c>
      <c r="AY137" s="33">
        <v>2020</v>
      </c>
      <c r="AZ137" s="33">
        <v>2021</v>
      </c>
      <c r="BA137" s="33">
        <v>2025</v>
      </c>
      <c r="BB137" s="33">
        <v>2030</v>
      </c>
      <c r="BC137" s="33">
        <v>2035</v>
      </c>
      <c r="BD137" s="33">
        <v>2040</v>
      </c>
      <c r="BE137" s="33">
        <v>2045</v>
      </c>
      <c r="BF137" s="33">
        <v>2050</v>
      </c>
    </row>
    <row r="138" spans="1:58" x14ac:dyDescent="0.35">
      <c r="A138" t="s">
        <v>2084</v>
      </c>
      <c r="B138" t="s">
        <v>501</v>
      </c>
      <c r="C138" t="s">
        <v>1301</v>
      </c>
      <c r="D138" t="s">
        <v>2261</v>
      </c>
      <c r="G138" s="63" t="s">
        <v>1927</v>
      </c>
      <c r="R138" s="71"/>
      <c r="S138" s="71"/>
      <c r="T138" s="71"/>
      <c r="U138" s="71"/>
      <c r="V138" s="71"/>
      <c r="W138" s="71"/>
      <c r="X138" s="71"/>
      <c r="Y138" s="71"/>
      <c r="Z138" s="71"/>
      <c r="AA138" s="71"/>
      <c r="AB138" s="71"/>
      <c r="AC138" s="305">
        <v>1</v>
      </c>
      <c r="AD138" s="71">
        <v>1</v>
      </c>
      <c r="AE138" s="71">
        <v>1</v>
      </c>
      <c r="AF138" s="71">
        <v>1</v>
      </c>
      <c r="AG138" s="71">
        <v>1</v>
      </c>
      <c r="AH138" s="71">
        <v>1</v>
      </c>
      <c r="AI138" s="71">
        <v>1</v>
      </c>
      <c r="AJ138" s="417"/>
      <c r="AK138" s="66" t="s">
        <v>2131</v>
      </c>
      <c r="AT138" t="s">
        <v>1182</v>
      </c>
      <c r="AU138" t="s">
        <v>2259</v>
      </c>
      <c r="AV138">
        <v>1.9061966142409046</v>
      </c>
      <c r="AW138">
        <v>1.907983161749063</v>
      </c>
      <c r="AX138">
        <v>1.9102163827514671</v>
      </c>
      <c r="AY138">
        <v>1.9124494046491085</v>
      </c>
      <c r="AZ138">
        <v>1.9300666566717384</v>
      </c>
      <c r="BA138">
        <v>2.000535664762257</v>
      </c>
      <c r="BB138">
        <v>2.0425386676321717</v>
      </c>
      <c r="BC138">
        <v>2.2577201891341478</v>
      </c>
      <c r="BD138">
        <v>2.3398869784133449</v>
      </c>
      <c r="BE138">
        <v>2.4220537676925429</v>
      </c>
      <c r="BF138">
        <v>2.50422055697174</v>
      </c>
    </row>
    <row r="139" spans="1:58" x14ac:dyDescent="0.35">
      <c r="A139" t="s">
        <v>2084</v>
      </c>
      <c r="B139" t="s">
        <v>2018</v>
      </c>
      <c r="C139" t="s">
        <v>1301</v>
      </c>
      <c r="D139" t="s">
        <v>2261</v>
      </c>
      <c r="G139" s="63" t="s">
        <v>1927</v>
      </c>
      <c r="AC139" s="305">
        <v>1</v>
      </c>
      <c r="AD139" s="71">
        <v>1</v>
      </c>
      <c r="AE139" s="71">
        <v>1</v>
      </c>
      <c r="AF139" s="71">
        <v>1</v>
      </c>
      <c r="AG139" s="71">
        <v>1</v>
      </c>
      <c r="AH139" s="71">
        <v>1</v>
      </c>
      <c r="AI139" s="71">
        <v>1</v>
      </c>
      <c r="AK139" s="66" t="s">
        <v>2131</v>
      </c>
      <c r="AT139" t="s">
        <v>1183</v>
      </c>
      <c r="AU139" t="s">
        <v>2260</v>
      </c>
      <c r="AZ139">
        <v>1.8457929170796874</v>
      </c>
      <c r="BA139">
        <v>1.9146232406361869</v>
      </c>
      <c r="BB139">
        <v>1.9746995895154056</v>
      </c>
      <c r="BC139">
        <v>2.185648015431243</v>
      </c>
      <c r="BD139">
        <v>2.2687027585486872</v>
      </c>
      <c r="BE139">
        <v>2.351757501666131</v>
      </c>
      <c r="BF139">
        <v>2.4348122447835752</v>
      </c>
    </row>
    <row r="140" spans="1:58" x14ac:dyDescent="0.35">
      <c r="AT140" t="s">
        <v>1185</v>
      </c>
      <c r="AU140" t="s">
        <v>2258</v>
      </c>
      <c r="AV140">
        <v>1.2978898153409308</v>
      </c>
      <c r="AW140">
        <v>1.2991062385567411</v>
      </c>
      <c r="AX140">
        <v>1.3006267925084016</v>
      </c>
      <c r="AY140">
        <v>1.3021472108937506</v>
      </c>
      <c r="AZ140">
        <v>1.3152432929586246</v>
      </c>
      <c r="BA140">
        <v>1.3676276212181211</v>
      </c>
      <c r="BB140">
        <v>1.402439309464214</v>
      </c>
      <c r="BC140">
        <v>1.5311086703970358</v>
      </c>
      <c r="BD140">
        <v>1.6038016771946901</v>
      </c>
      <c r="BE140">
        <v>1.6764946839923454</v>
      </c>
      <c r="BF140">
        <v>1.7491876907899995</v>
      </c>
    </row>
    <row r="141" spans="1:58" x14ac:dyDescent="0.35">
      <c r="AT141" t="s">
        <v>1186</v>
      </c>
      <c r="AU141" t="s">
        <v>2254</v>
      </c>
      <c r="AZ141">
        <v>1.0411118002903679</v>
      </c>
      <c r="BA141">
        <v>1.0700159813457488</v>
      </c>
      <c r="BB141">
        <v>1.0879748430273828</v>
      </c>
      <c r="BC141">
        <v>1.1672246905821329</v>
      </c>
      <c r="BD141">
        <v>1.1964722138405202</v>
      </c>
      <c r="BE141">
        <v>1.2257197370989075</v>
      </c>
      <c r="BF141">
        <v>1.2549672603572952</v>
      </c>
    </row>
    <row r="142" spans="1:58" x14ac:dyDescent="0.35">
      <c r="AT142" t="s">
        <v>1188</v>
      </c>
      <c r="AU142" t="s">
        <v>2257</v>
      </c>
      <c r="AV142">
        <v>0.47888722345296275</v>
      </c>
      <c r="AW142">
        <v>0.53815643128328161</v>
      </c>
      <c r="AX142">
        <v>0.62333020399973005</v>
      </c>
      <c r="AY142">
        <v>0.74476989849081643</v>
      </c>
      <c r="AZ142">
        <v>0.74946901472933336</v>
      </c>
      <c r="BA142">
        <v>0.76826547968340086</v>
      </c>
      <c r="BB142">
        <v>0.78717744496878062</v>
      </c>
      <c r="BC142">
        <v>0.8373959453109564</v>
      </c>
      <c r="BD142">
        <v>0.87539513500941646</v>
      </c>
      <c r="BE142">
        <v>0.91339432470787651</v>
      </c>
      <c r="BF142">
        <v>0.9513935144063369</v>
      </c>
    </row>
    <row r="143" spans="1:58" x14ac:dyDescent="0.35">
      <c r="AT143" t="s">
        <v>1189</v>
      </c>
      <c r="AU143" t="s">
        <v>2256</v>
      </c>
      <c r="AV143">
        <v>0.44057265908603083</v>
      </c>
      <c r="AW143">
        <v>0.53857177890316332</v>
      </c>
      <c r="AX143">
        <v>0.58522413736078882</v>
      </c>
      <c r="AY143">
        <v>0.53068332837551802</v>
      </c>
      <c r="AZ143">
        <v>0.52834973221723414</v>
      </c>
      <c r="BA143">
        <v>0.51901534758409884</v>
      </c>
      <c r="BB143">
        <v>0.59211535124296943</v>
      </c>
      <c r="BC143">
        <v>0.64459400659841659</v>
      </c>
      <c r="BD143">
        <v>0.67844869753442694</v>
      </c>
      <c r="BE143">
        <v>0.71230338847043728</v>
      </c>
      <c r="BF143">
        <v>0.74615807940644763</v>
      </c>
    </row>
    <row r="144" spans="1:58" x14ac:dyDescent="0.35">
      <c r="AT144" t="s">
        <v>1192</v>
      </c>
      <c r="AU144" t="s">
        <v>2255</v>
      </c>
      <c r="AV144">
        <v>0.3675013461651534</v>
      </c>
      <c r="AW144">
        <v>0.41621816533785999</v>
      </c>
      <c r="AX144">
        <v>0.44706736418862886</v>
      </c>
      <c r="AY144">
        <v>0.45186027451042721</v>
      </c>
      <c r="AZ144">
        <v>0.45080114587873549</v>
      </c>
      <c r="BA144">
        <v>0.44656463135196856</v>
      </c>
      <c r="BB144">
        <v>0.51539507939695006</v>
      </c>
      <c r="BC144">
        <v>0.56263447095565411</v>
      </c>
      <c r="BD144">
        <v>0.59145879974716631</v>
      </c>
      <c r="BE144">
        <v>0.62028312853867851</v>
      </c>
      <c r="BF144">
        <v>0.64910745733019048</v>
      </c>
    </row>
  </sheetData>
  <sortState xmlns:xlrd2="http://schemas.microsoft.com/office/spreadsheetml/2017/richdata2" ref="AU138:BF144">
    <sortCondition descending="1" ref="AZ138:AZ144"/>
  </sortState>
  <mergeCells count="28">
    <mergeCell ref="CX75:DE76"/>
    <mergeCell ref="CX32:DE32"/>
    <mergeCell ref="AT25:AY26"/>
    <mergeCell ref="AT27:AY28"/>
    <mergeCell ref="CX64:DE64"/>
    <mergeCell ref="DG32:DH32"/>
    <mergeCell ref="EJ1:EQ1"/>
    <mergeCell ref="EJ32:EQ32"/>
    <mergeCell ref="AT52:AY54"/>
    <mergeCell ref="DJ32:DK32"/>
    <mergeCell ref="DM32:DO32"/>
    <mergeCell ref="DG45:DN45"/>
    <mergeCell ref="DG1:DN1"/>
    <mergeCell ref="DZ1:EG1"/>
    <mergeCell ref="DZ32:EG32"/>
    <mergeCell ref="CN1:CU1"/>
    <mergeCell ref="CN32:CU32"/>
    <mergeCell ref="BK1:BR1"/>
    <mergeCell ref="BK30:BR30"/>
    <mergeCell ref="BA1:BH1"/>
    <mergeCell ref="CD1:CK1"/>
    <mergeCell ref="H1:AB1"/>
    <mergeCell ref="AL1:AP1"/>
    <mergeCell ref="AT1:AY1"/>
    <mergeCell ref="AT30:AY30"/>
    <mergeCell ref="AJ1:AJ2"/>
    <mergeCell ref="AT23:AY24"/>
    <mergeCell ref="AC1:AI1"/>
  </mergeCells>
  <phoneticPr fontId="27" type="noConversion"/>
  <conditionalFormatting sqref="AJ34:AJ138">
    <cfRule type="cellIs" dxfId="2" priority="41" operator="between">
      <formula>0.001</formula>
      <formula>0.999</formula>
    </cfRule>
  </conditionalFormatting>
  <conditionalFormatting sqref="BI4:BI15">
    <cfRule type="colorScale" priority="27">
      <colorScale>
        <cfvo type="min"/>
        <cfvo type="num" val="0"/>
        <cfvo type="max"/>
        <color rgb="FFFF0000"/>
        <color theme="0"/>
        <color rgb="FF00B050"/>
      </colorScale>
    </cfRule>
  </conditionalFormatting>
  <conditionalFormatting sqref="BI16">
    <cfRule type="colorScale" priority="29">
      <colorScale>
        <cfvo type="min"/>
        <cfvo type="num" val="0"/>
        <cfvo type="max"/>
        <color rgb="FF00B050"/>
        <color theme="0"/>
        <color rgb="FFFF0000"/>
      </colorScale>
    </cfRule>
  </conditionalFormatting>
  <conditionalFormatting sqref="BI17:BI28">
    <cfRule type="colorScale" priority="26">
      <colorScale>
        <cfvo type="min"/>
        <cfvo type="num" val="0"/>
        <cfvo type="max"/>
        <color rgb="FFFF0000"/>
        <color theme="0"/>
        <color rgb="FF00B050"/>
      </colorScale>
    </cfRule>
  </conditionalFormatting>
  <conditionalFormatting sqref="BI30:BI41">
    <cfRule type="colorScale" priority="25">
      <colorScale>
        <cfvo type="min"/>
        <cfvo type="num" val="0"/>
        <cfvo type="max"/>
        <color rgb="FFFF0000"/>
        <color theme="0"/>
        <color rgb="FF00B050"/>
      </colorScale>
    </cfRule>
  </conditionalFormatting>
  <conditionalFormatting sqref="BI43:BI54">
    <cfRule type="colorScale" priority="24">
      <colorScale>
        <cfvo type="min"/>
        <cfvo type="num" val="0"/>
        <cfvo type="max"/>
        <color rgb="FFFF0000"/>
        <color theme="0"/>
        <color rgb="FF00B050"/>
      </colorScale>
    </cfRule>
  </conditionalFormatting>
  <conditionalFormatting sqref="BI55 BI42">
    <cfRule type="colorScale" priority="28">
      <colorScale>
        <cfvo type="min"/>
        <cfvo type="num" val="0"/>
        <cfvo type="max"/>
        <color rgb="FF00B050"/>
        <color theme="0"/>
        <color rgb="FFFF0000"/>
      </colorScale>
    </cfRule>
  </conditionalFormatting>
  <conditionalFormatting sqref="BI56:BI67">
    <cfRule type="colorScale" priority="23">
      <colorScale>
        <cfvo type="min"/>
        <cfvo type="num" val="0"/>
        <cfvo type="max"/>
        <color rgb="FFFF0000"/>
        <color theme="0"/>
        <color rgb="FF00B050"/>
      </colorScale>
    </cfRule>
  </conditionalFormatting>
  <conditionalFormatting sqref="BS4:BS28">
    <cfRule type="colorScale" priority="46">
      <colorScale>
        <cfvo type="min"/>
        <cfvo type="num" val="0"/>
        <cfvo type="max"/>
        <color rgb="FF00B050"/>
        <color theme="0"/>
        <color rgb="FFFF0000"/>
      </colorScale>
    </cfRule>
  </conditionalFormatting>
  <conditionalFormatting sqref="BS33:BS57">
    <cfRule type="colorScale" priority="45">
      <colorScale>
        <cfvo type="min"/>
        <cfvo type="num" val="0"/>
        <cfvo type="max"/>
        <color rgb="FFFF0000"/>
        <color theme="0"/>
        <color rgb="FF00B050"/>
      </colorScale>
    </cfRule>
  </conditionalFormatting>
  <conditionalFormatting sqref="CL4:CL30">
    <cfRule type="colorScale" priority="20">
      <colorScale>
        <cfvo type="min"/>
        <cfvo type="num" val="0"/>
        <cfvo type="max"/>
        <color rgb="FFFF0000"/>
        <color theme="0"/>
        <color rgb="FF00B050"/>
      </colorScale>
    </cfRule>
  </conditionalFormatting>
  <conditionalFormatting sqref="CL32:CL37">
    <cfRule type="colorScale" priority="19">
      <colorScale>
        <cfvo type="min"/>
        <cfvo type="num" val="0"/>
        <cfvo type="max"/>
        <color rgb="FFFF0000"/>
        <color theme="0"/>
        <color rgb="FF00B050"/>
      </colorScale>
    </cfRule>
  </conditionalFormatting>
  <conditionalFormatting sqref="CL39:CL44">
    <cfRule type="colorScale" priority="18">
      <colorScale>
        <cfvo type="min"/>
        <cfvo type="num" val="0"/>
        <cfvo type="max"/>
        <color rgb="FFFF0000"/>
        <color theme="0"/>
        <color rgb="FF00B050"/>
      </colorScale>
    </cfRule>
  </conditionalFormatting>
  <conditionalFormatting sqref="CL46:CL51">
    <cfRule type="colorScale" priority="17">
      <colorScale>
        <cfvo type="min"/>
        <cfvo type="num" val="0"/>
        <cfvo type="max"/>
        <color rgb="FFFF0000"/>
        <color theme="0"/>
        <color rgb="FF00B050"/>
      </colorScale>
    </cfRule>
  </conditionalFormatting>
  <conditionalFormatting sqref="CV4:CV30">
    <cfRule type="colorScale" priority="43">
      <colorScale>
        <cfvo type="min"/>
        <cfvo type="num" val="0"/>
        <cfvo type="max"/>
        <color rgb="FF00B050"/>
        <color theme="0"/>
        <color rgb="FFFF0000"/>
      </colorScale>
    </cfRule>
  </conditionalFormatting>
  <conditionalFormatting sqref="CV35:CV61">
    <cfRule type="colorScale" priority="44">
      <colorScale>
        <cfvo type="min"/>
        <cfvo type="num" val="0"/>
        <cfvo type="max"/>
        <color rgb="FFFF0000"/>
        <color theme="0"/>
        <color rgb="FF00B050"/>
      </colorScale>
    </cfRule>
  </conditionalFormatting>
  <conditionalFormatting sqref="CV63:CV66">
    <cfRule type="colorScale" priority="1">
      <colorScale>
        <cfvo type="min"/>
        <cfvo type="num" val="0"/>
        <cfvo type="max"/>
        <color rgb="FFFF0000"/>
        <color theme="0"/>
        <color rgb="FF00B050"/>
      </colorScale>
    </cfRule>
  </conditionalFormatting>
  <conditionalFormatting sqref="DO4:DO30">
    <cfRule type="colorScale" priority="38">
      <colorScale>
        <cfvo type="min"/>
        <cfvo type="num" val="0"/>
        <cfvo type="max"/>
        <color rgb="FFFF0000"/>
        <color theme="0"/>
        <color rgb="FF00B050"/>
      </colorScale>
    </cfRule>
  </conditionalFormatting>
  <conditionalFormatting sqref="DO48:DO56">
    <cfRule type="colorScale" priority="37">
      <colorScale>
        <cfvo type="min"/>
        <cfvo type="num" val="0"/>
        <cfvo type="max"/>
        <color rgb="FFFF0000"/>
        <color theme="0"/>
        <color rgb="FF00B050"/>
      </colorScale>
    </cfRule>
  </conditionalFormatting>
  <conditionalFormatting sqref="EH4:EH30">
    <cfRule type="colorScale" priority="39">
      <colorScale>
        <cfvo type="min"/>
        <cfvo type="num" val="0"/>
        <cfvo type="max"/>
        <color rgb="FF00B050"/>
        <color theme="0"/>
        <color rgb="FFFF0000"/>
      </colorScale>
    </cfRule>
  </conditionalFormatting>
  <conditionalFormatting sqref="EH35:EH59">
    <cfRule type="colorScale" priority="35">
      <colorScale>
        <cfvo type="min"/>
        <cfvo type="num" val="0"/>
        <cfvo type="max"/>
        <color rgb="FFFF0000"/>
        <color theme="0"/>
        <color rgb="FF00B050"/>
      </colorScale>
    </cfRule>
  </conditionalFormatting>
  <conditionalFormatting sqref="ER4:ER30">
    <cfRule type="colorScale" priority="32">
      <colorScale>
        <cfvo type="min"/>
        <cfvo type="num" val="0"/>
        <cfvo type="max"/>
        <color rgb="FF00B050"/>
        <color theme="0"/>
        <color rgb="FFFF0000"/>
      </colorScale>
    </cfRule>
  </conditionalFormatting>
  <conditionalFormatting sqref="ER35:ER61">
    <cfRule type="colorScale" priority="31">
      <colorScale>
        <cfvo type="min"/>
        <cfvo type="num" val="0"/>
        <cfvo type="max"/>
        <color rgb="FFFF0000"/>
        <color theme="0"/>
        <color rgb="FF00B050"/>
      </colorScale>
    </cfRule>
  </conditionalFormatting>
  <hyperlinks>
    <hyperlink ref="BA70"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E146:E1048576 E3:E139</xm:sqref>
        </x14:dataValidation>
        <x14:dataValidation type="list" allowBlank="1" showInputMessage="1" showErrorMessage="1" xr:uid="{CDC39E20-01A8-42D9-BB6C-B1E30F81E719}">
          <x14:formula1>
            <xm:f>Techs!#REF!</xm:f>
          </x14:formula1>
          <xm:sqref>B146:C256</xm:sqref>
        </x14:dataValidation>
        <x14:dataValidation type="list" allowBlank="1" showInputMessage="1" showErrorMessage="1" xr:uid="{E4D84A23-4670-4FBE-B60A-04D957E8BA35}">
          <x14:formula1>
            <xm:f>Comms!$A$2:$A$100</xm:f>
          </x14:formula1>
          <xm:sqref>B3:C139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tabColor theme="9" tint="0.59999389629810485"/>
  </sheetPr>
  <dimension ref="A1:BH119"/>
  <sheetViews>
    <sheetView topLeftCell="A70" zoomScaleNormal="100" workbookViewId="0">
      <selection activeCell="J96" sqref="J96"/>
    </sheetView>
  </sheetViews>
  <sheetFormatPr defaultRowHeight="14.5" x14ac:dyDescent="0.35"/>
  <cols>
    <col min="1" max="1" width="23.7265625" bestFit="1" customWidth="1"/>
    <col min="2" max="2" width="6.81640625" bestFit="1" customWidth="1"/>
    <col min="3" max="3" width="21.81640625" customWidth="1"/>
    <col min="4" max="8" width="9.1796875" customWidth="1"/>
    <col min="9" max="9" width="9.81640625" bestFit="1" customWidth="1"/>
    <col min="10" max="10" width="8.81640625" style="87" customWidth="1"/>
    <col min="17" max="17" width="90.81640625" style="87" customWidth="1"/>
    <col min="18" max="18" width="9.54296875" style="87" bestFit="1" customWidth="1"/>
    <col min="19" max="19" width="18" bestFit="1" customWidth="1"/>
    <col min="20" max="20" width="9" bestFit="1" customWidth="1"/>
    <col min="21" max="21" width="12.1796875" bestFit="1" customWidth="1"/>
    <col min="22" max="22" width="12.54296875" bestFit="1" customWidth="1"/>
    <col min="24" max="24" width="1.7265625" style="62" customWidth="1"/>
    <col min="26" max="26" width="22.36328125" customWidth="1"/>
    <col min="27" max="33" width="9.54296875" bestFit="1" customWidth="1"/>
    <col min="36" max="36" width="29.54296875" customWidth="1"/>
    <col min="37" max="39" width="10" bestFit="1" customWidth="1"/>
    <col min="40" max="40" width="12.1796875" bestFit="1" customWidth="1"/>
    <col min="41" max="41" width="11.1796875" bestFit="1" customWidth="1"/>
    <col min="42" max="43" width="10" bestFit="1" customWidth="1"/>
    <col min="45" max="46" width="8.7265625" customWidth="1"/>
    <col min="47" max="47" width="21.1796875" customWidth="1"/>
    <col min="48" max="50" width="10" bestFit="1" customWidth="1"/>
    <col min="51" max="51" width="8.81640625" customWidth="1"/>
    <col min="53" max="53" width="27.7265625" customWidth="1"/>
    <col min="54" max="54" width="10.54296875" customWidth="1"/>
    <col min="55" max="56" width="11.1796875" bestFit="1" customWidth="1"/>
    <col min="57" max="57" width="20.453125" customWidth="1"/>
    <col min="58" max="58" width="11.453125" bestFit="1" customWidth="1"/>
    <col min="59" max="59" width="14" bestFit="1" customWidth="1"/>
    <col min="60" max="60" width="10.1796875" bestFit="1" customWidth="1"/>
  </cols>
  <sheetData>
    <row r="1" spans="1:60" ht="16" thickBot="1" x14ac:dyDescent="0.4">
      <c r="A1" s="1"/>
      <c r="B1" s="1"/>
      <c r="C1" s="1"/>
      <c r="D1" s="1"/>
      <c r="E1" s="1"/>
      <c r="F1" s="1"/>
      <c r="J1" s="471" t="s">
        <v>1168</v>
      </c>
      <c r="K1" s="472"/>
      <c r="L1" s="472"/>
      <c r="M1" s="472"/>
      <c r="N1" s="472"/>
      <c r="O1" s="472"/>
      <c r="P1" s="473"/>
      <c r="R1" s="475" t="s">
        <v>146</v>
      </c>
      <c r="S1" s="474"/>
      <c r="T1" s="474"/>
      <c r="U1" s="474"/>
      <c r="V1" s="474"/>
      <c r="Z1" s="318" t="s">
        <v>2160</v>
      </c>
      <c r="AA1" s="318"/>
      <c r="AB1" s="318"/>
      <c r="AC1" s="318"/>
      <c r="AD1" s="318"/>
      <c r="AE1" s="318"/>
      <c r="AF1" s="318"/>
      <c r="AG1" s="318"/>
      <c r="AH1" s="189"/>
      <c r="AJ1" s="470" t="s">
        <v>2163</v>
      </c>
      <c r="AK1" s="470"/>
      <c r="AL1" s="470"/>
      <c r="AM1" s="470"/>
      <c r="AN1" s="470"/>
      <c r="AO1" s="470"/>
      <c r="AP1" s="470"/>
      <c r="AQ1" s="470"/>
      <c r="AR1" s="189"/>
      <c r="BA1" s="33" t="s">
        <v>1775</v>
      </c>
      <c r="BE1" s="33" t="s">
        <v>1816</v>
      </c>
    </row>
    <row r="2" spans="1:60" ht="15" thickBot="1" x14ac:dyDescent="0.4">
      <c r="A2" s="12" t="s">
        <v>94</v>
      </c>
      <c r="B2" s="12" t="s">
        <v>95</v>
      </c>
      <c r="C2" s="12" t="s">
        <v>179</v>
      </c>
      <c r="D2" s="12" t="s">
        <v>140</v>
      </c>
      <c r="E2" s="12" t="s">
        <v>1952</v>
      </c>
      <c r="F2" s="12" t="s">
        <v>1673</v>
      </c>
      <c r="G2" s="12" t="s">
        <v>1954</v>
      </c>
      <c r="H2" s="12" t="s">
        <v>1259</v>
      </c>
      <c r="I2" s="12" t="s">
        <v>96</v>
      </c>
      <c r="J2" s="304">
        <v>2021</v>
      </c>
      <c r="K2" s="12">
        <v>2025</v>
      </c>
      <c r="L2" s="12">
        <v>2030</v>
      </c>
      <c r="M2" s="12">
        <v>2035</v>
      </c>
      <c r="N2" s="12">
        <v>2040</v>
      </c>
      <c r="O2" s="12">
        <v>2045</v>
      </c>
      <c r="P2" s="12">
        <v>2050</v>
      </c>
      <c r="Q2" s="304" t="s">
        <v>93</v>
      </c>
      <c r="R2" s="67" t="s">
        <v>147</v>
      </c>
      <c r="S2" s="15" t="s">
        <v>151</v>
      </c>
      <c r="T2" s="12" t="s">
        <v>148</v>
      </c>
      <c r="U2" s="12" t="s">
        <v>149</v>
      </c>
      <c r="V2" s="12" t="s">
        <v>150</v>
      </c>
      <c r="Z2" s="105" t="s">
        <v>245</v>
      </c>
      <c r="AA2" s="105">
        <v>2020</v>
      </c>
      <c r="AB2" s="105">
        <v>2025</v>
      </c>
      <c r="AC2" s="105">
        <v>2030</v>
      </c>
      <c r="AD2" s="105">
        <v>2035</v>
      </c>
      <c r="AE2" s="100" t="s">
        <v>1049</v>
      </c>
      <c r="AF2" s="100" t="s">
        <v>1050</v>
      </c>
      <c r="AG2" s="105">
        <v>2050</v>
      </c>
      <c r="AH2" s="33" t="s">
        <v>1055</v>
      </c>
      <c r="AJ2" s="105" t="s">
        <v>245</v>
      </c>
      <c r="AK2" s="105">
        <v>2020</v>
      </c>
      <c r="AL2" s="105">
        <v>2025</v>
      </c>
      <c r="AM2" s="105">
        <v>2030</v>
      </c>
      <c r="AN2" s="105">
        <v>2035</v>
      </c>
      <c r="AO2" s="100" t="s">
        <v>1049</v>
      </c>
      <c r="AP2" s="100" t="s">
        <v>1050</v>
      </c>
      <c r="AQ2" s="105">
        <v>2050</v>
      </c>
      <c r="AR2" s="33" t="s">
        <v>1055</v>
      </c>
      <c r="BA2" s="105" t="s">
        <v>638</v>
      </c>
      <c r="BB2" s="121">
        <v>2015</v>
      </c>
      <c r="BC2" s="121">
        <v>2030</v>
      </c>
      <c r="BE2" s="402" t="s">
        <v>1811</v>
      </c>
      <c r="BF2" s="105" t="s">
        <v>1812</v>
      </c>
      <c r="BG2" s="105" t="s">
        <v>1813</v>
      </c>
      <c r="BH2" s="380" t="s">
        <v>1839</v>
      </c>
    </row>
    <row r="3" spans="1:60" ht="15.5" thickTop="1" thickBot="1" x14ac:dyDescent="0.4">
      <c r="A3" t="s">
        <v>1170</v>
      </c>
      <c r="B3" t="s">
        <v>2261</v>
      </c>
      <c r="C3" t="s">
        <v>851</v>
      </c>
      <c r="D3">
        <v>2022</v>
      </c>
      <c r="E3">
        <v>2020</v>
      </c>
      <c r="F3" t="s">
        <v>1951</v>
      </c>
      <c r="G3">
        <v>2020</v>
      </c>
      <c r="H3" t="s">
        <v>1953</v>
      </c>
      <c r="I3" t="s">
        <v>1260</v>
      </c>
      <c r="J3" s="331">
        <f>AK4*1000/1000000</f>
        <v>22.402053004358415</v>
      </c>
      <c r="K3" s="88">
        <f t="shared" ref="K3:P3" si="0">AL4*1000/1000000</f>
        <v>22.732874021549456</v>
      </c>
      <c r="L3" s="88">
        <f t="shared" si="0"/>
        <v>22.83330844765613</v>
      </c>
      <c r="M3" s="88">
        <f t="shared" si="0"/>
        <v>24.519273549494304</v>
      </c>
      <c r="N3" s="88">
        <f t="shared" si="0"/>
        <v>24.242636623017528</v>
      </c>
      <c r="O3" s="88">
        <f t="shared" si="0"/>
        <v>23.965999696540742</v>
      </c>
      <c r="P3" s="88">
        <f t="shared" si="0"/>
        <v>23.689362770063962</v>
      </c>
      <c r="Q3" s="87" t="s">
        <v>1932</v>
      </c>
      <c r="R3" s="87">
        <v>3</v>
      </c>
      <c r="S3">
        <v>1</v>
      </c>
      <c r="T3">
        <v>1</v>
      </c>
      <c r="U3">
        <v>3</v>
      </c>
      <c r="V3">
        <v>1</v>
      </c>
      <c r="Z3" s="33" t="s">
        <v>2155</v>
      </c>
      <c r="AJ3" s="33" t="s">
        <v>32</v>
      </c>
      <c r="BA3" s="33" t="s">
        <v>1776</v>
      </c>
      <c r="BE3" t="s">
        <v>1814</v>
      </c>
      <c r="BF3" s="376">
        <f>'Background Data'!BF109/('Background Data'!B45/1000)</f>
        <v>132.65616258154392</v>
      </c>
      <c r="BG3" s="376">
        <f>'Background Data'!BD109/('Background Data'!B45/1000)</f>
        <v>12.0106782051556</v>
      </c>
      <c r="BH3" s="269">
        <f>BF4/BF3</f>
        <v>4.0232441547850994</v>
      </c>
    </row>
    <row r="4" spans="1:60" x14ac:dyDescent="0.35">
      <c r="A4" t="s">
        <v>1171</v>
      </c>
      <c r="B4" t="s">
        <v>2261</v>
      </c>
      <c r="C4" t="s">
        <v>851</v>
      </c>
      <c r="D4">
        <v>2022</v>
      </c>
      <c r="E4">
        <v>2020</v>
      </c>
      <c r="F4" t="s">
        <v>1951</v>
      </c>
      <c r="G4">
        <v>2020</v>
      </c>
      <c r="H4" t="s">
        <v>1953</v>
      </c>
      <c r="I4" t="s">
        <v>1260</v>
      </c>
      <c r="J4" s="331">
        <f t="shared" ref="J4:J14" si="1">AK5*1000/1000000</f>
        <v>27.595699238073919</v>
      </c>
      <c r="K4" s="88">
        <f t="shared" ref="K4:K14" si="2">AL5*1000/1000000</f>
        <v>27.125313746350425</v>
      </c>
      <c r="L4" s="88">
        <f t="shared" ref="L4:L14" si="3">AM5*1000/1000000</f>
        <v>27.005160280165743</v>
      </c>
      <c r="M4" s="88">
        <f t="shared" ref="M4:M14" si="4">AN5*1000/1000000</f>
        <v>26.962502826325323</v>
      </c>
      <c r="N4" s="88">
        <f t="shared" ref="N4:N14" si="5">AO5*1000/1000000</f>
        <v>26.907784172646018</v>
      </c>
      <c r="O4" s="88">
        <f t="shared" ref="O4:O14" si="6">AP5*1000/1000000</f>
        <v>26.853065518966719</v>
      </c>
      <c r="P4" s="88">
        <f t="shared" ref="P4:P14" si="7">AQ5*1000/1000000</f>
        <v>26.798346865287424</v>
      </c>
      <c r="Q4" s="87" t="s">
        <v>1932</v>
      </c>
      <c r="R4" s="87">
        <v>3</v>
      </c>
      <c r="S4">
        <v>1</v>
      </c>
      <c r="T4">
        <v>1</v>
      </c>
      <c r="U4">
        <v>3</v>
      </c>
      <c r="V4">
        <v>1</v>
      </c>
      <c r="Z4" s="17" t="s">
        <v>985</v>
      </c>
      <c r="AA4" s="235" cm="1">
        <f t="array" ref="AA4">AVERAGE(_xlfn._xlws.FILTER('ANL-DOE-LDV Data'!$AS:$AS, ('ANL-DOE-LDV Data'!$A:$A=$Z4)*('ANL-DOE-LDV Data'!$B:$B=AA$2-5)*('ANL-DOE-LDV Data'!$D:$D="Compact_B")))</f>
        <v>20733.370872113734</v>
      </c>
      <c r="AB4" s="235" cm="1">
        <f t="array" ref="AB4">AVERAGE(_xlfn._xlws.FILTER('ANL-DOE-LDV Data'!$AS:$AS, ('ANL-DOE-LDV Data'!$A:$A=$Z4)*('ANL-DOE-LDV Data'!$B:$B=AB$2-5)*('ANL-DOE-LDV Data'!$D:$D="Compact_B")))</f>
        <v>20649.840316470294</v>
      </c>
      <c r="AC4" s="235" cm="1">
        <f t="array" ref="AC4">AVERAGE(_xlfn._xlws.FILTER('ANL-DOE-LDV Data'!$AS:$AS, ('ANL-DOE-LDV Data'!$A:$A=$Z4)*('ANL-DOE-LDV Data'!$B:$B=AC$2-5)*('ANL-DOE-LDV Data'!$D:$D="Compact_B")))</f>
        <v>21156.164563682556</v>
      </c>
      <c r="AD4" s="235" cm="1">
        <f t="array" ref="AD4">AVERAGE(_xlfn._xlws.FILTER('ANL-DOE-LDV Data'!$AS:$AS, ('ANL-DOE-LDV Data'!$A:$A=$Z4)*('ANL-DOE-LDV Data'!$B:$B=AD$2-5)*('ANL-DOE-LDV Data'!$D:$D="Compact_B")))</f>
        <v>22152.799962110428</v>
      </c>
      <c r="AE4" s="235">
        <f>($AG4-$AD4)/3 + AD4</f>
        <v>22105.47047161822</v>
      </c>
      <c r="AF4" s="235">
        <f>($AG4-$AD4)/3 + AE4</f>
        <v>22058.140981126013</v>
      </c>
      <c r="AG4" s="235" cm="1">
        <f t="array" ref="AG4">AVERAGE(_xlfn._xlws.FILTER('ANL-DOE-LDV Data'!$AS:$AS, ('ANL-DOE-LDV Data'!$A:$A=$Z4)*('ANL-DOE-LDV Data'!$B:$B=AG$2-5)*('ANL-DOE-LDV Data'!$D:$D="Compact_B")))</f>
        <v>22010.811490633805</v>
      </c>
      <c r="AH4" s="102">
        <f>(AG4-AA4)/AA4</f>
        <v>6.1612780015343371E-2</v>
      </c>
      <c r="AJ4" s="17" t="s">
        <v>985</v>
      </c>
      <c r="AK4" s="235">
        <f>AA4*$BB$44+AA17*$BB$45</f>
        <v>22402.053004358415</v>
      </c>
      <c r="AL4" s="235">
        <f t="shared" ref="AL4:AQ15" si="8">AB4*$BB$44+AB17*$BB$45</f>
        <v>22732.874021549454</v>
      </c>
      <c r="AM4" s="235">
        <f t="shared" si="8"/>
        <v>22833.308447656127</v>
      </c>
      <c r="AN4" s="235">
        <f t="shared" si="8"/>
        <v>24519.273549494304</v>
      </c>
      <c r="AO4" s="235">
        <f t="shared" si="8"/>
        <v>24242.636623017526</v>
      </c>
      <c r="AP4" s="235">
        <f t="shared" si="8"/>
        <v>23965.999696540744</v>
      </c>
      <c r="AQ4" s="235">
        <f t="shared" si="8"/>
        <v>23689.362770063963</v>
      </c>
      <c r="AR4" s="102">
        <f>(AQ4-AK4)/AK4</f>
        <v>5.7463919286999995E-2</v>
      </c>
      <c r="BA4" s="17" t="s">
        <v>707</v>
      </c>
      <c r="BB4" s="376">
        <f>'OEO &amp; EPAUS9rT-HDV Data'!H6/km_mile*USD2018_to_CAD2020</f>
        <v>683.95310657439131</v>
      </c>
      <c r="BC4" s="376"/>
      <c r="BE4" s="403" t="s">
        <v>1815</v>
      </c>
      <c r="BF4" s="404">
        <f>'Background Data'!BF121/('Background Data'!B46/1000)</f>
        <v>533.70813070241843</v>
      </c>
      <c r="BG4" s="404">
        <f>'Background Data'!BD121/('Background Data'!B46/1000)</f>
        <v>46.663475560971456</v>
      </c>
    </row>
    <row r="5" spans="1:60" x14ac:dyDescent="0.35">
      <c r="A5" t="s">
        <v>1172</v>
      </c>
      <c r="B5" t="s">
        <v>2261</v>
      </c>
      <c r="C5" t="s">
        <v>851</v>
      </c>
      <c r="D5">
        <v>2022</v>
      </c>
      <c r="E5">
        <v>2020</v>
      </c>
      <c r="F5" t="s">
        <v>1951</v>
      </c>
      <c r="G5">
        <v>2020</v>
      </c>
      <c r="H5" t="s">
        <v>1953</v>
      </c>
      <c r="I5" t="s">
        <v>1260</v>
      </c>
      <c r="J5" s="331">
        <f t="shared" si="1"/>
        <v>29.67848510833737</v>
      </c>
      <c r="K5" s="88">
        <f t="shared" si="2"/>
        <v>29.307115738750429</v>
      </c>
      <c r="L5" s="88">
        <f t="shared" si="3"/>
        <v>29.24608922475289</v>
      </c>
      <c r="M5" s="88">
        <f t="shared" si="4"/>
        <v>29.158763241226829</v>
      </c>
      <c r="N5" s="88">
        <f t="shared" si="5"/>
        <v>29.11261628931333</v>
      </c>
      <c r="O5" s="88">
        <f t="shared" si="6"/>
        <v>29.06646933739983</v>
      </c>
      <c r="P5" s="88">
        <f t="shared" si="7"/>
        <v>29.020322385486331</v>
      </c>
      <c r="Q5" s="87" t="s">
        <v>1932</v>
      </c>
      <c r="R5" s="87">
        <v>3</v>
      </c>
      <c r="S5">
        <v>1</v>
      </c>
      <c r="T5">
        <v>1</v>
      </c>
      <c r="U5">
        <v>3</v>
      </c>
      <c r="V5">
        <v>1</v>
      </c>
      <c r="Z5" s="17" t="s">
        <v>982</v>
      </c>
      <c r="AA5" s="235" cm="1">
        <f t="array" ref="AA5">AVERAGE(_xlfn._xlws.FILTER('ANL-DOE-LDV Data'!$AS:$AS, ('ANL-DOE-LDV Data'!$A:$A=$Z5)*('ANL-DOE-LDV Data'!$B:$B=AA$2-5)*('ANL-DOE-LDV Data'!$D:$D="Compact_B")))</f>
        <v>25926.628196612943</v>
      </c>
      <c r="AB5" s="235" cm="1">
        <f t="array" ref="AB5">AVERAGE(_xlfn._xlws.FILTER('ANL-DOE-LDV Data'!$AS:$AS, ('ANL-DOE-LDV Data'!$A:$A=$Z5)*('ANL-DOE-LDV Data'!$B:$B=AB$2-5)*('ANL-DOE-LDV Data'!$D:$D="Compact_B")))</f>
        <v>25452.24961707534</v>
      </c>
      <c r="AC5" s="235" cm="1">
        <f t="array" ref="AC5">AVERAGE(_xlfn._xlws.FILTER('ANL-DOE-LDV Data'!$AS:$AS, ('ANL-DOE-LDV Data'!$A:$A=$Z5)*('ANL-DOE-LDV Data'!$B:$B=AC$2-5)*('ANL-DOE-LDV Data'!$D:$D="Compact_B")))</f>
        <v>25327.813010937632</v>
      </c>
      <c r="AD5" s="235" cm="1">
        <f t="array" ref="AD5">AVERAGE(_xlfn._xlws.FILTER('ANL-DOE-LDV Data'!$AS:$AS, ('ANL-DOE-LDV Data'!$A:$A=$Z5)*('ANL-DOE-LDV Data'!$B:$B=AD$2-5)*('ANL-DOE-LDV Data'!$D:$D="Compact_B")))</f>
        <v>25285.041427406362</v>
      </c>
      <c r="AE5" s="235">
        <f t="shared" ref="AE5:AF5" si="9">($AG5-$AD5)/3 + AD5</f>
        <v>25229.880389165071</v>
      </c>
      <c r="AF5" s="235">
        <f t="shared" si="9"/>
        <v>25174.71935092378</v>
      </c>
      <c r="AG5" s="235" cm="1">
        <f t="array" ref="AG5">AVERAGE(_xlfn._xlws.FILTER('ANL-DOE-LDV Data'!$AS:$AS, ('ANL-DOE-LDV Data'!$A:$A=$Z5)*('ANL-DOE-LDV Data'!$B:$B=AG$2-5)*('ANL-DOE-LDV Data'!$D:$D="Compact_B")))</f>
        <v>25119.558312682489</v>
      </c>
      <c r="AH5" s="102">
        <f t="shared" ref="AH5:AH15" si="10">(AG5-AA5)/AA5</f>
        <v>-3.1128995170914237E-2</v>
      </c>
      <c r="AJ5" s="17" t="s">
        <v>982</v>
      </c>
      <c r="AK5" s="235">
        <f t="shared" ref="AK5:AK15" si="11">AA5*$BB$44+AA18*$BB$45</f>
        <v>27595.699238073918</v>
      </c>
      <c r="AL5" s="235">
        <f t="shared" si="8"/>
        <v>27125.313746350424</v>
      </c>
      <c r="AM5" s="235">
        <f t="shared" si="8"/>
        <v>27005.160280165743</v>
      </c>
      <c r="AN5" s="235">
        <f t="shared" si="8"/>
        <v>26962.502826325323</v>
      </c>
      <c r="AO5" s="235">
        <f t="shared" si="8"/>
        <v>26907.784172646021</v>
      </c>
      <c r="AP5" s="235">
        <f t="shared" si="8"/>
        <v>26853.06551896672</v>
      </c>
      <c r="AQ5" s="235">
        <f t="shared" si="8"/>
        <v>26798.346865287422</v>
      </c>
      <c r="AR5" s="102">
        <f t="shared" ref="AR5:AR28" si="12">(AQ5-AK5)/AK5</f>
        <v>-2.889408113588892E-2</v>
      </c>
      <c r="BA5" s="17" t="s">
        <v>709</v>
      </c>
      <c r="BB5" s="376">
        <f>'OEO &amp; EPAUS9rT-HDV Data'!H10/km_mile*USD2018_to_CAD2020</f>
        <v>684.73361711404107</v>
      </c>
      <c r="BC5" s="376"/>
      <c r="BE5" s="405" t="s">
        <v>1840</v>
      </c>
      <c r="BF5" s="258">
        <f>BB4*BH3</f>
        <v>2751.7103381725301</v>
      </c>
      <c r="BG5" s="258"/>
    </row>
    <row r="6" spans="1:60" x14ac:dyDescent="0.35">
      <c r="A6" t="s">
        <v>1173</v>
      </c>
      <c r="B6" t="s">
        <v>2261</v>
      </c>
      <c r="C6" t="s">
        <v>851</v>
      </c>
      <c r="D6">
        <v>2022</v>
      </c>
      <c r="E6">
        <v>2020</v>
      </c>
      <c r="F6" t="s">
        <v>1951</v>
      </c>
      <c r="G6">
        <v>2020</v>
      </c>
      <c r="H6" t="s">
        <v>1953</v>
      </c>
      <c r="I6" t="s">
        <v>1260</v>
      </c>
      <c r="J6" s="331">
        <f t="shared" si="1"/>
        <v>25.719289863335081</v>
      </c>
      <c r="K6" s="88">
        <f t="shared" si="2"/>
        <v>24.760569666579183</v>
      </c>
      <c r="L6" s="88">
        <f t="shared" si="3"/>
        <v>24.010591117753517</v>
      </c>
      <c r="M6" s="88">
        <f t="shared" si="4"/>
        <v>23.611829231345506</v>
      </c>
      <c r="N6" s="88">
        <f t="shared" si="5"/>
        <v>23.285600557253581</v>
      </c>
      <c r="O6" s="88">
        <f t="shared" si="6"/>
        <v>22.959371883161648</v>
      </c>
      <c r="P6" s="88">
        <f t="shared" si="7"/>
        <v>22.633143209069718</v>
      </c>
      <c r="Q6" s="87" t="s">
        <v>1932</v>
      </c>
      <c r="R6" s="87">
        <v>3</v>
      </c>
      <c r="S6">
        <v>1</v>
      </c>
      <c r="T6">
        <v>1</v>
      </c>
      <c r="U6">
        <v>3</v>
      </c>
      <c r="V6">
        <v>1</v>
      </c>
      <c r="Z6" s="17" t="s">
        <v>984</v>
      </c>
      <c r="AA6" s="235" cm="1">
        <f t="array" ref="AA6">AVERAGE(_xlfn._xlws.FILTER('ANL-DOE-LDV Data'!$AS:$AS, ('ANL-DOE-LDV Data'!$A:$A=$Z6)*('ANL-DOE-LDV Data'!$B:$B=AA$2-5)*('ANL-DOE-LDV Data'!$D:$D="Compact_B")))</f>
        <v>28009.899934069046</v>
      </c>
      <c r="AB6" s="235" cm="1">
        <f t="array" ref="AB6">AVERAGE(_xlfn._xlws.FILTER('ANL-DOE-LDV Data'!$AS:$AS, ('ANL-DOE-LDV Data'!$A:$A=$Z6)*('ANL-DOE-LDV Data'!$B:$B=AB$2-5)*('ANL-DOE-LDV Data'!$D:$D="Compact_B")))</f>
        <v>27634.061854594318</v>
      </c>
      <c r="AC6" s="235" cm="1">
        <f t="array" ref="AC6">AVERAGE(_xlfn._xlws.FILTER('ANL-DOE-LDV Data'!$AS:$AS, ('ANL-DOE-LDV Data'!$A:$A=$Z6)*('ANL-DOE-LDV Data'!$B:$B=AC$2-5)*('ANL-DOE-LDV Data'!$D:$D="Compact_B")))</f>
        <v>27568.882254814136</v>
      </c>
      <c r="AD6" s="235" cm="1">
        <f t="array" ref="AD6">AVERAGE(_xlfn._xlws.FILTER('ANL-DOE-LDV Data'!$AS:$AS, ('ANL-DOE-LDV Data'!$A:$A=$Z6)*('ANL-DOE-LDV Data'!$B:$B=AD$2-5)*('ANL-DOE-LDV Data'!$D:$D="Compact_B")))</f>
        <v>27481.706976380963</v>
      </c>
      <c r="AE6" s="235">
        <f t="shared" ref="AE6:AF6" si="13">($AG6-$AD6)/3 + AD6</f>
        <v>27435.043756309871</v>
      </c>
      <c r="AF6" s="235">
        <f t="shared" si="13"/>
        <v>27388.380536238779</v>
      </c>
      <c r="AG6" s="235" cm="1">
        <f t="array" ref="AG6">AVERAGE(_xlfn._xlws.FILTER('ANL-DOE-LDV Data'!$AS:$AS, ('ANL-DOE-LDV Data'!$A:$A=$Z6)*('ANL-DOE-LDV Data'!$B:$B=AG$2-5)*('ANL-DOE-LDV Data'!$D:$D="Compact_B")))</f>
        <v>27341.717316167684</v>
      </c>
      <c r="AH6" s="102">
        <f t="shared" si="10"/>
        <v>-2.3855230453309739E-2</v>
      </c>
      <c r="AJ6" s="17" t="s">
        <v>984</v>
      </c>
      <c r="AK6" s="235">
        <f t="shared" si="11"/>
        <v>29678.485108337369</v>
      </c>
      <c r="AL6" s="235">
        <f t="shared" si="8"/>
        <v>29307.115738750428</v>
      </c>
      <c r="AM6" s="235">
        <f t="shared" si="8"/>
        <v>29246.089224752886</v>
      </c>
      <c r="AN6" s="235">
        <f t="shared" si="8"/>
        <v>29158.763241226829</v>
      </c>
      <c r="AO6" s="235">
        <f t="shared" si="8"/>
        <v>29112.61628931333</v>
      </c>
      <c r="AP6" s="235">
        <f t="shared" si="8"/>
        <v>29066.469337399831</v>
      </c>
      <c r="AQ6" s="235">
        <f t="shared" si="8"/>
        <v>29020.322385486332</v>
      </c>
      <c r="AR6" s="102">
        <f t="shared" si="12"/>
        <v>-2.2176425799649183E-2</v>
      </c>
      <c r="BA6" s="17" t="s">
        <v>712</v>
      </c>
      <c r="BB6" s="376">
        <f>'OEO &amp; EPAUS9rT-HDV Data'!H8/km_mile*USD2018_to_CAD2020</f>
        <v>689.11891553643352</v>
      </c>
      <c r="BC6" s="376"/>
      <c r="BE6" s="507" t="s">
        <v>1819</v>
      </c>
      <c r="BF6" s="507"/>
      <c r="BG6" s="507"/>
    </row>
    <row r="7" spans="1:60" x14ac:dyDescent="0.35">
      <c r="A7" t="s">
        <v>1174</v>
      </c>
      <c r="B7" t="s">
        <v>2261</v>
      </c>
      <c r="C7" t="s">
        <v>851</v>
      </c>
      <c r="D7">
        <v>2022</v>
      </c>
      <c r="E7">
        <v>2020</v>
      </c>
      <c r="F7" t="s">
        <v>1951</v>
      </c>
      <c r="G7">
        <v>2020</v>
      </c>
      <c r="H7" t="s">
        <v>1953</v>
      </c>
      <c r="I7" t="s">
        <v>1260</v>
      </c>
      <c r="J7" s="331">
        <f t="shared" si="1"/>
        <v>26.985092362315786</v>
      </c>
      <c r="K7" s="88">
        <f t="shared" si="2"/>
        <v>25.543565496321229</v>
      </c>
      <c r="L7" s="88">
        <f t="shared" si="3"/>
        <v>24.717821428342599</v>
      </c>
      <c r="M7" s="88">
        <f t="shared" si="4"/>
        <v>24.194147472841156</v>
      </c>
      <c r="N7" s="88">
        <f t="shared" si="5"/>
        <v>23.848193758155844</v>
      </c>
      <c r="O7" s="88">
        <f t="shared" si="6"/>
        <v>23.502240043470543</v>
      </c>
      <c r="P7" s="88">
        <f t="shared" si="7"/>
        <v>23.156286328785235</v>
      </c>
      <c r="Q7" s="87" t="s">
        <v>1932</v>
      </c>
      <c r="R7" s="87">
        <v>3</v>
      </c>
      <c r="S7">
        <v>1</v>
      </c>
      <c r="T7">
        <v>1</v>
      </c>
      <c r="U7">
        <v>3</v>
      </c>
      <c r="V7">
        <v>1</v>
      </c>
      <c r="Z7" s="17" t="s">
        <v>991</v>
      </c>
      <c r="AA7" s="235" cm="1">
        <f t="array" ref="AA7">AVERAGE(_xlfn._xlws.FILTER('ANL-DOE-LDV Data'!$AS:$AS, ('ANL-DOE-LDV Data'!$A:$A=$Z7)*('ANL-DOE-LDV Data'!$B:$B=AA$2-5)*('ANL-DOE-LDV Data'!$D:$D="Compact_B")))</f>
        <v>23600.174583875796</v>
      </c>
      <c r="AB7" s="235" cm="1">
        <f t="array" ref="AB7">AVERAGE(_xlfn._xlws.FILTER('ANL-DOE-LDV Data'!$AS:$AS, ('ANL-DOE-LDV Data'!$A:$A=$Z7)*('ANL-DOE-LDV Data'!$B:$B=AB$2-5)*('ANL-DOE-LDV Data'!$D:$D="Compact_B")))</f>
        <v>22710.84202336118</v>
      </c>
      <c r="AC7" s="235" cm="1">
        <f t="array" ref="AC7">AVERAGE(_xlfn._xlws.FILTER('ANL-DOE-LDV Data'!$AS:$AS, ('ANL-DOE-LDV Data'!$A:$A=$Z7)*('ANL-DOE-LDV Data'!$B:$B=AC$2-5)*('ANL-DOE-LDV Data'!$D:$D="Compact_B")))</f>
        <v>22019.600735439126</v>
      </c>
      <c r="AD7" s="235" cm="1">
        <f t="array" ref="AD7">AVERAGE(_xlfn._xlws.FILTER('ANL-DOE-LDV Data'!$AS:$AS, ('ANL-DOE-LDV Data'!$A:$A=$Z7)*('ANL-DOE-LDV Data'!$B:$B=AD$2-5)*('ANL-DOE-LDV Data'!$D:$D="Compact_B")))</f>
        <v>21709.489615599479</v>
      </c>
      <c r="AE7" s="235">
        <f t="shared" ref="AE7:AF7" si="14">($AG7-$AD7)/3 + AD7</f>
        <v>21400.252347309764</v>
      </c>
      <c r="AF7" s="235">
        <f t="shared" si="14"/>
        <v>21091.01507902005</v>
      </c>
      <c r="AG7" s="235" cm="1">
        <f t="array" ref="AG7">AVERAGE(_xlfn._xlws.FILTER('ANL-DOE-LDV Data'!$AS:$AS, ('ANL-DOE-LDV Data'!$A:$A=$Z7)*('ANL-DOE-LDV Data'!$B:$B=AG$2-5)*('ANL-DOE-LDV Data'!$D:$D="Compact_B")))</f>
        <v>20781.777810730331</v>
      </c>
      <c r="AH7" s="102">
        <f t="shared" si="10"/>
        <v>-0.11942270863839546</v>
      </c>
      <c r="AJ7" s="17" t="s">
        <v>991</v>
      </c>
      <c r="AK7" s="235">
        <f t="shared" si="11"/>
        <v>25719.289863335081</v>
      </c>
      <c r="AL7" s="235">
        <f t="shared" si="8"/>
        <v>24760.569666579184</v>
      </c>
      <c r="AM7" s="235">
        <f t="shared" si="8"/>
        <v>24010.591117753516</v>
      </c>
      <c r="AN7" s="235">
        <f t="shared" si="8"/>
        <v>23611.829231345509</v>
      </c>
      <c r="AO7" s="235">
        <f t="shared" si="8"/>
        <v>23285.60055725358</v>
      </c>
      <c r="AP7" s="235">
        <f t="shared" si="8"/>
        <v>22959.37188316165</v>
      </c>
      <c r="AQ7" s="235">
        <f t="shared" si="8"/>
        <v>22633.143209069716</v>
      </c>
      <c r="AR7" s="102">
        <f t="shared" si="12"/>
        <v>-0.11999346290913404</v>
      </c>
      <c r="BA7" s="17" t="s">
        <v>708</v>
      </c>
      <c r="BB7" s="376"/>
      <c r="BC7" s="376">
        <f>'OEO &amp; EPAUS9rT-HDV Data'!H12/km_mile*USD2018_to_CAD2020</f>
        <v>752.34841723183024</v>
      </c>
      <c r="BE7" s="507"/>
      <c r="BF7" s="507"/>
      <c r="BG7" s="507"/>
    </row>
    <row r="8" spans="1:60" x14ac:dyDescent="0.35">
      <c r="A8" t="s">
        <v>1175</v>
      </c>
      <c r="B8" t="s">
        <v>2261</v>
      </c>
      <c r="C8" t="s">
        <v>851</v>
      </c>
      <c r="D8">
        <v>2022</v>
      </c>
      <c r="E8">
        <v>2020</v>
      </c>
      <c r="F8" t="s">
        <v>1951</v>
      </c>
      <c r="G8">
        <v>2020</v>
      </c>
      <c r="H8" t="s">
        <v>1953</v>
      </c>
      <c r="I8" t="s">
        <v>1260</v>
      </c>
      <c r="J8" s="331">
        <f t="shared" si="1"/>
        <v>29.999869767890058</v>
      </c>
      <c r="K8" s="88">
        <f t="shared" si="2"/>
        <v>27.509968733517031</v>
      </c>
      <c r="L8" s="88">
        <f t="shared" si="3"/>
        <v>25.52751141361783</v>
      </c>
      <c r="M8" s="88">
        <f t="shared" si="4"/>
        <v>24.445324345695052</v>
      </c>
      <c r="N8" s="88">
        <f t="shared" si="5"/>
        <v>23.992213996115126</v>
      </c>
      <c r="O8" s="88">
        <f t="shared" si="6"/>
        <v>23.539103646535196</v>
      </c>
      <c r="P8" s="88">
        <f t="shared" si="7"/>
        <v>23.085993296955273</v>
      </c>
      <c r="Q8" s="87" t="s">
        <v>1932</v>
      </c>
      <c r="R8" s="87">
        <v>3</v>
      </c>
      <c r="S8">
        <v>1</v>
      </c>
      <c r="T8">
        <v>1</v>
      </c>
      <c r="U8">
        <v>3</v>
      </c>
      <c r="V8">
        <v>1</v>
      </c>
      <c r="Z8" s="17" t="s">
        <v>992</v>
      </c>
      <c r="AA8" s="235" cm="1">
        <f t="array" ref="AA8">AVERAGE(_xlfn._xlws.FILTER('ANL-DOE-LDV Data'!$AS:$AS, ('ANL-DOE-LDV Data'!$A:$A=$Z8)*('ANL-DOE-LDV Data'!$B:$B=AA$2-5)*('ANL-DOE-LDV Data'!$D:$D="Compact_B")))</f>
        <v>24964.756862232884</v>
      </c>
      <c r="AB8" s="235" cm="1">
        <f t="array" ref="AB8">AVERAGE(_xlfn._xlws.FILTER('ANL-DOE-LDV Data'!$AS:$AS, ('ANL-DOE-LDV Data'!$A:$A=$Z8)*('ANL-DOE-LDV Data'!$B:$B=AB$2-5)*('ANL-DOE-LDV Data'!$D:$D="Compact_B")))</f>
        <v>23660.18983914905</v>
      </c>
      <c r="AC8" s="235" cm="1">
        <f t="array" ref="AC8">AVERAGE(_xlfn._xlws.FILTER('ANL-DOE-LDV Data'!$AS:$AS, ('ANL-DOE-LDV Data'!$A:$A=$Z8)*('ANL-DOE-LDV Data'!$B:$B=AC$2-5)*('ANL-DOE-LDV Data'!$D:$D="Compact_B")))</f>
        <v>22888.221602463393</v>
      </c>
      <c r="AD8" s="235" cm="1">
        <f t="array" ref="AD8">AVERAGE(_xlfn._xlws.FILTER('ANL-DOE-LDV Data'!$AS:$AS, ('ANL-DOE-LDV Data'!$A:$A=$Z8)*('ANL-DOE-LDV Data'!$B:$B=AD$2-5)*('ANL-DOE-LDV Data'!$D:$D="Compact_B")))</f>
        <v>22386.209174988413</v>
      </c>
      <c r="AE8" s="235">
        <f t="shared" ref="AE8:AF8" si="15">($AG8-$AD8)/3 + AD8</f>
        <v>22055.436134026619</v>
      </c>
      <c r="AF8" s="235">
        <f t="shared" si="15"/>
        <v>21724.663093064824</v>
      </c>
      <c r="AG8" s="235" cm="1">
        <f t="array" ref="AG8">AVERAGE(_xlfn._xlws.FILTER('ANL-DOE-LDV Data'!$AS:$AS, ('ANL-DOE-LDV Data'!$A:$A=$Z8)*('ANL-DOE-LDV Data'!$B:$B=AG$2-5)*('ANL-DOE-LDV Data'!$D:$D="Compact_B")))</f>
        <v>21393.890052103026</v>
      </c>
      <c r="AH8" s="102">
        <f t="shared" si="10"/>
        <v>-0.14303631434648284</v>
      </c>
      <c r="AJ8" s="17" t="s">
        <v>992</v>
      </c>
      <c r="AK8" s="235">
        <f t="shared" si="11"/>
        <v>26985.092362315787</v>
      </c>
      <c r="AL8" s="235">
        <f t="shared" si="8"/>
        <v>25543.565496321229</v>
      </c>
      <c r="AM8" s="235">
        <f t="shared" si="8"/>
        <v>24717.821428342599</v>
      </c>
      <c r="AN8" s="235">
        <f t="shared" si="8"/>
        <v>24194.147472841156</v>
      </c>
      <c r="AO8" s="235">
        <f t="shared" si="8"/>
        <v>23848.193758155845</v>
      </c>
      <c r="AP8" s="235">
        <f t="shared" si="8"/>
        <v>23502.240043470541</v>
      </c>
      <c r="AQ8" s="235">
        <f t="shared" si="8"/>
        <v>23156.286328785238</v>
      </c>
      <c r="AR8" s="102">
        <f t="shared" si="12"/>
        <v>-0.14188597104367928</v>
      </c>
      <c r="BA8" s="17" t="s">
        <v>710</v>
      </c>
      <c r="BB8" s="376">
        <f>'OEO &amp; EPAUS9rT-HDV Data'!H14/km_mile*USD2018_to_CAD2020</f>
        <v>780.58845008155208</v>
      </c>
      <c r="BC8" s="376"/>
      <c r="BE8" s="507"/>
      <c r="BF8" s="507"/>
      <c r="BG8" s="507"/>
    </row>
    <row r="9" spans="1:60" x14ac:dyDescent="0.35">
      <c r="A9" t="s">
        <v>1176</v>
      </c>
      <c r="B9" t="s">
        <v>2261</v>
      </c>
      <c r="C9" t="s">
        <v>851</v>
      </c>
      <c r="D9">
        <v>2022</v>
      </c>
      <c r="E9">
        <v>2020</v>
      </c>
      <c r="F9" t="s">
        <v>1951</v>
      </c>
      <c r="G9">
        <v>2020</v>
      </c>
      <c r="H9" t="s">
        <v>1953</v>
      </c>
      <c r="I9" t="s">
        <v>1260</v>
      </c>
      <c r="J9" s="331">
        <f t="shared" si="1"/>
        <v>24.717617567517408</v>
      </c>
      <c r="K9" s="88">
        <f t="shared" si="2"/>
        <v>23.066737779372801</v>
      </c>
      <c r="L9" s="88">
        <f t="shared" si="3"/>
        <v>20.732097488768584</v>
      </c>
      <c r="M9" s="88">
        <f t="shared" si="4"/>
        <v>19.343492718023011</v>
      </c>
      <c r="N9" s="88">
        <f t="shared" si="5"/>
        <v>18.646190017643477</v>
      </c>
      <c r="O9" s="88">
        <f t="shared" si="6"/>
        <v>17.948887317263949</v>
      </c>
      <c r="P9" s="88">
        <f t="shared" si="7"/>
        <v>17.251584616884422</v>
      </c>
      <c r="Q9" s="87" t="s">
        <v>1932</v>
      </c>
      <c r="R9" s="87">
        <v>3</v>
      </c>
      <c r="S9">
        <v>1</v>
      </c>
      <c r="T9">
        <v>1</v>
      </c>
      <c r="U9">
        <v>3</v>
      </c>
      <c r="V9">
        <v>1</v>
      </c>
      <c r="Z9" s="17" t="s">
        <v>987</v>
      </c>
      <c r="AA9" s="235" cm="1">
        <f t="array" ref="AA9">AVERAGE(_xlfn._xlws.FILTER('ANL-DOE-LDV Data'!$AS:$AS, ('ANL-DOE-LDV Data'!$A:$A=$Z9)*('ANL-DOE-LDV Data'!$B:$B=AA$2-5)*('ANL-DOE-LDV Data'!$D:$D="Compact_B")))</f>
        <v>27966.115584719944</v>
      </c>
      <c r="AB9" s="235" cm="1">
        <f t="array" ref="AB9">AVERAGE(_xlfn._xlws.FILTER('ANL-DOE-LDV Data'!$AS:$AS, ('ANL-DOE-LDV Data'!$A:$A=$Z9)*('ANL-DOE-LDV Data'!$B:$B=AB$2-5)*('ANL-DOE-LDV Data'!$D:$D="Compact_B")))</f>
        <v>25573.513315053548</v>
      </c>
      <c r="AC9" s="235" cm="1">
        <f t="array" ref="AC9">AVERAGE(_xlfn._xlws.FILTER('ANL-DOE-LDV Data'!$AS:$AS, ('ANL-DOE-LDV Data'!$A:$A=$Z9)*('ANL-DOE-LDV Data'!$B:$B=AC$2-5)*('ANL-DOE-LDV Data'!$D:$D="Compact_B")))</f>
        <v>23663.98667465851</v>
      </c>
      <c r="AD9" s="235" cm="1">
        <f t="array" ref="AD9">AVERAGE(_xlfn._xlws.FILTER('ANL-DOE-LDV Data'!$AS:$AS, ('ANL-DOE-LDV Data'!$A:$A=$Z9)*('ANL-DOE-LDV Data'!$B:$B=AD$2-5)*('ANL-DOE-LDV Data'!$D:$D="Compact_B")))</f>
        <v>22614.079936348793</v>
      </c>
      <c r="AE9" s="235">
        <f t="shared" ref="AE9:AF9" si="16">($AG9-$AD9)/3 + AD9</f>
        <v>22189.58539328074</v>
      </c>
      <c r="AF9" s="235">
        <f t="shared" si="16"/>
        <v>21765.090850212688</v>
      </c>
      <c r="AG9" s="235" cm="1">
        <f t="array" ref="AG9">AVERAGE(_xlfn._xlws.FILTER('ANL-DOE-LDV Data'!$AS:$AS, ('ANL-DOE-LDV Data'!$A:$A=$Z9)*('ANL-DOE-LDV Data'!$B:$B=AG$2-5)*('ANL-DOE-LDV Data'!$D:$D="Compact_B")))</f>
        <v>21340.596307144639</v>
      </c>
      <c r="AH9" s="102">
        <f t="shared" si="10"/>
        <v>-0.23691238983490936</v>
      </c>
      <c r="AJ9" s="17" t="s">
        <v>987</v>
      </c>
      <c r="AK9" s="235">
        <f t="shared" si="11"/>
        <v>29999.869767890057</v>
      </c>
      <c r="AL9" s="235">
        <f t="shared" si="8"/>
        <v>27509.968733517031</v>
      </c>
      <c r="AM9" s="235">
        <f t="shared" si="8"/>
        <v>25527.511413617831</v>
      </c>
      <c r="AN9" s="235">
        <f t="shared" si="8"/>
        <v>24445.324345695051</v>
      </c>
      <c r="AO9" s="235">
        <f t="shared" si="8"/>
        <v>23992.213996115126</v>
      </c>
      <c r="AP9" s="235">
        <f t="shared" si="8"/>
        <v>23539.103646535197</v>
      </c>
      <c r="AQ9" s="235">
        <f t="shared" si="8"/>
        <v>23085.993296955272</v>
      </c>
      <c r="AR9" s="102">
        <f t="shared" si="12"/>
        <v>-0.23046354948963668</v>
      </c>
      <c r="BA9" s="17" t="s">
        <v>711</v>
      </c>
      <c r="BB9" s="376"/>
      <c r="BC9" s="376">
        <f>'OEO &amp; EPAUS9rT-HDV Data'!H11/km_mile*USD2018_to_CAD2020</f>
        <v>946.91037942523428</v>
      </c>
      <c r="BE9" s="507"/>
      <c r="BF9" s="507"/>
      <c r="BG9" s="507"/>
    </row>
    <row r="10" spans="1:60" x14ac:dyDescent="0.35">
      <c r="A10" t="s">
        <v>1177</v>
      </c>
      <c r="B10" t="s">
        <v>2261</v>
      </c>
      <c r="C10" t="s">
        <v>851</v>
      </c>
      <c r="D10">
        <v>2022</v>
      </c>
      <c r="E10">
        <v>2020</v>
      </c>
      <c r="F10" t="s">
        <v>1951</v>
      </c>
      <c r="G10">
        <v>2020</v>
      </c>
      <c r="H10" t="s">
        <v>1953</v>
      </c>
      <c r="I10" t="s">
        <v>1260</v>
      </c>
      <c r="J10" s="331">
        <f t="shared" si="1"/>
        <v>29.725568803564929</v>
      </c>
      <c r="K10" s="88">
        <f t="shared" si="2"/>
        <v>27.360643584665574</v>
      </c>
      <c r="L10" s="88">
        <f t="shared" si="3"/>
        <v>23.913166939932779</v>
      </c>
      <c r="M10" s="88">
        <f t="shared" si="4"/>
        <v>21.888872315008591</v>
      </c>
      <c r="N10" s="88">
        <f t="shared" si="5"/>
        <v>20.917920789011724</v>
      </c>
      <c r="O10" s="88">
        <f t="shared" si="6"/>
        <v>19.946969263014861</v>
      </c>
      <c r="P10" s="88">
        <f t="shared" si="7"/>
        <v>18.97601773701799</v>
      </c>
      <c r="Q10" s="87" t="s">
        <v>1932</v>
      </c>
      <c r="R10" s="87">
        <v>3</v>
      </c>
      <c r="S10">
        <v>1</v>
      </c>
      <c r="T10">
        <v>1</v>
      </c>
      <c r="U10">
        <v>3</v>
      </c>
      <c r="V10">
        <v>1</v>
      </c>
      <c r="Z10" s="17" t="s">
        <v>975</v>
      </c>
      <c r="AA10" s="235" cm="1">
        <f t="array" ref="AA10">AVERAGE(_xlfn._xlws.FILTER('ANL-DOE-LDV Data'!$AS:$AS, ('ANL-DOE-LDV Data'!$A:$A=$Z10)*('ANL-DOE-LDV Data'!$B:$B=AA$2-5)*('ANL-DOE-LDV Data'!$D:$D="Compact_B")))</f>
        <v>22722.114633063022</v>
      </c>
      <c r="AB10" s="235" cm="1">
        <f t="array" ref="AB10">AVERAGE(_xlfn._xlws.FILTER('ANL-DOE-LDV Data'!$AS:$AS, ('ANL-DOE-LDV Data'!$A:$A=$Z10)*('ANL-DOE-LDV Data'!$B:$B=AB$2-5)*('ANL-DOE-LDV Data'!$D:$D="Compact_B")))</f>
        <v>21130.720477033155</v>
      </c>
      <c r="AC10" s="235" cm="1">
        <f t="array" ref="AC10">AVERAGE(_xlfn._xlws.FILTER('ANL-DOE-LDV Data'!$AS:$AS, ('ANL-DOE-LDV Data'!$A:$A=$Z10)*('ANL-DOE-LDV Data'!$B:$B=AC$2-5)*('ANL-DOE-LDV Data'!$D:$D="Compact_B")))</f>
        <v>18850.335757125362</v>
      </c>
      <c r="AD10" s="235" cm="1">
        <f t="array" ref="AD10">AVERAGE(_xlfn._xlws.FILTER('ANL-DOE-LDV Data'!$AS:$AS, ('ANL-DOE-LDV Data'!$A:$A=$Z10)*('ANL-DOE-LDV Data'!$B:$B=AD$2-5)*('ANL-DOE-LDV Data'!$D:$D="Compact_B")))</f>
        <v>17520.696119611181</v>
      </c>
      <c r="AE10" s="235">
        <f t="shared" ref="AE10:AF10" si="17">($AG10-$AD10)/3 + AD10</f>
        <v>16842.656002518699</v>
      </c>
      <c r="AF10" s="235">
        <f t="shared" si="17"/>
        <v>16164.615885426218</v>
      </c>
      <c r="AG10" s="235" cm="1">
        <f t="array" ref="AG10">AVERAGE(_xlfn._xlws.FILTER('ANL-DOE-LDV Data'!$AS:$AS, ('ANL-DOE-LDV Data'!$A:$A=$Z10)*('ANL-DOE-LDV Data'!$B:$B=AG$2-5)*('ANL-DOE-LDV Data'!$D:$D="Compact_B")))</f>
        <v>15486.575768333736</v>
      </c>
      <c r="AH10" s="102">
        <f t="shared" si="10"/>
        <v>-0.31843598105084947</v>
      </c>
      <c r="AJ10" s="17" t="s">
        <v>975</v>
      </c>
      <c r="AK10" s="235">
        <f t="shared" si="11"/>
        <v>24717.617567517409</v>
      </c>
      <c r="AL10" s="235">
        <f t="shared" si="8"/>
        <v>23066.737779372801</v>
      </c>
      <c r="AM10" s="235">
        <f t="shared" si="8"/>
        <v>20732.097488768584</v>
      </c>
      <c r="AN10" s="235">
        <f t="shared" si="8"/>
        <v>19343.492718023008</v>
      </c>
      <c r="AO10" s="235">
        <f t="shared" si="8"/>
        <v>18646.190017643479</v>
      </c>
      <c r="AP10" s="235">
        <f t="shared" si="8"/>
        <v>17948.887317263951</v>
      </c>
      <c r="AQ10" s="235">
        <f t="shared" si="8"/>
        <v>17251.584616884422</v>
      </c>
      <c r="AR10" s="102">
        <f t="shared" si="12"/>
        <v>-0.30205309756246307</v>
      </c>
      <c r="BA10" s="92" t="s">
        <v>1772</v>
      </c>
    </row>
    <row r="11" spans="1:60" x14ac:dyDescent="0.35">
      <c r="A11" t="s">
        <v>1178</v>
      </c>
      <c r="B11" t="s">
        <v>2261</v>
      </c>
      <c r="C11" t="s">
        <v>851</v>
      </c>
      <c r="D11">
        <v>2022</v>
      </c>
      <c r="E11">
        <v>2020</v>
      </c>
      <c r="F11" t="s">
        <v>1951</v>
      </c>
      <c r="G11">
        <v>2020</v>
      </c>
      <c r="H11" t="s">
        <v>1953</v>
      </c>
      <c r="I11" t="s">
        <v>1260</v>
      </c>
      <c r="J11" s="331">
        <f t="shared" si="1"/>
        <v>36.594093917243704</v>
      </c>
      <c r="K11" s="88">
        <f t="shared" si="2"/>
        <v>33.351117963040537</v>
      </c>
      <c r="L11" s="88">
        <f t="shared" si="3"/>
        <v>28.225251001899785</v>
      </c>
      <c r="M11" s="88">
        <f t="shared" si="4"/>
        <v>25.326939797030665</v>
      </c>
      <c r="N11" s="88">
        <f t="shared" si="5"/>
        <v>23.969764194932257</v>
      </c>
      <c r="O11" s="88">
        <f t="shared" si="6"/>
        <v>22.612588592833852</v>
      </c>
      <c r="P11" s="88">
        <f t="shared" si="7"/>
        <v>21.255412990735447</v>
      </c>
      <c r="Q11" s="87" t="s">
        <v>1932</v>
      </c>
      <c r="R11" s="87">
        <v>3</v>
      </c>
      <c r="S11">
        <v>1</v>
      </c>
      <c r="T11">
        <v>1</v>
      </c>
      <c r="U11">
        <v>3</v>
      </c>
      <c r="V11">
        <v>1</v>
      </c>
      <c r="Z11" s="17" t="s">
        <v>979</v>
      </c>
      <c r="AA11" s="235" cm="1">
        <f t="array" ref="AA11">AVERAGE(_xlfn._xlws.FILTER('ANL-DOE-LDV Data'!$AS:$AS, ('ANL-DOE-LDV Data'!$A:$A=$Z11)*('ANL-DOE-LDV Data'!$B:$B=AA$2-5)*('ANL-DOE-LDV Data'!$D:$D="Compact_B")))</f>
        <v>27706.11606081402</v>
      </c>
      <c r="AB11" s="235" cm="1">
        <f t="array" ref="AB11">AVERAGE(_xlfn._xlws.FILTER('ANL-DOE-LDV Data'!$AS:$AS, ('ANL-DOE-LDV Data'!$A:$A=$Z11)*('ANL-DOE-LDV Data'!$B:$B=AB$2-5)*('ANL-DOE-LDV Data'!$D:$D="Compact_B")))</f>
        <v>25351.629599353164</v>
      </c>
      <c r="AC11" s="235" cm="1">
        <f t="array" ref="AC11">AVERAGE(_xlfn._xlws.FILTER('ANL-DOE-LDV Data'!$AS:$AS, ('ANL-DOE-LDV Data'!$A:$A=$Z11)*('ANL-DOE-LDV Data'!$B:$B=AC$2-5)*('ANL-DOE-LDV Data'!$D:$D="Compact_B")))</f>
        <v>21967.105086875363</v>
      </c>
      <c r="AD11" s="235" cm="1">
        <f t="array" ref="AD11">AVERAGE(_xlfn._xlws.FILTER('ANL-DOE-LDV Data'!$AS:$AS, ('ANL-DOE-LDV Data'!$A:$A=$Z11)*('ANL-DOE-LDV Data'!$B:$B=AD$2-5)*('ANL-DOE-LDV Data'!$D:$D="Compact_B")))</f>
        <v>20010.33580287718</v>
      </c>
      <c r="AE11" s="235">
        <f t="shared" ref="AE11:AF11" si="18">($AG11-$AD11)/3 + AD11</f>
        <v>19066.3581907027</v>
      </c>
      <c r="AF11" s="235">
        <f t="shared" si="18"/>
        <v>18122.38057852822</v>
      </c>
      <c r="AG11" s="235" cm="1">
        <f t="array" ref="AG11">AVERAGE(_xlfn._xlws.FILTER('ANL-DOE-LDV Data'!$AS:$AS, ('ANL-DOE-LDV Data'!$A:$A=$Z11)*('ANL-DOE-LDV Data'!$B:$B=AG$2-5)*('ANL-DOE-LDV Data'!$D:$D="Compact_B")))</f>
        <v>17178.402966353737</v>
      </c>
      <c r="AH11" s="102">
        <f t="shared" si="10"/>
        <v>-0.3799779467952959</v>
      </c>
      <c r="AJ11" s="17" t="s">
        <v>979</v>
      </c>
      <c r="AK11" s="235">
        <f t="shared" si="11"/>
        <v>29725.568803564929</v>
      </c>
      <c r="AL11" s="235">
        <f t="shared" si="8"/>
        <v>27360.643584665573</v>
      </c>
      <c r="AM11" s="235">
        <f t="shared" si="8"/>
        <v>23913.16693993278</v>
      </c>
      <c r="AN11" s="235">
        <f t="shared" si="8"/>
        <v>21888.872315008593</v>
      </c>
      <c r="AO11" s="235">
        <f t="shared" si="8"/>
        <v>20917.920789011725</v>
      </c>
      <c r="AP11" s="235">
        <f t="shared" si="8"/>
        <v>19946.96926301486</v>
      </c>
      <c r="AQ11" s="235">
        <f t="shared" si="8"/>
        <v>18976.017737017988</v>
      </c>
      <c r="AR11" s="102">
        <f t="shared" si="12"/>
        <v>-0.36162642126658878</v>
      </c>
    </row>
    <row r="12" spans="1:60" x14ac:dyDescent="0.35">
      <c r="A12" t="s">
        <v>1179</v>
      </c>
      <c r="B12" t="s">
        <v>2261</v>
      </c>
      <c r="C12" t="s">
        <v>851</v>
      </c>
      <c r="D12">
        <v>2022</v>
      </c>
      <c r="E12">
        <v>2020</v>
      </c>
      <c r="F12" t="s">
        <v>1951</v>
      </c>
      <c r="G12">
        <v>2020</v>
      </c>
      <c r="H12" t="s">
        <v>1953</v>
      </c>
      <c r="I12" t="s">
        <v>1260</v>
      </c>
      <c r="J12" s="331">
        <f t="shared" si="1"/>
        <v>44.881902627435075</v>
      </c>
      <c r="K12" s="88">
        <f t="shared" si="2"/>
        <v>40.60464505050556</v>
      </c>
      <c r="L12" s="88">
        <f t="shared" si="3"/>
        <v>33.175503867978648</v>
      </c>
      <c r="M12" s="88">
        <f t="shared" si="4"/>
        <v>29.329681658940537</v>
      </c>
      <c r="N12" s="88">
        <f t="shared" si="5"/>
        <v>27.536914340076393</v>
      </c>
      <c r="O12" s="88">
        <f t="shared" si="6"/>
        <v>25.74414702121225</v>
      </c>
      <c r="P12" s="88">
        <f t="shared" si="7"/>
        <v>23.95137970234811</v>
      </c>
      <c r="Q12" s="87" t="s">
        <v>1932</v>
      </c>
      <c r="R12" s="87">
        <v>3</v>
      </c>
      <c r="S12">
        <v>1</v>
      </c>
      <c r="T12">
        <v>1</v>
      </c>
      <c r="U12">
        <v>3</v>
      </c>
      <c r="V12">
        <v>1</v>
      </c>
      <c r="Z12" s="17" t="s">
        <v>980</v>
      </c>
      <c r="AA12" s="235" cm="1">
        <f t="array" ref="AA12">AVERAGE(_xlfn._xlws.FILTER('ANL-DOE-LDV Data'!$AS:$AS, ('ANL-DOE-LDV Data'!$A:$A=$Z12)*('ANL-DOE-LDV Data'!$B:$B=AA$2-5)*('ANL-DOE-LDV Data'!$D:$D="Compact_B")))</f>
        <v>34304.702551990027</v>
      </c>
      <c r="AB12" s="235" cm="1">
        <f t="array" ref="AB12">AVERAGE(_xlfn._xlws.FILTER('ANL-DOE-LDV Data'!$AS:$AS, ('ANL-DOE-LDV Data'!$A:$A=$Z12)*('ANL-DOE-LDV Data'!$B:$B=AB$2-5)*('ANL-DOE-LDV Data'!$D:$D="Compact_B")))</f>
        <v>31159.679236972359</v>
      </c>
      <c r="AC12" s="235" cm="1">
        <f t="array" ref="AC12">AVERAGE(_xlfn._xlws.FILTER('ANL-DOE-LDV Data'!$AS:$AS, ('ANL-DOE-LDV Data'!$A:$A=$Z12)*('ANL-DOE-LDV Data'!$B:$B=AC$2-5)*('ANL-DOE-LDV Data'!$D:$D="Compact_B")))</f>
        <v>26204.167398505357</v>
      </c>
      <c r="AD12" s="235" cm="1">
        <f t="array" ref="AD12">AVERAGE(_xlfn._xlws.FILTER('ANL-DOE-LDV Data'!$AS:$AS, ('ANL-DOE-LDV Data'!$A:$A=$Z12)*('ANL-DOE-LDV Data'!$B:$B=AD$2-5)*('ANL-DOE-LDV Data'!$D:$D="Compact_B")))</f>
        <v>23364.93164277418</v>
      </c>
      <c r="AE12" s="235">
        <f t="shared" ref="AE12:AF12" si="19">($AG12-$AD12)/3 + AD12</f>
        <v>22043.960261711531</v>
      </c>
      <c r="AF12" s="235">
        <f t="shared" si="19"/>
        <v>20722.988880648882</v>
      </c>
      <c r="AG12" s="235" cm="1">
        <f t="array" ref="AG12">AVERAGE(_xlfn._xlws.FILTER('ANL-DOE-LDV Data'!$AS:$AS, ('ANL-DOE-LDV Data'!$A:$A=$Z12)*('ANL-DOE-LDV Data'!$B:$B=AG$2-5)*('ANL-DOE-LDV Data'!$D:$D="Compact_B")))</f>
        <v>19402.017499586236</v>
      </c>
      <c r="AH12" s="102">
        <f t="shared" si="10"/>
        <v>-0.43442105436764039</v>
      </c>
      <c r="AJ12" s="17" t="s">
        <v>980</v>
      </c>
      <c r="AK12" s="235">
        <f t="shared" si="11"/>
        <v>36594.093917243707</v>
      </c>
      <c r="AL12" s="235">
        <f t="shared" si="8"/>
        <v>33351.117963040539</v>
      </c>
      <c r="AM12" s="235">
        <f t="shared" si="8"/>
        <v>28225.251001899785</v>
      </c>
      <c r="AN12" s="235">
        <f t="shared" si="8"/>
        <v>25326.939797030664</v>
      </c>
      <c r="AO12" s="235">
        <f t="shared" si="8"/>
        <v>23969.764194932257</v>
      </c>
      <c r="AP12" s="235">
        <f t="shared" si="8"/>
        <v>22612.58859283385</v>
      </c>
      <c r="AQ12" s="235">
        <f t="shared" si="8"/>
        <v>21255.412990735447</v>
      </c>
      <c r="AR12" s="102">
        <f t="shared" si="12"/>
        <v>-0.41915728153281134</v>
      </c>
      <c r="BA12" s="33" t="s">
        <v>1774</v>
      </c>
      <c r="BD12" s="33"/>
    </row>
    <row r="13" spans="1:60" ht="15" thickBot="1" x14ac:dyDescent="0.4">
      <c r="A13" t="s">
        <v>1180</v>
      </c>
      <c r="B13" t="s">
        <v>2261</v>
      </c>
      <c r="C13" t="s">
        <v>851</v>
      </c>
      <c r="D13">
        <v>2022</v>
      </c>
      <c r="E13">
        <v>2020</v>
      </c>
      <c r="F13" t="s">
        <v>1951</v>
      </c>
      <c r="G13">
        <v>2020</v>
      </c>
      <c r="H13" t="s">
        <v>1953</v>
      </c>
      <c r="I13" t="s">
        <v>1260</v>
      </c>
      <c r="J13" s="331">
        <f t="shared" si="1"/>
        <v>28.123947945581655</v>
      </c>
      <c r="K13" s="88">
        <f t="shared" si="2"/>
        <v>26.490547650217334</v>
      </c>
      <c r="L13" s="88">
        <f t="shared" si="3"/>
        <v>25.080932811517819</v>
      </c>
      <c r="M13" s="88">
        <f t="shared" si="4"/>
        <v>24.278824324031181</v>
      </c>
      <c r="N13" s="88">
        <f t="shared" si="5"/>
        <v>23.742816328681496</v>
      </c>
      <c r="O13" s="88">
        <f t="shared" si="6"/>
        <v>23.206808333331807</v>
      </c>
      <c r="P13" s="88">
        <f t="shared" si="7"/>
        <v>22.670800337982126</v>
      </c>
      <c r="Q13" s="87" t="s">
        <v>1932</v>
      </c>
      <c r="R13" s="87">
        <v>3</v>
      </c>
      <c r="S13">
        <v>1</v>
      </c>
      <c r="T13">
        <v>1</v>
      </c>
      <c r="U13">
        <v>3</v>
      </c>
      <c r="V13">
        <v>1</v>
      </c>
      <c r="Z13" s="17" t="s">
        <v>981</v>
      </c>
      <c r="AA13" s="235" cm="1">
        <f t="array" ref="AA13">AVERAGE(_xlfn._xlws.FILTER('ANL-DOE-LDV Data'!$AS:$AS, ('ANL-DOE-LDV Data'!$A:$A=$Z13)*('ANL-DOE-LDV Data'!$B:$B=AA$2-5)*('ANL-DOE-LDV Data'!$D:$D="Compact_B")))</f>
        <v>42328.249910285027</v>
      </c>
      <c r="AB13" s="235" cm="1">
        <f t="array" ref="AB13">AVERAGE(_xlfn._xlws.FILTER('ANL-DOE-LDV Data'!$AS:$AS, ('ANL-DOE-LDV Data'!$A:$A=$Z13)*('ANL-DOE-LDV Data'!$B:$B=AB$2-5)*('ANL-DOE-LDV Data'!$D:$D="Compact_B")))</f>
        <v>38201.893738178755</v>
      </c>
      <c r="AC13" s="235" cm="1">
        <f t="array" ref="AC13">AVERAGE(_xlfn._xlws.FILTER('ANL-DOE-LDV Data'!$AS:$AS, ('ANL-DOE-LDV Data'!$A:$A=$Z13)*('ANL-DOE-LDV Data'!$B:$B=AC$2-5)*('ANL-DOE-LDV Data'!$D:$D="Compact_B")))</f>
        <v>31018.282669465356</v>
      </c>
      <c r="AD13" s="235" cm="1">
        <f t="array" ref="AD13">AVERAGE(_xlfn._xlws.FILTER('ANL-DOE-LDV Data'!$AS:$AS, ('ANL-DOE-LDV Data'!$A:$A=$Z13)*('ANL-DOE-LDV Data'!$B:$B=AD$2-5)*('ANL-DOE-LDV Data'!$D:$D="Compact_B")))</f>
        <v>27266.177720297681</v>
      </c>
      <c r="AE13" s="235">
        <f t="shared" ref="AE13:AF13" si="20">($AG13-$AD13)/3 + AD13</f>
        <v>25527.339485412867</v>
      </c>
      <c r="AF13" s="235">
        <f t="shared" si="20"/>
        <v>23788.501250528054</v>
      </c>
      <c r="AG13" s="235" cm="1">
        <f t="array" ref="AG13">AVERAGE(_xlfn._xlws.FILTER('ANL-DOE-LDV Data'!$AS:$AS, ('ANL-DOE-LDV Data'!$A:$A=$Z13)*('ANL-DOE-LDV Data'!$B:$B=AG$2-5)*('ANL-DOE-LDV Data'!$D:$D="Compact_B")))</f>
        <v>22049.663015643237</v>
      </c>
      <c r="AH13" s="102">
        <f t="shared" si="10"/>
        <v>-0.47907926591868016</v>
      </c>
      <c r="AJ13" s="17" t="s">
        <v>981</v>
      </c>
      <c r="AK13" s="235">
        <f t="shared" si="11"/>
        <v>44881.902627435076</v>
      </c>
      <c r="AL13" s="235">
        <f t="shared" si="8"/>
        <v>40604.645050505562</v>
      </c>
      <c r="AM13" s="235">
        <f t="shared" si="8"/>
        <v>33175.503867978652</v>
      </c>
      <c r="AN13" s="235">
        <f t="shared" si="8"/>
        <v>29329.681658940535</v>
      </c>
      <c r="AO13" s="235">
        <f t="shared" si="8"/>
        <v>27536.914340076393</v>
      </c>
      <c r="AP13" s="235">
        <f t="shared" si="8"/>
        <v>25744.147021212251</v>
      </c>
      <c r="AQ13" s="235">
        <f t="shared" si="8"/>
        <v>23951.379702348109</v>
      </c>
      <c r="AR13" s="102">
        <f t="shared" si="12"/>
        <v>-0.46634660519700677</v>
      </c>
      <c r="BA13" s="105" t="s">
        <v>638</v>
      </c>
      <c r="BB13" s="121">
        <v>2021</v>
      </c>
      <c r="BC13" s="121">
        <v>2025</v>
      </c>
      <c r="BD13" s="105">
        <v>2030</v>
      </c>
    </row>
    <row r="14" spans="1:60" ht="15" thickTop="1" x14ac:dyDescent="0.35">
      <c r="A14" t="s">
        <v>1181</v>
      </c>
      <c r="B14" t="s">
        <v>2261</v>
      </c>
      <c r="C14" t="s">
        <v>851</v>
      </c>
      <c r="D14">
        <v>2022</v>
      </c>
      <c r="E14">
        <v>2020</v>
      </c>
      <c r="F14" t="s">
        <v>1951</v>
      </c>
      <c r="G14">
        <v>2020</v>
      </c>
      <c r="H14" t="s">
        <v>1953</v>
      </c>
      <c r="I14" t="s">
        <v>1260</v>
      </c>
      <c r="J14" s="331">
        <f t="shared" si="1"/>
        <v>28.982497223388037</v>
      </c>
      <c r="K14" s="88">
        <f t="shared" si="2"/>
        <v>27.287173989837299</v>
      </c>
      <c r="L14" s="88">
        <f t="shared" si="3"/>
        <v>25.77820793326217</v>
      </c>
      <c r="M14" s="88">
        <f t="shared" si="4"/>
        <v>24.935814480554679</v>
      </c>
      <c r="N14" s="88">
        <f t="shared" si="5"/>
        <v>24.378092847336529</v>
      </c>
      <c r="O14" s="88">
        <f t="shared" si="6"/>
        <v>23.820371214118381</v>
      </c>
      <c r="P14" s="88">
        <f t="shared" si="7"/>
        <v>23.262649580900231</v>
      </c>
      <c r="Q14" s="87" t="s">
        <v>1932</v>
      </c>
      <c r="R14" s="87">
        <v>3</v>
      </c>
      <c r="S14">
        <v>1</v>
      </c>
      <c r="T14">
        <v>1</v>
      </c>
      <c r="U14">
        <v>3</v>
      </c>
      <c r="V14">
        <v>1</v>
      </c>
      <c r="Z14" s="17" t="s">
        <v>988</v>
      </c>
      <c r="AA14" s="235" cm="1">
        <f t="array" ref="AA14">AVERAGE(_xlfn._xlws.FILTER('ANL-DOE-LDV Data'!$AS:$AS, ('ANL-DOE-LDV Data'!$A:$A=$Z14)*('ANL-DOE-LDV Data'!$B:$B=AA$2-5)*('ANL-DOE-LDV Data'!$D:$D="Compact_B")))</f>
        <v>25414.174692580142</v>
      </c>
      <c r="AB14" s="235" cm="1">
        <f t="array" ref="AB14">AVERAGE(_xlfn._xlws.FILTER('ANL-DOE-LDV Data'!$AS:$AS, ('ANL-DOE-LDV Data'!$A:$A=$Z14)*('ANL-DOE-LDV Data'!$B:$B=AB$2-5)*('ANL-DOE-LDV Data'!$D:$D="Compact_B")))</f>
        <v>23908.102435680044</v>
      </c>
      <c r="AC14" s="235" cm="1">
        <f t="array" ref="AC14">AVERAGE(_xlfn._xlws.FILTER('ANL-DOE-LDV Data'!$AS:$AS, ('ANL-DOE-LDV Data'!$A:$A=$Z14)*('ANL-DOE-LDV Data'!$B:$B=AC$2-5)*('ANL-DOE-LDV Data'!$D:$D="Compact_B")))</f>
        <v>22630.689628534066</v>
      </c>
      <c r="AD14" s="235" cm="1">
        <f t="array" ref="AD14">AVERAGE(_xlfn._xlws.FILTER('ANL-DOE-LDV Data'!$AS:$AS, ('ANL-DOE-LDV Data'!$A:$A=$Z14)*('ANL-DOE-LDV Data'!$B:$B=AD$2-5)*('ANL-DOE-LDV Data'!$D:$D="Compact_B")))</f>
        <v>21866.719619970256</v>
      </c>
      <c r="AE14" s="235">
        <f t="shared" ref="AE14:AF14" si="21">($AG14-$AD14)/3 + AD14</f>
        <v>21368.328034635702</v>
      </c>
      <c r="AF14" s="235">
        <f t="shared" si="21"/>
        <v>20869.936449301149</v>
      </c>
      <c r="AG14" s="235" cm="1">
        <f t="array" ref="AG14">AVERAGE(_xlfn._xlws.FILTER('ANL-DOE-LDV Data'!$AS:$AS, ('ANL-DOE-LDV Data'!$A:$A=$Z14)*('ANL-DOE-LDV Data'!$B:$B=AG$2-5)*('ANL-DOE-LDV Data'!$D:$D="Compact_B")))</f>
        <v>20371.544863966599</v>
      </c>
      <c r="AH14" s="102">
        <f t="shared" si="10"/>
        <v>-0.1984180045038321</v>
      </c>
      <c r="AJ14" s="17" t="s">
        <v>988</v>
      </c>
      <c r="AK14" s="235">
        <f t="shared" si="11"/>
        <v>28123.947945581654</v>
      </c>
      <c r="AL14" s="235">
        <f t="shared" si="8"/>
        <v>26490.547650217333</v>
      </c>
      <c r="AM14" s="235">
        <f t="shared" si="8"/>
        <v>25080.932811517821</v>
      </c>
      <c r="AN14" s="235">
        <f t="shared" si="8"/>
        <v>24278.824324031182</v>
      </c>
      <c r="AO14" s="235">
        <f t="shared" si="8"/>
        <v>23742.816328681496</v>
      </c>
      <c r="AP14" s="235">
        <f t="shared" si="8"/>
        <v>23206.80833333181</v>
      </c>
      <c r="AQ14" s="235">
        <f t="shared" si="8"/>
        <v>22670.800337982124</v>
      </c>
      <c r="AR14" s="102">
        <f t="shared" si="12"/>
        <v>-0.19389694569734953</v>
      </c>
      <c r="BA14" s="33" t="s">
        <v>654</v>
      </c>
    </row>
    <row r="15" spans="1:60" x14ac:dyDescent="0.35">
      <c r="A15" t="s">
        <v>1182</v>
      </c>
      <c r="B15" t="s">
        <v>2261</v>
      </c>
      <c r="C15" t="s">
        <v>851</v>
      </c>
      <c r="D15">
        <v>2022</v>
      </c>
      <c r="E15">
        <v>2020</v>
      </c>
      <c r="F15" t="s">
        <v>1951</v>
      </c>
      <c r="G15">
        <v>2020</v>
      </c>
      <c r="H15" t="s">
        <v>1953</v>
      </c>
      <c r="I15" t="s">
        <v>1260</v>
      </c>
      <c r="J15" s="331">
        <f>AK17*1000/1000000</f>
        <v>29.120194319968604</v>
      </c>
      <c r="K15" s="88">
        <f t="shared" ref="K15:P15" si="22">AL17*1000/1000000</f>
        <v>29.047147819596745</v>
      </c>
      <c r="L15" s="88">
        <f t="shared" si="22"/>
        <v>29.740948232112657</v>
      </c>
      <c r="M15" s="88">
        <f t="shared" si="22"/>
        <v>31.169676728105877</v>
      </c>
      <c r="N15" s="88">
        <f t="shared" si="22"/>
        <v>31.043845656620736</v>
      </c>
      <c r="O15" s="88">
        <f t="shared" si="22"/>
        <v>30.918014585135591</v>
      </c>
      <c r="P15" s="88">
        <f t="shared" si="22"/>
        <v>30.792183513650443</v>
      </c>
      <c r="Q15" s="87" t="s">
        <v>1932</v>
      </c>
      <c r="R15" s="87">
        <v>3</v>
      </c>
      <c r="S15">
        <v>1</v>
      </c>
      <c r="T15">
        <v>1</v>
      </c>
      <c r="U15">
        <v>3</v>
      </c>
      <c r="V15">
        <v>1</v>
      </c>
      <c r="Z15" s="17" t="s">
        <v>990</v>
      </c>
      <c r="AA15" s="235" cm="1">
        <f t="array" ref="AA15">AVERAGE(_xlfn._xlws.FILTER('ANL-DOE-LDV Data'!$AS:$AS, ('ANL-DOE-LDV Data'!$A:$A=$Z15)*('ANL-DOE-LDV Data'!$B:$B=AA$2-5)*('ANL-DOE-LDV Data'!$D:$D="Compact_B")))</f>
        <v>26142.906468980145</v>
      </c>
      <c r="AB15" s="235" cm="1">
        <f t="array" ref="AB15">AVERAGE(_xlfn._xlws.FILTER('ANL-DOE-LDV Data'!$AS:$AS, ('ANL-DOE-LDV Data'!$A:$A=$Z15)*('ANL-DOE-LDV Data'!$B:$B=AB$2-5)*('ANL-DOE-LDV Data'!$D:$D="Compact_B")))</f>
        <v>24600.651005780048</v>
      </c>
      <c r="AC15" s="235" cm="1">
        <f t="array" ref="AC15">AVERAGE(_xlfn._xlws.FILTER('ANL-DOE-LDV Data'!$AS:$AS, ('ANL-DOE-LDV Data'!$A:$A=$Z15)*('ANL-DOE-LDV Data'!$B:$B=AC$2-5)*('ANL-DOE-LDV Data'!$D:$D="Compact_B")))</f>
        <v>23289.335810634064</v>
      </c>
      <c r="AD15" s="235" cm="1">
        <f t="array" ref="AD15">AVERAGE(_xlfn._xlws.FILTER('ANL-DOE-LDV Data'!$AS:$AS, ('ANL-DOE-LDV Data'!$A:$A=$Z15)*('ANL-DOE-LDV Data'!$B:$B=AD$2-5)*('ANL-DOE-LDV Data'!$D:$D="Compact_B")))</f>
        <v>22480.561848470257</v>
      </c>
      <c r="AE15" s="235">
        <f t="shared" ref="AE15:AF15" si="23">($AG15-$AD15)/3 + AD15</f>
        <v>21960.196940302372</v>
      </c>
      <c r="AF15" s="235">
        <f t="shared" si="23"/>
        <v>21439.832032134487</v>
      </c>
      <c r="AG15" s="235" cm="1">
        <f t="array" ref="AG15">AVERAGE(_xlfn._xlws.FILTER('ANL-DOE-LDV Data'!$AS:$AS, ('ANL-DOE-LDV Data'!$A:$A=$Z15)*('ANL-DOE-LDV Data'!$B:$B=AG$2-5)*('ANL-DOE-LDV Data'!$D:$D="Compact_B")))</f>
        <v>20919.467123966599</v>
      </c>
      <c r="AH15" s="102">
        <f t="shared" si="10"/>
        <v>-0.19980331380565572</v>
      </c>
      <c r="AJ15" s="17" t="s">
        <v>990</v>
      </c>
      <c r="AK15" s="235">
        <f t="shared" si="11"/>
        <v>28982.49722338804</v>
      </c>
      <c r="AL15" s="235">
        <f t="shared" si="8"/>
        <v>27287.173989837302</v>
      </c>
      <c r="AM15" s="235">
        <f t="shared" si="8"/>
        <v>25778.207933262169</v>
      </c>
      <c r="AN15" s="235">
        <f t="shared" si="8"/>
        <v>24935.814480554676</v>
      </c>
      <c r="AO15" s="235">
        <f t="shared" si="8"/>
        <v>24378.092847336527</v>
      </c>
      <c r="AP15" s="235">
        <f t="shared" si="8"/>
        <v>23820.371214118379</v>
      </c>
      <c r="AQ15" s="235">
        <f t="shared" si="8"/>
        <v>23262.64958090023</v>
      </c>
      <c r="AR15" s="102">
        <f t="shared" si="12"/>
        <v>-0.19735523817706288</v>
      </c>
      <c r="BA15" s="17" t="s">
        <v>1727</v>
      </c>
      <c r="BB15" s="258">
        <f>'OEO &amp; EPAUS9rT-HDV Data'!R23/km_mile*USD2018_to_CAD2020</f>
        <v>545.95257151485566</v>
      </c>
    </row>
    <row r="16" spans="1:60" x14ac:dyDescent="0.35">
      <c r="A16" t="s">
        <v>1183</v>
      </c>
      <c r="B16" t="s">
        <v>2261</v>
      </c>
      <c r="C16" t="s">
        <v>851</v>
      </c>
      <c r="D16">
        <v>2022</v>
      </c>
      <c r="E16">
        <v>2020</v>
      </c>
      <c r="F16" t="s">
        <v>1951</v>
      </c>
      <c r="G16">
        <v>2020</v>
      </c>
      <c r="H16" t="s">
        <v>1953</v>
      </c>
      <c r="I16" t="s">
        <v>1260</v>
      </c>
      <c r="J16" s="331">
        <f t="shared" ref="J16:J26" si="24">AK18*1000/1000000</f>
        <v>33.923890731830973</v>
      </c>
      <c r="K16" s="88">
        <f t="shared" ref="K16:K26" si="25">AL18*1000/1000000</f>
        <v>33.441074600205205</v>
      </c>
      <c r="L16" s="88">
        <f t="shared" ref="L16:L26" si="26">AM18*1000/1000000</f>
        <v>33.317057303358226</v>
      </c>
      <c r="M16" s="88">
        <f t="shared" ref="M16:M26" si="27">AN18*1000/1000000</f>
        <v>33.260994391311286</v>
      </c>
      <c r="N16" s="88">
        <f t="shared" ref="N16:N26" si="28">AO18*1000/1000000</f>
        <v>33.202114061681144</v>
      </c>
      <c r="O16" s="88">
        <f t="shared" ref="O16:O26" si="29">AP18*1000/1000000</f>
        <v>33.143233732050987</v>
      </c>
      <c r="P16" s="88">
        <f t="shared" ref="P16:P26" si="30">AQ18*1000/1000000</f>
        <v>33.084353402420831</v>
      </c>
      <c r="Q16" s="87" t="s">
        <v>1932</v>
      </c>
      <c r="R16" s="87">
        <v>3</v>
      </c>
      <c r="S16">
        <v>1</v>
      </c>
      <c r="T16">
        <v>1</v>
      </c>
      <c r="U16">
        <v>3</v>
      </c>
      <c r="V16">
        <v>1</v>
      </c>
      <c r="Z16" s="33" t="s">
        <v>2156</v>
      </c>
      <c r="AH16" s="102"/>
      <c r="AJ16" s="33" t="s">
        <v>573</v>
      </c>
      <c r="AR16" s="102"/>
      <c r="BA16" s="17" t="s">
        <v>989</v>
      </c>
      <c r="BD16" s="258">
        <f>'OEO &amp; EPAUS9rT-HDV Data'!T24/km_mile*USD2018_to_CAD2020</f>
        <v>724.29727413691899</v>
      </c>
    </row>
    <row r="17" spans="1:58" x14ac:dyDescent="0.35">
      <c r="A17" t="s">
        <v>1184</v>
      </c>
      <c r="B17" t="s">
        <v>2261</v>
      </c>
      <c r="C17" t="s">
        <v>851</v>
      </c>
      <c r="D17">
        <v>2022</v>
      </c>
      <c r="E17">
        <v>2020</v>
      </c>
      <c r="F17" t="s">
        <v>1951</v>
      </c>
      <c r="G17">
        <v>2020</v>
      </c>
      <c r="H17" t="s">
        <v>1953</v>
      </c>
      <c r="I17" t="s">
        <v>1260</v>
      </c>
      <c r="J17" s="331">
        <f t="shared" si="24"/>
        <v>36.26155760572513</v>
      </c>
      <c r="K17" s="88">
        <f t="shared" si="25"/>
        <v>36.029573073332422</v>
      </c>
      <c r="L17" s="88">
        <f t="shared" si="26"/>
        <v>35.333183142269149</v>
      </c>
      <c r="M17" s="88">
        <f t="shared" si="27"/>
        <v>35.745713319754238</v>
      </c>
      <c r="N17" s="88">
        <f t="shared" si="28"/>
        <v>35.525962913759805</v>
      </c>
      <c r="O17" s="88">
        <f t="shared" si="29"/>
        <v>35.306212507765359</v>
      </c>
      <c r="P17" s="88">
        <f t="shared" si="30"/>
        <v>35.086462101770927</v>
      </c>
      <c r="Q17" s="87" t="s">
        <v>1932</v>
      </c>
      <c r="R17" s="87">
        <v>3</v>
      </c>
      <c r="S17">
        <v>1</v>
      </c>
      <c r="T17">
        <v>1</v>
      </c>
      <c r="U17">
        <v>3</v>
      </c>
      <c r="V17">
        <v>1</v>
      </c>
      <c r="Z17" s="17" t="s">
        <v>985</v>
      </c>
      <c r="AA17" s="235" cm="1">
        <f t="array" ref="AA17">AVERAGE(_xlfn._xlws.FILTER('ANL-DOE-LDV Data'!$AS:$AS, ('ANL-DOE-LDV Data'!$A:$A=$Z17)*('ANL-DOE-LDV Data'!$B:$B=AA$2-5)*('ANL-DOE-LDV Data'!$D:$D="Midsize_B")))</f>
        <v>24400.836184700667</v>
      </c>
      <c r="AB17" s="235" cm="1">
        <f t="array" ref="AB17">AVERAGE(_xlfn._xlws.FILTER('ANL-DOE-LDV Data'!$AS:$AS, ('ANL-DOE-LDV Data'!$A:$A=$Z17)*('ANL-DOE-LDV Data'!$B:$B=AB$2-5)*('ANL-DOE-LDV Data'!$D:$D="Midsize_B")))</f>
        <v>25227.976386070804</v>
      </c>
      <c r="AC17" s="235" cm="1">
        <f t="array" ref="AC17">AVERAGE(_xlfn._xlws.FILTER('ANL-DOE-LDV Data'!$AS:$AS, ('ANL-DOE-LDV Data'!$A:$A=$Z17)*('ANL-DOE-LDV Data'!$B:$B=AC$2-5)*('ANL-DOE-LDV Data'!$D:$D="Midsize_B")))</f>
        <v>24842.227295364322</v>
      </c>
      <c r="AD17" s="235" cm="1">
        <f t="array" ref="AD17">AVERAGE(_xlfn._xlws.FILTER('ANL-DOE-LDV Data'!$AS:$AS, ('ANL-DOE-LDV Data'!$A:$A=$Z17)*('ANL-DOE-LDV Data'!$B:$B=AD$2-5)*('ANL-DOE-LDV Data'!$D:$D="Midsize_B")))</f>
        <v>27353.886272784075</v>
      </c>
      <c r="AE17" s="235">
        <f>($AG17-$AD17)/3 + AD17</f>
        <v>26802.579990582351</v>
      </c>
      <c r="AF17" s="235">
        <f>($AG17-$AD17)/3 + AE17</f>
        <v>26251.273708380628</v>
      </c>
      <c r="AG17" s="235" cm="1">
        <f t="array" ref="AG17">AVERAGE(_xlfn._xlws.FILTER('ANL-DOE-LDV Data'!$AS:$AS, ('ANL-DOE-LDV Data'!$A:$A=$Z17)*('ANL-DOE-LDV Data'!$B:$B=AG$2-5)*('ANL-DOE-LDV Data'!$D:$D="Midsize_B")))</f>
        <v>25699.967426178908</v>
      </c>
      <c r="AH17" s="102">
        <f t="shared" ref="AH17:AH28" si="31">(AG17-AA17)/AA17</f>
        <v>5.3241259096390978E-2</v>
      </c>
      <c r="AJ17" s="17" t="s">
        <v>985</v>
      </c>
      <c r="AK17" s="235">
        <f>AA30*$BB$47+AA43*$BB$48+AA56*$BB$49</f>
        <v>29120.194319968603</v>
      </c>
      <c r="AL17" s="235">
        <f t="shared" ref="AL17:AQ28" si="32">AB30*$BB$47+AB43*$BB$48+AB56*$BB$49</f>
        <v>29047.147819596747</v>
      </c>
      <c r="AM17" s="235">
        <f t="shared" si="32"/>
        <v>29740.948232112656</v>
      </c>
      <c r="AN17" s="235">
        <f t="shared" si="32"/>
        <v>31169.676728105878</v>
      </c>
      <c r="AO17" s="235">
        <f t="shared" si="32"/>
        <v>31043.845656620739</v>
      </c>
      <c r="AP17" s="235">
        <f t="shared" si="32"/>
        <v>30918.014585135592</v>
      </c>
      <c r="AQ17" s="235">
        <f t="shared" si="32"/>
        <v>30792.183513650445</v>
      </c>
      <c r="AR17" s="102">
        <f t="shared" si="12"/>
        <v>5.7416828174642651E-2</v>
      </c>
      <c r="BA17" s="33" t="s">
        <v>81</v>
      </c>
    </row>
    <row r="18" spans="1:58" x14ac:dyDescent="0.35">
      <c r="A18" t="s">
        <v>1185</v>
      </c>
      <c r="B18" t="s">
        <v>2261</v>
      </c>
      <c r="C18" t="s">
        <v>851</v>
      </c>
      <c r="D18">
        <v>2022</v>
      </c>
      <c r="E18">
        <v>2020</v>
      </c>
      <c r="F18" t="s">
        <v>1951</v>
      </c>
      <c r="G18">
        <v>2020</v>
      </c>
      <c r="H18" t="s">
        <v>1953</v>
      </c>
      <c r="I18" t="s">
        <v>1260</v>
      </c>
      <c r="J18" s="331">
        <f t="shared" si="24"/>
        <v>33.864605555656546</v>
      </c>
      <c r="K18" s="88">
        <f t="shared" si="25"/>
        <v>32.550968784876815</v>
      </c>
      <c r="L18" s="88">
        <f t="shared" si="26"/>
        <v>31.507894416285502</v>
      </c>
      <c r="M18" s="88">
        <f t="shared" si="27"/>
        <v>30.907963746920991</v>
      </c>
      <c r="N18" s="88">
        <f t="shared" si="28"/>
        <v>30.495215794817305</v>
      </c>
      <c r="O18" s="88">
        <f t="shared" si="29"/>
        <v>30.082467842713623</v>
      </c>
      <c r="P18" s="88">
        <f t="shared" si="30"/>
        <v>29.669719890609937</v>
      </c>
      <c r="Q18" s="87" t="s">
        <v>1932</v>
      </c>
      <c r="R18" s="87">
        <v>3</v>
      </c>
      <c r="S18">
        <v>1</v>
      </c>
      <c r="T18">
        <v>1</v>
      </c>
      <c r="U18">
        <v>3</v>
      </c>
      <c r="V18">
        <v>1</v>
      </c>
      <c r="Z18" s="17" t="s">
        <v>982</v>
      </c>
      <c r="AA18" s="235" cm="1">
        <f t="array" ref="AA18">AVERAGE(_xlfn._xlws.FILTER('ANL-DOE-LDV Data'!$AS:$AS, ('ANL-DOE-LDV Data'!$A:$A=$Z18)*('ANL-DOE-LDV Data'!$B:$B=AA$2-5)*('ANL-DOE-LDV Data'!$D:$D="Midsize_B")))</f>
        <v>29594.948262201018</v>
      </c>
      <c r="AB18" s="235" cm="1">
        <f t="array" ref="AB18">AVERAGE(_xlfn._xlws.FILTER('ANL-DOE-LDV Data'!$AS:$AS, ('ANL-DOE-LDV Data'!$A:$A=$Z18)*('ANL-DOE-LDV Data'!$B:$B=AB$2-5)*('ANL-DOE-LDV Data'!$D:$D="Midsize_B")))</f>
        <v>29129.345776543367</v>
      </c>
      <c r="AC18" s="235" cm="1">
        <f t="array" ref="AC18">AVERAGE(_xlfn._xlws.FILTER('ANL-DOE-LDV Data'!$AS:$AS, ('ANL-DOE-LDV Data'!$A:$A=$Z18)*('ANL-DOE-LDV Data'!$B:$B=AC$2-5)*('ANL-DOE-LDV Data'!$D:$D="Midsize_B")))</f>
        <v>29014.322747085804</v>
      </c>
      <c r="AD18" s="235" cm="1">
        <f t="array" ref="AD18">AVERAGE(_xlfn._xlws.FILTER('ANL-DOE-LDV Data'!$AS:$AS, ('ANL-DOE-LDV Data'!$A:$A=$Z18)*('ANL-DOE-LDV Data'!$B:$B=AD$2-5)*('ANL-DOE-LDV Data'!$D:$D="Midsize_B")))</f>
        <v>28971.802000232314</v>
      </c>
      <c r="AE18" s="235">
        <f t="shared" ref="AE18:AF18" si="33">($AG18-$AD18)/3 + AD18</f>
        <v>28917.613244251719</v>
      </c>
      <c r="AF18" s="235">
        <f t="shared" si="33"/>
        <v>28863.424488271125</v>
      </c>
      <c r="AG18" s="235" cm="1">
        <f t="array" ref="AG18">AVERAGE(_xlfn._xlws.FILTER('ANL-DOE-LDV Data'!$AS:$AS, ('ANL-DOE-LDV Data'!$A:$A=$Z18)*('ANL-DOE-LDV Data'!$B:$B=AG$2-5)*('ANL-DOE-LDV Data'!$D:$D="Midsize_B")))</f>
        <v>28809.23573229053</v>
      </c>
      <c r="AH18" s="102">
        <f t="shared" si="31"/>
        <v>-2.6548873238410375E-2</v>
      </c>
      <c r="AJ18" s="17" t="s">
        <v>982</v>
      </c>
      <c r="AK18" s="235">
        <f t="shared" ref="AK18:AK28" si="34">AA31*$BB$47+AA44*$BB$48+AA57*$BB$49</f>
        <v>33923.890731830972</v>
      </c>
      <c r="AL18" s="235">
        <f t="shared" si="32"/>
        <v>33441.074600205204</v>
      </c>
      <c r="AM18" s="235">
        <f t="shared" si="32"/>
        <v>33317.057303358226</v>
      </c>
      <c r="AN18" s="235">
        <f t="shared" si="32"/>
        <v>33260.994391311287</v>
      </c>
      <c r="AO18" s="235">
        <f t="shared" si="32"/>
        <v>33202.114061681139</v>
      </c>
      <c r="AP18" s="235">
        <f t="shared" si="32"/>
        <v>33143.233732050991</v>
      </c>
      <c r="AQ18" s="235">
        <f t="shared" si="32"/>
        <v>33084.353402420835</v>
      </c>
      <c r="AR18" s="102">
        <f t="shared" si="12"/>
        <v>-2.4747672253949186E-2</v>
      </c>
      <c r="BA18" s="17" t="s">
        <v>1727</v>
      </c>
      <c r="BB18" s="258">
        <f>'OEO &amp; EPAUS9rT-HDV Data'!R26/km_mile*USD2018_to_CAD2020</f>
        <v>27.503142224747702</v>
      </c>
    </row>
    <row r="19" spans="1:58" x14ac:dyDescent="0.35">
      <c r="A19" t="s">
        <v>1186</v>
      </c>
      <c r="B19" t="s">
        <v>2261</v>
      </c>
      <c r="C19" t="s">
        <v>851</v>
      </c>
      <c r="D19">
        <v>2022</v>
      </c>
      <c r="E19">
        <v>2020</v>
      </c>
      <c r="F19" t="s">
        <v>1951</v>
      </c>
      <c r="G19">
        <v>2020</v>
      </c>
      <c r="H19" t="s">
        <v>1953</v>
      </c>
      <c r="I19" t="s">
        <v>1260</v>
      </c>
      <c r="J19" s="331">
        <f t="shared" si="24"/>
        <v>35.422230993649571</v>
      </c>
      <c r="K19" s="88">
        <f t="shared" si="25"/>
        <v>33.114686335027827</v>
      </c>
      <c r="L19" s="88">
        <f t="shared" si="26"/>
        <v>31.680012564461563</v>
      </c>
      <c r="M19" s="88">
        <f t="shared" si="27"/>
        <v>30.997002849226288</v>
      </c>
      <c r="N19" s="88">
        <f t="shared" si="28"/>
        <v>30.568470919125044</v>
      </c>
      <c r="O19" s="88">
        <f t="shared" si="29"/>
        <v>30.139938989023801</v>
      </c>
      <c r="P19" s="88">
        <f t="shared" si="30"/>
        <v>29.711407058922561</v>
      </c>
      <c r="Q19" s="87" t="s">
        <v>1932</v>
      </c>
      <c r="R19" s="87">
        <v>3</v>
      </c>
      <c r="S19">
        <v>1</v>
      </c>
      <c r="T19">
        <v>1</v>
      </c>
      <c r="U19">
        <v>3</v>
      </c>
      <c r="V19">
        <v>1</v>
      </c>
      <c r="Z19" s="17" t="s">
        <v>984</v>
      </c>
      <c r="AA19" s="235" cm="1">
        <f t="array" ref="AA19">AVERAGE(_xlfn._xlws.FILTER('ANL-DOE-LDV Data'!$AS:$AS, ('ANL-DOE-LDV Data'!$A:$A=$Z19)*('ANL-DOE-LDV Data'!$B:$B=AA$2-5)*('ANL-DOE-LDV Data'!$D:$D="Midsize_B")))</f>
        <v>31677.152150339909</v>
      </c>
      <c r="AB19" s="235" cm="1">
        <f t="array" ref="AB19">AVERAGE(_xlfn._xlws.FILTER('ANL-DOE-LDV Data'!$AS:$AS, ('ANL-DOE-LDV Data'!$A:$A=$Z19)*('ANL-DOE-LDV Data'!$B:$B=AB$2-5)*('ANL-DOE-LDV Data'!$D:$D="Midsize_B")))</f>
        <v>31311.135497120544</v>
      </c>
      <c r="AC19" s="235" cm="1">
        <f t="array" ref="AC19">AVERAGE(_xlfn._xlws.FILTER('ANL-DOE-LDV Data'!$AS:$AS, ('ANL-DOE-LDV Data'!$A:$A=$Z19)*('ANL-DOE-LDV Data'!$B:$B=AC$2-5)*('ANL-DOE-LDV Data'!$D:$D="Midsize_B")))</f>
        <v>31255.083638180691</v>
      </c>
      <c r="AD19" s="235" cm="1">
        <f t="array" ref="AD19">AVERAGE(_xlfn._xlws.FILTER('ANL-DOE-LDV Data'!$AS:$AS, ('ANL-DOE-LDV Data'!$A:$A=$Z19)*('ANL-DOE-LDV Data'!$B:$B=AD$2-5)*('ANL-DOE-LDV Data'!$D:$D="Midsize_B")))</f>
        <v>31167.577136868156</v>
      </c>
      <c r="AE19" s="235">
        <f t="shared" ref="AE19:AF19" si="35">($AG19-$AD19)/3 + AD19</f>
        <v>31122.048582005842</v>
      </c>
      <c r="AF19" s="235">
        <f t="shared" si="35"/>
        <v>31076.520027143528</v>
      </c>
      <c r="AG19" s="235" cm="1">
        <f t="array" ref="AG19">AVERAGE(_xlfn._xlws.FILTER('ANL-DOE-LDV Data'!$AS:$AS, ('ANL-DOE-LDV Data'!$A:$A=$Z19)*('ANL-DOE-LDV Data'!$B:$B=AG$2-5)*('ANL-DOE-LDV Data'!$D:$D="Midsize_B")))</f>
        <v>31030.991472281214</v>
      </c>
      <c r="AH19" s="102">
        <f t="shared" si="31"/>
        <v>-2.0398319741371126E-2</v>
      </c>
      <c r="AJ19" s="17" t="s">
        <v>984</v>
      </c>
      <c r="AK19" s="235">
        <f t="shared" si="34"/>
        <v>36261.557605725131</v>
      </c>
      <c r="AL19" s="235">
        <f t="shared" si="32"/>
        <v>36029.573073332424</v>
      </c>
      <c r="AM19" s="235">
        <f t="shared" si="32"/>
        <v>35333.183142269147</v>
      </c>
      <c r="AN19" s="235">
        <f t="shared" si="32"/>
        <v>35745.713319754235</v>
      </c>
      <c r="AO19" s="235">
        <f t="shared" si="32"/>
        <v>35525.962913759802</v>
      </c>
      <c r="AP19" s="235">
        <f t="shared" si="32"/>
        <v>35306.212507765362</v>
      </c>
      <c r="AQ19" s="235">
        <f t="shared" si="32"/>
        <v>35086.462101770929</v>
      </c>
      <c r="AR19" s="102">
        <f t="shared" si="12"/>
        <v>-3.2406095643521753E-2</v>
      </c>
      <c r="BA19" s="17" t="s">
        <v>989</v>
      </c>
      <c r="BD19" s="258">
        <f>'OEO &amp; EPAUS9rT-HDV Data'!T27/km_mile*USD2018_to_CAD2020</f>
        <v>53.062729065613233</v>
      </c>
    </row>
    <row r="20" spans="1:58" x14ac:dyDescent="0.35">
      <c r="A20" t="s">
        <v>1187</v>
      </c>
      <c r="B20" t="s">
        <v>2261</v>
      </c>
      <c r="C20" t="s">
        <v>851</v>
      </c>
      <c r="D20">
        <v>2022</v>
      </c>
      <c r="E20">
        <v>2020</v>
      </c>
      <c r="F20" t="s">
        <v>1951</v>
      </c>
      <c r="G20">
        <v>2020</v>
      </c>
      <c r="H20" t="s">
        <v>1953</v>
      </c>
      <c r="I20" t="s">
        <v>1260</v>
      </c>
      <c r="J20" s="331">
        <f t="shared" si="24"/>
        <v>39.19693369329395</v>
      </c>
      <c r="K20" s="88">
        <f t="shared" si="25"/>
        <v>35.859065753489425</v>
      </c>
      <c r="L20" s="88">
        <f t="shared" si="26"/>
        <v>33.211857797461079</v>
      </c>
      <c r="M20" s="88">
        <f t="shared" si="27"/>
        <v>31.812770359796886</v>
      </c>
      <c r="N20" s="88">
        <f t="shared" si="28"/>
        <v>31.213802418016094</v>
      </c>
      <c r="O20" s="88">
        <f t="shared" si="29"/>
        <v>30.614834476235291</v>
      </c>
      <c r="P20" s="88">
        <f t="shared" si="30"/>
        <v>30.015866534454496</v>
      </c>
      <c r="Q20" s="87" t="s">
        <v>1932</v>
      </c>
      <c r="R20" s="87">
        <v>3</v>
      </c>
      <c r="S20">
        <v>1</v>
      </c>
      <c r="T20">
        <v>1</v>
      </c>
      <c r="U20">
        <v>3</v>
      </c>
      <c r="V20">
        <v>1</v>
      </c>
      <c r="Z20" s="17" t="s">
        <v>991</v>
      </c>
      <c r="AA20" s="235" cm="1">
        <f t="array" ref="AA20">AVERAGE(_xlfn._xlws.FILTER('ANL-DOE-LDV Data'!$AS:$AS, ('ANL-DOE-LDV Data'!$A:$A=$Z20)*('ANL-DOE-LDV Data'!$B:$B=AA$2-5)*('ANL-DOE-LDV Data'!$D:$D="Midsize_B")))</f>
        <v>28257.611510065821</v>
      </c>
      <c r="AB20" s="235" cm="1">
        <f t="array" ref="AB20">AVERAGE(_xlfn._xlws.FILTER('ANL-DOE-LDV Data'!$AS:$AS, ('ANL-DOE-LDV Data'!$A:$A=$Z20)*('ANL-DOE-LDV Data'!$B:$B=AB$2-5)*('ANL-DOE-LDV Data'!$D:$D="Midsize_B")))</f>
        <v>27215.777317203185</v>
      </c>
      <c r="AC20" s="235" cm="1">
        <f t="array" ref="AC20">AVERAGE(_xlfn._xlws.FILTER('ANL-DOE-LDV Data'!$AS:$AS, ('ANL-DOE-LDV Data'!$A:$A=$Z20)*('ANL-DOE-LDV Data'!$B:$B=AC$2-5)*('ANL-DOE-LDV Data'!$D:$D="Midsize_B")))</f>
        <v>26395.442019848306</v>
      </c>
      <c r="AD20" s="235" cm="1">
        <f t="array" ref="AD20">AVERAGE(_xlfn._xlws.FILTER('ANL-DOE-LDV Data'!$AS:$AS, ('ANL-DOE-LDV Data'!$A:$A=$Z20)*('ANL-DOE-LDV Data'!$B:$B=AD$2-5)*('ANL-DOE-LDV Data'!$D:$D="Midsize_B")))</f>
        <v>25890.492347452007</v>
      </c>
      <c r="AE20" s="235">
        <f t="shared" ref="AE20:AF20" si="36">($AG20-$AD20)/3 + AD20</f>
        <v>25543.911003746391</v>
      </c>
      <c r="AF20" s="235">
        <f t="shared" si="36"/>
        <v>25197.329660040774</v>
      </c>
      <c r="AG20" s="235" cm="1">
        <f t="array" ref="AG20">AVERAGE(_xlfn._xlws.FILTER('ANL-DOE-LDV Data'!$AS:$AS, ('ANL-DOE-LDV Data'!$A:$A=$Z20)*('ANL-DOE-LDV Data'!$B:$B=AG$2-5)*('ANL-DOE-LDV Data'!$D:$D="Midsize_B")))</f>
        <v>24850.748316335157</v>
      </c>
      <c r="AH20" s="102">
        <f t="shared" si="31"/>
        <v>-0.12056444305340823</v>
      </c>
      <c r="AJ20" s="17" t="s">
        <v>991</v>
      </c>
      <c r="AK20" s="235">
        <f t="shared" si="34"/>
        <v>33864.605555656548</v>
      </c>
      <c r="AL20" s="235">
        <f t="shared" si="32"/>
        <v>32550.968784876812</v>
      </c>
      <c r="AM20" s="235">
        <f t="shared" si="32"/>
        <v>31507.894416285504</v>
      </c>
      <c r="AN20" s="235">
        <f t="shared" si="32"/>
        <v>30907.963746920992</v>
      </c>
      <c r="AO20" s="235">
        <f t="shared" si="32"/>
        <v>30495.215794817304</v>
      </c>
      <c r="AP20" s="235">
        <f t="shared" si="32"/>
        <v>30082.467842713624</v>
      </c>
      <c r="AQ20" s="235">
        <f t="shared" si="32"/>
        <v>29669.719890609937</v>
      </c>
      <c r="AR20" s="102">
        <f t="shared" si="12"/>
        <v>-0.12387227301827887</v>
      </c>
      <c r="BA20" s="17" t="s">
        <v>232</v>
      </c>
      <c r="BC20" s="258">
        <f>'OEO &amp; EPAUS9rT-HDV Data'!S28/km_mile*USD2018_to_CAD2020</f>
        <v>45.471626698930287</v>
      </c>
    </row>
    <row r="21" spans="1:58" x14ac:dyDescent="0.35">
      <c r="A21" t="s">
        <v>1188</v>
      </c>
      <c r="B21" t="s">
        <v>2261</v>
      </c>
      <c r="C21" t="s">
        <v>851</v>
      </c>
      <c r="D21">
        <v>2022</v>
      </c>
      <c r="E21">
        <v>2020</v>
      </c>
      <c r="F21" t="s">
        <v>1951</v>
      </c>
      <c r="G21">
        <v>2020</v>
      </c>
      <c r="H21" t="s">
        <v>1953</v>
      </c>
      <c r="I21" t="s">
        <v>1260</v>
      </c>
      <c r="J21" s="331">
        <f t="shared" si="24"/>
        <v>34.59150816828258</v>
      </c>
      <c r="K21" s="88">
        <f t="shared" si="25"/>
        <v>32.310169795303281</v>
      </c>
      <c r="L21" s="88">
        <f t="shared" si="26"/>
        <v>29.11353154338665</v>
      </c>
      <c r="M21" s="88">
        <f t="shared" si="27"/>
        <v>27.172708046966569</v>
      </c>
      <c r="N21" s="88">
        <f t="shared" si="28"/>
        <v>26.233549890260914</v>
      </c>
      <c r="O21" s="88">
        <f t="shared" si="29"/>
        <v>25.294391733555265</v>
      </c>
      <c r="P21" s="88">
        <f t="shared" si="30"/>
        <v>24.355233576849614</v>
      </c>
      <c r="Q21" s="87" t="s">
        <v>1932</v>
      </c>
      <c r="R21" s="87">
        <v>3</v>
      </c>
      <c r="S21">
        <v>1</v>
      </c>
      <c r="T21">
        <v>1</v>
      </c>
      <c r="U21">
        <v>3</v>
      </c>
      <c r="V21">
        <v>1</v>
      </c>
      <c r="Z21" s="17" t="s">
        <v>992</v>
      </c>
      <c r="AA21" s="235" cm="1">
        <f t="array" ref="AA21">AVERAGE(_xlfn._xlws.FILTER('ANL-DOE-LDV Data'!$AS:$AS, ('ANL-DOE-LDV Data'!$A:$A=$Z21)*('ANL-DOE-LDV Data'!$B:$B=AA$2-5)*('ANL-DOE-LDV Data'!$D:$D="Midsize_B")))</f>
        <v>29405.093474679779</v>
      </c>
      <c r="AB21" s="235" cm="1">
        <f t="array" ref="AB21">AVERAGE(_xlfn._xlws.FILTER('ANL-DOE-LDV Data'!$AS:$AS, ('ANL-DOE-LDV Data'!$A:$A=$Z21)*('ANL-DOE-LDV Data'!$B:$B=AB$2-5)*('ANL-DOE-LDV Data'!$D:$D="Midsize_B")))</f>
        <v>27799.513176876721</v>
      </c>
      <c r="AC21" s="235" cm="1">
        <f t="array" ref="AC21">AVERAGE(_xlfn._xlws.FILTER('ANL-DOE-LDV Data'!$AS:$AS, ('ANL-DOE-LDV Data'!$A:$A=$Z21)*('ANL-DOE-LDV Data'!$B:$B=AC$2-5)*('ANL-DOE-LDV Data'!$D:$D="Midsize_B")))</f>
        <v>26909.355266968403</v>
      </c>
      <c r="AD21" s="235" cm="1">
        <f t="array" ref="AD21">AVERAGE(_xlfn._xlws.FILTER('ANL-DOE-LDV Data'!$AS:$AS, ('ANL-DOE-LDV Data'!$A:$A=$Z21)*('ANL-DOE-LDV Data'!$B:$B=AD$2-5)*('ANL-DOE-LDV Data'!$D:$D="Midsize_B")))</f>
        <v>26359.734669477341</v>
      </c>
      <c r="AE21" s="235">
        <f t="shared" ref="AE21:AF21" si="37">($AG21-$AD21)/3 + AD21</f>
        <v>25995.597218825496</v>
      </c>
      <c r="AF21" s="235">
        <f t="shared" si="37"/>
        <v>25631.459768173652</v>
      </c>
      <c r="AG21" s="235" cm="1">
        <f t="array" ref="AG21">AVERAGE(_xlfn._xlws.FILTER('ANL-DOE-LDV Data'!$AS:$AS, ('ANL-DOE-LDV Data'!$A:$A=$Z21)*('ANL-DOE-LDV Data'!$B:$B=AG$2-5)*('ANL-DOE-LDV Data'!$D:$D="Midsize_B")))</f>
        <v>25267.322317521812</v>
      </c>
      <c r="AH21" s="102">
        <f t="shared" si="31"/>
        <v>-0.14071613683938572</v>
      </c>
      <c r="AJ21" s="17" t="s">
        <v>992</v>
      </c>
      <c r="AK21" s="235">
        <f t="shared" si="34"/>
        <v>35422.230993649573</v>
      </c>
      <c r="AL21" s="235">
        <f t="shared" si="32"/>
        <v>33114.686335027829</v>
      </c>
      <c r="AM21" s="235">
        <f t="shared" si="32"/>
        <v>31680.012564461562</v>
      </c>
      <c r="AN21" s="235">
        <f t="shared" si="32"/>
        <v>30997.00284922629</v>
      </c>
      <c r="AO21" s="235">
        <f t="shared" si="32"/>
        <v>30568.470919125044</v>
      </c>
      <c r="AP21" s="235">
        <f t="shared" si="32"/>
        <v>30139.938989023802</v>
      </c>
      <c r="AQ21" s="235">
        <f t="shared" si="32"/>
        <v>29711.407058922559</v>
      </c>
      <c r="AR21" s="102">
        <f t="shared" si="12"/>
        <v>-0.16122146388099717</v>
      </c>
      <c r="BA21" s="375" t="s">
        <v>1324</v>
      </c>
    </row>
    <row r="22" spans="1:58" x14ac:dyDescent="0.35">
      <c r="A22" t="s">
        <v>1189</v>
      </c>
      <c r="B22" t="s">
        <v>2261</v>
      </c>
      <c r="C22" t="s">
        <v>851</v>
      </c>
      <c r="D22">
        <v>2022</v>
      </c>
      <c r="E22">
        <v>2020</v>
      </c>
      <c r="F22" t="s">
        <v>1951</v>
      </c>
      <c r="G22">
        <v>2020</v>
      </c>
      <c r="H22" t="s">
        <v>1953</v>
      </c>
      <c r="I22" t="s">
        <v>1260</v>
      </c>
      <c r="J22" s="331">
        <f t="shared" si="24"/>
        <v>41.45926446773624</v>
      </c>
      <c r="K22" s="88">
        <f t="shared" si="25"/>
        <v>38.262622617870299</v>
      </c>
      <c r="L22" s="88">
        <f t="shared" si="26"/>
        <v>33.504199219116828</v>
      </c>
      <c r="M22" s="88">
        <f t="shared" si="27"/>
        <v>30.683479137583504</v>
      </c>
      <c r="N22" s="88">
        <f t="shared" si="28"/>
        <v>29.356517200131009</v>
      </c>
      <c r="O22" s="88">
        <f t="shared" si="29"/>
        <v>28.029555262678514</v>
      </c>
      <c r="P22" s="88">
        <f t="shared" si="30"/>
        <v>26.702593325226022</v>
      </c>
      <c r="Q22" s="87" t="s">
        <v>1932</v>
      </c>
      <c r="R22" s="87">
        <v>3</v>
      </c>
      <c r="S22">
        <v>1</v>
      </c>
      <c r="T22">
        <v>1</v>
      </c>
      <c r="U22">
        <v>3</v>
      </c>
      <c r="V22">
        <v>1</v>
      </c>
      <c r="Z22" s="17" t="s">
        <v>987</v>
      </c>
      <c r="AA22" s="235" cm="1">
        <f t="array" ref="AA22">AVERAGE(_xlfn._xlws.FILTER('ANL-DOE-LDV Data'!$AS:$AS, ('ANL-DOE-LDV Data'!$A:$A=$Z22)*('ANL-DOE-LDV Data'!$B:$B=AA$2-5)*('ANL-DOE-LDV Data'!$D:$D="Midsize_B")))</f>
        <v>32435.94406611659</v>
      </c>
      <c r="AB22" s="235" cm="1">
        <f t="array" ref="AB22">AVERAGE(_xlfn._xlws.FILTER('ANL-DOE-LDV Data'!$AS:$AS, ('ANL-DOE-LDV Data'!$A:$A=$Z22)*('ANL-DOE-LDV Data'!$B:$B=AB$2-5)*('ANL-DOE-LDV Data'!$D:$D="Midsize_B")))</f>
        <v>29829.496488453093</v>
      </c>
      <c r="AC22" s="235" cm="1">
        <f t="array" ref="AC22">AVERAGE(_xlfn._xlws.FILTER('ANL-DOE-LDV Data'!$AS:$AS, ('ANL-DOE-LDV Data'!$A:$A=$Z22)*('ANL-DOE-LDV Data'!$B:$B=AC$2-5)*('ANL-DOE-LDV Data'!$D:$D="Midsize_B")))</f>
        <v>27759.681239379104</v>
      </c>
      <c r="AD22" s="235" cm="1">
        <f t="array" ref="AD22">AVERAGE(_xlfn._xlws.FILTER('ANL-DOE-LDV Data'!$AS:$AS, ('ANL-DOE-LDV Data'!$A:$A=$Z22)*('ANL-DOE-LDV Data'!$B:$B=AD$2-5)*('ANL-DOE-LDV Data'!$D:$D="Midsize_B")))</f>
        <v>26638.828101604129</v>
      </c>
      <c r="AE22" s="235">
        <f t="shared" ref="AE22:AF22" si="38">($AG22-$AD22)/3 + AD22</f>
        <v>26151.441126390942</v>
      </c>
      <c r="AF22" s="235">
        <f t="shared" si="38"/>
        <v>25664.054151177756</v>
      </c>
      <c r="AG22" s="235" cm="1">
        <f t="array" ref="AG22">AVERAGE(_xlfn._xlws.FILTER('ANL-DOE-LDV Data'!$AS:$AS, ('ANL-DOE-LDV Data'!$A:$A=$Z22)*('ANL-DOE-LDV Data'!$B:$B=AG$2-5)*('ANL-DOE-LDV Data'!$D:$D="Midsize_B")))</f>
        <v>25176.667175964565</v>
      </c>
      <c r="AH22" s="102">
        <f t="shared" si="31"/>
        <v>-0.22380347170888268</v>
      </c>
      <c r="AJ22" s="17" t="s">
        <v>987</v>
      </c>
      <c r="AK22" s="235">
        <f t="shared" si="34"/>
        <v>39196.933693293955</v>
      </c>
      <c r="AL22" s="235">
        <f t="shared" si="32"/>
        <v>35859.065753489427</v>
      </c>
      <c r="AM22" s="235">
        <f t="shared" si="32"/>
        <v>33211.857797461082</v>
      </c>
      <c r="AN22" s="235">
        <f t="shared" si="32"/>
        <v>31812.770359796887</v>
      </c>
      <c r="AO22" s="235">
        <f t="shared" si="32"/>
        <v>31213.802418016094</v>
      </c>
      <c r="AP22" s="235">
        <f t="shared" si="32"/>
        <v>30614.834476235294</v>
      </c>
      <c r="AQ22" s="235">
        <f t="shared" si="32"/>
        <v>30015.866534454493</v>
      </c>
      <c r="AR22" s="102">
        <f t="shared" si="12"/>
        <v>-0.23422921881285355</v>
      </c>
      <c r="BA22" s="17" t="s">
        <v>1755</v>
      </c>
      <c r="BB22" s="258" t="e">
        <f>('OEO &amp; EPAUS9rT-HDV Data'!R44*'GREET-AFLEET Summary'!$M$76 + 'OEO &amp; EPAUS9rT-HDV Data'!R48*'GREET-AFLEET Summary'!$M$77)/km_mile*USD2018_to_CAD2020</f>
        <v>#DIV/0!</v>
      </c>
    </row>
    <row r="23" spans="1:58" x14ac:dyDescent="0.35">
      <c r="A23" t="s">
        <v>1190</v>
      </c>
      <c r="B23" t="s">
        <v>2261</v>
      </c>
      <c r="C23" t="s">
        <v>851</v>
      </c>
      <c r="D23">
        <v>2022</v>
      </c>
      <c r="E23">
        <v>2020</v>
      </c>
      <c r="F23" t="s">
        <v>1951</v>
      </c>
      <c r="G23">
        <v>2020</v>
      </c>
      <c r="H23" t="s">
        <v>1953</v>
      </c>
      <c r="I23" t="s">
        <v>1260</v>
      </c>
      <c r="J23" s="331">
        <f t="shared" si="24"/>
        <v>51.071984462902059</v>
      </c>
      <c r="K23" s="88">
        <f t="shared" si="25"/>
        <v>46.6229539575152</v>
      </c>
      <c r="L23" s="88">
        <f t="shared" si="26"/>
        <v>39.472156543195418</v>
      </c>
      <c r="M23" s="88">
        <f t="shared" si="27"/>
        <v>35.450739298372078</v>
      </c>
      <c r="N23" s="88">
        <f t="shared" si="28"/>
        <v>33.590184873481135</v>
      </c>
      <c r="O23" s="88">
        <f t="shared" si="29"/>
        <v>31.729630448590193</v>
      </c>
      <c r="P23" s="88">
        <f t="shared" si="30"/>
        <v>29.86907602369925</v>
      </c>
      <c r="Q23" s="87" t="s">
        <v>1932</v>
      </c>
      <c r="R23" s="87">
        <v>3</v>
      </c>
      <c r="S23">
        <v>1</v>
      </c>
      <c r="T23">
        <v>1</v>
      </c>
      <c r="U23">
        <v>3</v>
      </c>
      <c r="V23">
        <v>1</v>
      </c>
      <c r="Z23" s="17" t="s">
        <v>975</v>
      </c>
      <c r="AA23" s="235" cm="1">
        <f t="array" ref="AA23">AVERAGE(_xlfn._xlws.FILTER('ANL-DOE-LDV Data'!$AS:$AS, ('ANL-DOE-LDV Data'!$A:$A=$Z23)*('ANL-DOE-LDV Data'!$B:$B=AA$2-5)*('ANL-DOE-LDV Data'!$D:$D="Midsize_B")))</f>
        <v>27107.87370116802</v>
      </c>
      <c r="AB23" s="235" cm="1">
        <f t="array" ref="AB23">AVERAGE(_xlfn._xlws.FILTER('ANL-DOE-LDV Data'!$AS:$AS, ('ANL-DOE-LDV Data'!$A:$A=$Z23)*('ANL-DOE-LDV Data'!$B:$B=AB$2-5)*('ANL-DOE-LDV Data'!$D:$D="Midsize_B")))</f>
        <v>25385.740749436758</v>
      </c>
      <c r="AC23" s="235" cm="1">
        <f t="array" ref="AC23">AVERAGE(_xlfn._xlws.FILTER('ANL-DOE-LDV Data'!$AS:$AS, ('ANL-DOE-LDV Data'!$A:$A=$Z23)*('ANL-DOE-LDV Data'!$B:$B=AC$2-5)*('ANL-DOE-LDV Data'!$D:$D="Midsize_B")))</f>
        <v>22986.111974775358</v>
      </c>
      <c r="AD23" s="235" cm="1">
        <f t="array" ref="AD23">AVERAGE(_xlfn._xlws.FILTER('ANL-DOE-LDV Data'!$AS:$AS, ('ANL-DOE-LDV Data'!$A:$A=$Z23)*('ANL-DOE-LDV Data'!$B:$B=AD$2-5)*('ANL-DOE-LDV Data'!$D:$D="Midsize_B")))</f>
        <v>21526.877505148183</v>
      </c>
      <c r="AE23" s="235">
        <f t="shared" ref="AE23:AF23" si="39">($AG23-$AD23)/3 + AD23</f>
        <v>20806.501670143367</v>
      </c>
      <c r="AF23" s="235">
        <f t="shared" si="39"/>
        <v>20086.125835138551</v>
      </c>
      <c r="AG23" s="235" cm="1">
        <f t="array" ref="AG23">AVERAGE(_xlfn._xlws.FILTER('ANL-DOE-LDV Data'!$AS:$AS, ('ANL-DOE-LDV Data'!$A:$A=$Z23)*('ANL-DOE-LDV Data'!$B:$B=AG$2-5)*('ANL-DOE-LDV Data'!$D:$D="Midsize_B")))</f>
        <v>19365.750000133736</v>
      </c>
      <c r="AH23" s="102">
        <f t="shared" si="31"/>
        <v>-0.28560424127624195</v>
      </c>
      <c r="AJ23" s="17" t="s">
        <v>975</v>
      </c>
      <c r="AK23" s="235">
        <f t="shared" si="34"/>
        <v>34591.508168282584</v>
      </c>
      <c r="AL23" s="235">
        <f t="shared" si="32"/>
        <v>32310.169795303278</v>
      </c>
      <c r="AM23" s="235">
        <f t="shared" si="32"/>
        <v>29113.531543386649</v>
      </c>
      <c r="AN23" s="235">
        <f t="shared" si="32"/>
        <v>27172.708046966567</v>
      </c>
      <c r="AO23" s="235">
        <f t="shared" si="32"/>
        <v>26233.549890260914</v>
      </c>
      <c r="AP23" s="235">
        <f t="shared" si="32"/>
        <v>25294.391733555265</v>
      </c>
      <c r="AQ23" s="235">
        <f t="shared" si="32"/>
        <v>24355.233576849612</v>
      </c>
      <c r="AR23" s="102">
        <f t="shared" si="12"/>
        <v>-0.29591871339159326</v>
      </c>
      <c r="BA23" s="17" t="s">
        <v>1756</v>
      </c>
      <c r="BB23" s="258" t="e">
        <f>('OEO &amp; EPAUS9rT-HDV Data'!R45*'GREET-AFLEET Summary'!$M$76 + 'OEO &amp; EPAUS9rT-HDV Data'!R49*'GREET-AFLEET Summary'!$M$77)/km_mile*USD2018_to_CAD2020</f>
        <v>#DIV/0!</v>
      </c>
    </row>
    <row r="24" spans="1:58" x14ac:dyDescent="0.35">
      <c r="A24" t="s">
        <v>1191</v>
      </c>
      <c r="B24" t="s">
        <v>2261</v>
      </c>
      <c r="C24" t="s">
        <v>851</v>
      </c>
      <c r="D24">
        <v>2022</v>
      </c>
      <c r="E24">
        <v>2020</v>
      </c>
      <c r="F24" t="s">
        <v>1951</v>
      </c>
      <c r="G24">
        <v>2020</v>
      </c>
      <c r="H24" t="s">
        <v>1953</v>
      </c>
      <c r="I24" t="s">
        <v>1260</v>
      </c>
      <c r="J24" s="331">
        <f t="shared" si="24"/>
        <v>62.512025074970062</v>
      </c>
      <c r="K24" s="88">
        <f t="shared" si="25"/>
        <v>56.532505669446586</v>
      </c>
      <c r="L24" s="88">
        <f t="shared" si="26"/>
        <v>46.186795251610839</v>
      </c>
      <c r="M24" s="88">
        <f t="shared" si="27"/>
        <v>40.847445104627717</v>
      </c>
      <c r="N24" s="88">
        <f t="shared" si="28"/>
        <v>38.386944697151904</v>
      </c>
      <c r="O24" s="88">
        <f t="shared" si="29"/>
        <v>35.926444289676112</v>
      </c>
      <c r="P24" s="88">
        <f t="shared" si="30"/>
        <v>33.465943882200307</v>
      </c>
      <c r="Q24" s="87" t="s">
        <v>1932</v>
      </c>
      <c r="R24" s="87">
        <v>3</v>
      </c>
      <c r="S24">
        <v>1</v>
      </c>
      <c r="T24">
        <v>1</v>
      </c>
      <c r="U24">
        <v>3</v>
      </c>
      <c r="V24">
        <v>1</v>
      </c>
      <c r="Z24" s="17" t="s">
        <v>979</v>
      </c>
      <c r="AA24" s="235" cm="1">
        <f t="array" ref="AA24">AVERAGE(_xlfn._xlws.FILTER('ANL-DOE-LDV Data'!$AS:$AS, ('ANL-DOE-LDV Data'!$A:$A=$Z24)*('ANL-DOE-LDV Data'!$B:$B=AA$2-5)*('ANL-DOE-LDV Data'!$D:$D="Midsize_B")))</f>
        <v>32144.512530299024</v>
      </c>
      <c r="AB24" s="235" cm="1">
        <f t="array" ref="AB24">AVERAGE(_xlfn._xlws.FILTER('ANL-DOE-LDV Data'!$AS:$AS, ('ANL-DOE-LDV Data'!$A:$A=$Z24)*('ANL-DOE-LDV Data'!$B:$B=AB$2-5)*('ANL-DOE-LDV Data'!$D:$D="Midsize_B")))</f>
        <v>29767.083544271958</v>
      </c>
      <c r="AC24" s="235" cm="1">
        <f t="array" ref="AC24">AVERAGE(_xlfn._xlws.FILTER('ANL-DOE-LDV Data'!$AS:$AS, ('ANL-DOE-LDV Data'!$A:$A=$Z24)*('ANL-DOE-LDV Data'!$B:$B=AC$2-5)*('ANL-DOE-LDV Data'!$D:$D="Midsize_B")))</f>
        <v>26244.201487875358</v>
      </c>
      <c r="AD24" s="235" cm="1">
        <f t="array" ref="AD24">AVERAGE(_xlfn._xlws.FILTER('ANL-DOE-LDV Data'!$AS:$AS, ('ANL-DOE-LDV Data'!$A:$A=$Z24)*('ANL-DOE-LDV Data'!$B:$B=AD$2-5)*('ANL-DOE-LDV Data'!$D:$D="Midsize_B")))</f>
        <v>24139.023564040181</v>
      </c>
      <c r="AE24" s="235">
        <f t="shared" ref="AE24:AF24" si="40">($AG24-$AD24)/3 + AD24</f>
        <v>23135.762106622366</v>
      </c>
      <c r="AF24" s="235">
        <f t="shared" si="40"/>
        <v>22132.50064920455</v>
      </c>
      <c r="AG24" s="235" cm="1">
        <f t="array" ref="AG24">AVERAGE(_xlfn._xlws.FILTER('ANL-DOE-LDV Data'!$AS:$AS, ('ANL-DOE-LDV Data'!$A:$A=$Z24)*('ANL-DOE-LDV Data'!$B:$B=AG$2-5)*('ANL-DOE-LDV Data'!$D:$D="Midsize_B")))</f>
        <v>21129.239191786735</v>
      </c>
      <c r="AH24" s="102">
        <f t="shared" si="31"/>
        <v>-0.34267974442385546</v>
      </c>
      <c r="AJ24" s="17" t="s">
        <v>979</v>
      </c>
      <c r="AK24" s="235">
        <f t="shared" si="34"/>
        <v>41459.264467736233</v>
      </c>
      <c r="AL24" s="235">
        <f t="shared" si="32"/>
        <v>38262.6226178703</v>
      </c>
      <c r="AM24" s="235">
        <f t="shared" si="32"/>
        <v>33504.199219116825</v>
      </c>
      <c r="AN24" s="235">
        <f t="shared" si="32"/>
        <v>30683.479137583505</v>
      </c>
      <c r="AO24" s="235">
        <f t="shared" si="32"/>
        <v>29356.517200131009</v>
      </c>
      <c r="AP24" s="235">
        <f t="shared" si="32"/>
        <v>28029.555262678514</v>
      </c>
      <c r="AQ24" s="235">
        <f t="shared" si="32"/>
        <v>26702.593325226026</v>
      </c>
      <c r="AR24" s="102">
        <f t="shared" si="12"/>
        <v>-0.35593181239367883</v>
      </c>
      <c r="BA24" s="17" t="s">
        <v>232</v>
      </c>
      <c r="BC24" s="258" t="e">
        <f>('OEO &amp; EPAUS9rT-HDV Data'!S46*'GREET-AFLEET Summary'!$M$76 + 'OEO &amp; EPAUS9rT-HDV Data'!S50*'GREET-AFLEET Summary'!$M$77)/km_mile*USD2018_to_CAD2020</f>
        <v>#DIV/0!</v>
      </c>
    </row>
    <row r="25" spans="1:58" x14ac:dyDescent="0.35">
      <c r="A25" t="s">
        <v>1192</v>
      </c>
      <c r="B25" t="s">
        <v>2261</v>
      </c>
      <c r="C25" t="s">
        <v>851</v>
      </c>
      <c r="D25">
        <v>2022</v>
      </c>
      <c r="E25">
        <v>2020</v>
      </c>
      <c r="F25" t="s">
        <v>1951</v>
      </c>
      <c r="G25">
        <v>2020</v>
      </c>
      <c r="H25" t="s">
        <v>1953</v>
      </c>
      <c r="I25" t="s">
        <v>1260</v>
      </c>
      <c r="J25" s="331">
        <f t="shared" si="24"/>
        <v>40.381620134897922</v>
      </c>
      <c r="K25" s="88">
        <f t="shared" si="25"/>
        <v>37.915489729969167</v>
      </c>
      <c r="L25" s="88">
        <f t="shared" si="26"/>
        <v>35.893073173454901</v>
      </c>
      <c r="M25" s="88">
        <f t="shared" si="27"/>
        <v>34.535820779592896</v>
      </c>
      <c r="N25" s="88">
        <f t="shared" si="28"/>
        <v>33.7323957260108</v>
      </c>
      <c r="O25" s="88">
        <f t="shared" si="29"/>
        <v>32.928970672428711</v>
      </c>
      <c r="P25" s="88">
        <f t="shared" si="30"/>
        <v>32.125545618846616</v>
      </c>
      <c r="Q25" s="87" t="s">
        <v>1932</v>
      </c>
      <c r="R25" s="87">
        <v>3</v>
      </c>
      <c r="S25">
        <v>1</v>
      </c>
      <c r="T25">
        <v>1</v>
      </c>
      <c r="U25">
        <v>3</v>
      </c>
      <c r="V25">
        <v>1</v>
      </c>
      <c r="Z25" s="17" t="s">
        <v>980</v>
      </c>
      <c r="AA25" s="235" cm="1">
        <f t="array" ref="AA25">AVERAGE(_xlfn._xlws.FILTER('ANL-DOE-LDV Data'!$AS:$AS, ('ANL-DOE-LDV Data'!$A:$A=$Z25)*('ANL-DOE-LDV Data'!$B:$B=AA$2-5)*('ANL-DOE-LDV Data'!$D:$D="Midsize_B")))</f>
        <v>39336.375904727029</v>
      </c>
      <c r="AB25" s="235" cm="1">
        <f t="array" ref="AB25">AVERAGE(_xlfn._xlws.FILTER('ANL-DOE-LDV Data'!$AS:$AS, ('ANL-DOE-LDV Data'!$A:$A=$Z25)*('ANL-DOE-LDV Data'!$B:$B=AB$2-5)*('ANL-DOE-LDV Data'!$D:$D="Midsize_B")))</f>
        <v>35976.070182384756</v>
      </c>
      <c r="AC25" s="235" cm="1">
        <f t="array" ref="AC25">AVERAGE(_xlfn._xlws.FILTER('ANL-DOE-LDV Data'!$AS:$AS, ('ANL-DOE-LDV Data'!$A:$A=$Z25)*('ANL-DOE-LDV Data'!$B:$B=AC$2-5)*('ANL-DOE-LDV Data'!$D:$D="Midsize_B")))</f>
        <v>30646.148208425358</v>
      </c>
      <c r="AD25" s="235" cm="1">
        <f t="array" ref="AD25">AVERAGE(_xlfn._xlws.FILTER('ANL-DOE-LDV Data'!$AS:$AS, ('ANL-DOE-LDV Data'!$A:$A=$Z25)*('ANL-DOE-LDV Data'!$B:$B=AD$2-5)*('ANL-DOE-LDV Data'!$D:$D="Midsize_B")))</f>
        <v>27677.075165920181</v>
      </c>
      <c r="AE25" s="235">
        <f t="shared" ref="AE25:AF25" si="41">($AG25-$AD25)/3 + AD25</f>
        <v>26276.533372822701</v>
      </c>
      <c r="AF25" s="235">
        <f t="shared" si="41"/>
        <v>24875.991579725222</v>
      </c>
      <c r="AG25" s="235" cm="1">
        <f t="array" ref="AG25">AVERAGE(_xlfn._xlws.FILTER('ANL-DOE-LDV Data'!$AS:$AS, ('ANL-DOE-LDV Data'!$A:$A=$Z25)*('ANL-DOE-LDV Data'!$B:$B=AG$2-5)*('ANL-DOE-LDV Data'!$D:$D="Midsize_B")))</f>
        <v>23475.449786627742</v>
      </c>
      <c r="AH25" s="102">
        <f t="shared" si="31"/>
        <v>-0.40321269444126118</v>
      </c>
      <c r="AJ25" s="17" t="s">
        <v>980</v>
      </c>
      <c r="AK25" s="235">
        <f t="shared" si="34"/>
        <v>51071.984462902059</v>
      </c>
      <c r="AL25" s="235">
        <f t="shared" si="32"/>
        <v>46622.953957515201</v>
      </c>
      <c r="AM25" s="235">
        <f t="shared" si="32"/>
        <v>39472.156543195422</v>
      </c>
      <c r="AN25" s="235">
        <f t="shared" si="32"/>
        <v>35450.739298372078</v>
      </c>
      <c r="AO25" s="235">
        <f t="shared" si="32"/>
        <v>33590.184873481136</v>
      </c>
      <c r="AP25" s="235">
        <f t="shared" si="32"/>
        <v>31729.630448590193</v>
      </c>
      <c r="AQ25" s="235">
        <f t="shared" si="32"/>
        <v>29869.07602369925</v>
      </c>
      <c r="AR25" s="102">
        <f t="shared" si="12"/>
        <v>-0.41515732474825395</v>
      </c>
    </row>
    <row r="26" spans="1:58" x14ac:dyDescent="0.35">
      <c r="A26" t="s">
        <v>1193</v>
      </c>
      <c r="B26" t="s">
        <v>2261</v>
      </c>
      <c r="C26" t="s">
        <v>851</v>
      </c>
      <c r="D26">
        <v>2022</v>
      </c>
      <c r="E26">
        <v>2020</v>
      </c>
      <c r="F26" t="s">
        <v>1951</v>
      </c>
      <c r="G26">
        <v>2020</v>
      </c>
      <c r="H26" t="s">
        <v>1953</v>
      </c>
      <c r="I26" t="s">
        <v>1260</v>
      </c>
      <c r="J26" s="331">
        <f t="shared" si="24"/>
        <v>41.672096780070483</v>
      </c>
      <c r="K26" s="88">
        <f t="shared" si="25"/>
        <v>39.097983814536228</v>
      </c>
      <c r="L26" s="88">
        <f t="shared" si="26"/>
        <v>37.064644345224082</v>
      </c>
      <c r="M26" s="88">
        <f t="shared" si="27"/>
        <v>35.597832944712323</v>
      </c>
      <c r="N26" s="88">
        <f t="shared" si="28"/>
        <v>34.757823504188011</v>
      </c>
      <c r="O26" s="88">
        <f t="shared" si="29"/>
        <v>33.917814063663698</v>
      </c>
      <c r="P26" s="88">
        <f t="shared" si="30"/>
        <v>33.077804623139372</v>
      </c>
      <c r="Q26" s="87" t="s">
        <v>1932</v>
      </c>
      <c r="R26" s="87">
        <v>3</v>
      </c>
      <c r="S26">
        <v>1</v>
      </c>
      <c r="T26">
        <v>1</v>
      </c>
      <c r="U26">
        <v>3</v>
      </c>
      <c r="V26">
        <v>1</v>
      </c>
      <c r="Z26" s="17" t="s">
        <v>981</v>
      </c>
      <c r="AA26" s="235" cm="1">
        <f t="array" ref="AA26">AVERAGE(_xlfn._xlws.FILTER('ANL-DOE-LDV Data'!$AS:$AS, ('ANL-DOE-LDV Data'!$A:$A=$Z26)*('ANL-DOE-LDV Data'!$B:$B=AA$2-5)*('ANL-DOE-LDV Data'!$D:$D="Midsize_B")))</f>
        <v>47940.722519399009</v>
      </c>
      <c r="AB26" s="235" cm="1">
        <f t="array" ref="AB26">AVERAGE(_xlfn._xlws.FILTER('ANL-DOE-LDV Data'!$AS:$AS, ('ANL-DOE-LDV Data'!$A:$A=$Z26)*('ANL-DOE-LDV Data'!$B:$B=AB$2-5)*('ANL-DOE-LDV Data'!$D:$D="Midsize_B")))</f>
        <v>43482.712009347953</v>
      </c>
      <c r="AC26" s="235" cm="1">
        <f t="array" ref="AC26">AVERAGE(_xlfn._xlws.FILTER('ANL-DOE-LDV Data'!$AS:$AS, ('ANL-DOE-LDV Data'!$A:$A=$Z26)*('ANL-DOE-LDV Data'!$B:$B=AC$2-5)*('ANL-DOE-LDV Data'!$D:$D="Midsize_B")))</f>
        <v>35759.469600305361</v>
      </c>
      <c r="AD26" s="235" cm="1">
        <f t="array" ref="AD26">AVERAGE(_xlfn._xlws.FILTER('ANL-DOE-LDV Data'!$AS:$AS, ('ANL-DOE-LDV Data'!$A:$A=$Z26)*('ANL-DOE-LDV Data'!$B:$B=AD$2-5)*('ANL-DOE-LDV Data'!$D:$D="Midsize_B")))</f>
        <v>31801.390851140681</v>
      </c>
      <c r="AE26" s="235">
        <f t="shared" ref="AE26:AF26" si="42">($AG26-$AD26)/3 + AD26</f>
        <v>29944.026120998369</v>
      </c>
      <c r="AF26" s="235">
        <f t="shared" si="42"/>
        <v>28086.661390856058</v>
      </c>
      <c r="AG26" s="235" cm="1">
        <f t="array" ref="AG26">AVERAGE(_xlfn._xlws.FILTER('ANL-DOE-LDV Data'!$AS:$AS, ('ANL-DOE-LDV Data'!$A:$A=$Z26)*('ANL-DOE-LDV Data'!$B:$B=AG$2-5)*('ANL-DOE-LDV Data'!$D:$D="Midsize_B")))</f>
        <v>26229.296660713742</v>
      </c>
      <c r="AH26" s="102">
        <f t="shared" si="31"/>
        <v>-0.45288065589540982</v>
      </c>
      <c r="AJ26" s="17" t="s">
        <v>981</v>
      </c>
      <c r="AK26" s="235">
        <f t="shared" si="34"/>
        <v>62512.025074970057</v>
      </c>
      <c r="AL26" s="235">
        <f t="shared" si="32"/>
        <v>56532.505669446589</v>
      </c>
      <c r="AM26" s="235">
        <f t="shared" si="32"/>
        <v>46186.795251610834</v>
      </c>
      <c r="AN26" s="235">
        <f t="shared" si="32"/>
        <v>40847.44510462771</v>
      </c>
      <c r="AO26" s="235">
        <f t="shared" si="32"/>
        <v>38386.944697151906</v>
      </c>
      <c r="AP26" s="235">
        <f t="shared" si="32"/>
        <v>35926.444289676117</v>
      </c>
      <c r="AQ26" s="235">
        <f t="shared" si="32"/>
        <v>33465.943882200307</v>
      </c>
      <c r="AR26" s="102">
        <f t="shared" si="12"/>
        <v>-0.46464790027094899</v>
      </c>
      <c r="BA26" s="410" t="s">
        <v>1843</v>
      </c>
    </row>
    <row r="27" spans="1:58" ht="15" thickBot="1" x14ac:dyDescent="0.4">
      <c r="A27" t="s">
        <v>1203</v>
      </c>
      <c r="B27" t="s">
        <v>2261</v>
      </c>
      <c r="C27" t="s">
        <v>851</v>
      </c>
      <c r="D27">
        <v>2022</v>
      </c>
      <c r="E27">
        <v>2020</v>
      </c>
      <c r="F27" t="s">
        <v>1951</v>
      </c>
      <c r="G27">
        <v>2020</v>
      </c>
      <c r="H27" t="s">
        <v>1953</v>
      </c>
      <c r="I27" t="s">
        <v>1260</v>
      </c>
      <c r="J27" s="331">
        <f>AK17*1000/1000000</f>
        <v>29.120194319968604</v>
      </c>
      <c r="K27" s="88">
        <f t="shared" ref="K27:P27" si="43">AL17*1000/1000000</f>
        <v>29.047147819596745</v>
      </c>
      <c r="L27" s="88">
        <f t="shared" si="43"/>
        <v>29.740948232112657</v>
      </c>
      <c r="M27" s="88">
        <f t="shared" si="43"/>
        <v>31.169676728105877</v>
      </c>
      <c r="N27" s="88">
        <f t="shared" si="43"/>
        <v>31.043845656620736</v>
      </c>
      <c r="O27" s="88">
        <f t="shared" si="43"/>
        <v>30.918014585135591</v>
      </c>
      <c r="P27" s="88">
        <f t="shared" si="43"/>
        <v>30.792183513650443</v>
      </c>
      <c r="Q27" s="87" t="s">
        <v>1932</v>
      </c>
      <c r="R27" s="87">
        <v>3</v>
      </c>
      <c r="S27">
        <v>1</v>
      </c>
      <c r="T27">
        <v>1</v>
      </c>
      <c r="U27">
        <v>3</v>
      </c>
      <c r="V27">
        <v>1</v>
      </c>
      <c r="Z27" s="17" t="s">
        <v>988</v>
      </c>
      <c r="AA27" s="235" cm="1">
        <f t="array" ref="AA27">AVERAGE(_xlfn._xlws.FILTER('ANL-DOE-LDV Data'!$AS:$AS, ('ANL-DOE-LDV Data'!$A:$A=$Z27)*('ANL-DOE-LDV Data'!$B:$B=AA$2-5)*('ANL-DOE-LDV Data'!$D:$D="Midsize_B")))</f>
        <v>31369.77235754134</v>
      </c>
      <c r="AB27" s="235" cm="1">
        <f t="array" ref="AB27">AVERAGE(_xlfn._xlws.FILTER('ANL-DOE-LDV Data'!$AS:$AS, ('ANL-DOE-LDV Data'!$A:$A=$Z27)*('ANL-DOE-LDV Data'!$B:$B=AB$2-5)*('ANL-DOE-LDV Data'!$D:$D="Midsize_B")))</f>
        <v>29583.855811927544</v>
      </c>
      <c r="AC27" s="235" cm="1">
        <f t="array" ref="AC27">AVERAGE(_xlfn._xlws.FILTER('ANL-DOE-LDV Data'!$AS:$AS, ('ANL-DOE-LDV Data'!$A:$A=$Z27)*('ANL-DOE-LDV Data'!$B:$B=AC$2-5)*('ANL-DOE-LDV Data'!$D:$D="Midsize_B")))</f>
        <v>28015.886549716088</v>
      </c>
      <c r="AD27" s="235" cm="1">
        <f t="array" ref="AD27">AVERAGE(_xlfn._xlws.FILTER('ANL-DOE-LDV Data'!$AS:$AS, ('ANL-DOE-LDV Data'!$A:$A=$Z27)*('ANL-DOE-LDV Data'!$B:$B=AD$2-5)*('ANL-DOE-LDV Data'!$D:$D="Midsize_B")))</f>
        <v>27168.094975725588</v>
      </c>
      <c r="AE27" s="235">
        <f t="shared" ref="AE27:AF27" si="44">($AG27-$AD27)/3 + AD27</f>
        <v>26587.029239185875</v>
      </c>
      <c r="AF27" s="235">
        <f t="shared" si="44"/>
        <v>26005.963502646162</v>
      </c>
      <c r="AG27" s="235" cm="1">
        <f t="array" ref="AG27">AVERAGE(_xlfn._xlws.FILTER('ANL-DOE-LDV Data'!$AS:$AS, ('ANL-DOE-LDV Data'!$A:$A=$Z27)*('ANL-DOE-LDV Data'!$B:$B=AG$2-5)*('ANL-DOE-LDV Data'!$D:$D="Midsize_B")))</f>
        <v>25424.897766106445</v>
      </c>
      <c r="AH27" s="102">
        <f t="shared" si="31"/>
        <v>-0.18950965036269185</v>
      </c>
      <c r="AJ27" s="17" t="s">
        <v>988</v>
      </c>
      <c r="AK27" s="235">
        <f t="shared" si="34"/>
        <v>40381.620134897923</v>
      </c>
      <c r="AL27" s="235">
        <f t="shared" si="32"/>
        <v>37915.489729969166</v>
      </c>
      <c r="AM27" s="235">
        <f t="shared" si="32"/>
        <v>35893.073173454904</v>
      </c>
      <c r="AN27" s="235">
        <f t="shared" si="32"/>
        <v>34535.820779592897</v>
      </c>
      <c r="AO27" s="235">
        <f t="shared" si="32"/>
        <v>33732.3957260108</v>
      </c>
      <c r="AP27" s="235">
        <f t="shared" si="32"/>
        <v>32928.97067242871</v>
      </c>
      <c r="AQ27" s="235">
        <f t="shared" si="32"/>
        <v>32125.545618846612</v>
      </c>
      <c r="AR27" s="102">
        <f t="shared" si="12"/>
        <v>-0.2044512946353132</v>
      </c>
      <c r="BA27" s="105" t="s">
        <v>1823</v>
      </c>
      <c r="BB27" s="105" t="s">
        <v>94</v>
      </c>
      <c r="BC27" s="105">
        <v>2005</v>
      </c>
      <c r="BD27" s="105">
        <v>2020</v>
      </c>
      <c r="BE27" s="105">
        <v>2035</v>
      </c>
      <c r="BF27" s="105">
        <v>2050</v>
      </c>
    </row>
    <row r="28" spans="1:58" ht="15" thickTop="1" x14ac:dyDescent="0.35">
      <c r="A28" t="s">
        <v>1204</v>
      </c>
      <c r="B28" t="s">
        <v>2261</v>
      </c>
      <c r="C28" t="s">
        <v>851</v>
      </c>
      <c r="D28">
        <v>2022</v>
      </c>
      <c r="E28">
        <v>2020</v>
      </c>
      <c r="F28" t="s">
        <v>1951</v>
      </c>
      <c r="G28">
        <v>2020</v>
      </c>
      <c r="H28" t="s">
        <v>1953</v>
      </c>
      <c r="I28" t="s">
        <v>1260</v>
      </c>
      <c r="J28" s="331">
        <f t="shared" ref="J28:J38" si="45">AK18*1000/1000000</f>
        <v>33.923890731830973</v>
      </c>
      <c r="K28" s="88">
        <f t="shared" ref="K28:K38" si="46">AL18*1000/1000000</f>
        <v>33.441074600205205</v>
      </c>
      <c r="L28" s="88">
        <f t="shared" ref="L28:L38" si="47">AM18*1000/1000000</f>
        <v>33.317057303358226</v>
      </c>
      <c r="M28" s="88">
        <f t="shared" ref="M28:M38" si="48">AN18*1000/1000000</f>
        <v>33.260994391311286</v>
      </c>
      <c r="N28" s="88">
        <f t="shared" ref="N28:N38" si="49">AO18*1000/1000000</f>
        <v>33.202114061681144</v>
      </c>
      <c r="O28" s="88">
        <f t="shared" ref="O28:O38" si="50">AP18*1000/1000000</f>
        <v>33.143233732050987</v>
      </c>
      <c r="P28" s="88">
        <f t="shared" ref="P28:P38" si="51">AQ18*1000/1000000</f>
        <v>33.084353402420831</v>
      </c>
      <c r="Q28" s="87" t="s">
        <v>1932</v>
      </c>
      <c r="R28" s="87">
        <v>3</v>
      </c>
      <c r="S28">
        <v>1</v>
      </c>
      <c r="T28">
        <v>1</v>
      </c>
      <c r="U28">
        <v>3</v>
      </c>
      <c r="V28">
        <v>1</v>
      </c>
      <c r="Z28" s="17" t="s">
        <v>990</v>
      </c>
      <c r="AA28" s="235" cm="1">
        <f t="array" ref="AA28">AVERAGE(_xlfn._xlws.FILTER('ANL-DOE-LDV Data'!$AS:$AS, ('ANL-DOE-LDV Data'!$A:$A=$Z28)*('ANL-DOE-LDV Data'!$B:$B=AA$2-5)*('ANL-DOE-LDV Data'!$D:$D="Midsize_B")))</f>
        <v>32383.819817602543</v>
      </c>
      <c r="AB28" s="235" cm="1">
        <f t="array" ref="AB28">AVERAGE(_xlfn._xlws.FILTER('ANL-DOE-LDV Data'!$AS:$AS, ('ANL-DOE-LDV Data'!$A:$A=$Z28)*('ANL-DOE-LDV Data'!$B:$B=AB$2-5)*('ANL-DOE-LDV Data'!$D:$D="Midsize_B")))</f>
        <v>30505.148731925048</v>
      </c>
      <c r="AC28" s="235" cm="1">
        <f t="array" ref="AC28">AVERAGE(_xlfn._xlws.FILTER('ANL-DOE-LDV Data'!$AS:$AS, ('ANL-DOE-LDV Data'!$A:$A=$Z28)*('ANL-DOE-LDV Data'!$B:$B=AC$2-5)*('ANL-DOE-LDV Data'!$D:$D="Midsize_B")))</f>
        <v>28759.432242316088</v>
      </c>
      <c r="AD28" s="235" cm="1">
        <f t="array" ref="AD28">AVERAGE(_xlfn._xlws.FILTER('ANL-DOE-LDV Data'!$AS:$AS, ('ANL-DOE-LDV Data'!$A:$A=$Z28)*('ANL-DOE-LDV Data'!$B:$B=AD$2-5)*('ANL-DOE-LDV Data'!$D:$D="Midsize_B")))</f>
        <v>27876.768644125586</v>
      </c>
      <c r="AE28" s="235">
        <f t="shared" ref="AE28:AF28" si="52">($AG28-$AD28)/3 + AD28</f>
        <v>27274.300325927539</v>
      </c>
      <c r="AF28" s="235">
        <f t="shared" si="52"/>
        <v>26671.832007729492</v>
      </c>
      <c r="AG28" s="235" cm="1">
        <f t="array" ref="AG28">AVERAGE(_xlfn._xlws.FILTER('ANL-DOE-LDV Data'!$AS:$AS, ('ANL-DOE-LDV Data'!$A:$A=$Z28)*('ANL-DOE-LDV Data'!$B:$B=AG$2-5)*('ANL-DOE-LDV Data'!$D:$D="Midsize_B")))</f>
        <v>26069.363689531445</v>
      </c>
      <c r="AH28" s="102">
        <f t="shared" si="31"/>
        <v>-0.19498799596948146</v>
      </c>
      <c r="AJ28" s="17" t="s">
        <v>990</v>
      </c>
      <c r="AK28" s="235">
        <f t="shared" si="34"/>
        <v>41672.096780070482</v>
      </c>
      <c r="AL28" s="235">
        <f t="shared" si="32"/>
        <v>39097.98381453623</v>
      </c>
      <c r="AM28" s="235">
        <f t="shared" si="32"/>
        <v>37064.644345224086</v>
      </c>
      <c r="AN28" s="235">
        <f t="shared" si="32"/>
        <v>35597.832944712325</v>
      </c>
      <c r="AO28" s="235">
        <f t="shared" si="32"/>
        <v>34757.823504188011</v>
      </c>
      <c r="AP28" s="235">
        <f t="shared" si="32"/>
        <v>33917.814063663696</v>
      </c>
      <c r="AQ28" s="235">
        <f t="shared" si="32"/>
        <v>33077.804623139375</v>
      </c>
      <c r="AR28" s="102">
        <f t="shared" si="12"/>
        <v>-0.20623613451198583</v>
      </c>
      <c r="BA28" t="s">
        <v>1824</v>
      </c>
      <c r="BB28" t="s">
        <v>1825</v>
      </c>
      <c r="BC28" s="411">
        <v>985.6</v>
      </c>
      <c r="BD28" s="411">
        <v>985.6</v>
      </c>
      <c r="BE28" s="411">
        <v>985.6</v>
      </c>
      <c r="BF28" s="411">
        <v>985.6</v>
      </c>
    </row>
    <row r="29" spans="1:58" x14ac:dyDescent="0.35">
      <c r="A29" t="s">
        <v>1205</v>
      </c>
      <c r="B29" t="s">
        <v>2261</v>
      </c>
      <c r="C29" t="s">
        <v>851</v>
      </c>
      <c r="D29">
        <v>2022</v>
      </c>
      <c r="E29">
        <v>2020</v>
      </c>
      <c r="F29" t="s">
        <v>1951</v>
      </c>
      <c r="G29">
        <v>2020</v>
      </c>
      <c r="H29" t="s">
        <v>1953</v>
      </c>
      <c r="I29" t="s">
        <v>1260</v>
      </c>
      <c r="J29" s="331">
        <f t="shared" si="45"/>
        <v>36.26155760572513</v>
      </c>
      <c r="K29" s="88">
        <f t="shared" si="46"/>
        <v>36.029573073332422</v>
      </c>
      <c r="L29" s="88">
        <f t="shared" si="47"/>
        <v>35.333183142269149</v>
      </c>
      <c r="M29" s="88">
        <f t="shared" si="48"/>
        <v>35.745713319754238</v>
      </c>
      <c r="N29" s="88">
        <f t="shared" si="49"/>
        <v>35.525962913759805</v>
      </c>
      <c r="O29" s="88">
        <f t="shared" si="50"/>
        <v>35.306212507765359</v>
      </c>
      <c r="P29" s="88">
        <f t="shared" si="51"/>
        <v>35.086462101770927</v>
      </c>
      <c r="Q29" s="87" t="s">
        <v>1932</v>
      </c>
      <c r="R29" s="87">
        <v>3</v>
      </c>
      <c r="S29">
        <v>1</v>
      </c>
      <c r="T29">
        <v>1</v>
      </c>
      <c r="U29">
        <v>3</v>
      </c>
      <c r="V29">
        <v>1</v>
      </c>
      <c r="Z29" s="33" t="s">
        <v>2157</v>
      </c>
      <c r="AJ29" s="92" t="s">
        <v>2164</v>
      </c>
      <c r="BB29" t="s">
        <v>246</v>
      </c>
      <c r="BC29" s="411">
        <v>3768.4456165138263</v>
      </c>
      <c r="BD29" s="411">
        <v>1322.325833030967</v>
      </c>
      <c r="BE29" s="411">
        <v>1052.0692637553468</v>
      </c>
      <c r="BF29" s="411">
        <v>1052.0692637553468</v>
      </c>
    </row>
    <row r="30" spans="1:58" x14ac:dyDescent="0.35">
      <c r="A30" t="s">
        <v>1206</v>
      </c>
      <c r="B30" t="s">
        <v>2261</v>
      </c>
      <c r="C30" t="s">
        <v>851</v>
      </c>
      <c r="D30">
        <v>2022</v>
      </c>
      <c r="E30">
        <v>2020</v>
      </c>
      <c r="F30" t="s">
        <v>1951</v>
      </c>
      <c r="G30">
        <v>2020</v>
      </c>
      <c r="H30" t="s">
        <v>1953</v>
      </c>
      <c r="I30" t="s">
        <v>1260</v>
      </c>
      <c r="J30" s="331">
        <f t="shared" si="45"/>
        <v>33.864605555656546</v>
      </c>
      <c r="K30" s="88">
        <f t="shared" si="46"/>
        <v>32.550968784876815</v>
      </c>
      <c r="L30" s="88">
        <f t="shared" si="47"/>
        <v>31.507894416285502</v>
      </c>
      <c r="M30" s="88">
        <f t="shared" si="48"/>
        <v>30.907963746920991</v>
      </c>
      <c r="N30" s="88">
        <f t="shared" si="49"/>
        <v>30.495215794817305</v>
      </c>
      <c r="O30" s="88">
        <f t="shared" si="50"/>
        <v>30.082467842713623</v>
      </c>
      <c r="P30" s="88">
        <f t="shared" si="51"/>
        <v>29.669719890609937</v>
      </c>
      <c r="Q30" s="87" t="s">
        <v>1932</v>
      </c>
      <c r="R30" s="87">
        <v>3</v>
      </c>
      <c r="S30">
        <v>1</v>
      </c>
      <c r="T30">
        <v>1</v>
      </c>
      <c r="U30">
        <v>3</v>
      </c>
      <c r="V30">
        <v>1</v>
      </c>
      <c r="Z30" s="17" t="s">
        <v>985</v>
      </c>
      <c r="AA30" s="235" cm="1">
        <f t="array" ref="AA30">AVERAGE(_xlfn._xlws.FILTER('ANL-DOE-LDV Data'!$AS:$AS, ('ANL-DOE-LDV Data'!$A:$A=$Z30)*('ANL-DOE-LDV Data'!$B:$B=AA$2-5)*('ANL-DOE-LDV Data'!$D:$D="Small_SUV_B")))</f>
        <v>28020.908846714021</v>
      </c>
      <c r="AB30" s="235" cm="1">
        <f t="array" ref="AB30">AVERAGE(_xlfn._xlws.FILTER('ANL-DOE-LDV Data'!$AS:$AS, ('ANL-DOE-LDV Data'!$A:$A=$Z30)*('ANL-DOE-LDV Data'!$B:$B=AB$2-5)*('ANL-DOE-LDV Data'!$D:$D="Small_SUV_B")))</f>
        <v>27943.656649806882</v>
      </c>
      <c r="AC30" s="235" cm="1">
        <f t="array" ref="AC30">AVERAGE(_xlfn._xlws.FILTER('ANL-DOE-LDV Data'!$AS:$AS, ('ANL-DOE-LDV Data'!$A:$A=$Z30)*('ANL-DOE-LDV Data'!$B:$B=AC$2-5)*('ANL-DOE-LDV Data'!$D:$D="Small_SUV_B")))</f>
        <v>28634.085469755461</v>
      </c>
      <c r="AD30" s="235" cm="1">
        <f t="array" ref="AD30">AVERAGE(_xlfn._xlws.FILTER('ANL-DOE-LDV Data'!$AS:$AS, ('ANL-DOE-LDV Data'!$A:$A=$Z30)*('ANL-DOE-LDV Data'!$B:$B=AD$2-5)*('ANL-DOE-LDV Data'!$D:$D="Small_SUV_B")))</f>
        <v>30065.796359373508</v>
      </c>
      <c r="AE30" s="235">
        <f>($AG30-$AD30)/3 + AD30</f>
        <v>30016.068306861845</v>
      </c>
      <c r="AF30" s="235">
        <f>($AG30-$AD30)/3 + AE30</f>
        <v>29966.340254350183</v>
      </c>
      <c r="AG30" s="235" cm="1">
        <f t="array" ref="AG30">AVERAGE(_xlfn._xlws.FILTER('ANL-DOE-LDV Data'!$AS:$AS, ('ANL-DOE-LDV Data'!$A:$A=$Z30)*('ANL-DOE-LDV Data'!$B:$B=AG$2-5)*('ANL-DOE-LDV Data'!$D:$D="Small_SUV_B")))</f>
        <v>29916.612201838521</v>
      </c>
      <c r="AH30" s="102">
        <f>(AG30-AA30)/AA30</f>
        <v>6.7653171618907257E-2</v>
      </c>
      <c r="BA30" t="s">
        <v>1826</v>
      </c>
      <c r="BB30" t="s">
        <v>1825</v>
      </c>
      <c r="BC30" s="411">
        <v>4032</v>
      </c>
      <c r="BD30" s="411">
        <v>4032</v>
      </c>
      <c r="BE30" s="411">
        <v>4032</v>
      </c>
      <c r="BF30" s="411">
        <v>4032</v>
      </c>
    </row>
    <row r="31" spans="1:58" ht="15.5" x14ac:dyDescent="0.35">
      <c r="A31" t="s">
        <v>1207</v>
      </c>
      <c r="B31" t="s">
        <v>2261</v>
      </c>
      <c r="C31" t="s">
        <v>851</v>
      </c>
      <c r="D31">
        <v>2022</v>
      </c>
      <c r="E31">
        <v>2020</v>
      </c>
      <c r="F31" t="s">
        <v>1951</v>
      </c>
      <c r="G31">
        <v>2020</v>
      </c>
      <c r="H31" t="s">
        <v>1953</v>
      </c>
      <c r="I31" t="s">
        <v>1260</v>
      </c>
      <c r="J31" s="331">
        <f t="shared" si="45"/>
        <v>35.422230993649571</v>
      </c>
      <c r="K31" s="88">
        <f t="shared" si="46"/>
        <v>33.114686335027827</v>
      </c>
      <c r="L31" s="88">
        <f t="shared" si="47"/>
        <v>31.680012564461563</v>
      </c>
      <c r="M31" s="88">
        <f t="shared" si="48"/>
        <v>30.997002849226288</v>
      </c>
      <c r="N31" s="88">
        <f t="shared" si="49"/>
        <v>30.568470919125044</v>
      </c>
      <c r="O31" s="88">
        <f t="shared" si="50"/>
        <v>30.139938989023801</v>
      </c>
      <c r="P31" s="88">
        <f t="shared" si="51"/>
        <v>29.711407058922561</v>
      </c>
      <c r="Q31" s="87" t="s">
        <v>1932</v>
      </c>
      <c r="R31" s="87">
        <v>3</v>
      </c>
      <c r="S31">
        <v>1</v>
      </c>
      <c r="T31">
        <v>1</v>
      </c>
      <c r="U31">
        <v>3</v>
      </c>
      <c r="V31">
        <v>1</v>
      </c>
      <c r="Z31" s="17" t="s">
        <v>982</v>
      </c>
      <c r="AA31" s="235" cm="1">
        <f t="array" ref="AA31">AVERAGE(_xlfn._xlws.FILTER('ANL-DOE-LDV Data'!$AS:$AS, ('ANL-DOE-LDV Data'!$A:$A=$Z31)*('ANL-DOE-LDV Data'!$B:$B=AA$2-5)*('ANL-DOE-LDV Data'!$D:$D="Small_SUV_B")))</f>
        <v>32306.674622757211</v>
      </c>
      <c r="AB31" s="235" cm="1">
        <f t="array" ref="AB31">AVERAGE(_xlfn._xlws.FILTER('ANL-DOE-LDV Data'!$AS:$AS, ('ANL-DOE-LDV Data'!$A:$A=$Z31)*('ANL-DOE-LDV Data'!$B:$B=AB$2-5)*('ANL-DOE-LDV Data'!$D:$D="Small_SUV_B")))</f>
        <v>31842.808121511545</v>
      </c>
      <c r="AC31" s="235" cm="1">
        <f t="array" ref="AC31">AVERAGE(_xlfn._xlws.FILTER('ANL-DOE-LDV Data'!$AS:$AS, ('ANL-DOE-LDV Data'!$A:$A=$Z31)*('ANL-DOE-LDV Data'!$B:$B=AC$2-5)*('ANL-DOE-LDV Data'!$D:$D="Small_SUV_B")))</f>
        <v>31730.758906091563</v>
      </c>
      <c r="AD31" s="235" cm="1">
        <f t="array" ref="AD31">AVERAGE(_xlfn._xlws.FILTER('ANL-DOE-LDV Data'!$AS:$AS, ('ANL-DOE-LDV Data'!$A:$A=$Z31)*('ANL-DOE-LDV Data'!$B:$B=AD$2-5)*('ANL-DOE-LDV Data'!$D:$D="Small_SUV_B")))</f>
        <v>31683.356736442984</v>
      </c>
      <c r="AE31" s="235">
        <f t="shared" ref="AE31:AF31" si="53">($AG31-$AD31)/3 + AD31</f>
        <v>31626.595218858562</v>
      </c>
      <c r="AF31" s="235">
        <f t="shared" si="53"/>
        <v>31569.833701274139</v>
      </c>
      <c r="AG31" s="235" cm="1">
        <f t="array" ref="AG31">AVERAGE(_xlfn._xlws.FILTER('ANL-DOE-LDV Data'!$AS:$AS, ('ANL-DOE-LDV Data'!$A:$A=$Z31)*('ANL-DOE-LDV Data'!$B:$B=AG$2-5)*('ANL-DOE-LDV Data'!$D:$D="Small_SUV_B")))</f>
        <v>31513.072183689721</v>
      </c>
      <c r="AH31" s="102">
        <f t="shared" ref="AH31:AH41" si="54">(AG31-AA31)/AA31</f>
        <v>-2.4564658799902207E-2</v>
      </c>
      <c r="AJ31" s="470" t="s">
        <v>2165</v>
      </c>
      <c r="AK31" s="470"/>
      <c r="AL31" s="470"/>
      <c r="AM31" s="470"/>
      <c r="AN31" s="470"/>
      <c r="AO31" s="470"/>
      <c r="AP31" s="470"/>
      <c r="AQ31" s="470"/>
      <c r="AR31" s="189"/>
      <c r="AU31" s="318" t="s">
        <v>1262</v>
      </c>
      <c r="AV31" s="318"/>
      <c r="AW31" s="318"/>
      <c r="AX31" s="318"/>
      <c r="BB31" t="s">
        <v>246</v>
      </c>
      <c r="BC31" s="411">
        <v>6353.2698589380689</v>
      </c>
      <c r="BD31" s="411">
        <v>3907.1500754552089</v>
      </c>
      <c r="BE31" s="411">
        <v>3636.8935061795892</v>
      </c>
      <c r="BF31" s="411">
        <v>3636.8935061795892</v>
      </c>
    </row>
    <row r="32" spans="1:58" ht="15" thickBot="1" x14ac:dyDescent="0.4">
      <c r="A32" t="s">
        <v>1208</v>
      </c>
      <c r="B32" t="s">
        <v>2261</v>
      </c>
      <c r="C32" t="s">
        <v>851</v>
      </c>
      <c r="D32">
        <v>2022</v>
      </c>
      <c r="E32">
        <v>2020</v>
      </c>
      <c r="F32" t="s">
        <v>1951</v>
      </c>
      <c r="G32">
        <v>2020</v>
      </c>
      <c r="H32" t="s">
        <v>1953</v>
      </c>
      <c r="I32" t="s">
        <v>1260</v>
      </c>
      <c r="J32" s="331">
        <f t="shared" si="45"/>
        <v>39.19693369329395</v>
      </c>
      <c r="K32" s="88">
        <f t="shared" si="46"/>
        <v>35.859065753489425</v>
      </c>
      <c r="L32" s="88">
        <f t="shared" si="47"/>
        <v>33.211857797461079</v>
      </c>
      <c r="M32" s="88">
        <f t="shared" si="48"/>
        <v>31.812770359796886</v>
      </c>
      <c r="N32" s="88">
        <f t="shared" si="49"/>
        <v>31.213802418016094</v>
      </c>
      <c r="O32" s="88">
        <f t="shared" si="50"/>
        <v>30.614834476235291</v>
      </c>
      <c r="P32" s="88">
        <f t="shared" si="51"/>
        <v>30.015866534454496</v>
      </c>
      <c r="Q32" s="87" t="s">
        <v>1932</v>
      </c>
      <c r="R32" s="87">
        <v>3</v>
      </c>
      <c r="S32">
        <v>1</v>
      </c>
      <c r="T32">
        <v>1</v>
      </c>
      <c r="U32">
        <v>3</v>
      </c>
      <c r="V32">
        <v>1</v>
      </c>
      <c r="Z32" s="17" t="s">
        <v>984</v>
      </c>
      <c r="AA32" s="235" cm="1">
        <f t="array" ref="AA32">AVERAGE(_xlfn._xlws.FILTER('ANL-DOE-LDV Data'!$AS:$AS, ('ANL-DOE-LDV Data'!$A:$A=$Z32)*('ANL-DOE-LDV Data'!$B:$B=AA$2-5)*('ANL-DOE-LDV Data'!$D:$D="Small_SUV_B")))</f>
        <v>35295.973463430535</v>
      </c>
      <c r="AB32" s="235" cm="1">
        <f t="array" ref="AB32">AVERAGE(_xlfn._xlws.FILTER('ANL-DOE-LDV Data'!$AS:$AS, ('ANL-DOE-LDV Data'!$A:$A=$Z32)*('ANL-DOE-LDV Data'!$B:$B=AB$2-5)*('ANL-DOE-LDV Data'!$D:$D="Small_SUV_B")))</f>
        <v>34926.911646862383</v>
      </c>
      <c r="AC32" s="235" cm="1">
        <f t="array" ref="AC32">AVERAGE(_xlfn._xlws.FILTER('ANL-DOE-LDV Data'!$AS:$AS, ('ANL-DOE-LDV Data'!$A:$A=$Z32)*('ANL-DOE-LDV Data'!$B:$B=AC$2-5)*('ANL-DOE-LDV Data'!$D:$D="Small_SUV_B")))</f>
        <v>33972.466268918899</v>
      </c>
      <c r="AD32" s="235" cm="1">
        <f t="array" ref="AD32">AVERAGE(_xlfn._xlws.FILTER('ANL-DOE-LDV Data'!$AS:$AS, ('ANL-DOE-LDV Data'!$A:$A=$Z32)*('ANL-DOE-LDV Data'!$B:$B=AD$2-5)*('ANL-DOE-LDV Data'!$D:$D="Small_SUV_B")))</f>
        <v>34775.059800145951</v>
      </c>
      <c r="AE32" s="235">
        <f t="shared" ref="AE32:AF32" si="55">($AG32-$AD32)/3 + AD32</f>
        <v>34428.366632383128</v>
      </c>
      <c r="AF32" s="235">
        <f t="shared" si="55"/>
        <v>34081.673464620304</v>
      </c>
      <c r="AG32" s="235" cm="1">
        <f t="array" ref="AG32">AVERAGE(_xlfn._xlws.FILTER('ANL-DOE-LDV Data'!$AS:$AS, ('ANL-DOE-LDV Data'!$A:$A=$Z32)*('ANL-DOE-LDV Data'!$B:$B=AG$2-5)*('ANL-DOE-LDV Data'!$D:$D="Small_SUV_B")))</f>
        <v>33734.98029685748</v>
      </c>
      <c r="AH32" s="102">
        <f t="shared" si="54"/>
        <v>-4.4225814261515381E-2</v>
      </c>
      <c r="AJ32" s="105" t="s">
        <v>245</v>
      </c>
      <c r="AK32" s="105">
        <v>2020</v>
      </c>
      <c r="AL32" s="105">
        <v>2025</v>
      </c>
      <c r="AM32" s="105">
        <v>2030</v>
      </c>
      <c r="AN32" s="105">
        <v>2035</v>
      </c>
      <c r="AO32" s="100" t="s">
        <v>1049</v>
      </c>
      <c r="AP32" s="100" t="s">
        <v>1050</v>
      </c>
      <c r="AQ32" s="105">
        <v>2050</v>
      </c>
      <c r="AR32" s="33" t="s">
        <v>1055</v>
      </c>
      <c r="AU32" s="105" t="s">
        <v>245</v>
      </c>
      <c r="AV32" s="105">
        <v>2018</v>
      </c>
      <c r="AW32" s="105">
        <v>2025</v>
      </c>
      <c r="AX32" s="105">
        <v>2050</v>
      </c>
      <c r="AY32" s="33" t="s">
        <v>1223</v>
      </c>
      <c r="BA32" t="s">
        <v>1827</v>
      </c>
      <c r="BB32" t="s">
        <v>1825</v>
      </c>
      <c r="BC32" s="411">
        <v>8960</v>
      </c>
      <c r="BD32" s="411">
        <v>8960</v>
      </c>
      <c r="BE32" s="411">
        <v>8960</v>
      </c>
      <c r="BF32" s="411">
        <v>8960</v>
      </c>
    </row>
    <row r="33" spans="1:60" ht="15" thickTop="1" x14ac:dyDescent="0.35">
      <c r="A33" t="s">
        <v>1209</v>
      </c>
      <c r="B33" t="s">
        <v>2261</v>
      </c>
      <c r="C33" t="s">
        <v>851</v>
      </c>
      <c r="D33">
        <v>2022</v>
      </c>
      <c r="E33">
        <v>2020</v>
      </c>
      <c r="F33" t="s">
        <v>1951</v>
      </c>
      <c r="G33">
        <v>2020</v>
      </c>
      <c r="H33" t="s">
        <v>1953</v>
      </c>
      <c r="I33" t="s">
        <v>1260</v>
      </c>
      <c r="J33" s="331">
        <f t="shared" si="45"/>
        <v>34.59150816828258</v>
      </c>
      <c r="K33" s="88">
        <f t="shared" si="46"/>
        <v>32.310169795303281</v>
      </c>
      <c r="L33" s="88">
        <f t="shared" si="47"/>
        <v>29.11353154338665</v>
      </c>
      <c r="M33" s="88">
        <f t="shared" si="48"/>
        <v>27.172708046966569</v>
      </c>
      <c r="N33" s="88">
        <f t="shared" si="49"/>
        <v>26.233549890260914</v>
      </c>
      <c r="O33" s="88">
        <f t="shared" si="50"/>
        <v>25.294391733555265</v>
      </c>
      <c r="P33" s="88">
        <f t="shared" si="51"/>
        <v>24.355233576849614</v>
      </c>
      <c r="Q33" s="87" t="s">
        <v>1932</v>
      </c>
      <c r="R33" s="87">
        <v>3</v>
      </c>
      <c r="S33">
        <v>1</v>
      </c>
      <c r="T33">
        <v>1</v>
      </c>
      <c r="U33">
        <v>3</v>
      </c>
      <c r="V33">
        <v>1</v>
      </c>
      <c r="Z33" s="17" t="s">
        <v>991</v>
      </c>
      <c r="AA33" s="235" cm="1">
        <f t="array" ref="AA33">AVERAGE(_xlfn._xlws.FILTER('ANL-DOE-LDV Data'!$AS:$AS, ('ANL-DOE-LDV Data'!$A:$A=$Z33)*('ANL-DOE-LDV Data'!$B:$B=AA$2-5)*('ANL-DOE-LDV Data'!$D:$D="Small_SUV_B")))</f>
        <v>31689.044890780719</v>
      </c>
      <c r="AB33" s="235" cm="1">
        <f t="array" ref="AB33">AVERAGE(_xlfn._xlws.FILTER('ANL-DOE-LDV Data'!$AS:$AS, ('ANL-DOE-LDV Data'!$A:$A=$Z33)*('ANL-DOE-LDV Data'!$B:$B=AB$2-5)*('ANL-DOE-LDV Data'!$D:$D="Small_SUV_B")))</f>
        <v>30512.312285189902</v>
      </c>
      <c r="AC33" s="235" cm="1">
        <f t="array" ref="AC33">AVERAGE(_xlfn._xlws.FILTER('ANL-DOE-LDV Data'!$AS:$AS, ('ANL-DOE-LDV Data'!$A:$A=$Z33)*('ANL-DOE-LDV Data'!$B:$B=AC$2-5)*('ANL-DOE-LDV Data'!$D:$D="Small_SUV_B")))</f>
        <v>29592.985290463814</v>
      </c>
      <c r="AD33" s="235" cm="1">
        <f t="array" ref="AD33">AVERAGE(_xlfn._xlws.FILTER('ANL-DOE-LDV Data'!$AS:$AS, ('ANL-DOE-LDV Data'!$A:$A=$Z33)*('ANL-DOE-LDV Data'!$B:$B=AD$2-5)*('ANL-DOE-LDV Data'!$D:$D="Small_SUV_B")))</f>
        <v>29028.303027459337</v>
      </c>
      <c r="AE33" s="235">
        <f t="shared" ref="AE33:AF33" si="56">($AG33-$AD33)/3 + AD33</f>
        <v>28649.945660809368</v>
      </c>
      <c r="AF33" s="235">
        <f t="shared" si="56"/>
        <v>28271.588294159399</v>
      </c>
      <c r="AG33" s="235" cm="1">
        <f t="array" ref="AG33">AVERAGE(_xlfn._xlws.FILTER('ANL-DOE-LDV Data'!$AS:$AS, ('ANL-DOE-LDV Data'!$A:$A=$Z33)*('ANL-DOE-LDV Data'!$B:$B=AG$2-5)*('ANL-DOE-LDV Data'!$D:$D="Small_SUV_B")))</f>
        <v>27893.230927509427</v>
      </c>
      <c r="AH33" s="102">
        <f t="shared" si="54"/>
        <v>-0.11978316091109475</v>
      </c>
      <c r="AJ33" s="33" t="s">
        <v>1255</v>
      </c>
      <c r="AS33" s="380" t="s">
        <v>1777</v>
      </c>
      <c r="AU33" s="4" t="s">
        <v>1222</v>
      </c>
      <c r="BB33" t="s">
        <v>246</v>
      </c>
      <c r="BC33" s="411">
        <v>10534.603192271401</v>
      </c>
      <c r="BD33" s="411">
        <v>8088.4834087885429</v>
      </c>
      <c r="BE33" s="411">
        <v>7818.2268395129213</v>
      </c>
      <c r="BF33" s="411">
        <v>7818.2268395129213</v>
      </c>
    </row>
    <row r="34" spans="1:60" ht="15" thickBot="1" x14ac:dyDescent="0.4">
      <c r="A34" t="s">
        <v>1210</v>
      </c>
      <c r="B34" t="s">
        <v>2261</v>
      </c>
      <c r="C34" t="s">
        <v>851</v>
      </c>
      <c r="D34">
        <v>2022</v>
      </c>
      <c r="E34">
        <v>2020</v>
      </c>
      <c r="F34" t="s">
        <v>1951</v>
      </c>
      <c r="G34">
        <v>2020</v>
      </c>
      <c r="H34" t="s">
        <v>1953</v>
      </c>
      <c r="I34" t="s">
        <v>1260</v>
      </c>
      <c r="J34" s="331">
        <f t="shared" si="45"/>
        <v>41.45926446773624</v>
      </c>
      <c r="K34" s="88">
        <f t="shared" si="46"/>
        <v>38.262622617870299</v>
      </c>
      <c r="L34" s="88">
        <f t="shared" si="47"/>
        <v>33.504199219116828</v>
      </c>
      <c r="M34" s="88">
        <f t="shared" si="48"/>
        <v>30.683479137583504</v>
      </c>
      <c r="N34" s="88">
        <f t="shared" si="49"/>
        <v>29.356517200131009</v>
      </c>
      <c r="O34" s="88">
        <f t="shared" si="50"/>
        <v>28.029555262678514</v>
      </c>
      <c r="P34" s="88">
        <f t="shared" si="51"/>
        <v>26.702593325226022</v>
      </c>
      <c r="Q34" s="87" t="s">
        <v>1932</v>
      </c>
      <c r="R34" s="87">
        <v>3</v>
      </c>
      <c r="S34">
        <v>1</v>
      </c>
      <c r="T34">
        <v>1</v>
      </c>
      <c r="U34">
        <v>3</v>
      </c>
      <c r="V34">
        <v>1</v>
      </c>
      <c r="Z34" s="17" t="s">
        <v>992</v>
      </c>
      <c r="AA34" s="235" cm="1">
        <f t="array" ref="AA34">AVERAGE(_xlfn._xlws.FILTER('ANL-DOE-LDV Data'!$AS:$AS, ('ANL-DOE-LDV Data'!$A:$A=$Z34)*('ANL-DOE-LDV Data'!$B:$B=AA$2-5)*('ANL-DOE-LDV Data'!$D:$D="Small_SUV_B")))</f>
        <v>33122.767251153426</v>
      </c>
      <c r="AB34" s="235" cm="1">
        <f t="array" ref="AB34">AVERAGE(_xlfn._xlws.FILTER('ANL-DOE-LDV Data'!$AS:$AS, ('ANL-DOE-LDV Data'!$A:$A=$Z34)*('ANL-DOE-LDV Data'!$B:$B=AB$2-5)*('ANL-DOE-LDV Data'!$D:$D="Small_SUV_B")))</f>
        <v>31060.658650863807</v>
      </c>
      <c r="AC34" s="235" cm="1">
        <f t="array" ref="AC34">AVERAGE(_xlfn._xlws.FILTER('ANL-DOE-LDV Data'!$AS:$AS, ('ANL-DOE-LDV Data'!$A:$A=$Z34)*('ANL-DOE-LDV Data'!$B:$B=AC$2-5)*('ANL-DOE-LDV Data'!$D:$D="Small_SUV_B")))</f>
        <v>29917.451047406699</v>
      </c>
      <c r="AD34" s="235" cm="1">
        <f t="array" ref="AD34">AVERAGE(_xlfn._xlws.FILTER('ANL-DOE-LDV Data'!$AS:$AS, ('ANL-DOE-LDV Data'!$A:$A=$Z34)*('ANL-DOE-LDV Data'!$B:$B=AD$2-5)*('ANL-DOE-LDV Data'!$D:$D="Small_SUV_B")))</f>
        <v>29312.229051434413</v>
      </c>
      <c r="AE34" s="235">
        <f t="shared" ref="AE34:AF34" si="57">($AG34-$AD34)/3 + AD34</f>
        <v>28914.887498660293</v>
      </c>
      <c r="AF34" s="235">
        <f t="shared" si="57"/>
        <v>28517.545945886173</v>
      </c>
      <c r="AG34" s="235" cm="1">
        <f t="array" ref="AG34">AVERAGE(_xlfn._xlws.FILTER('ANL-DOE-LDV Data'!$AS:$AS, ('ANL-DOE-LDV Data'!$A:$A=$Z34)*('ANL-DOE-LDV Data'!$B:$B=AG$2-5)*('ANL-DOE-LDV Data'!$D:$D="Small_SUV_B")))</f>
        <v>28120.204393112053</v>
      </c>
      <c r="AH34" s="102">
        <f t="shared" si="54"/>
        <v>-0.15103094557617824</v>
      </c>
      <c r="AJ34" s="17" t="s">
        <v>1017</v>
      </c>
      <c r="AK34" s="235">
        <f>AA72*$BB$51+AA79*$BB$52+AA86*$BB$53+AA93*$BB$54+AA100*$BB$55</f>
        <v>81859.508327060859</v>
      </c>
      <c r="AL34" s="235">
        <f t="shared" ref="AL34:AQ39" si="58">AB72*$BB$51+AB79*$BB$52+AB86*$BB$53+AB93*$BB$54+AB100*$BB$55</f>
        <v>82101.75274298666</v>
      </c>
      <c r="AM34" s="235">
        <f t="shared" si="58"/>
        <v>82449.120160936174</v>
      </c>
      <c r="AN34" s="235">
        <f t="shared" si="58"/>
        <v>82122.698137994652</v>
      </c>
      <c r="AO34" s="235">
        <f t="shared" si="58"/>
        <v>82239.406182285165</v>
      </c>
      <c r="AP34" s="235">
        <f t="shared" si="58"/>
        <v>82356.114226575679</v>
      </c>
      <c r="AQ34" s="235">
        <f t="shared" si="58"/>
        <v>82472.822270866192</v>
      </c>
      <c r="AR34" s="102">
        <f t="shared" ref="AR34:AR39" si="59">(AQ34-AK34)/AK34</f>
        <v>7.4922749517979418E-3</v>
      </c>
      <c r="AS34" s="118">
        <f>AVERAGE('GREET-AFLEET Summary'!AB19/'GREET-AFLEET Summary'!AC19,'GREET-AFLEET Summary'!AB20/'GREET-AFLEET Summary'!AC20)</f>
        <v>0.87607099143206857</v>
      </c>
      <c r="AU34" s="224" t="s">
        <v>109</v>
      </c>
      <c r="AV34" s="235">
        <f>'Background Data'!BH44*1000*USD2021_to_CAD2020/1.5</f>
        <v>36383.368644067799</v>
      </c>
      <c r="AW34" s="235">
        <f>'Background Data'!BI44*1000*USD2021_to_CAD2020/1.5</f>
        <v>39617.445856873826</v>
      </c>
      <c r="AX34" s="235">
        <f>'Background Data'!BJ44*1000*USD2021_to_CAD2020/1.5</f>
        <v>33957.810734463281</v>
      </c>
      <c r="AY34" s="102">
        <f t="shared" ref="AY34:AY39" si="60">(AX34-AV34)/AV34</f>
        <v>-6.6666666666666624E-2</v>
      </c>
    </row>
    <row r="35" spans="1:60" x14ac:dyDescent="0.35">
      <c r="A35" t="s">
        <v>1211</v>
      </c>
      <c r="B35" t="s">
        <v>2261</v>
      </c>
      <c r="C35" t="s">
        <v>851</v>
      </c>
      <c r="D35">
        <v>2022</v>
      </c>
      <c r="E35">
        <v>2020</v>
      </c>
      <c r="F35" t="s">
        <v>1951</v>
      </c>
      <c r="G35">
        <v>2020</v>
      </c>
      <c r="H35" t="s">
        <v>1953</v>
      </c>
      <c r="I35" t="s">
        <v>1260</v>
      </c>
      <c r="J35" s="331">
        <f t="shared" si="45"/>
        <v>51.071984462902059</v>
      </c>
      <c r="K35" s="88">
        <f t="shared" si="46"/>
        <v>46.6229539575152</v>
      </c>
      <c r="L35" s="88">
        <f t="shared" si="47"/>
        <v>39.472156543195418</v>
      </c>
      <c r="M35" s="88">
        <f t="shared" si="48"/>
        <v>35.450739298372078</v>
      </c>
      <c r="N35" s="88">
        <f t="shared" si="49"/>
        <v>33.590184873481135</v>
      </c>
      <c r="O35" s="88">
        <f t="shared" si="50"/>
        <v>31.729630448590193</v>
      </c>
      <c r="P35" s="88">
        <f t="shared" si="51"/>
        <v>29.86907602369925</v>
      </c>
      <c r="Q35" s="87" t="s">
        <v>1932</v>
      </c>
      <c r="R35" s="87">
        <v>3</v>
      </c>
      <c r="S35">
        <v>1</v>
      </c>
      <c r="T35">
        <v>1</v>
      </c>
      <c r="U35">
        <v>3</v>
      </c>
      <c r="V35">
        <v>1</v>
      </c>
      <c r="Z35" s="17" t="s">
        <v>987</v>
      </c>
      <c r="AA35" s="235" cm="1">
        <f t="array" ref="AA35">AVERAGE(_xlfn._xlws.FILTER('ANL-DOE-LDV Data'!$AS:$AS, ('ANL-DOE-LDV Data'!$A:$A=$Z35)*('ANL-DOE-LDV Data'!$B:$B=AA$2-5)*('ANL-DOE-LDV Data'!$D:$D="Small_SUV_B")))</f>
        <v>36594.814642708654</v>
      </c>
      <c r="AB35" s="235" cm="1">
        <f t="array" ref="AB35">AVERAGE(_xlfn._xlws.FILTER('ANL-DOE-LDV Data'!$AS:$AS, ('ANL-DOE-LDV Data'!$A:$A=$Z35)*('ANL-DOE-LDV Data'!$B:$B=AB$2-5)*('ANL-DOE-LDV Data'!$D:$D="Small_SUV_B")))</f>
        <v>33582.321356991772</v>
      </c>
      <c r="AC35" s="235" cm="1">
        <f t="array" ref="AC35">AVERAGE(_xlfn._xlws.FILTER('ANL-DOE-LDV Data'!$AS:$AS, ('ANL-DOE-LDV Data'!$A:$A=$Z35)*('ANL-DOE-LDV Data'!$B:$B=AC$2-5)*('ANL-DOE-LDV Data'!$D:$D="Small_SUV_B")))</f>
        <v>31190.697433697969</v>
      </c>
      <c r="AD35" s="235" cm="1">
        <f t="array" ref="AD35">AVERAGE(_xlfn._xlws.FILTER('ANL-DOE-LDV Data'!$AS:$AS, ('ANL-DOE-LDV Data'!$A:$A=$Z35)*('ANL-DOE-LDV Data'!$B:$B=AD$2-5)*('ANL-DOE-LDV Data'!$D:$D="Small_SUV_B")))</f>
        <v>29914.630706480628</v>
      </c>
      <c r="AE35" s="235">
        <f t="shared" ref="AE35:AF35" si="61">($AG35-$AD35)/3 + AD35</f>
        <v>29368.389764962314</v>
      </c>
      <c r="AF35" s="235">
        <f t="shared" si="61"/>
        <v>28822.148823444</v>
      </c>
      <c r="AG35" s="235" cm="1">
        <f t="array" ref="AG35">AVERAGE(_xlfn._xlws.FILTER('ANL-DOE-LDV Data'!$AS:$AS, ('ANL-DOE-LDV Data'!$A:$A=$Z35)*('ANL-DOE-LDV Data'!$B:$B=AG$2-5)*('ANL-DOE-LDV Data'!$D:$D="Small_SUV_B")))</f>
        <v>28275.907881925687</v>
      </c>
      <c r="AH35" s="102">
        <f t="shared" si="54"/>
        <v>-0.22732474100508857</v>
      </c>
      <c r="AJ35" s="17" t="s">
        <v>1020</v>
      </c>
      <c r="AK35" s="235">
        <f t="shared" ref="AK35:AK39" si="62">AA73*$BB$51+AA80*$BB$52+AA87*$BB$53+AA94*$BB$54+AA101*$BB$55</f>
        <v>91067.541642903932</v>
      </c>
      <c r="AL35" s="235">
        <f t="shared" si="58"/>
        <v>90713.126489496557</v>
      </c>
      <c r="AM35" s="235">
        <f t="shared" si="58"/>
        <v>90380.676666045896</v>
      </c>
      <c r="AN35" s="235">
        <f t="shared" si="58"/>
        <v>89603.960840460422</v>
      </c>
      <c r="AO35" s="235">
        <f t="shared" si="58"/>
        <v>89771.808122761402</v>
      </c>
      <c r="AP35" s="235">
        <f t="shared" si="58"/>
        <v>89939.655405062367</v>
      </c>
      <c r="AQ35" s="235">
        <f t="shared" si="58"/>
        <v>90107.502687363347</v>
      </c>
      <c r="AR35" s="102">
        <f t="shared" si="59"/>
        <v>-1.0542054152566361E-2</v>
      </c>
      <c r="AS35" s="380" t="s">
        <v>1778</v>
      </c>
      <c r="AU35" s="224" t="s">
        <v>246</v>
      </c>
      <c r="AV35" s="235">
        <f>'Background Data'!BH45*1000*USD2021_to_CAD2020/1.5</f>
        <v>67107.102165725053</v>
      </c>
      <c r="AW35" s="235">
        <f>'Background Data'!BI45*1000*USD2021_to_CAD2020/1.5</f>
        <v>36383.368644067799</v>
      </c>
      <c r="AX35" s="235">
        <f>'Background Data'!BJ45*1000*USD2021_to_CAD2020/1.5</f>
        <v>29106.69491525424</v>
      </c>
      <c r="AY35" s="102">
        <f t="shared" si="60"/>
        <v>-0.5662650602409639</v>
      </c>
      <c r="BA35" s="33" t="s">
        <v>1844</v>
      </c>
    </row>
    <row r="36" spans="1:60" ht="15" thickBot="1" x14ac:dyDescent="0.4">
      <c r="A36" t="s">
        <v>1212</v>
      </c>
      <c r="B36" t="s">
        <v>2261</v>
      </c>
      <c r="C36" t="s">
        <v>851</v>
      </c>
      <c r="D36">
        <v>2022</v>
      </c>
      <c r="E36">
        <v>2020</v>
      </c>
      <c r="F36" t="s">
        <v>1951</v>
      </c>
      <c r="G36">
        <v>2020</v>
      </c>
      <c r="H36" t="s">
        <v>1953</v>
      </c>
      <c r="I36" t="s">
        <v>1260</v>
      </c>
      <c r="J36" s="331">
        <f t="shared" si="45"/>
        <v>62.512025074970062</v>
      </c>
      <c r="K36" s="88">
        <f t="shared" si="46"/>
        <v>56.532505669446586</v>
      </c>
      <c r="L36" s="88">
        <f t="shared" si="47"/>
        <v>46.186795251610839</v>
      </c>
      <c r="M36" s="88">
        <f t="shared" si="48"/>
        <v>40.847445104627717</v>
      </c>
      <c r="N36" s="88">
        <f t="shared" si="49"/>
        <v>38.386944697151904</v>
      </c>
      <c r="O36" s="88">
        <f t="shared" si="50"/>
        <v>35.926444289676112</v>
      </c>
      <c r="P36" s="88">
        <f t="shared" si="51"/>
        <v>33.465943882200307</v>
      </c>
      <c r="Q36" s="87" t="s">
        <v>1932</v>
      </c>
      <c r="R36" s="87">
        <v>3</v>
      </c>
      <c r="S36">
        <v>1</v>
      </c>
      <c r="T36">
        <v>1</v>
      </c>
      <c r="U36">
        <v>3</v>
      </c>
      <c r="V36">
        <v>1</v>
      </c>
      <c r="Z36" s="17" t="s">
        <v>975</v>
      </c>
      <c r="AA36" s="235" cm="1">
        <f t="array" ref="AA36">AVERAGE(_xlfn._xlws.FILTER('ANL-DOE-LDV Data'!$AS:$AS, ('ANL-DOE-LDV Data'!$A:$A=$Z36)*('ANL-DOE-LDV Data'!$B:$B=AA$2-5)*('ANL-DOE-LDV Data'!$D:$D="Small_SUV_B")))</f>
        <v>32056.314655061808</v>
      </c>
      <c r="AB36" s="235" cm="1">
        <f t="array" ref="AB36">AVERAGE(_xlfn._xlws.FILTER('ANL-DOE-LDV Data'!$AS:$AS, ('ANL-DOE-LDV Data'!$A:$A=$Z36)*('ANL-DOE-LDV Data'!$B:$B=AB$2-5)*('ANL-DOE-LDV Data'!$D:$D="Small_SUV_B")))</f>
        <v>30003.98509649378</v>
      </c>
      <c r="AC36" s="235" cm="1">
        <f t="array" ref="AC36">AVERAGE(_xlfn._xlws.FILTER('ANL-DOE-LDV Data'!$AS:$AS, ('ANL-DOE-LDV Data'!$A:$A=$Z36)*('ANL-DOE-LDV Data'!$B:$B=AC$2-5)*('ANL-DOE-LDV Data'!$D:$D="Small_SUV_B")))</f>
        <v>27118.137843823046</v>
      </c>
      <c r="AD36" s="235" cm="1">
        <f t="array" ref="AD36">AVERAGE(_xlfn._xlws.FILTER('ANL-DOE-LDV Data'!$AS:$AS, ('ANL-DOE-LDV Data'!$A:$A=$Z36)*('ANL-DOE-LDV Data'!$B:$B=AD$2-5)*('ANL-DOE-LDV Data'!$D:$D="Small_SUV_B")))</f>
        <v>25367.664840267938</v>
      </c>
      <c r="AE36" s="235">
        <f t="shared" ref="AE36:AF36" si="63">($AG36-$AD36)/3 + AD36</f>
        <v>24515.592564875209</v>
      </c>
      <c r="AF36" s="235">
        <f t="shared" si="63"/>
        <v>23663.52028948248</v>
      </c>
      <c r="AG36" s="235" cm="1">
        <f t="array" ref="AG36">AVERAGE(_xlfn._xlws.FILTER('ANL-DOE-LDV Data'!$AS:$AS, ('ANL-DOE-LDV Data'!$A:$A=$Z36)*('ANL-DOE-LDV Data'!$B:$B=AG$2-5)*('ANL-DOE-LDV Data'!$D:$D="Small_SUV_B")))</f>
        <v>22811.448014089754</v>
      </c>
      <c r="AH36" s="102">
        <f t="shared" si="54"/>
        <v>-0.28839455628166716</v>
      </c>
      <c r="AJ36" s="17" t="s">
        <v>1021</v>
      </c>
      <c r="AK36" s="235">
        <f t="shared" si="62"/>
        <v>106864.87492207602</v>
      </c>
      <c r="AL36" s="235">
        <f t="shared" si="58"/>
        <v>101821.4265070383</v>
      </c>
      <c r="AM36" s="235">
        <f t="shared" si="58"/>
        <v>95236.615542526983</v>
      </c>
      <c r="AN36" s="235">
        <f t="shared" si="58"/>
        <v>90794.389820966855</v>
      </c>
      <c r="AO36" s="235">
        <f t="shared" si="58"/>
        <v>89069.673070045974</v>
      </c>
      <c r="AP36" s="235">
        <f t="shared" si="58"/>
        <v>87344.956319125107</v>
      </c>
      <c r="AQ36" s="235">
        <f t="shared" si="58"/>
        <v>85620.239568204212</v>
      </c>
      <c r="AR36" s="102">
        <f t="shared" si="59"/>
        <v>-0.19879904757632499</v>
      </c>
      <c r="AS36" s="118">
        <f>AVERAGE('GREET-AFLEET Summary'!AN19/'GREET-AFLEET Summary'!AC19,'GREET-AFLEET Summary'!AN20/'GREET-AFLEET Summary'!AC20)</f>
        <v>1.2028763769889841</v>
      </c>
      <c r="AU36" s="224" t="s">
        <v>627</v>
      </c>
      <c r="AV36" s="235">
        <f>'Background Data'!BH46*1000*USD2021_to_CAD2020/1.5</f>
        <v>75192.295197740124</v>
      </c>
      <c r="AW36" s="235">
        <f>'Background Data'!BI46*1000*USD2021_to_CAD2020/1.5</f>
        <v>52553.754708097935</v>
      </c>
      <c r="AX36" s="235">
        <f>'Background Data'!BJ46*1000*USD2021_to_CAD2020/1.5</f>
        <v>33957.810734463281</v>
      </c>
      <c r="AY36" s="102">
        <f t="shared" si="60"/>
        <v>-0.54838709677419362</v>
      </c>
      <c r="BA36" s="105" t="s">
        <v>1831</v>
      </c>
      <c r="BB36" s="105">
        <v>2020</v>
      </c>
      <c r="BC36" s="105">
        <v>2025</v>
      </c>
      <c r="BD36" s="105">
        <v>2030</v>
      </c>
      <c r="BE36" s="105">
        <v>2035</v>
      </c>
      <c r="BF36" s="105">
        <v>2040</v>
      </c>
      <c r="BG36" s="105">
        <v>2045</v>
      </c>
      <c r="BH36" s="105">
        <v>2050</v>
      </c>
    </row>
    <row r="37" spans="1:60" x14ac:dyDescent="0.35">
      <c r="A37" t="s">
        <v>1213</v>
      </c>
      <c r="B37" t="s">
        <v>2261</v>
      </c>
      <c r="C37" t="s">
        <v>851</v>
      </c>
      <c r="D37">
        <v>2022</v>
      </c>
      <c r="E37">
        <v>2020</v>
      </c>
      <c r="F37" t="s">
        <v>1951</v>
      </c>
      <c r="G37">
        <v>2020</v>
      </c>
      <c r="H37" t="s">
        <v>1953</v>
      </c>
      <c r="I37" t="s">
        <v>1260</v>
      </c>
      <c r="J37" s="331">
        <f t="shared" si="45"/>
        <v>40.381620134897922</v>
      </c>
      <c r="K37" s="88">
        <f t="shared" si="46"/>
        <v>37.915489729969167</v>
      </c>
      <c r="L37" s="88">
        <f t="shared" si="47"/>
        <v>35.893073173454901</v>
      </c>
      <c r="M37" s="88">
        <f t="shared" si="48"/>
        <v>34.535820779592896</v>
      </c>
      <c r="N37" s="88">
        <f t="shared" si="49"/>
        <v>33.7323957260108</v>
      </c>
      <c r="O37" s="88">
        <f t="shared" si="50"/>
        <v>32.928970672428711</v>
      </c>
      <c r="P37" s="88">
        <f t="shared" si="51"/>
        <v>32.125545618846616</v>
      </c>
      <c r="Q37" s="87" t="s">
        <v>1932</v>
      </c>
      <c r="R37" s="87">
        <v>3</v>
      </c>
      <c r="S37">
        <v>1</v>
      </c>
      <c r="T37">
        <v>1</v>
      </c>
      <c r="U37">
        <v>3</v>
      </c>
      <c r="V37">
        <v>1</v>
      </c>
      <c r="Z37" s="17" t="s">
        <v>979</v>
      </c>
      <c r="AA37" s="235" cm="1">
        <f t="array" ref="AA37">AVERAGE(_xlfn._xlws.FILTER('ANL-DOE-LDV Data'!$AS:$AS, ('ANL-DOE-LDV Data'!$A:$A=$Z37)*('ANL-DOE-LDV Data'!$B:$B=AA$2-5)*('ANL-DOE-LDV Data'!$D:$D="Small_SUV_B")))</f>
        <v>38243.593892487806</v>
      </c>
      <c r="AB37" s="235" cm="1">
        <f t="array" ref="AB37">AVERAGE(_xlfn._xlws.FILTER('ANL-DOE-LDV Data'!$AS:$AS, ('ANL-DOE-LDV Data'!$A:$A=$Z37)*('ANL-DOE-LDV Data'!$B:$B=AB$2-5)*('ANL-DOE-LDV Data'!$D:$D="Small_SUV_B")))</f>
        <v>35378.051078810582</v>
      </c>
      <c r="AC37" s="235" cm="1">
        <f t="array" ref="AC37">AVERAGE(_xlfn._xlws.FILTER('ANL-DOE-LDV Data'!$AS:$AS, ('ANL-DOE-LDV Data'!$A:$A=$Z37)*('ANL-DOE-LDV Data'!$B:$B=AC$2-5)*('ANL-DOE-LDV Data'!$D:$D="Small_SUV_B")))</f>
        <v>31098.747478553043</v>
      </c>
      <c r="AD37" s="235" cm="1">
        <f t="array" ref="AD37">AVERAGE(_xlfn._xlws.FILTER('ANL-DOE-LDV Data'!$AS:$AS, ('ANL-DOE-LDV Data'!$A:$A=$Z37)*('ANL-DOE-LDV Data'!$B:$B=AD$2-5)*('ANL-DOE-LDV Data'!$D:$D="Small_SUV_B")))</f>
        <v>28559.770522760442</v>
      </c>
      <c r="AE37" s="235">
        <f t="shared" ref="AE37:AF37" si="64">($AG37-$AD37)/3 + AD37</f>
        <v>27354.158514581046</v>
      </c>
      <c r="AF37" s="235">
        <f t="shared" si="64"/>
        <v>26148.54650640165</v>
      </c>
      <c r="AG37" s="235" cm="1">
        <f t="array" ref="AG37">AVERAGE(_xlfn._xlws.FILTER('ANL-DOE-LDV Data'!$AS:$AS, ('ANL-DOE-LDV Data'!$A:$A=$Z37)*('ANL-DOE-LDV Data'!$B:$B=AG$2-5)*('ANL-DOE-LDV Data'!$D:$D="Small_SUV_B")))</f>
        <v>24942.934498222257</v>
      </c>
      <c r="AH37" s="102">
        <f t="shared" si="54"/>
        <v>-0.34778790486210553</v>
      </c>
      <c r="AJ37" s="17" t="s">
        <v>246</v>
      </c>
      <c r="AK37" s="235">
        <f t="shared" si="62"/>
        <v>107671.95304098394</v>
      </c>
      <c r="AL37" s="235">
        <f t="shared" si="58"/>
        <v>100407.69614011486</v>
      </c>
      <c r="AM37" s="235">
        <f t="shared" si="58"/>
        <v>89764.221548496193</v>
      </c>
      <c r="AN37" s="235">
        <f t="shared" si="58"/>
        <v>84172.217442140813</v>
      </c>
      <c r="AO37" s="235">
        <f t="shared" si="58"/>
        <v>81634.294042459107</v>
      </c>
      <c r="AP37" s="235">
        <f t="shared" si="58"/>
        <v>79096.370642777387</v>
      </c>
      <c r="AQ37" s="235">
        <f t="shared" si="58"/>
        <v>76558.447243095652</v>
      </c>
      <c r="AR37" s="102">
        <f t="shared" si="59"/>
        <v>-0.28896574195180924</v>
      </c>
      <c r="AU37" s="224" t="s">
        <v>828</v>
      </c>
      <c r="AV37" s="235">
        <f>'Background Data'!BH47*1000*USD2021_to_CAD2020/1.5</f>
        <v>38808.926553672318</v>
      </c>
      <c r="AW37" s="235">
        <f>'Background Data'!BI47*1000*USD2021_to_CAD2020/1.5</f>
        <v>38000.407250470817</v>
      </c>
      <c r="AX37" s="235">
        <f>'Background Data'!BJ47*1000*USD2021_to_CAD2020/1.5</f>
        <v>33149.291431261772</v>
      </c>
      <c r="AY37" s="102">
        <f t="shared" si="60"/>
        <v>-0.14583333333333331</v>
      </c>
      <c r="BA37" t="s">
        <v>1833</v>
      </c>
      <c r="BB37" s="411">
        <f>BD32*USD2005_to_CAD2020/1.5</f>
        <v>9261.8308856727508</v>
      </c>
      <c r="BC37" s="411">
        <f>($BE37-$BB37)/3 + BB37</f>
        <v>9261.8308856727508</v>
      </c>
      <c r="BD37" s="411">
        <f>($BE37-$BB37)/3 + BC37</f>
        <v>9261.8308856727508</v>
      </c>
      <c r="BE37" s="411">
        <f>BE32*USD2005_to_CAD2020/1.5</f>
        <v>9261.8308856727508</v>
      </c>
      <c r="BF37" s="411">
        <f>($BE37-$BH37)/3 + BE37</f>
        <v>9261.8308856727508</v>
      </c>
      <c r="BG37" s="411">
        <f>($BE37-$BH37)/3 + BF37</f>
        <v>9261.8308856727508</v>
      </c>
      <c r="BH37" s="411">
        <f>BF32*USD2005_to_CAD2020/1.5</f>
        <v>9261.8308856727508</v>
      </c>
    </row>
    <row r="38" spans="1:60" x14ac:dyDescent="0.35">
      <c r="A38" t="s">
        <v>1214</v>
      </c>
      <c r="B38" t="s">
        <v>2261</v>
      </c>
      <c r="C38" t="s">
        <v>851</v>
      </c>
      <c r="D38">
        <v>2022</v>
      </c>
      <c r="E38">
        <v>2020</v>
      </c>
      <c r="F38" t="s">
        <v>1951</v>
      </c>
      <c r="G38">
        <v>2020</v>
      </c>
      <c r="H38" t="s">
        <v>1953</v>
      </c>
      <c r="I38" t="s">
        <v>1260</v>
      </c>
      <c r="J38" s="331">
        <f t="shared" si="45"/>
        <v>41.672096780070483</v>
      </c>
      <c r="K38" s="88">
        <f t="shared" si="46"/>
        <v>39.097983814536228</v>
      </c>
      <c r="L38" s="88">
        <f t="shared" si="47"/>
        <v>37.064644345224082</v>
      </c>
      <c r="M38" s="88">
        <f t="shared" si="48"/>
        <v>35.597832944712323</v>
      </c>
      <c r="N38" s="88">
        <f t="shared" si="49"/>
        <v>34.757823504188011</v>
      </c>
      <c r="O38" s="88">
        <f t="shared" si="50"/>
        <v>33.917814063663698</v>
      </c>
      <c r="P38" s="88">
        <f t="shared" si="51"/>
        <v>33.077804623139372</v>
      </c>
      <c r="Q38" s="87" t="s">
        <v>1932</v>
      </c>
      <c r="R38" s="87">
        <v>3</v>
      </c>
      <c r="S38">
        <v>1</v>
      </c>
      <c r="T38">
        <v>1</v>
      </c>
      <c r="U38">
        <v>3</v>
      </c>
      <c r="V38">
        <v>1</v>
      </c>
      <c r="Z38" s="17" t="s">
        <v>980</v>
      </c>
      <c r="AA38" s="235" cm="1">
        <f t="array" ref="AA38">AVERAGE(_xlfn._xlws.FILTER('ANL-DOE-LDV Data'!$AS:$AS, ('ANL-DOE-LDV Data'!$A:$A=$Z38)*('ANL-DOE-LDV Data'!$B:$B=AA$2-5)*('ANL-DOE-LDV Data'!$D:$D="Small_SUV_B")))</f>
        <v>46939.23120537481</v>
      </c>
      <c r="AB38" s="235" cm="1">
        <f t="array" ref="AB38">AVERAGE(_xlfn._xlws.FILTER('ANL-DOE-LDV Data'!$AS:$AS, ('ANL-DOE-LDV Data'!$A:$A=$Z38)*('ANL-DOE-LDV Data'!$B:$B=AB$2-5)*('ANL-DOE-LDV Data'!$D:$D="Small_SUV_B")))</f>
        <v>42947.341393639384</v>
      </c>
      <c r="AC38" s="235" cm="1">
        <f t="array" ref="AC38">AVERAGE(_xlfn._xlws.FILTER('ANL-DOE-LDV Data'!$AS:$AS, ('ANL-DOE-LDV Data'!$A:$A=$Z38)*('ANL-DOE-LDV Data'!$B:$B=AC$2-5)*('ANL-DOE-LDV Data'!$D:$D="Small_SUV_B")))</f>
        <v>36469.544441083046</v>
      </c>
      <c r="AD38" s="235" cm="1">
        <f t="array" ref="AD38">AVERAGE(_xlfn._xlws.FILTER('ANL-DOE-LDV Data'!$AS:$AS, ('ANL-DOE-LDV Data'!$A:$A=$Z38)*('ANL-DOE-LDV Data'!$B:$B=AD$2-5)*('ANL-DOE-LDV Data'!$D:$D="Small_SUV_B")))</f>
        <v>32854.014212864444</v>
      </c>
      <c r="AE38" s="235">
        <f t="shared" ref="AE38:AF38" si="65">($AG38-$AD38)/3 + AD38</f>
        <v>31170.778497638381</v>
      </c>
      <c r="AF38" s="235">
        <f t="shared" si="65"/>
        <v>29487.542782412318</v>
      </c>
      <c r="AG38" s="235" cm="1">
        <f t="array" ref="AG38">AVERAGE(_xlfn._xlws.FILTER('ANL-DOE-LDV Data'!$AS:$AS, ('ANL-DOE-LDV Data'!$A:$A=$Z38)*('ANL-DOE-LDV Data'!$B:$B=AG$2-5)*('ANL-DOE-LDV Data'!$D:$D="Small_SUV_B")))</f>
        <v>27804.307067186259</v>
      </c>
      <c r="AH38" s="102">
        <f t="shared" si="54"/>
        <v>-0.40765312185167391</v>
      </c>
      <c r="AJ38" s="17" t="s">
        <v>627</v>
      </c>
      <c r="AK38" s="235">
        <f t="shared" si="62"/>
        <v>124129.69395242093</v>
      </c>
      <c r="AL38" s="235">
        <f t="shared" si="58"/>
        <v>112441.56161412805</v>
      </c>
      <c r="AM38" s="235">
        <f t="shared" si="58"/>
        <v>104489.36722252508</v>
      </c>
      <c r="AN38" s="235">
        <f t="shared" si="58"/>
        <v>98647.502529094098</v>
      </c>
      <c r="AO38" s="235">
        <f t="shared" si="58"/>
        <v>96508.551284257584</v>
      </c>
      <c r="AP38" s="235">
        <f t="shared" si="58"/>
        <v>94369.600039421086</v>
      </c>
      <c r="AQ38" s="235">
        <f t="shared" si="58"/>
        <v>92230.648794584573</v>
      </c>
      <c r="AR38" s="102">
        <f t="shared" si="59"/>
        <v>-0.2569815822639771</v>
      </c>
      <c r="AU38" s="224" t="s">
        <v>829</v>
      </c>
      <c r="AV38" s="235">
        <f>'Background Data'!BH48*1000*USD2021_to_CAD2020/1.5</f>
        <v>39617.445856873826</v>
      </c>
      <c r="AW38" s="235">
        <f>'Background Data'!BI48*1000*USD2021_to_CAD2020/1.5</f>
        <v>37191.887947269308</v>
      </c>
      <c r="AX38" s="235">
        <f>'Background Data'!BJ48*1000*USD2021_to_CAD2020/1.5</f>
        <v>32340.772128060267</v>
      </c>
      <c r="AY38" s="102">
        <f t="shared" si="60"/>
        <v>-0.18367346938775508</v>
      </c>
      <c r="BA38" t="s">
        <v>246</v>
      </c>
      <c r="BB38" s="411">
        <f>BD33*USD2005_to_CAD2020/1.5</f>
        <v>8360.9559658224698</v>
      </c>
      <c r="BC38" s="411">
        <f>($BE38-$BB38)/3 + BB38</f>
        <v>8267.8357783085976</v>
      </c>
      <c r="BD38" s="411">
        <f>($BE38-$BB38)/3 + BC38</f>
        <v>8174.7155907947244</v>
      </c>
      <c r="BE38" s="411">
        <f>BE33*USD2005_to_CAD2020/1.5</f>
        <v>8081.5954032808513</v>
      </c>
      <c r="BF38" s="411">
        <f>($BE38-$BH38)/3 + BE38</f>
        <v>8081.5954032808513</v>
      </c>
      <c r="BG38" s="411">
        <f>($BE38-$BH38)/3 + BF38</f>
        <v>8081.5954032808513</v>
      </c>
      <c r="BH38" s="411">
        <f>BF33*USD2005_to_CAD2020/1.5</f>
        <v>8081.5954032808513</v>
      </c>
    </row>
    <row r="39" spans="1:60" x14ac:dyDescent="0.35">
      <c r="A39" t="s">
        <v>1194</v>
      </c>
      <c r="B39" t="s">
        <v>2261</v>
      </c>
      <c r="C39" t="s">
        <v>851</v>
      </c>
      <c r="D39">
        <v>2022</v>
      </c>
      <c r="E39">
        <v>2020</v>
      </c>
      <c r="F39" t="s">
        <v>1951</v>
      </c>
      <c r="G39">
        <v>2020</v>
      </c>
      <c r="H39" t="s">
        <v>1953</v>
      </c>
      <c r="I39" t="s">
        <v>1260</v>
      </c>
      <c r="J39" s="331">
        <f t="shared" ref="J39:P39" si="66">J40*$AS$34</f>
        <v>71.714740618229882</v>
      </c>
      <c r="K39" s="88">
        <f t="shared" si="66"/>
        <v>71.926963923858878</v>
      </c>
      <c r="L39" s="88">
        <f t="shared" si="66"/>
        <v>72.231282442093104</v>
      </c>
      <c r="M39" s="88">
        <f t="shared" si="66"/>
        <v>71.945313576829463</v>
      </c>
      <c r="N39" s="88">
        <f t="shared" si="66"/>
        <v>72.047558108899153</v>
      </c>
      <c r="O39" s="88">
        <f t="shared" si="66"/>
        <v>72.149802640968829</v>
      </c>
      <c r="P39" s="88">
        <f t="shared" si="66"/>
        <v>72.252047173038534</v>
      </c>
      <c r="Q39" s="87" t="s">
        <v>1933</v>
      </c>
      <c r="R39" s="87">
        <v>3</v>
      </c>
      <c r="S39">
        <v>1</v>
      </c>
      <c r="T39">
        <v>1</v>
      </c>
      <c r="U39">
        <v>3</v>
      </c>
      <c r="V39">
        <v>2</v>
      </c>
      <c r="Z39" s="17" t="s">
        <v>981</v>
      </c>
      <c r="AA39" s="235" cm="1">
        <f t="array" ref="AA39">AVERAGE(_xlfn._xlws.FILTER('ANL-DOE-LDV Data'!$AS:$AS, ('ANL-DOE-LDV Data'!$A:$A=$Z39)*('ANL-DOE-LDV Data'!$B:$B=AA$2-5)*('ANL-DOE-LDV Data'!$D:$D="Small_SUV_B")))</f>
        <v>57265.3814875358</v>
      </c>
      <c r="AB39" s="235" cm="1">
        <f t="array" ref="AB39">AVERAGE(_xlfn._xlws.FILTER('ANL-DOE-LDV Data'!$AS:$AS, ('ANL-DOE-LDV Data'!$A:$A=$Z39)*('ANL-DOE-LDV Data'!$B:$B=AB$2-5)*('ANL-DOE-LDV Data'!$D:$D="Small_SUV_B")))</f>
        <v>51889.65352208176</v>
      </c>
      <c r="AC39" s="235" cm="1">
        <f t="array" ref="AC39">AVERAGE(_xlfn._xlws.FILTER('ANL-DOE-LDV Data'!$AS:$AS, ('ANL-DOE-LDV Data'!$A:$A=$Z39)*('ANL-DOE-LDV Data'!$B:$B=AC$2-5)*('ANL-DOE-LDV Data'!$D:$D="Small_SUV_B")))</f>
        <v>42569.024805523048</v>
      </c>
      <c r="AD39" s="235" cm="1">
        <f t="array" ref="AD39">AVERAGE(_xlfn._xlws.FILTER('ANL-DOE-LDV Data'!$AS:$AS, ('ANL-DOE-LDV Data'!$A:$A=$Z39)*('ANL-DOE-LDV Data'!$B:$B=AD$2-5)*('ANL-DOE-LDV Data'!$D:$D="Small_SUV_B")))</f>
        <v>37744.478635529442</v>
      </c>
      <c r="AE39" s="235">
        <f t="shared" ref="AE39:AF39" si="67">($AG39-$AD39)/3 + AD39</f>
        <v>35512.251929734215</v>
      </c>
      <c r="AF39" s="235">
        <f t="shared" si="67"/>
        <v>33280.025223938988</v>
      </c>
      <c r="AG39" s="235" cm="1">
        <f t="array" ref="AG39">AVERAGE(_xlfn._xlws.FILTER('ANL-DOE-LDV Data'!$AS:$AS, ('ANL-DOE-LDV Data'!$A:$A=$Z39)*('ANL-DOE-LDV Data'!$B:$B=AG$2-5)*('ANL-DOE-LDV Data'!$D:$D="Small_SUV_B")))</f>
        <v>31047.798518143754</v>
      </c>
      <c r="AH39" s="102">
        <f t="shared" si="54"/>
        <v>-0.45782604233761159</v>
      </c>
      <c r="AJ39" s="17" t="s">
        <v>1065</v>
      </c>
      <c r="AK39" s="235">
        <f t="shared" si="62"/>
        <v>99794.941651341491</v>
      </c>
      <c r="AL39" s="235">
        <f t="shared" si="58"/>
        <v>92554.757369118452</v>
      </c>
      <c r="AM39" s="235">
        <f t="shared" si="58"/>
        <v>86331.176361557489</v>
      </c>
      <c r="AN39" s="235">
        <f t="shared" si="58"/>
        <v>82615.546727793335</v>
      </c>
      <c r="AO39" s="235">
        <f t="shared" si="58"/>
        <v>81004.694222417049</v>
      </c>
      <c r="AP39" s="235">
        <f t="shared" si="58"/>
        <v>79393.841717040748</v>
      </c>
      <c r="AQ39" s="235">
        <f>AG77*$BB$51+AG84*$BB$52+AG91*$BB$53+AG98*$BB$54+AG105*$BB$55</f>
        <v>77782.989211664448</v>
      </c>
      <c r="AR39" s="102">
        <f t="shared" si="59"/>
        <v>-0.22057182533941738</v>
      </c>
      <c r="AU39" s="224" t="s">
        <v>240</v>
      </c>
      <c r="AV39" s="235">
        <f>'Background Data'!BH49*1000*USD2021_to_CAD2020/1.5</f>
        <v>36383.368644067799</v>
      </c>
      <c r="AW39" s="235">
        <f>'Background Data'!BI49*1000*USD2021_to_CAD2020/1.5</f>
        <v>31532.252824858762</v>
      </c>
      <c r="AX39" s="235">
        <f>'Background Data'!BJ49*1000*USD2021_to_CAD2020/1.5</f>
        <v>30723.733521657254</v>
      </c>
      <c r="AY39" s="102">
        <f t="shared" si="60"/>
        <v>-0.15555555555555553</v>
      </c>
      <c r="BA39" s="74" t="s">
        <v>1845</v>
      </c>
    </row>
    <row r="40" spans="1:60" x14ac:dyDescent="0.35">
      <c r="A40" t="s">
        <v>1215</v>
      </c>
      <c r="B40" t="s">
        <v>2261</v>
      </c>
      <c r="C40" t="s">
        <v>851</v>
      </c>
      <c r="D40">
        <v>2022</v>
      </c>
      <c r="E40">
        <v>2020</v>
      </c>
      <c r="F40" t="s">
        <v>1951</v>
      </c>
      <c r="G40">
        <v>2020</v>
      </c>
      <c r="H40" t="s">
        <v>1953</v>
      </c>
      <c r="I40" t="s">
        <v>1260</v>
      </c>
      <c r="J40" s="331">
        <f>AK34*1000/1000000</f>
        <v>81.859508327060865</v>
      </c>
      <c r="K40" s="88">
        <f t="shared" ref="K40:P45" si="68">AL34*1000/1000000</f>
        <v>82.101752742986662</v>
      </c>
      <c r="L40" s="88">
        <f t="shared" si="68"/>
        <v>82.449120160936175</v>
      </c>
      <c r="M40" s="88">
        <f t="shared" si="68"/>
        <v>82.122698137994647</v>
      </c>
      <c r="N40" s="88">
        <f t="shared" si="68"/>
        <v>82.239406182285165</v>
      </c>
      <c r="O40" s="88">
        <f t="shared" si="68"/>
        <v>82.35611422657567</v>
      </c>
      <c r="P40" s="88">
        <f t="shared" si="68"/>
        <v>82.472822270866189</v>
      </c>
      <c r="Q40" s="87" t="s">
        <v>1934</v>
      </c>
      <c r="R40" s="87">
        <v>3</v>
      </c>
      <c r="S40">
        <v>1</v>
      </c>
      <c r="T40">
        <v>1</v>
      </c>
      <c r="U40">
        <v>3</v>
      </c>
      <c r="V40">
        <v>1</v>
      </c>
      <c r="Z40" s="17" t="s">
        <v>988</v>
      </c>
      <c r="AA40" s="235" cm="1">
        <f t="array" ref="AA40">AVERAGE(_xlfn._xlws.FILTER('ANL-DOE-LDV Data'!$AS:$AS, ('ANL-DOE-LDV Data'!$A:$A=$Z40)*('ANL-DOE-LDV Data'!$B:$B=AA$2-5)*('ANL-DOE-LDV Data'!$D:$D="Small_SUV_B")))</f>
        <v>36719.184662914326</v>
      </c>
      <c r="AB40" s="235" cm="1">
        <f t="array" ref="AB40">AVERAGE(_xlfn._xlws.FILTER('ANL-DOE-LDV Data'!$AS:$AS, ('ANL-DOE-LDV Data'!$A:$A=$Z40)*('ANL-DOE-LDV Data'!$B:$B=AB$2-5)*('ANL-DOE-LDV Data'!$D:$D="Small_SUV_B")))</f>
        <v>34575.80613602927</v>
      </c>
      <c r="AC40" s="235" cm="1">
        <f t="array" ref="AC40">AVERAGE(_xlfn._xlws.FILTER('ANL-DOE-LDV Data'!$AS:$AS, ('ANL-DOE-LDV Data'!$A:$A=$Z40)*('ANL-DOE-LDV Data'!$B:$B=AC$2-5)*('ANL-DOE-LDV Data'!$D:$D="Small_SUV_B")))</f>
        <v>32945.754682465791</v>
      </c>
      <c r="AD40" s="235" cm="1">
        <f t="array" ref="AD40">AVERAGE(_xlfn._xlws.FILTER('ANL-DOE-LDV Data'!$AS:$AS, ('ANL-DOE-LDV Data'!$A:$A=$Z40)*('ANL-DOE-LDV Data'!$B:$B=AD$2-5)*('ANL-DOE-LDV Data'!$D:$D="Small_SUV_B")))</f>
        <v>31604.135161915168</v>
      </c>
      <c r="AE40" s="235">
        <f t="shared" ref="AE40:AF40" si="69">($AG40-$AD40)/3 + AD40</f>
        <v>30917.523822387386</v>
      </c>
      <c r="AF40" s="235">
        <f t="shared" si="69"/>
        <v>30230.912482859603</v>
      </c>
      <c r="AG40" s="235" cm="1">
        <f t="array" ref="AG40">AVERAGE(_xlfn._xlws.FILTER('ANL-DOE-LDV Data'!$AS:$AS, ('ANL-DOE-LDV Data'!$A:$A=$Z40)*('ANL-DOE-LDV Data'!$B:$B=AG$2-5)*('ANL-DOE-LDV Data'!$D:$D="Small_SUV_B")))</f>
        <v>29544.301143331821</v>
      </c>
      <c r="AH40" s="102">
        <f t="shared" si="54"/>
        <v>-0.1953987700284914</v>
      </c>
      <c r="AJ40" s="33" t="s">
        <v>1256</v>
      </c>
      <c r="AR40" s="102"/>
      <c r="AU40" s="4" t="s">
        <v>1224</v>
      </c>
      <c r="AY40" s="102"/>
    </row>
    <row r="41" spans="1:60" ht="15.5" x14ac:dyDescent="0.35">
      <c r="A41" t="s">
        <v>1217</v>
      </c>
      <c r="B41" t="s">
        <v>2261</v>
      </c>
      <c r="C41" t="s">
        <v>851</v>
      </c>
      <c r="D41">
        <v>2022</v>
      </c>
      <c r="E41">
        <v>2020</v>
      </c>
      <c r="F41" t="s">
        <v>1951</v>
      </c>
      <c r="G41">
        <v>2020</v>
      </c>
      <c r="H41" t="s">
        <v>1953</v>
      </c>
      <c r="I41" t="s">
        <v>1260</v>
      </c>
      <c r="J41" s="331">
        <f t="shared" ref="J41:J45" si="70">AK35*1000/1000000</f>
        <v>91.067541642903933</v>
      </c>
      <c r="K41" s="88">
        <f t="shared" si="68"/>
        <v>90.71312648949656</v>
      </c>
      <c r="L41" s="88">
        <f t="shared" si="68"/>
        <v>90.380676666045886</v>
      </c>
      <c r="M41" s="88">
        <f t="shared" si="68"/>
        <v>89.603960840460417</v>
      </c>
      <c r="N41" s="88">
        <f t="shared" si="68"/>
        <v>89.771808122761399</v>
      </c>
      <c r="O41" s="88">
        <f t="shared" si="68"/>
        <v>89.939655405062368</v>
      </c>
      <c r="P41" s="88">
        <f t="shared" si="68"/>
        <v>90.107502687363336</v>
      </c>
      <c r="Q41" s="87" t="s">
        <v>1934</v>
      </c>
      <c r="R41" s="87">
        <v>3</v>
      </c>
      <c r="S41">
        <v>1</v>
      </c>
      <c r="T41">
        <v>1</v>
      </c>
      <c r="U41">
        <v>3</v>
      </c>
      <c r="V41">
        <v>1</v>
      </c>
      <c r="Z41" s="17" t="s">
        <v>990</v>
      </c>
      <c r="AA41" s="235" cm="1">
        <f t="array" ref="AA41">AVERAGE(_xlfn._xlws.FILTER('ANL-DOE-LDV Data'!$AS:$AS, ('ANL-DOE-LDV Data'!$A:$A=$Z41)*('ANL-DOE-LDV Data'!$B:$B=AA$2-5)*('ANL-DOE-LDV Data'!$D:$D="Small_SUV_B")))</f>
        <v>37855.821783214327</v>
      </c>
      <c r="AB41" s="235" cm="1">
        <f t="array" ref="AB41">AVERAGE(_xlfn._xlws.FILTER('ANL-DOE-LDV Data'!$AS:$AS, ('ANL-DOE-LDV Data'!$A:$A=$Z41)*('ANL-DOE-LDV Data'!$B:$B=AB$2-5)*('ANL-DOE-LDV Data'!$D:$D="Small_SUV_B")))</f>
        <v>35623.986624429272</v>
      </c>
      <c r="AC41" s="235" cm="1">
        <f t="array" ref="AC41">AVERAGE(_xlfn._xlws.FILTER('ANL-DOE-LDV Data'!$AS:$AS, ('ANL-DOE-LDV Data'!$A:$A=$Z41)*('ANL-DOE-LDV Data'!$B:$B=AC$2-5)*('ANL-DOE-LDV Data'!$D:$D="Small_SUV_B")))</f>
        <v>33937.066839465791</v>
      </c>
      <c r="AD41" s="235" cm="1">
        <f t="array" ref="AD41">AVERAGE(_xlfn._xlws.FILTER('ANL-DOE-LDV Data'!$AS:$AS, ('ANL-DOE-LDV Data'!$A:$A=$Z41)*('ANL-DOE-LDV Data'!$B:$B=AD$2-5)*('ANL-DOE-LDV Data'!$D:$D="Small_SUV_B")))</f>
        <v>32507.479127165174</v>
      </c>
      <c r="AE41" s="235">
        <f t="shared" ref="AE41:AF41" si="71">($AG41-$AD41)/3 + AD41</f>
        <v>31790.432171012388</v>
      </c>
      <c r="AF41" s="235">
        <f t="shared" si="71"/>
        <v>31073.385214859602</v>
      </c>
      <c r="AG41" s="235" cm="1">
        <f t="array" ref="AG41">AVERAGE(_xlfn._xlws.FILTER('ANL-DOE-LDV Data'!$AS:$AS, ('ANL-DOE-LDV Data'!$A:$A=$Z41)*('ANL-DOE-LDV Data'!$B:$B=AG$2-5)*('ANL-DOE-LDV Data'!$D:$D="Small_SUV_B")))</f>
        <v>30356.338258706815</v>
      </c>
      <c r="AH41" s="102">
        <f t="shared" si="54"/>
        <v>-0.1981064779799038</v>
      </c>
      <c r="AJ41" s="17" t="s">
        <v>1017</v>
      </c>
      <c r="AK41" s="235">
        <f>AA107*$BB$60+AA114*$BB$61</f>
        <v>173511.83074268431</v>
      </c>
      <c r="AL41" s="235">
        <f t="shared" ref="AL41:AQ46" si="72">AB107*$BB$60+AB114*$BB$61</f>
        <v>174843.40533718659</v>
      </c>
      <c r="AM41" s="235">
        <f t="shared" si="72"/>
        <v>176332.27908596722</v>
      </c>
      <c r="AN41" s="235">
        <f t="shared" si="72"/>
        <v>176643.1603243658</v>
      </c>
      <c r="AO41" s="235">
        <f t="shared" si="72"/>
        <v>177950.47610503994</v>
      </c>
      <c r="AP41" s="235">
        <f t="shared" si="72"/>
        <v>179257.79188571408</v>
      </c>
      <c r="AQ41" s="235">
        <f t="shared" si="72"/>
        <v>180565.10766638827</v>
      </c>
      <c r="AR41" s="102">
        <f t="shared" ref="AR41:AR46" si="73">(AQ41-AK41)/AK41</f>
        <v>4.0650121052344119E-2</v>
      </c>
      <c r="AU41" s="224" t="s">
        <v>109</v>
      </c>
      <c r="AV41" s="235">
        <f>'Background Data'!BH37*1000*USD2021_to_CAD2020/1.5</f>
        <v>123703.45338983052</v>
      </c>
      <c r="AW41" s="235">
        <f>'Background Data'!BI37*1000*USD2021_to_CAD2020/1.5</f>
        <v>131788.64642184559</v>
      </c>
      <c r="AX41" s="235">
        <f>'Background Data'!BJ37*1000*USD2021_to_CAD2020/1.5</f>
        <v>118043.81826741998</v>
      </c>
      <c r="AY41" s="102">
        <f t="shared" ref="AY41:AY46" si="74">(AX41-AV41)/AV41</f>
        <v>-4.5751633986928095E-2</v>
      </c>
      <c r="BA41" s="189" t="s">
        <v>1594</v>
      </c>
    </row>
    <row r="42" spans="1:60" ht="15" thickBot="1" x14ac:dyDescent="0.4">
      <c r="A42" t="s">
        <v>1218</v>
      </c>
      <c r="B42" t="s">
        <v>2261</v>
      </c>
      <c r="C42" t="s">
        <v>851</v>
      </c>
      <c r="D42">
        <v>2022</v>
      </c>
      <c r="E42">
        <v>2020</v>
      </c>
      <c r="F42" t="s">
        <v>1951</v>
      </c>
      <c r="G42">
        <v>2020</v>
      </c>
      <c r="H42" t="s">
        <v>1953</v>
      </c>
      <c r="I42" t="s">
        <v>1260</v>
      </c>
      <c r="J42" s="331">
        <f t="shared" si="70"/>
        <v>106.86487492207601</v>
      </c>
      <c r="K42" s="88">
        <f t="shared" si="68"/>
        <v>101.8214265070383</v>
      </c>
      <c r="L42" s="88">
        <f t="shared" si="68"/>
        <v>95.236615542526977</v>
      </c>
      <c r="M42" s="88">
        <f t="shared" si="68"/>
        <v>90.794389820966856</v>
      </c>
      <c r="N42" s="88">
        <f t="shared" si="68"/>
        <v>89.06967307004598</v>
      </c>
      <c r="O42" s="88">
        <f t="shared" si="68"/>
        <v>87.344956319125103</v>
      </c>
      <c r="P42" s="88">
        <f t="shared" si="68"/>
        <v>85.620239568204212</v>
      </c>
      <c r="Q42" s="87" t="s">
        <v>1934</v>
      </c>
      <c r="R42" s="87">
        <v>3</v>
      </c>
      <c r="S42">
        <v>1</v>
      </c>
      <c r="T42">
        <v>1</v>
      </c>
      <c r="U42">
        <v>3</v>
      </c>
      <c r="V42">
        <v>1</v>
      </c>
      <c r="Z42" s="33" t="s">
        <v>2158</v>
      </c>
      <c r="AH42" s="102"/>
      <c r="AJ42" s="17" t="s">
        <v>1020</v>
      </c>
      <c r="AK42" s="235">
        <f t="shared" ref="AK42:AK46" si="75">AA108*$BB$60+AA115*$BB$61</f>
        <v>188138.99748339388</v>
      </c>
      <c r="AL42" s="235">
        <f t="shared" si="72"/>
        <v>188474.24091959948</v>
      </c>
      <c r="AM42" s="235">
        <f t="shared" si="72"/>
        <v>188869.92952066998</v>
      </c>
      <c r="AN42" s="235">
        <f t="shared" si="72"/>
        <v>188845.88043394609</v>
      </c>
      <c r="AO42" s="235">
        <f t="shared" si="72"/>
        <v>189993.66132829216</v>
      </c>
      <c r="AP42" s="235">
        <f t="shared" si="72"/>
        <v>191141.44222263823</v>
      </c>
      <c r="AQ42" s="235">
        <f t="shared" si="72"/>
        <v>192289.22311698424</v>
      </c>
      <c r="AR42" s="102">
        <f t="shared" si="73"/>
        <v>2.2059358714062918E-2</v>
      </c>
      <c r="AU42" s="224" t="s">
        <v>246</v>
      </c>
      <c r="AV42" s="235">
        <f>'Background Data'!BH38*1000*USD2021_to_CAD2020/1.5</f>
        <v>302386.21939736354</v>
      </c>
      <c r="AW42" s="235">
        <f>'Background Data'!BI38*1000*USD2021_to_CAD2020/1.5</f>
        <v>180299.80461393599</v>
      </c>
      <c r="AX42" s="235">
        <f>'Background Data'!BJ38*1000*USD2021_to_CAD2020/1.5</f>
        <v>138256.80084745763</v>
      </c>
      <c r="AY42" s="102">
        <f t="shared" si="74"/>
        <v>-0.54278074866310166</v>
      </c>
      <c r="BA42" s="105" t="s">
        <v>1595</v>
      </c>
      <c r="BB42" s="105" t="s">
        <v>1605</v>
      </c>
    </row>
    <row r="43" spans="1:60" ht="15" thickTop="1" x14ac:dyDescent="0.35">
      <c r="A43" t="s">
        <v>1245</v>
      </c>
      <c r="B43" t="s">
        <v>2261</v>
      </c>
      <c r="C43" t="s">
        <v>851</v>
      </c>
      <c r="D43">
        <v>2022</v>
      </c>
      <c r="E43">
        <v>2020</v>
      </c>
      <c r="F43" t="s">
        <v>1951</v>
      </c>
      <c r="G43">
        <v>2020</v>
      </c>
      <c r="H43" t="s">
        <v>1953</v>
      </c>
      <c r="I43" t="s">
        <v>1260</v>
      </c>
      <c r="J43" s="331">
        <f t="shared" si="70"/>
        <v>107.67195304098394</v>
      </c>
      <c r="K43" s="88">
        <f t="shared" si="68"/>
        <v>100.40769614011487</v>
      </c>
      <c r="L43" s="88">
        <f t="shared" si="68"/>
        <v>89.764221548496181</v>
      </c>
      <c r="M43" s="88">
        <f t="shared" si="68"/>
        <v>84.17221744214082</v>
      </c>
      <c r="N43" s="88">
        <f t="shared" si="68"/>
        <v>81.634294042459103</v>
      </c>
      <c r="O43" s="88">
        <f t="shared" si="68"/>
        <v>79.096370642777387</v>
      </c>
      <c r="P43" s="88">
        <f t="shared" si="68"/>
        <v>76.558447243095657</v>
      </c>
      <c r="Q43" s="87" t="s">
        <v>1934</v>
      </c>
      <c r="R43" s="87">
        <v>3</v>
      </c>
      <c r="S43">
        <v>1</v>
      </c>
      <c r="T43">
        <v>1</v>
      </c>
      <c r="U43">
        <v>3</v>
      </c>
      <c r="V43">
        <v>1</v>
      </c>
      <c r="Z43" s="17" t="s">
        <v>985</v>
      </c>
      <c r="AA43" s="235" cm="1">
        <f t="array" ref="AA43">AVERAGE(_xlfn._xlws.FILTER('ANL-DOE-LDV Data'!$AS:$AS, ('ANL-DOE-LDV Data'!$A:$A=$Z43)*('ANL-DOE-LDV Data'!$B:$B=AA$2-5)*('ANL-DOE-LDV Data'!$D:$D="Midsize_SUV_B")))</f>
        <v>29631.816513356007</v>
      </c>
      <c r="AB43" s="235" cm="1">
        <f t="array" ref="AB43">AVERAGE(_xlfn._xlws.FILTER('ANL-DOE-LDV Data'!$AS:$AS, ('ANL-DOE-LDV Data'!$A:$A=$Z43)*('ANL-DOE-LDV Data'!$B:$B=AB$2-5)*('ANL-DOE-LDV Data'!$D:$D="Midsize_SUV_B")))</f>
        <v>29554.891470896921</v>
      </c>
      <c r="AC43" s="235" cm="1">
        <f t="array" ref="AC43">AVERAGE(_xlfn._xlws.FILTER('ANL-DOE-LDV Data'!$AS:$AS, ('ANL-DOE-LDV Data'!$A:$A=$Z43)*('ANL-DOE-LDV Data'!$B:$B=AC$2-5)*('ANL-DOE-LDV Data'!$D:$D="Midsize_SUV_B")))</f>
        <v>30244.40437985953</v>
      </c>
      <c r="AD43" s="235" cm="1">
        <f t="array" ref="AD43">AVERAGE(_xlfn._xlws.FILTER('ANL-DOE-LDV Data'!$AS:$AS, ('ANL-DOE-LDV Data'!$A:$A=$Z43)*('ANL-DOE-LDV Data'!$B:$B=AD$2-5)*('ANL-DOE-LDV Data'!$D:$D="Midsize_SUV_B")))</f>
        <v>31674.074303396123</v>
      </c>
      <c r="AE43" s="235">
        <f>($AG43-$AD43)/3 + AD43</f>
        <v>31118.183089089816</v>
      </c>
      <c r="AF43" s="235">
        <f>($AG43-$AD43)/3 + AE43</f>
        <v>30562.29187478351</v>
      </c>
      <c r="AG43" s="235" cm="1">
        <f t="array" ref="AG43">AVERAGE(_xlfn._xlws.FILTER('ANL-DOE-LDV Data'!$AS:$AS, ('ANL-DOE-LDV Data'!$A:$A=$Z43)*('ANL-DOE-LDV Data'!$B:$B=AG$2-5)*('ANL-DOE-LDV Data'!$D:$D="Midsize_SUV_B")))</f>
        <v>30006.4006604772</v>
      </c>
      <c r="AH43" s="102">
        <f t="shared" ref="AH43:AH54" si="76">(AG43-AA43)/AA43</f>
        <v>1.2641281946125588E-2</v>
      </c>
      <c r="AJ43" s="17" t="s">
        <v>1021</v>
      </c>
      <c r="AK43" s="235">
        <f t="shared" si="75"/>
        <v>286258.3549141399</v>
      </c>
      <c r="AL43" s="235">
        <f t="shared" si="72"/>
        <v>263059.40425168455</v>
      </c>
      <c r="AM43" s="235">
        <f t="shared" si="72"/>
        <v>229974.5435277191</v>
      </c>
      <c r="AN43" s="235">
        <f t="shared" si="72"/>
        <v>212886.89429707319</v>
      </c>
      <c r="AO43" s="235">
        <f t="shared" si="72"/>
        <v>206353.60778584753</v>
      </c>
      <c r="AP43" s="235">
        <f t="shared" si="72"/>
        <v>199820.32127462191</v>
      </c>
      <c r="AQ43" s="235">
        <f t="shared" si="72"/>
        <v>193287.03476339631</v>
      </c>
      <c r="AR43" s="102">
        <f t="shared" si="73"/>
        <v>-0.32478115853991174</v>
      </c>
      <c r="AU43" s="224" t="s">
        <v>627</v>
      </c>
      <c r="AV43" s="235">
        <f>'Background Data'!BH39*1000*USD2021_to_CAD2020/1.5</f>
        <v>228002.4435028249</v>
      </c>
      <c r="AW43" s="235">
        <f>'Background Data'!BI39*1000*USD2021_to_CAD2020/1.5</f>
        <v>173023.13088512243</v>
      </c>
      <c r="AX43" s="235">
        <f>'Background Data'!BJ39*1000*USD2021_to_CAD2020/1.5</f>
        <v>123703.45338983052</v>
      </c>
      <c r="AY43" s="102">
        <f t="shared" si="74"/>
        <v>-0.45744680851063835</v>
      </c>
      <c r="BA43" s="33" t="s">
        <v>32</v>
      </c>
    </row>
    <row r="44" spans="1:60" x14ac:dyDescent="0.35">
      <c r="A44" t="s">
        <v>1246</v>
      </c>
      <c r="B44" t="s">
        <v>2261</v>
      </c>
      <c r="C44" t="s">
        <v>851</v>
      </c>
      <c r="D44">
        <v>2022</v>
      </c>
      <c r="E44">
        <v>2020</v>
      </c>
      <c r="F44" t="s">
        <v>1951</v>
      </c>
      <c r="G44">
        <v>2020</v>
      </c>
      <c r="H44" t="s">
        <v>1953</v>
      </c>
      <c r="I44" t="s">
        <v>1260</v>
      </c>
      <c r="J44" s="331">
        <f t="shared" si="70"/>
        <v>124.12969395242094</v>
      </c>
      <c r="K44" s="88">
        <f t="shared" si="68"/>
        <v>112.44156161412805</v>
      </c>
      <c r="L44" s="88">
        <f t="shared" si="68"/>
        <v>104.48936722252508</v>
      </c>
      <c r="M44" s="88">
        <f t="shared" si="68"/>
        <v>98.647502529094098</v>
      </c>
      <c r="N44" s="88">
        <f t="shared" si="68"/>
        <v>96.508551284257592</v>
      </c>
      <c r="O44" s="88">
        <f t="shared" si="68"/>
        <v>94.369600039421087</v>
      </c>
      <c r="P44" s="88">
        <f t="shared" si="68"/>
        <v>92.230648794584567</v>
      </c>
      <c r="Q44" s="87" t="s">
        <v>1934</v>
      </c>
      <c r="R44" s="87">
        <v>3</v>
      </c>
      <c r="S44">
        <v>1</v>
      </c>
      <c r="T44">
        <v>1</v>
      </c>
      <c r="U44">
        <v>3</v>
      </c>
      <c r="V44">
        <v>1</v>
      </c>
      <c r="Z44" s="17" t="s">
        <v>982</v>
      </c>
      <c r="AA44" s="235" cm="1">
        <f t="array" ref="AA44">AVERAGE(_xlfn._xlws.FILTER('ANL-DOE-LDV Data'!$AS:$AS, ('ANL-DOE-LDV Data'!$A:$A=$Z44)*('ANL-DOE-LDV Data'!$B:$B=AA$2-5)*('ANL-DOE-LDV Data'!$D:$D="Midsize_SUV_B")))</f>
        <v>33915.014478790523</v>
      </c>
      <c r="AB44" s="235" cm="1">
        <f t="array" ref="AB44">AVERAGE(_xlfn._xlws.FILTER('ANL-DOE-LDV Data'!$AS:$AS, ('ANL-DOE-LDV Data'!$A:$A=$Z44)*('ANL-DOE-LDV Data'!$B:$B=AB$2-5)*('ANL-DOE-LDV Data'!$D:$D="Midsize_SUV_B")))</f>
        <v>33450.57645941052</v>
      </c>
      <c r="AC44" s="235" cm="1">
        <f t="array" ref="AC44">AVERAGE(_xlfn._xlws.FILTER('ANL-DOE-LDV Data'!$AS:$AS, ('ANL-DOE-LDV Data'!$A:$A=$Z44)*('ANL-DOE-LDV Data'!$B:$B=AC$2-5)*('ANL-DOE-LDV Data'!$D:$D="Midsize_SUV_B")))</f>
        <v>33338.728767574619</v>
      </c>
      <c r="AD44" s="235" cm="1">
        <f t="array" ref="AD44">AVERAGE(_xlfn._xlws.FILTER('ANL-DOE-LDV Data'!$AS:$AS, ('ANL-DOE-LDV Data'!$A:$A=$Z44)*('ANL-DOE-LDV Data'!$B:$B=AD$2-5)*('ANL-DOE-LDV Data'!$D:$D="Midsize_SUV_B")))</f>
        <v>33288.412599452473</v>
      </c>
      <c r="AE44" s="235">
        <f t="shared" ref="AE44:AF44" si="77">($AG44-$AD44)/3 + AD44</f>
        <v>33229.936560960872</v>
      </c>
      <c r="AF44" s="235">
        <f t="shared" si="77"/>
        <v>33171.460522469271</v>
      </c>
      <c r="AG44" s="235" cm="1">
        <f t="array" ref="AG44">AVERAGE(_xlfn._xlws.FILTER('ANL-DOE-LDV Data'!$AS:$AS, ('ANL-DOE-LDV Data'!$A:$A=$Z44)*('ANL-DOE-LDV Data'!$B:$B=AG$2-5)*('ANL-DOE-LDV Data'!$D:$D="Midsize_SUV_B")))</f>
        <v>33112.984483977678</v>
      </c>
      <c r="AH44" s="102">
        <f t="shared" si="76"/>
        <v>-2.364822799395859E-2</v>
      </c>
      <c r="AJ44" s="17" t="s">
        <v>246</v>
      </c>
      <c r="AK44" s="235">
        <f t="shared" si="75"/>
        <v>368366.26164065208</v>
      </c>
      <c r="AL44" s="235">
        <f t="shared" si="72"/>
        <v>329110.83450765442</v>
      </c>
      <c r="AM44" s="235">
        <f t="shared" si="72"/>
        <v>272198.52801366366</v>
      </c>
      <c r="AN44" s="235">
        <f t="shared" si="72"/>
        <v>242943.93612198657</v>
      </c>
      <c r="AO44" s="235">
        <f t="shared" si="72"/>
        <v>230322.66180876008</v>
      </c>
      <c r="AP44" s="235">
        <f t="shared" si="72"/>
        <v>217701.38749553353</v>
      </c>
      <c r="AQ44" s="235">
        <f t="shared" si="72"/>
        <v>205080.11318230705</v>
      </c>
      <c r="AR44" s="102">
        <f t="shared" si="73"/>
        <v>-0.44327118268402554</v>
      </c>
      <c r="AU44" s="224" t="s">
        <v>828</v>
      </c>
      <c r="AV44" s="235">
        <f>'Background Data'!BH40*1000*USD2021_to_CAD2020/1.5</f>
        <v>122894.93408662901</v>
      </c>
      <c r="AW44" s="235">
        <f>'Background Data'!BI40*1000*USD2021_to_CAD2020/1.5</f>
        <v>124511.97269303205</v>
      </c>
      <c r="AX44" s="235">
        <f>'Background Data'!BJ40*1000*USD2021_to_CAD2020/1.5</f>
        <v>113192.70244821093</v>
      </c>
      <c r="AY44" s="102">
        <f t="shared" si="74"/>
        <v>-7.8947368421052697E-2</v>
      </c>
      <c r="BA44" s="17" t="s">
        <v>532</v>
      </c>
      <c r="BB44" s="35">
        <v>0.54500397685625612</v>
      </c>
    </row>
    <row r="45" spans="1:60" x14ac:dyDescent="0.35">
      <c r="A45" t="s">
        <v>1247</v>
      </c>
      <c r="B45" t="s">
        <v>2261</v>
      </c>
      <c r="C45" t="s">
        <v>851</v>
      </c>
      <c r="D45">
        <v>2022</v>
      </c>
      <c r="E45">
        <v>2020</v>
      </c>
      <c r="F45" t="s">
        <v>1951</v>
      </c>
      <c r="G45">
        <v>2020</v>
      </c>
      <c r="H45" t="s">
        <v>1953</v>
      </c>
      <c r="I45" t="s">
        <v>1260</v>
      </c>
      <c r="J45" s="331">
        <f t="shared" si="70"/>
        <v>99.794941651341503</v>
      </c>
      <c r="K45" s="88">
        <f t="shared" si="68"/>
        <v>92.554757369118448</v>
      </c>
      <c r="L45" s="88">
        <f t="shared" si="68"/>
        <v>86.331176361557482</v>
      </c>
      <c r="M45" s="88">
        <f t="shared" si="68"/>
        <v>82.61554672779333</v>
      </c>
      <c r="N45" s="88">
        <f t="shared" si="68"/>
        <v>81.004694222417044</v>
      </c>
      <c r="O45" s="88">
        <f t="shared" si="68"/>
        <v>79.393841717040743</v>
      </c>
      <c r="P45" s="88">
        <f t="shared" si="68"/>
        <v>77.782989211664457</v>
      </c>
      <c r="Q45" s="87" t="s">
        <v>1934</v>
      </c>
      <c r="R45" s="87">
        <v>3</v>
      </c>
      <c r="S45">
        <v>1</v>
      </c>
      <c r="T45">
        <v>1</v>
      </c>
      <c r="U45">
        <v>3</v>
      </c>
      <c r="V45">
        <v>1</v>
      </c>
      <c r="Z45" s="17" t="s">
        <v>984</v>
      </c>
      <c r="AA45" s="235" cm="1">
        <f t="array" ref="AA45">AVERAGE(_xlfn._xlws.FILTER('ANL-DOE-LDV Data'!$AS:$AS, ('ANL-DOE-LDV Data'!$A:$A=$Z45)*('ANL-DOE-LDV Data'!$B:$B=AA$2-5)*('ANL-DOE-LDV Data'!$D:$D="Midsize_SUV_B")))</f>
        <v>36000.7024916972</v>
      </c>
      <c r="AB45" s="235" cm="1">
        <f t="array" ref="AB45">AVERAGE(_xlfn._xlws.FILTER('ANL-DOE-LDV Data'!$AS:$AS, ('ANL-DOE-LDV Data'!$A:$A=$Z45)*('ANL-DOE-LDV Data'!$B:$B=AB$2-5)*('ANL-DOE-LDV Data'!$D:$D="Midsize_SUV_B")))</f>
        <v>36538.263556049809</v>
      </c>
      <c r="AC45" s="235" cm="1">
        <f t="array" ref="AC45">AVERAGE(_xlfn._xlws.FILTER('ANL-DOE-LDV Data'!$AS:$AS, ('ANL-DOE-LDV Data'!$A:$A=$Z45)*('ANL-DOE-LDV Data'!$B:$B=AC$2-5)*('ANL-DOE-LDV Data'!$D:$D="Midsize_SUV_B")))</f>
        <v>35583.190962718218</v>
      </c>
      <c r="AD45" s="235" cm="1">
        <f t="array" ref="AD45">AVERAGE(_xlfn._xlws.FILTER('ANL-DOE-LDV Data'!$AS:$AS, ('ANL-DOE-LDV Data'!$A:$A=$Z45)*('ANL-DOE-LDV Data'!$B:$B=AD$2-5)*('ANL-DOE-LDV Data'!$D:$D="Midsize_SUV_B")))</f>
        <v>35488.682052913071</v>
      </c>
      <c r="AE45" s="235">
        <f t="shared" ref="AE45:AF45" si="78">($AG45-$AD45)/3 + AD45</f>
        <v>35438.247466628738</v>
      </c>
      <c r="AF45" s="235">
        <f t="shared" si="78"/>
        <v>35387.812880344405</v>
      </c>
      <c r="AG45" s="235" cm="1">
        <f t="array" ref="AG45">AVERAGE(_xlfn._xlws.FILTER('ANL-DOE-LDV Data'!$AS:$AS, ('ANL-DOE-LDV Data'!$A:$A=$Z45)*('ANL-DOE-LDV Data'!$B:$B=AG$2-5)*('ANL-DOE-LDV Data'!$D:$D="Midsize_SUV_B")))</f>
        <v>35337.378294060065</v>
      </c>
      <c r="AH45" s="102">
        <f t="shared" si="76"/>
        <v>-1.8425312611333549E-2</v>
      </c>
      <c r="AJ45" s="17" t="s">
        <v>627</v>
      </c>
      <c r="AK45" s="235">
        <f t="shared" si="75"/>
        <v>276875.5656983924</v>
      </c>
      <c r="AL45" s="235">
        <f t="shared" si="72"/>
        <v>250753.26305461547</v>
      </c>
      <c r="AM45" s="235">
        <f t="shared" si="72"/>
        <v>227377.48154966393</v>
      </c>
      <c r="AN45" s="235">
        <f t="shared" si="72"/>
        <v>214316.37218446028</v>
      </c>
      <c r="AO45" s="235">
        <f t="shared" si="72"/>
        <v>209508.6504201013</v>
      </c>
      <c r="AP45" s="235">
        <f t="shared" si="72"/>
        <v>204700.92865574232</v>
      </c>
      <c r="AQ45" s="235">
        <f t="shared" si="72"/>
        <v>199893.20689138339</v>
      </c>
      <c r="AR45" s="102">
        <f t="shared" si="73"/>
        <v>-0.27803955402430797</v>
      </c>
      <c r="AU45" s="224" t="s">
        <v>829</v>
      </c>
      <c r="AV45" s="235">
        <f>'Background Data'!BH41*1000*USD2021_to_CAD2020/1.5</f>
        <v>143916.43596986818</v>
      </c>
      <c r="AW45" s="235">
        <f>'Background Data'!BI41*1000*USD2021_to_CAD2020/1.5</f>
        <v>130980.12711864409</v>
      </c>
      <c r="AX45" s="235">
        <f>'Background Data'!BJ41*1000*USD2021_to_CAD2020/1.5</f>
        <v>120469.3761770245</v>
      </c>
      <c r="AY45" s="102">
        <f t="shared" si="74"/>
        <v>-0.16292134831460664</v>
      </c>
      <c r="BA45" s="17" t="s">
        <v>1596</v>
      </c>
      <c r="BB45" s="35">
        <v>0.45499602314374388</v>
      </c>
    </row>
    <row r="46" spans="1:60" ht="15" thickBot="1" x14ac:dyDescent="0.4">
      <c r="A46" t="s">
        <v>1249</v>
      </c>
      <c r="B46" t="s">
        <v>2261</v>
      </c>
      <c r="C46" t="s">
        <v>851</v>
      </c>
      <c r="D46">
        <v>2022</v>
      </c>
      <c r="E46">
        <v>2020</v>
      </c>
      <c r="F46" t="s">
        <v>1951</v>
      </c>
      <c r="G46">
        <v>2020</v>
      </c>
      <c r="H46" t="s">
        <v>1953</v>
      </c>
      <c r="I46" t="s">
        <v>1260</v>
      </c>
      <c r="J46" s="331">
        <f t="shared" ref="J46:P51" si="79">AK41*1000/1000000</f>
        <v>173.51183074268431</v>
      </c>
      <c r="K46" s="88">
        <f t="shared" si="79"/>
        <v>174.84340533718657</v>
      </c>
      <c r="L46" s="88">
        <f t="shared" si="79"/>
        <v>176.3322790859672</v>
      </c>
      <c r="M46" s="88">
        <f t="shared" si="79"/>
        <v>176.64316032436579</v>
      </c>
      <c r="N46" s="88">
        <f t="shared" si="79"/>
        <v>177.95047610503997</v>
      </c>
      <c r="O46" s="88">
        <f t="shared" si="79"/>
        <v>179.25779188571408</v>
      </c>
      <c r="P46" s="88">
        <f t="shared" si="79"/>
        <v>180.56510766638829</v>
      </c>
      <c r="Q46" s="87" t="s">
        <v>1935</v>
      </c>
      <c r="R46" s="87">
        <v>3</v>
      </c>
      <c r="S46">
        <v>1</v>
      </c>
      <c r="T46">
        <v>1</v>
      </c>
      <c r="U46">
        <v>3</v>
      </c>
      <c r="V46">
        <v>1</v>
      </c>
      <c r="Z46" s="17" t="s">
        <v>991</v>
      </c>
      <c r="AA46" s="235" cm="1">
        <f t="array" ref="AA46">AVERAGE(_xlfn._xlws.FILTER('ANL-DOE-LDV Data'!$AS:$AS, ('ANL-DOE-LDV Data'!$A:$A=$Z46)*('ANL-DOE-LDV Data'!$B:$B=AA$2-5)*('ANL-DOE-LDV Data'!$D:$D="Midsize_SUV_B")))</f>
        <v>33196.387146350738</v>
      </c>
      <c r="AB46" s="235" cm="1">
        <f t="array" ref="AB46">AVERAGE(_xlfn._xlws.FILTER('ANL-DOE-LDV Data'!$AS:$AS, ('ANL-DOE-LDV Data'!$A:$A=$Z46)*('ANL-DOE-LDV Data'!$B:$B=AB$2-5)*('ANL-DOE-LDV Data'!$D:$D="Midsize_SUV_B")))</f>
        <v>32040.285345924483</v>
      </c>
      <c r="AC46" s="235" cm="1">
        <f t="array" ref="AC46">AVERAGE(_xlfn._xlws.FILTER('ANL-DOE-LDV Data'!$AS:$AS, ('ANL-DOE-LDV Data'!$A:$A=$Z46)*('ANL-DOE-LDV Data'!$B:$B=AC$2-5)*('ANL-DOE-LDV Data'!$D:$D="Midsize_SUV_B")))</f>
        <v>31016.026225730831</v>
      </c>
      <c r="AD46" s="235" cm="1">
        <f t="array" ref="AD46">AVERAGE(_xlfn._xlws.FILTER('ANL-DOE-LDV Data'!$AS:$AS, ('ANL-DOE-LDV Data'!$A:$A=$Z46)*('ANL-DOE-LDV Data'!$B:$B=AD$2-5)*('ANL-DOE-LDV Data'!$D:$D="Midsize_SUV_B")))</f>
        <v>30585.7449498641</v>
      </c>
      <c r="AE46" s="235">
        <f t="shared" ref="AE46:AF46" si="80">($AG46-$AD46)/3 + AD46</f>
        <v>30210.477268690298</v>
      </c>
      <c r="AF46" s="235">
        <f t="shared" si="80"/>
        <v>29835.209587516496</v>
      </c>
      <c r="AG46" s="235" cm="1">
        <f t="array" ref="AG46">AVERAGE(_xlfn._xlws.FILTER('ANL-DOE-LDV Data'!$AS:$AS, ('ANL-DOE-LDV Data'!$A:$A=$Z46)*('ANL-DOE-LDV Data'!$B:$B=AG$2-5)*('ANL-DOE-LDV Data'!$D:$D="Midsize_SUV_B")))</f>
        <v>29459.941906342694</v>
      </c>
      <c r="AH46" s="102">
        <f t="shared" si="76"/>
        <v>-0.11255577974601341</v>
      </c>
      <c r="AJ46" s="17" t="s">
        <v>1065</v>
      </c>
      <c r="AK46" s="235">
        <f t="shared" si="75"/>
        <v>228923.63864605082</v>
      </c>
      <c r="AL46" s="235">
        <f t="shared" si="72"/>
        <v>209497.07194147629</v>
      </c>
      <c r="AM46" s="235">
        <f t="shared" si="72"/>
        <v>190987.06425431004</v>
      </c>
      <c r="AN46" s="235">
        <f t="shared" si="72"/>
        <v>180126.45849883076</v>
      </c>
      <c r="AO46" s="235">
        <f t="shared" si="72"/>
        <v>175859.86776938266</v>
      </c>
      <c r="AP46" s="235">
        <f t="shared" si="72"/>
        <v>171593.2770399345</v>
      </c>
      <c r="AQ46" s="235">
        <f t="shared" si="72"/>
        <v>167326.68631048634</v>
      </c>
      <c r="AR46" s="102">
        <f t="shared" si="73"/>
        <v>-0.26907204821605296</v>
      </c>
      <c r="AU46" s="224" t="s">
        <v>240</v>
      </c>
      <c r="AV46" s="235">
        <f>'Background Data'!BH42*1000*USD2021_to_CAD2020/1.5</f>
        <v>137448.28154425614</v>
      </c>
      <c r="AW46" s="235">
        <f>'Background Data'!BI42*1000*USD2021_to_CAD2020/1.5</f>
        <v>125320.49199623354</v>
      </c>
      <c r="AX46" s="235">
        <f>'Background Data'!BJ42*1000*USD2021_to_CAD2020/1.5</f>
        <v>118852.33757062147</v>
      </c>
      <c r="AY46" s="102">
        <f t="shared" si="74"/>
        <v>-0.13529411764705893</v>
      </c>
      <c r="BA46" s="33" t="s">
        <v>1597</v>
      </c>
      <c r="BB46" s="35"/>
    </row>
    <row r="47" spans="1:60" x14ac:dyDescent="0.35">
      <c r="A47" t="s">
        <v>1250</v>
      </c>
      <c r="B47" t="s">
        <v>2261</v>
      </c>
      <c r="C47" t="s">
        <v>851</v>
      </c>
      <c r="D47">
        <v>2022</v>
      </c>
      <c r="E47">
        <v>2020</v>
      </c>
      <c r="F47" t="s">
        <v>1951</v>
      </c>
      <c r="G47">
        <v>2020</v>
      </c>
      <c r="H47" t="s">
        <v>1953</v>
      </c>
      <c r="I47" t="s">
        <v>1260</v>
      </c>
      <c r="J47" s="331">
        <f t="shared" si="79"/>
        <v>188.13899748339387</v>
      </c>
      <c r="K47" s="88">
        <f t="shared" si="79"/>
        <v>188.47424091959948</v>
      </c>
      <c r="L47" s="88">
        <f t="shared" si="79"/>
        <v>188.86992952066996</v>
      </c>
      <c r="M47" s="88">
        <f t="shared" si="79"/>
        <v>188.84588043394609</v>
      </c>
      <c r="N47" s="88">
        <f t="shared" si="79"/>
        <v>189.99366132829215</v>
      </c>
      <c r="O47" s="88">
        <f t="shared" si="79"/>
        <v>191.14144222263823</v>
      </c>
      <c r="P47" s="88">
        <f t="shared" si="79"/>
        <v>192.28922311698426</v>
      </c>
      <c r="Q47" s="87" t="s">
        <v>1935</v>
      </c>
      <c r="R47" s="87">
        <v>3</v>
      </c>
      <c r="S47">
        <v>1</v>
      </c>
      <c r="T47">
        <v>1</v>
      </c>
      <c r="U47">
        <v>3</v>
      </c>
      <c r="V47">
        <v>1</v>
      </c>
      <c r="Z47" s="17" t="s">
        <v>992</v>
      </c>
      <c r="AA47" s="235" cm="1">
        <f t="array" ref="AA47">AVERAGE(_xlfn._xlws.FILTER('ANL-DOE-LDV Data'!$AS:$AS, ('ANL-DOE-LDV Data'!$A:$A=$Z47)*('ANL-DOE-LDV Data'!$B:$B=AA$2-5)*('ANL-DOE-LDV Data'!$D:$D="Midsize_SUV_B")))</f>
        <v>34866.483819774527</v>
      </c>
      <c r="AB47" s="235" cm="1">
        <f t="array" ref="AB47">AVERAGE(_xlfn._xlws.FILTER('ANL-DOE-LDV Data'!$AS:$AS, ('ANL-DOE-LDV Data'!$A:$A=$Z47)*('ANL-DOE-LDV Data'!$B:$B=AB$2-5)*('ANL-DOE-LDV Data'!$D:$D="Midsize_SUV_B")))</f>
        <v>32729.080076278649</v>
      </c>
      <c r="AC47" s="235" cm="1">
        <f t="array" ref="AC47">AVERAGE(_xlfn._xlws.FILTER('ANL-DOE-LDV Data'!$AS:$AS, ('ANL-DOE-LDV Data'!$A:$A=$Z47)*('ANL-DOE-LDV Data'!$B:$B=AC$2-5)*('ANL-DOE-LDV Data'!$D:$D="Midsize_SUV_B")))</f>
        <v>31455.391787754914</v>
      </c>
      <c r="AD47" s="235" cm="1">
        <f t="array" ref="AD47">AVERAGE(_xlfn._xlws.FILTER('ANL-DOE-LDV Data'!$AS:$AS, ('ANL-DOE-LDV Data'!$A:$A=$Z47)*('ANL-DOE-LDV Data'!$B:$B=AD$2-5)*('ANL-DOE-LDV Data'!$D:$D="Midsize_SUV_B")))</f>
        <v>30859.209319943522</v>
      </c>
      <c r="AE47" s="235">
        <f t="shared" ref="AE47:AF47" si="81">($AG47-$AD47)/3 + AD47</f>
        <v>30469.947909759583</v>
      </c>
      <c r="AF47" s="235">
        <f t="shared" si="81"/>
        <v>30080.686499575644</v>
      </c>
      <c r="AG47" s="235" cm="1">
        <f t="array" ref="AG47">AVERAGE(_xlfn._xlws.FILTER('ANL-DOE-LDV Data'!$AS:$AS, ('ANL-DOE-LDV Data'!$A:$A=$Z47)*('ANL-DOE-LDV Data'!$B:$B=AG$2-5)*('ANL-DOE-LDV Data'!$D:$D="Midsize_SUV_B")))</f>
        <v>29691.425089391701</v>
      </c>
      <c r="AH47" s="102">
        <f t="shared" si="76"/>
        <v>-0.14842502493606169</v>
      </c>
      <c r="AJ47" s="33" t="s">
        <v>1295</v>
      </c>
      <c r="AR47" s="102"/>
      <c r="AS47" s="380" t="s">
        <v>1777</v>
      </c>
      <c r="AU47" s="4" t="s">
        <v>1225</v>
      </c>
      <c r="AY47" s="102"/>
      <c r="BA47" s="17" t="s">
        <v>1598</v>
      </c>
      <c r="BB47" s="35">
        <v>0.56868624710569682</v>
      </c>
    </row>
    <row r="48" spans="1:60" ht="15" thickBot="1" x14ac:dyDescent="0.4">
      <c r="A48" t="s">
        <v>1251</v>
      </c>
      <c r="B48" t="s">
        <v>2261</v>
      </c>
      <c r="C48" t="s">
        <v>851</v>
      </c>
      <c r="D48">
        <v>2022</v>
      </c>
      <c r="E48">
        <v>2020</v>
      </c>
      <c r="F48" t="s">
        <v>1951</v>
      </c>
      <c r="G48">
        <v>2020</v>
      </c>
      <c r="H48" t="s">
        <v>1953</v>
      </c>
      <c r="I48" t="s">
        <v>1260</v>
      </c>
      <c r="J48" s="331">
        <f t="shared" si="79"/>
        <v>286.25835491413994</v>
      </c>
      <c r="K48" s="88">
        <f t="shared" si="79"/>
        <v>263.05940425168455</v>
      </c>
      <c r="L48" s="88">
        <f t="shared" si="79"/>
        <v>229.97454352771911</v>
      </c>
      <c r="M48" s="88">
        <f t="shared" si="79"/>
        <v>212.88689429707318</v>
      </c>
      <c r="N48" s="88">
        <f t="shared" si="79"/>
        <v>206.35360778584754</v>
      </c>
      <c r="O48" s="88">
        <f t="shared" si="79"/>
        <v>199.8203212746219</v>
      </c>
      <c r="P48" s="88">
        <f t="shared" si="79"/>
        <v>193.28703476339632</v>
      </c>
      <c r="Q48" s="87" t="s">
        <v>1935</v>
      </c>
      <c r="R48" s="87">
        <v>3</v>
      </c>
      <c r="S48">
        <v>1</v>
      </c>
      <c r="T48">
        <v>1</v>
      </c>
      <c r="U48">
        <v>3</v>
      </c>
      <c r="V48">
        <v>1</v>
      </c>
      <c r="Z48" s="17" t="s">
        <v>987</v>
      </c>
      <c r="AA48" s="235" cm="1">
        <f t="array" ref="AA48">AVERAGE(_xlfn._xlws.FILTER('ANL-DOE-LDV Data'!$AS:$AS, ('ANL-DOE-LDV Data'!$A:$A=$Z48)*('ANL-DOE-LDV Data'!$B:$B=AA$2-5)*('ANL-DOE-LDV Data'!$D:$D="Midsize_SUV_B")))</f>
        <v>38560.782387536092</v>
      </c>
      <c r="AB48" s="235" cm="1">
        <f t="array" ref="AB48">AVERAGE(_xlfn._xlws.FILTER('ANL-DOE-LDV Data'!$AS:$AS, ('ANL-DOE-LDV Data'!$A:$A=$Z48)*('ANL-DOE-LDV Data'!$B:$B=AB$2-5)*('ANL-DOE-LDV Data'!$D:$D="Midsize_SUV_B")))</f>
        <v>35432.34631151396</v>
      </c>
      <c r="AC48" s="235" cm="1">
        <f t="array" ref="AC48">AVERAGE(_xlfn._xlws.FILTER('ANL-DOE-LDV Data'!$AS:$AS, ('ANL-DOE-LDV Data'!$A:$A=$Z48)*('ANL-DOE-LDV Data'!$B:$B=AC$2-5)*('ANL-DOE-LDV Data'!$D:$D="Midsize_SUV_B")))</f>
        <v>32970.241253552114</v>
      </c>
      <c r="AD48" s="235" cm="1">
        <f t="array" ref="AD48">AVERAGE(_xlfn._xlws.FILTER('ANL-DOE-LDV Data'!$AS:$AS, ('ANL-DOE-LDV Data'!$A:$A=$Z48)*('ANL-DOE-LDV Data'!$B:$B=AD$2-5)*('ANL-DOE-LDV Data'!$D:$D="Midsize_SUV_B")))</f>
        <v>31626.856653395724</v>
      </c>
      <c r="AE48" s="235">
        <f t="shared" ref="AE48:AF48" si="82">($AG48-$AD48)/3 + AD48</f>
        <v>31081.953610929973</v>
      </c>
      <c r="AF48" s="235">
        <f t="shared" si="82"/>
        <v>30537.050568464223</v>
      </c>
      <c r="AG48" s="235" cm="1">
        <f t="array" ref="AG48">AVERAGE(_xlfn._xlws.FILTER('ANL-DOE-LDV Data'!$AS:$AS, ('ANL-DOE-LDV Data'!$A:$A=$Z48)*('ANL-DOE-LDV Data'!$B:$B=AG$2-5)*('ANL-DOE-LDV Data'!$D:$D="Midsize_SUV_B")))</f>
        <v>29992.147525998469</v>
      </c>
      <c r="AH48" s="102">
        <f t="shared" si="76"/>
        <v>-0.22221112568263765</v>
      </c>
      <c r="AJ48" s="17" t="s">
        <v>1017</v>
      </c>
      <c r="AK48" s="235" cm="1">
        <f t="array" ref="AK48">AVERAGE(_xlfn._xlws.FILTER('ANL-DOE-MHDV Data'!$AS:$AS,('ANL-DOE-MHDV Data'!$A:$A=$AJ48)*('ANL-DOE-MHDV Data'!$B:$B=AK$32+1)*('ANL-DOE-MHDV Data'!$D:$D="School")))</f>
        <v>85079.003200000006</v>
      </c>
      <c r="AL48" s="235" cm="1">
        <f t="array" ref="AL48">AVERAGE(_xlfn._xlws.FILTER('ANL-DOE-MHDV Data'!$AS:$AS,('ANL-DOE-MHDV Data'!$A:$A=$AJ48)*('ANL-DOE-MHDV Data'!$B:$B=AL$32)*('ANL-DOE-MHDV Data'!$D:$D="School")))</f>
        <v>85688.171814389076</v>
      </c>
      <c r="AM48" s="235" cm="1">
        <f t="array" ref="AM48">AVERAGE(_xlfn._xlws.FILTER('ANL-DOE-MHDV Data'!$AS:$AS,('ANL-DOE-MHDV Data'!$A:$A=$AJ48)*('ANL-DOE-MHDV Data'!$B:$B=AM$32)*('ANL-DOE-MHDV Data'!$D:$D="School")))</f>
        <v>86282.185033168251</v>
      </c>
      <c r="AN48" s="235" cm="1">
        <f t="array" ref="AN48">AVERAGE(_xlfn._xlws.FILTER('ANL-DOE-MHDV Data'!$AS:$AS,('ANL-DOE-MHDV Data'!$A:$A=$AJ48)*('ANL-DOE-MHDV Data'!$B:$B=AN$32)*('ANL-DOE-MHDV Data'!$D:$D="School")))</f>
        <v>86209.609883168261</v>
      </c>
      <c r="AO48" s="235">
        <f t="shared" ref="AO48:AP53" si="83">($AQ48-$AN48)/3 + AN48</f>
        <v>86366.957819672083</v>
      </c>
      <c r="AP48" s="235">
        <f t="shared" si="83"/>
        <v>86524.305756175905</v>
      </c>
      <c r="AQ48" s="235" cm="1">
        <f t="array" ref="AQ48">AVERAGE(_xlfn._xlws.FILTER('ANL-DOE-MHDV Data'!$AS:$AS,('ANL-DOE-MHDV Data'!$A:$A=$AJ48)*('ANL-DOE-MHDV Data'!$B:$B=AQ$32)*('ANL-DOE-MHDV Data'!$D:$D="School")))</f>
        <v>86681.653692679727</v>
      </c>
      <c r="AR48" s="102">
        <f t="shared" ref="AR48:AR53" si="84">(AQ48-AK48)/AK48</f>
        <v>1.8837203450918199E-2</v>
      </c>
      <c r="AS48" s="118">
        <f>AS34</f>
        <v>0.87607099143206857</v>
      </c>
      <c r="AU48" s="224" t="s">
        <v>109</v>
      </c>
      <c r="AV48" s="235">
        <f>'Background Data'!BH30*1000*USD2021_to_CAD2020/1.5</f>
        <v>133405.68502824861</v>
      </c>
      <c r="AW48" s="235">
        <f>'Background Data'!BI30*1000*USD2021_to_CAD2020/1.5</f>
        <v>141490.87806026367</v>
      </c>
      <c r="AX48" s="235">
        <f>'Background Data'!BJ30*1000*USD2021_to_CAD2020/1.5</f>
        <v>128554.56920903956</v>
      </c>
      <c r="AY48" s="102">
        <f t="shared" ref="AY48:AY53" si="85">(AX48-AV48)/AV48</f>
        <v>-3.6363636363636445E-2</v>
      </c>
      <c r="BA48" s="17" t="s">
        <v>1599</v>
      </c>
      <c r="BB48" s="35">
        <v>0.14746865808631804</v>
      </c>
    </row>
    <row r="49" spans="1:54" x14ac:dyDescent="0.35">
      <c r="A49" t="s">
        <v>1252</v>
      </c>
      <c r="B49" t="s">
        <v>2261</v>
      </c>
      <c r="C49" t="s">
        <v>851</v>
      </c>
      <c r="D49">
        <v>2022</v>
      </c>
      <c r="E49">
        <v>2020</v>
      </c>
      <c r="F49" t="s">
        <v>1951</v>
      </c>
      <c r="G49">
        <v>2020</v>
      </c>
      <c r="H49" t="s">
        <v>1953</v>
      </c>
      <c r="I49" t="s">
        <v>1260</v>
      </c>
      <c r="J49" s="331">
        <f t="shared" si="79"/>
        <v>368.36626164065206</v>
      </c>
      <c r="K49" s="88">
        <f t="shared" si="79"/>
        <v>329.11083450765443</v>
      </c>
      <c r="L49" s="88">
        <f t="shared" si="79"/>
        <v>272.19852801366363</v>
      </c>
      <c r="M49" s="88">
        <f t="shared" si="79"/>
        <v>242.94393612198658</v>
      </c>
      <c r="N49" s="88">
        <f t="shared" si="79"/>
        <v>230.32266180876007</v>
      </c>
      <c r="O49" s="88">
        <f t="shared" si="79"/>
        <v>217.70138749553354</v>
      </c>
      <c r="P49" s="88">
        <f t="shared" si="79"/>
        <v>205.08011318230703</v>
      </c>
      <c r="Q49" s="87" t="s">
        <v>1935</v>
      </c>
      <c r="R49" s="87">
        <v>3</v>
      </c>
      <c r="S49">
        <v>1</v>
      </c>
      <c r="T49">
        <v>1</v>
      </c>
      <c r="U49">
        <v>3</v>
      </c>
      <c r="V49">
        <v>1</v>
      </c>
      <c r="Z49" s="17" t="s">
        <v>975</v>
      </c>
      <c r="AA49" s="235" cm="1">
        <f t="array" ref="AA49">AVERAGE(_xlfn._xlws.FILTER('ANL-DOE-LDV Data'!$AS:$AS, ('ANL-DOE-LDV Data'!$A:$A=$Z49)*('ANL-DOE-LDV Data'!$B:$B=AA$2-5)*('ANL-DOE-LDV Data'!$D:$D="Midsize_SUV_B")))</f>
        <v>34614.91755706894</v>
      </c>
      <c r="AB49" s="235" cm="1">
        <f t="array" ref="AB49">AVERAGE(_xlfn._xlws.FILTER('ANL-DOE-LDV Data'!$AS:$AS, ('ANL-DOE-LDV Data'!$A:$A=$Z49)*('ANL-DOE-LDV Data'!$B:$B=AB$2-5)*('ANL-DOE-LDV Data'!$D:$D="Midsize_SUV_B")))</f>
        <v>32442.513816319341</v>
      </c>
      <c r="AC49" s="235" cm="1">
        <f t="array" ref="AC49">AVERAGE(_xlfn._xlws.FILTER('ANL-DOE-LDV Data'!$AS:$AS, ('ANL-DOE-LDV Data'!$A:$A=$Z49)*('ANL-DOE-LDV Data'!$B:$B=AC$2-5)*('ANL-DOE-LDV Data'!$D:$D="Midsize_SUV_B")))</f>
        <v>29371.921222892594</v>
      </c>
      <c r="AD49" s="235" cm="1">
        <f t="array" ref="AD49">AVERAGE(_xlfn._xlws.FILTER('ANL-DOE-LDV Data'!$AS:$AS, ('ANL-DOE-LDV Data'!$A:$A=$Z49)*('ANL-DOE-LDV Data'!$B:$B=AD$2-5)*('ANL-DOE-LDV Data'!$D:$D="Midsize_SUV_B")))</f>
        <v>27483.478299526058</v>
      </c>
      <c r="AE49" s="235">
        <f t="shared" ref="AE49:AF49" si="86">($AG49-$AD49)/3 + AD49</f>
        <v>26575.21831588486</v>
      </c>
      <c r="AF49" s="235">
        <f t="shared" si="86"/>
        <v>25666.958332243663</v>
      </c>
      <c r="AG49" s="235" cm="1">
        <f t="array" ref="AG49">AVERAGE(_xlfn._xlws.FILTER('ANL-DOE-LDV Data'!$AS:$AS, ('ANL-DOE-LDV Data'!$A:$A=$Z49)*('ANL-DOE-LDV Data'!$B:$B=AG$2-5)*('ANL-DOE-LDV Data'!$D:$D="Midsize_SUV_B")))</f>
        <v>24758.698348602466</v>
      </c>
      <c r="AH49" s="102">
        <f t="shared" si="76"/>
        <v>-0.28473906350395661</v>
      </c>
      <c r="AJ49" s="17" t="s">
        <v>1020</v>
      </c>
      <c r="AK49" s="235" cm="1">
        <f t="array" ref="AK49">AVERAGE(_xlfn._xlws.FILTER('ANL-DOE-MHDV Data'!$AS:$AS,('ANL-DOE-MHDV Data'!$A:$A=$AJ49)*('ANL-DOE-MHDV Data'!$B:$B=AK$32+1)*('ANL-DOE-MHDV Data'!$D:$D="School")))</f>
        <v>98662.606833021346</v>
      </c>
      <c r="AL49" s="235" cm="1">
        <f t="array" ref="AL49">AVERAGE(_xlfn._xlws.FILTER('ANL-DOE-MHDV Data'!$AS:$AS,('ANL-DOE-MHDV Data'!$A:$A=$AJ49)*('ANL-DOE-MHDV Data'!$B:$B=AL$32)*('ANL-DOE-MHDV Data'!$D:$D="School")))</f>
        <v>98328.144277296014</v>
      </c>
      <c r="AM49" s="235" cm="1">
        <f t="array" ref="AM49">AVERAGE(_xlfn._xlws.FILTER('ANL-DOE-MHDV Data'!$AS:$AS,('ANL-DOE-MHDV Data'!$A:$A=$AJ49)*('ANL-DOE-MHDV Data'!$B:$B=AM$32)*('ANL-DOE-MHDV Data'!$D:$D="School")))</f>
        <v>97768.64126243486</v>
      </c>
      <c r="AN49" s="235" cm="1">
        <f t="array" ref="AN49">AVERAGE(_xlfn._xlws.FILTER('ANL-DOE-MHDV Data'!$AS:$AS,('ANL-DOE-MHDV Data'!$A:$A=$AJ49)*('ANL-DOE-MHDV Data'!$B:$B=AN$32)*('ANL-DOE-MHDV Data'!$D:$D="School")))</f>
        <v>101209.26270730489</v>
      </c>
      <c r="AO49" s="235">
        <f t="shared" si="83"/>
        <v>101023.28678205493</v>
      </c>
      <c r="AP49" s="235">
        <f t="shared" si="83"/>
        <v>100837.31085680496</v>
      </c>
      <c r="AQ49" s="235" cm="1">
        <f t="array" ref="AQ49">AVERAGE(_xlfn._xlws.FILTER('ANL-DOE-MHDV Data'!$AS:$AS,('ANL-DOE-MHDV Data'!$A:$A=$AJ49)*('ANL-DOE-MHDV Data'!$B:$B=AQ$32)*('ANL-DOE-MHDV Data'!$D:$D="School")))</f>
        <v>100651.334931555</v>
      </c>
      <c r="AR49" s="102">
        <f t="shared" si="84"/>
        <v>2.0156857419137725E-2</v>
      </c>
      <c r="AS49" s="380" t="s">
        <v>1778</v>
      </c>
      <c r="AU49" s="224" t="s">
        <v>246</v>
      </c>
      <c r="AV49" s="235">
        <f>'Background Data'!BH31*1000*USD2021_to_CAD2020/1.5</f>
        <v>468132.67655367241</v>
      </c>
      <c r="AW49" s="235">
        <f>'Background Data'!BI31*1000*USD2021_to_CAD2020/1.5</f>
        <v>255492.0998116761</v>
      </c>
      <c r="AX49" s="235">
        <f>'Background Data'!BJ31*1000*USD2021_to_CAD2020/1.5</f>
        <v>184342.40112994352</v>
      </c>
      <c r="AY49" s="102">
        <f t="shared" si="85"/>
        <v>-0.60621761658031081</v>
      </c>
      <c r="BA49" s="17" t="s">
        <v>1066</v>
      </c>
      <c r="BB49" s="35">
        <v>0.28384509480798514</v>
      </c>
    </row>
    <row r="50" spans="1:54" ht="15" thickBot="1" x14ac:dyDescent="0.4">
      <c r="A50" t="s">
        <v>1253</v>
      </c>
      <c r="B50" t="s">
        <v>2261</v>
      </c>
      <c r="C50" t="s">
        <v>851</v>
      </c>
      <c r="D50">
        <v>2022</v>
      </c>
      <c r="E50">
        <v>2020</v>
      </c>
      <c r="F50" t="s">
        <v>1951</v>
      </c>
      <c r="G50">
        <v>2020</v>
      </c>
      <c r="H50" t="s">
        <v>1953</v>
      </c>
      <c r="I50" t="s">
        <v>1260</v>
      </c>
      <c r="J50" s="331">
        <f t="shared" si="79"/>
        <v>276.87556569839239</v>
      </c>
      <c r="K50" s="88">
        <f t="shared" si="79"/>
        <v>250.75326305461547</v>
      </c>
      <c r="L50" s="88">
        <f t="shared" si="79"/>
        <v>227.37748154966394</v>
      </c>
      <c r="M50" s="88">
        <f t="shared" si="79"/>
        <v>214.31637218446028</v>
      </c>
      <c r="N50" s="88">
        <f t="shared" si="79"/>
        <v>209.5086504201013</v>
      </c>
      <c r="O50" s="88">
        <f t="shared" si="79"/>
        <v>204.70092865574233</v>
      </c>
      <c r="P50" s="88">
        <f t="shared" si="79"/>
        <v>199.89320689138339</v>
      </c>
      <c r="Q50" s="87" t="s">
        <v>1935</v>
      </c>
      <c r="R50" s="87">
        <v>3</v>
      </c>
      <c r="S50">
        <v>1</v>
      </c>
      <c r="T50">
        <v>1</v>
      </c>
      <c r="U50">
        <v>3</v>
      </c>
      <c r="V50">
        <v>1</v>
      </c>
      <c r="Z50" s="17" t="s">
        <v>979</v>
      </c>
      <c r="AA50" s="235" cm="1">
        <f t="array" ref="AA50">AVERAGE(_xlfn._xlws.FILTER('ANL-DOE-LDV Data'!$AS:$AS, ('ANL-DOE-LDV Data'!$A:$A=$Z50)*('ANL-DOE-LDV Data'!$B:$B=AA$2-5)*('ANL-DOE-LDV Data'!$D:$D="Midsize_SUV_B")))</f>
        <v>41399.46956623494</v>
      </c>
      <c r="AB50" s="235" cm="1">
        <f t="array" ref="AB50">AVERAGE(_xlfn._xlws.FILTER('ANL-DOE-LDV Data'!$AS:$AS, ('ANL-DOE-LDV Data'!$A:$A=$Z50)*('ANL-DOE-LDV Data'!$B:$B=AB$2-5)*('ANL-DOE-LDV Data'!$D:$D="Midsize_SUV_B")))</f>
        <v>38322.699643674539</v>
      </c>
      <c r="AC50" s="235" cm="1">
        <f t="array" ref="AC50">AVERAGE(_xlfn._xlws.FILTER('ANL-DOE-LDV Data'!$AS:$AS, ('ANL-DOE-LDV Data'!$A:$A=$Z50)*('ANL-DOE-LDV Data'!$B:$B=AC$2-5)*('ANL-DOE-LDV Data'!$D:$D="Midsize_SUV_B")))</f>
        <v>33693.892167222592</v>
      </c>
      <c r="AD50" s="235" cm="1">
        <f t="array" ref="AD50">AVERAGE(_xlfn._xlws.FILTER('ANL-DOE-LDV Data'!$AS:$AS, ('ANL-DOE-LDV Data'!$A:$A=$Z50)*('ANL-DOE-LDV Data'!$B:$B=AD$2-5)*('ANL-DOE-LDV Data'!$D:$D="Midsize_SUV_B")))</f>
        <v>30929.948431724559</v>
      </c>
      <c r="AE50" s="235">
        <f t="shared" ref="AE50:AF50" si="87">($AG50-$AD50)/3 + AD50</f>
        <v>29646.036463593195</v>
      </c>
      <c r="AF50" s="235">
        <f t="shared" si="87"/>
        <v>28362.124495461831</v>
      </c>
      <c r="AG50" s="235" cm="1">
        <f t="array" ref="AG50">AVERAGE(_xlfn._xlws.FILTER('ANL-DOE-LDV Data'!$AS:$AS, ('ANL-DOE-LDV Data'!$A:$A=$Z50)*('ANL-DOE-LDV Data'!$B:$B=AG$2-5)*('ANL-DOE-LDV Data'!$D:$D="Midsize_SUV_B")))</f>
        <v>27078.21252733047</v>
      </c>
      <c r="AH50" s="102">
        <f t="shared" si="76"/>
        <v>-0.34592851524321866</v>
      </c>
      <c r="AJ50" s="17" t="s">
        <v>1021</v>
      </c>
      <c r="AK50" s="235" cm="1">
        <f t="array" ref="AK50">AVERAGE(_xlfn._xlws.FILTER('ANL-DOE-MHDV Data'!$AS:$AS,('ANL-DOE-MHDV Data'!$A:$A=$AJ50)*('ANL-DOE-MHDV Data'!$B:$B=AK$32+1)*('ANL-DOE-MHDV Data'!$D:$D="School")))</f>
        <v>105410.23888018358</v>
      </c>
      <c r="AL50" s="235" cm="1">
        <f t="array" ref="AL50">AVERAGE(_xlfn._xlws.FILTER('ANL-DOE-MHDV Data'!$AS:$AS,('ANL-DOE-MHDV Data'!$A:$A=$AJ50)*('ANL-DOE-MHDV Data'!$B:$B=AL$32)*('ANL-DOE-MHDV Data'!$D:$D="School")))</f>
        <v>101461.96569472441</v>
      </c>
      <c r="AM50" s="235" cm="1">
        <f t="array" ref="AM50">AVERAGE(_xlfn._xlws.FILTER('ANL-DOE-MHDV Data'!$AS:$AS,('ANL-DOE-MHDV Data'!$A:$A=$AJ50)*('ANL-DOE-MHDV Data'!$B:$B=AM$32)*('ANL-DOE-MHDV Data'!$D:$D="School")))</f>
        <v>95458.182098227626</v>
      </c>
      <c r="AN50" s="235" cm="1">
        <f t="array" ref="AN50">AVERAGE(_xlfn._xlws.FILTER('ANL-DOE-MHDV Data'!$AS:$AS,('ANL-DOE-MHDV Data'!$A:$A=$AJ50)*('ANL-DOE-MHDV Data'!$B:$B=AN$32)*('ANL-DOE-MHDV Data'!$D:$D="School")))</f>
        <v>92115.801277726729</v>
      </c>
      <c r="AO50" s="235">
        <f t="shared" si="83"/>
        <v>90672.417551939056</v>
      </c>
      <c r="AP50" s="235">
        <f t="shared" si="83"/>
        <v>89229.033826151383</v>
      </c>
      <c r="AQ50" s="235" cm="1">
        <f t="array" ref="AQ50">AVERAGE(_xlfn._xlws.FILTER('ANL-DOE-MHDV Data'!$AS:$AS,('ANL-DOE-MHDV Data'!$A:$A=$AJ50)*('ANL-DOE-MHDV Data'!$B:$B=AQ$32)*('ANL-DOE-MHDV Data'!$D:$D="School")))</f>
        <v>87785.650100363724</v>
      </c>
      <c r="AR50" s="102">
        <f t="shared" si="84"/>
        <v>-0.16719997001290507</v>
      </c>
      <c r="AS50" s="118">
        <f>'GREET-AFLEET Summary'!AN16/'GREET-AFLEET Summary'!AC16</f>
        <v>1.3</v>
      </c>
      <c r="AU50" s="224" t="s">
        <v>627</v>
      </c>
      <c r="AV50" s="235">
        <f>'Background Data'!BH32*1000*USD2021_to_CAD2020/1.5</f>
        <v>266002.8507532957</v>
      </c>
      <c r="AW50" s="235">
        <f>'Background Data'!BI32*1000*USD2021_to_CAD2020/1.5</f>
        <v>194853.15207156309</v>
      </c>
      <c r="AX50" s="235">
        <f>'Background Data'!BJ32*1000*USD2021_to_CAD2020/1.5</f>
        <v>141490.87806026367</v>
      </c>
      <c r="AY50" s="102">
        <f t="shared" si="85"/>
        <v>-0.46808510638297873</v>
      </c>
      <c r="BA50" s="33" t="s">
        <v>1604</v>
      </c>
      <c r="BB50" s="35"/>
    </row>
    <row r="51" spans="1:54" x14ac:dyDescent="0.35">
      <c r="A51" t="s">
        <v>1254</v>
      </c>
      <c r="B51" t="s">
        <v>2261</v>
      </c>
      <c r="C51" t="s">
        <v>851</v>
      </c>
      <c r="D51">
        <v>2022</v>
      </c>
      <c r="E51">
        <v>2020</v>
      </c>
      <c r="F51" t="s">
        <v>1951</v>
      </c>
      <c r="G51">
        <v>2020</v>
      </c>
      <c r="H51" t="s">
        <v>1953</v>
      </c>
      <c r="I51" t="s">
        <v>1260</v>
      </c>
      <c r="J51" s="331">
        <f t="shared" si="79"/>
        <v>228.92363864605082</v>
      </c>
      <c r="K51" s="88">
        <f t="shared" si="79"/>
        <v>209.49707194147629</v>
      </c>
      <c r="L51" s="88">
        <f t="shared" si="79"/>
        <v>190.98706425431004</v>
      </c>
      <c r="M51" s="88">
        <f t="shared" si="79"/>
        <v>180.12645849883077</v>
      </c>
      <c r="N51" s="88">
        <f t="shared" si="79"/>
        <v>175.85986776938265</v>
      </c>
      <c r="O51" s="88">
        <f t="shared" si="79"/>
        <v>171.59327703993452</v>
      </c>
      <c r="P51" s="88">
        <f t="shared" si="79"/>
        <v>167.32668631048634</v>
      </c>
      <c r="Q51" s="87" t="s">
        <v>1935</v>
      </c>
      <c r="R51" s="87">
        <v>3</v>
      </c>
      <c r="S51">
        <v>1</v>
      </c>
      <c r="T51">
        <v>1</v>
      </c>
      <c r="U51">
        <v>3</v>
      </c>
      <c r="V51">
        <v>1</v>
      </c>
      <c r="Z51" s="17" t="s">
        <v>980</v>
      </c>
      <c r="AA51" s="235" cm="1">
        <f t="array" ref="AA51">AVERAGE(_xlfn._xlws.FILTER('ANL-DOE-LDV Data'!$AS:$AS, ('ANL-DOE-LDV Data'!$A:$A=$Z51)*('ANL-DOE-LDV Data'!$B:$B=AA$2-5)*('ANL-DOE-LDV Data'!$D:$D="Midsize_SUV_B")))</f>
        <v>50818.506820843926</v>
      </c>
      <c r="AB51" s="235" cm="1">
        <f t="array" ref="AB51">AVERAGE(_xlfn._xlws.FILTER('ANL-DOE-LDV Data'!$AS:$AS, ('ANL-DOE-LDV Data'!$A:$A=$Z51)*('ANL-DOE-LDV Data'!$B:$B=AB$2-5)*('ANL-DOE-LDV Data'!$D:$D="Midsize_SUV_B")))</f>
        <v>46498.590145400936</v>
      </c>
      <c r="AC51" s="235" cm="1">
        <f t="array" ref="AC51">AVERAGE(_xlfn._xlws.FILTER('ANL-DOE-LDV Data'!$AS:$AS, ('ANL-DOE-LDV Data'!$A:$A=$Z51)*('ANL-DOE-LDV Data'!$B:$B=AC$2-5)*('ANL-DOE-LDV Data'!$D:$D="Midsize_SUV_B")))</f>
        <v>39561.83368299259</v>
      </c>
      <c r="AD51" s="235" cm="1">
        <f t="array" ref="AD51">AVERAGE(_xlfn._xlws.FILTER('ANL-DOE-LDV Data'!$AS:$AS, ('ANL-DOE-LDV Data'!$A:$A=$Z51)*('ANL-DOE-LDV Data'!$B:$B=AD$2-5)*('ANL-DOE-LDV Data'!$D:$D="Midsize_SUV_B")))</f>
        <v>35632.085539793559</v>
      </c>
      <c r="AE51" s="235">
        <f t="shared" ref="AE51:AF51" si="88">($AG51-$AD51)/3 + AD51</f>
        <v>33818.597844528864</v>
      </c>
      <c r="AF51" s="235">
        <f t="shared" si="88"/>
        <v>32005.110149264168</v>
      </c>
      <c r="AG51" s="235" cm="1">
        <f t="array" ref="AG51">AVERAGE(_xlfn._xlws.FILTER('ANL-DOE-LDV Data'!$AS:$AS, ('ANL-DOE-LDV Data'!$A:$A=$Z51)*('ANL-DOE-LDV Data'!$B:$B=AG$2-5)*('ANL-DOE-LDV Data'!$D:$D="Midsize_SUV_B")))</f>
        <v>30191.622453999469</v>
      </c>
      <c r="AH51" s="102">
        <f t="shared" si="76"/>
        <v>-0.40589316092191929</v>
      </c>
      <c r="AJ51" s="17" t="s">
        <v>246</v>
      </c>
      <c r="AK51" s="235" cm="1">
        <f t="array" ref="AK51">AVERAGE(_xlfn._xlws.FILTER('ANL-DOE-MHDV Data'!$AS:$AS,('ANL-DOE-MHDV Data'!$A:$A=$AJ51)*('ANL-DOE-MHDV Data'!$B:$B=AK$32+1)*('ANL-DOE-MHDV Data'!$D:$D="School")))</f>
        <v>106778.13941761883</v>
      </c>
      <c r="AL51" s="235" cm="1">
        <f t="array" ref="AL51">AVERAGE(_xlfn._xlws.FILTER('ANL-DOE-MHDV Data'!$AS:$AS,('ANL-DOE-MHDV Data'!$A:$A=$AJ51)*('ANL-DOE-MHDV Data'!$B:$B=AL$32)*('ANL-DOE-MHDV Data'!$D:$D="School")))</f>
        <v>100450.07135752338</v>
      </c>
      <c r="AM51" s="235" cm="1">
        <f t="array" ref="AM51">AVERAGE(_xlfn._xlws.FILTER('ANL-DOE-MHDV Data'!$AS:$AS,('ANL-DOE-MHDV Data'!$A:$A=$AJ51)*('ANL-DOE-MHDV Data'!$B:$B=AM$32)*('ANL-DOE-MHDV Data'!$D:$D="School")))</f>
        <v>91271.620754383577</v>
      </c>
      <c r="AN51" s="235" cm="1">
        <f t="array" ref="AN51">AVERAGE(_xlfn._xlws.FILTER('ANL-DOE-MHDV Data'!$AS:$AS,('ANL-DOE-MHDV Data'!$A:$A=$AJ51)*('ANL-DOE-MHDV Data'!$B:$B=AN$32)*('ANL-DOE-MHDV Data'!$D:$D="School")))</f>
        <v>86487.245446952351</v>
      </c>
      <c r="AO51" s="235">
        <f t="shared" si="83"/>
        <v>84188.053858237996</v>
      </c>
      <c r="AP51" s="235">
        <f t="shared" si="83"/>
        <v>81888.862269523641</v>
      </c>
      <c r="AQ51" s="235" cm="1">
        <f t="array" ref="AQ51">AVERAGE(_xlfn._xlws.FILTER('ANL-DOE-MHDV Data'!$AS:$AS,('ANL-DOE-MHDV Data'!$A:$A=$AJ51)*('ANL-DOE-MHDV Data'!$B:$B=AQ$32)*('ANL-DOE-MHDV Data'!$D:$D="School")))</f>
        <v>79589.670680809271</v>
      </c>
      <c r="AR51" s="102">
        <f t="shared" si="84"/>
        <v>-0.25462579592694562</v>
      </c>
      <c r="AU51" s="224" t="s">
        <v>828</v>
      </c>
      <c r="AV51" s="235">
        <f>'Background Data'!BH33*1000*USD2021_to_CAD2020/1.5</f>
        <v>133405.68502824861</v>
      </c>
      <c r="AW51" s="235">
        <f>'Background Data'!BI33*1000*USD2021_to_CAD2020/1.5</f>
        <v>135022.72363465163</v>
      </c>
      <c r="AX51" s="235">
        <f>'Background Data'!BJ33*1000*USD2021_to_CAD2020/1.5</f>
        <v>124511.97269303205</v>
      </c>
      <c r="AY51" s="102">
        <f t="shared" si="85"/>
        <v>-6.6666666666666596E-2</v>
      </c>
      <c r="BA51" s="17" t="s">
        <v>1586</v>
      </c>
      <c r="BB51" s="35">
        <v>0.34046005535935858</v>
      </c>
    </row>
    <row r="52" spans="1:54" x14ac:dyDescent="0.35">
      <c r="A52" t="s">
        <v>1257</v>
      </c>
      <c r="B52" t="s">
        <v>2261</v>
      </c>
      <c r="C52" t="s">
        <v>1828</v>
      </c>
      <c r="D52">
        <v>2015</v>
      </c>
      <c r="E52">
        <v>2005</v>
      </c>
      <c r="F52" t="s">
        <v>1951</v>
      </c>
      <c r="G52">
        <v>2020</v>
      </c>
      <c r="H52" t="s">
        <v>1953</v>
      </c>
      <c r="I52" t="s">
        <v>1260</v>
      </c>
      <c r="J52" s="331">
        <f>BB37/1000</f>
        <v>9.2618308856727509</v>
      </c>
      <c r="K52" s="88">
        <f t="shared" ref="K52:P52" si="89">BC37/1000</f>
        <v>9.2618308856727509</v>
      </c>
      <c r="L52" s="88">
        <f t="shared" si="89"/>
        <v>9.2618308856727509</v>
      </c>
      <c r="M52" s="88">
        <f t="shared" si="89"/>
        <v>9.2618308856727509</v>
      </c>
      <c r="N52" s="88">
        <f t="shared" si="89"/>
        <v>9.2618308856727509</v>
      </c>
      <c r="O52" s="88">
        <f t="shared" si="89"/>
        <v>9.2618308856727509</v>
      </c>
      <c r="P52" s="88">
        <f t="shared" si="89"/>
        <v>9.2618308856727509</v>
      </c>
      <c r="Q52" s="66" t="s">
        <v>1936</v>
      </c>
      <c r="R52" s="87">
        <v>3</v>
      </c>
      <c r="S52">
        <v>1</v>
      </c>
      <c r="T52">
        <v>3</v>
      </c>
      <c r="U52">
        <v>2</v>
      </c>
      <c r="V52">
        <v>1</v>
      </c>
      <c r="Z52" s="17" t="s">
        <v>981</v>
      </c>
      <c r="AA52" s="235" cm="1">
        <f t="array" ref="AA52">AVERAGE(_xlfn._xlws.FILTER('ANL-DOE-LDV Data'!$AS:$AS, ('ANL-DOE-LDV Data'!$A:$A=$Z52)*('ANL-DOE-LDV Data'!$B:$B=AA$2-5)*('ANL-DOE-LDV Data'!$D:$D="Midsize_SUV_B")))</f>
        <v>62009.842798334932</v>
      </c>
      <c r="AB52" s="235" cm="1">
        <f t="array" ref="AB52">AVERAGE(_xlfn._xlws.FILTER('ANL-DOE-LDV Data'!$AS:$AS, ('ANL-DOE-LDV Data'!$A:$A=$Z52)*('ANL-DOE-LDV Data'!$B:$B=AB$2-5)*('ANL-DOE-LDV Data'!$D:$D="Midsize_SUV_B")))</f>
        <v>56216.853401423337</v>
      </c>
      <c r="AC52" s="235" cm="1">
        <f t="array" ref="AC52">AVERAGE(_xlfn._xlws.FILTER('ANL-DOE-LDV Data'!$AS:$AS, ('ANL-DOE-LDV Data'!$A:$A=$Z52)*('ANL-DOE-LDV Data'!$B:$B=AC$2-5)*('ANL-DOE-LDV Data'!$D:$D="Midsize_SUV_B")))</f>
        <v>46151.540458342599</v>
      </c>
      <c r="AD52" s="235" cm="1">
        <f t="array" ref="AD52">AVERAGE(_xlfn._xlws.FILTER('ANL-DOE-LDV Data'!$AS:$AS, ('ANL-DOE-LDV Data'!$A:$A=$Z52)*('ANL-DOE-LDV Data'!$B:$B=AD$2-5)*('ANL-DOE-LDV Data'!$D:$D="Midsize_SUV_B")))</f>
        <v>40928.781535589558</v>
      </c>
      <c r="AE52" s="235">
        <f t="shared" ref="AE52:AF52" si="90">($AG52-$AD52)/3 + AD52</f>
        <v>38548.455250252031</v>
      </c>
      <c r="AF52" s="235">
        <f t="shared" si="90"/>
        <v>36168.128964914504</v>
      </c>
      <c r="AG52" s="235" cm="1">
        <f t="array" ref="AG52">AVERAGE(_xlfn._xlws.FILTER('ANL-DOE-LDV Data'!$AS:$AS, ('ANL-DOE-LDV Data'!$A:$A=$Z52)*('ANL-DOE-LDV Data'!$B:$B=AG$2-5)*('ANL-DOE-LDV Data'!$D:$D="Midsize_SUV_B")))</f>
        <v>33787.802679576969</v>
      </c>
      <c r="AH52" s="102">
        <f t="shared" si="76"/>
        <v>-0.45512194266545974</v>
      </c>
      <c r="AJ52" s="17" t="s">
        <v>627</v>
      </c>
      <c r="AK52" s="235" cm="1">
        <f t="array" ref="AK52">AVERAGE(_xlfn._xlws.FILTER('ANL-DOE-MHDV Data'!$AS:$AS,('ANL-DOE-MHDV Data'!$A:$A=$AJ52)*('ANL-DOE-MHDV Data'!$B:$B=AK$32+1)*('ANL-DOE-MHDV Data'!$D:$D="School")))</f>
        <v>133616.06310864043</v>
      </c>
      <c r="AL52" s="235" cm="1">
        <f t="array" ref="AL52">AVERAGE(_xlfn._xlws.FILTER('ANL-DOE-MHDV Data'!$AS:$AS,('ANL-DOE-MHDV Data'!$A:$A=$AJ52)*('ANL-DOE-MHDV Data'!$B:$B=AL$32)*('ANL-DOE-MHDV Data'!$D:$D="School")))</f>
        <v>121213.45756973879</v>
      </c>
      <c r="AM52" s="235" cm="1">
        <f t="array" ref="AM52">AVERAGE(_xlfn._xlws.FILTER('ANL-DOE-MHDV Data'!$AS:$AS,('ANL-DOE-MHDV Data'!$A:$A=$AJ52)*('ANL-DOE-MHDV Data'!$B:$B=AM$32)*('ANL-DOE-MHDV Data'!$D:$D="School")))</f>
        <v>111786.43544019389</v>
      </c>
      <c r="AN52" s="235" cm="1">
        <f t="array" ref="AN52">AVERAGE(_xlfn._xlws.FILTER('ANL-DOE-MHDV Data'!$AS:$AS,('ANL-DOE-MHDV Data'!$A:$A=$AJ52)*('ANL-DOE-MHDV Data'!$B:$B=AN$32)*('ANL-DOE-MHDV Data'!$D:$D="School")))</f>
        <v>105865.89633053937</v>
      </c>
      <c r="AO52" s="235">
        <f t="shared" si="83"/>
        <v>103656.36797789214</v>
      </c>
      <c r="AP52" s="235">
        <f t="shared" si="83"/>
        <v>101446.8396252449</v>
      </c>
      <c r="AQ52" s="235" cm="1">
        <f t="array" ref="AQ52">AVERAGE(_xlfn._xlws.FILTER('ANL-DOE-MHDV Data'!$AS:$AS,('ANL-DOE-MHDV Data'!$A:$A=$AJ52)*('ANL-DOE-MHDV Data'!$B:$B=AQ$32)*('ANL-DOE-MHDV Data'!$D:$D="School")))</f>
        <v>99237.311272597668</v>
      </c>
      <c r="AR52" s="102">
        <f t="shared" si="84"/>
        <v>-0.25729505147962728</v>
      </c>
      <c r="AU52" s="224" t="s">
        <v>829</v>
      </c>
      <c r="AV52" s="235">
        <f>'Background Data'!BH34*1000*USD2021_to_CAD2020/1.5</f>
        <v>177874.24670433148</v>
      </c>
      <c r="AW52" s="235">
        <f>'Background Data'!BI34*1000*USD2021_to_CAD2020/1.5</f>
        <v>147959.03248587574</v>
      </c>
      <c r="AX52" s="235">
        <f>'Background Data'!BJ34*1000*USD2021_to_CAD2020/1.5</f>
        <v>130980.12711864409</v>
      </c>
      <c r="AY52" s="102">
        <f t="shared" si="85"/>
        <v>-0.26363636363636367</v>
      </c>
      <c r="BA52" s="17" t="s">
        <v>1587</v>
      </c>
      <c r="BB52" s="35">
        <v>8.5186599217333209E-2</v>
      </c>
    </row>
    <row r="53" spans="1:54" ht="15" thickBot="1" x14ac:dyDescent="0.4">
      <c r="A53" t="s">
        <v>1258</v>
      </c>
      <c r="B53" t="s">
        <v>2261</v>
      </c>
      <c r="C53" t="s">
        <v>1828</v>
      </c>
      <c r="D53">
        <v>2015</v>
      </c>
      <c r="E53">
        <v>2005</v>
      </c>
      <c r="F53" t="s">
        <v>1951</v>
      </c>
      <c r="G53">
        <v>2020</v>
      </c>
      <c r="H53" t="s">
        <v>1953</v>
      </c>
      <c r="I53" t="s">
        <v>1260</v>
      </c>
      <c r="J53" s="331">
        <f>BB38/1000</f>
        <v>8.3609559658224697</v>
      </c>
      <c r="K53" s="88">
        <f t="shared" ref="K53" si="91">BC38/1000</f>
        <v>8.2678357783085978</v>
      </c>
      <c r="L53" s="88">
        <f t="shared" ref="L53" si="92">BD38/1000</f>
        <v>8.1747155907947242</v>
      </c>
      <c r="M53" s="88">
        <f t="shared" ref="M53" si="93">BE38/1000</f>
        <v>8.0815954032808506</v>
      </c>
      <c r="N53" s="88">
        <f t="shared" ref="N53" si="94">BF38/1000</f>
        <v>8.0815954032808506</v>
      </c>
      <c r="O53" s="88">
        <f t="shared" ref="O53" si="95">BG38/1000</f>
        <v>8.0815954032808506</v>
      </c>
      <c r="P53" s="88">
        <f t="shared" ref="P53" si="96">BH38/1000</f>
        <v>8.0815954032808506</v>
      </c>
      <c r="Q53" s="66" t="s">
        <v>1937</v>
      </c>
      <c r="R53" s="87">
        <v>3</v>
      </c>
      <c r="S53">
        <v>1</v>
      </c>
      <c r="T53">
        <v>3</v>
      </c>
      <c r="U53">
        <v>2</v>
      </c>
      <c r="V53">
        <v>1</v>
      </c>
      <c r="Z53" s="17" t="s">
        <v>988</v>
      </c>
      <c r="AA53" s="235" cm="1">
        <f t="array" ref="AA53">AVERAGE(_xlfn._xlws.FILTER('ANL-DOE-LDV Data'!$AS:$AS, ('ANL-DOE-LDV Data'!$A:$A=$Z53)*('ANL-DOE-LDV Data'!$B:$B=AA$2-5)*('ANL-DOE-LDV Data'!$D:$D="Midsize_SUV_B")))</f>
        <v>37940.500002095658</v>
      </c>
      <c r="AB53" s="235" cm="1">
        <f t="array" ref="AB53">AVERAGE(_xlfn._xlws.FILTER('ANL-DOE-LDV Data'!$AS:$AS, ('ANL-DOE-LDV Data'!$A:$A=$Z53)*('ANL-DOE-LDV Data'!$B:$B=AB$2-5)*('ANL-DOE-LDV Data'!$D:$D="Midsize_SUV_B")))</f>
        <v>35868.433831568327</v>
      </c>
      <c r="AC53" s="235" cm="1">
        <f t="array" ref="AC53">AVERAGE(_xlfn._xlws.FILTER('ANL-DOE-LDV Data'!$AS:$AS, ('ANL-DOE-LDV Data'!$A:$A=$Z53)*('ANL-DOE-LDV Data'!$B:$B=AC$2-5)*('ANL-DOE-LDV Data'!$D:$D="Midsize_SUV_B")))</f>
        <v>33929.367709275335</v>
      </c>
      <c r="AD53" s="235" cm="1">
        <f t="array" ref="AD53">AVERAGE(_xlfn._xlws.FILTER('ANL-DOE-LDV Data'!$AS:$AS, ('ANL-DOE-LDV Data'!$A:$A=$Z53)*('ANL-DOE-LDV Data'!$B:$B=AD$2-5)*('ANL-DOE-LDV Data'!$D:$D="Midsize_SUV_B")))</f>
        <v>32982.358657366123</v>
      </c>
      <c r="AE53" s="235">
        <f t="shared" ref="AE53:AF53" si="97">($AG53-$AD53)/3 + AD53</f>
        <v>32312.059365894707</v>
      </c>
      <c r="AF53" s="235">
        <f t="shared" si="97"/>
        <v>31641.760074423291</v>
      </c>
      <c r="AG53" s="235" cm="1">
        <f t="array" ref="AG53">AVERAGE(_xlfn._xlws.FILTER('ANL-DOE-LDV Data'!$AS:$AS, ('ANL-DOE-LDV Data'!$A:$A=$Z53)*('ANL-DOE-LDV Data'!$B:$B=AG$2-5)*('ANL-DOE-LDV Data'!$D:$D="Midsize_SUV_B")))</f>
        <v>30971.460782951875</v>
      </c>
      <c r="AH53" s="102">
        <f t="shared" si="76"/>
        <v>-0.18368337841511959</v>
      </c>
      <c r="AJ53" s="17" t="s">
        <v>1065</v>
      </c>
      <c r="AK53" s="235" cm="1">
        <f t="array" ref="AK53">AVERAGE(_xlfn._xlws.FILTER('ANL-DOE-MHDV Data'!$AS:$AS,('ANL-DOE-MHDV Data'!$A:$A=$AJ53)*('ANL-DOE-MHDV Data'!$B:$B=AK$32+1)*('ANL-DOE-MHDV Data'!$D:$D="School")))</f>
        <v>100807.12332416041</v>
      </c>
      <c r="AL53" s="235" cm="1">
        <f t="array" ref="AL53">AVERAGE(_xlfn._xlws.FILTER('ANL-DOE-MHDV Data'!$AS:$AS,('ANL-DOE-MHDV Data'!$A:$A=$AJ53)*('ANL-DOE-MHDV Data'!$B:$B=AL$32)*('ANL-DOE-MHDV Data'!$D:$D="School")))</f>
        <v>94936.117116953697</v>
      </c>
      <c r="AM53" s="235" cm="1">
        <f t="array" ref="AM53">AVERAGE(_xlfn._xlws.FILTER('ANL-DOE-MHDV Data'!$AS:$AS,('ANL-DOE-MHDV Data'!$A:$A=$AJ53)*('ANL-DOE-MHDV Data'!$B:$B=AM$32)*('ANL-DOE-MHDV Data'!$D:$D="School")))</f>
        <v>89186.625691982801</v>
      </c>
      <c r="AN53" s="235" cm="1">
        <f t="array" ref="AN53">AVERAGE(_xlfn._xlws.FILTER('ANL-DOE-MHDV Data'!$AS:$AS,('ANL-DOE-MHDV Data'!$A:$A=$AJ53)*('ANL-DOE-MHDV Data'!$B:$B=AN$32)*('ANL-DOE-MHDV Data'!$D:$D="School")))</f>
        <v>85977.07027840121</v>
      </c>
      <c r="AO53" s="235">
        <f t="shared" si="83"/>
        <v>84444.27150353216</v>
      </c>
      <c r="AP53" s="235">
        <f t="shared" si="83"/>
        <v>82911.47272866311</v>
      </c>
      <c r="AQ53" s="235" cm="1">
        <f t="array" ref="AQ53">AVERAGE(_xlfn._xlws.FILTER('ANL-DOE-MHDV Data'!$AS:$AS,('ANL-DOE-MHDV Data'!$A:$A=$AJ53)*('ANL-DOE-MHDV Data'!$B:$B=AQ$32)*('ANL-DOE-MHDV Data'!$D:$D="School")))</f>
        <v>81378.673953794059</v>
      </c>
      <c r="AR53" s="102">
        <f t="shared" si="84"/>
        <v>-0.19272893352874734</v>
      </c>
      <c r="AU53" s="224" t="s">
        <v>240</v>
      </c>
      <c r="AV53" s="235">
        <f>'Background Data'!BH35*1000*USD2021_to_CAD2020/1.5</f>
        <v>154427.18691148778</v>
      </c>
      <c r="AW53" s="235">
        <f>'Background Data'!BI35*1000*USD2021_to_CAD2020/1.5</f>
        <v>139065.32015065916</v>
      </c>
      <c r="AX53" s="235">
        <f>'Background Data'!BJ35*1000*USD2021_to_CAD2020/1.5</f>
        <v>132597.16572504709</v>
      </c>
      <c r="AY53" s="102">
        <f t="shared" si="85"/>
        <v>-0.14136125654450266</v>
      </c>
      <c r="BA53" s="17" t="s">
        <v>1588</v>
      </c>
      <c r="BB53" s="35">
        <v>0.29951321943304382</v>
      </c>
    </row>
    <row r="54" spans="1:54" x14ac:dyDescent="0.35">
      <c r="A54" t="s">
        <v>1273</v>
      </c>
      <c r="B54" t="s">
        <v>2261</v>
      </c>
      <c r="C54" t="s">
        <v>851</v>
      </c>
      <c r="D54">
        <v>2022</v>
      </c>
      <c r="E54">
        <v>2020</v>
      </c>
      <c r="F54" t="s">
        <v>1951</v>
      </c>
      <c r="G54">
        <v>2020</v>
      </c>
      <c r="H54" t="s">
        <v>1953</v>
      </c>
      <c r="I54" t="s">
        <v>1260</v>
      </c>
      <c r="J54" s="331">
        <f t="shared" ref="J54:P54" si="98">J55*$AS$48</f>
        <v>74.535246683476132</v>
      </c>
      <c r="K54" s="88">
        <f t="shared" si="98"/>
        <v>75.06892163543327</v>
      </c>
      <c r="L54" s="88">
        <f t="shared" si="98"/>
        <v>75.589319384932907</v>
      </c>
      <c r="M54" s="88">
        <f t="shared" si="98"/>
        <v>75.525738401319089</v>
      </c>
      <c r="N54" s="88">
        <f t="shared" si="98"/>
        <v>75.663586364051767</v>
      </c>
      <c r="O54" s="88">
        <f t="shared" si="98"/>
        <v>75.801434326784459</v>
      </c>
      <c r="P54" s="88">
        <f t="shared" si="98"/>
        <v>75.939282289517166</v>
      </c>
      <c r="Q54" s="87" t="s">
        <v>1938</v>
      </c>
      <c r="R54" s="87">
        <v>3</v>
      </c>
      <c r="S54">
        <v>1</v>
      </c>
      <c r="T54">
        <v>1</v>
      </c>
      <c r="U54">
        <v>3</v>
      </c>
      <c r="V54">
        <v>2</v>
      </c>
      <c r="Z54" s="17" t="s">
        <v>990</v>
      </c>
      <c r="AA54" s="235" cm="1">
        <f t="array" ref="AA54">AVERAGE(_xlfn._xlws.FILTER('ANL-DOE-LDV Data'!$AS:$AS, ('ANL-DOE-LDV Data'!$A:$A=$Z54)*('ANL-DOE-LDV Data'!$B:$B=AA$2-5)*('ANL-DOE-LDV Data'!$D:$D="Midsize_SUV_B")))</f>
        <v>39101.721987995661</v>
      </c>
      <c r="AB54" s="235" cm="1">
        <f t="array" ref="AB54">AVERAGE(_xlfn._xlws.FILTER('ANL-DOE-LDV Data'!$AS:$AS, ('ANL-DOE-LDV Data'!$A:$A=$Z54)*('ANL-DOE-LDV Data'!$B:$B=AB$2-5)*('ANL-DOE-LDV Data'!$D:$D="Midsize_SUV_B")))</f>
        <v>36939.317329368329</v>
      </c>
      <c r="AC54" s="235" cm="1">
        <f t="array" ref="AC54">AVERAGE(_xlfn._xlws.FILTER('ANL-DOE-LDV Data'!$AS:$AS, ('ANL-DOE-LDV Data'!$A:$A=$Z54)*('ANL-DOE-LDV Data'!$B:$B=AC$2-5)*('ANL-DOE-LDV Data'!$D:$D="Midsize_SUV_B")))</f>
        <v>35069.923004807359</v>
      </c>
      <c r="AD54" s="235" cm="1">
        <f t="array" ref="AD54">AVERAGE(_xlfn._xlws.FILTER('ANL-DOE-LDV Data'!$AS:$AS, ('ANL-DOE-LDV Data'!$A:$A=$Z54)*('ANL-DOE-LDV Data'!$B:$B=AD$2-5)*('ANL-DOE-LDV Data'!$D:$D="Midsize_SUV_B")))</f>
        <v>33899.518060366121</v>
      </c>
      <c r="AE54" s="235">
        <f t="shared" ref="AE54:AF54" si="99">($AG54-$AD54)/3 + AD54</f>
        <v>33203.66594396971</v>
      </c>
      <c r="AF54" s="235">
        <f t="shared" si="99"/>
        <v>32507.813827573296</v>
      </c>
      <c r="AG54" s="235" cm="1">
        <f t="array" ref="AG54">AVERAGE(_xlfn._xlws.FILTER('ANL-DOE-LDV Data'!$AS:$AS, ('ANL-DOE-LDV Data'!$A:$A=$Z54)*('ANL-DOE-LDV Data'!$B:$B=AG$2-5)*('ANL-DOE-LDV Data'!$D:$D="Midsize_SUV_B")))</f>
        <v>31811.961711176878</v>
      </c>
      <c r="AH54" s="102">
        <f t="shared" si="76"/>
        <v>-0.18643067123889734</v>
      </c>
      <c r="AJ54" s="33" t="s">
        <v>1296</v>
      </c>
      <c r="AR54" s="102"/>
      <c r="AS54" s="380" t="s">
        <v>1777</v>
      </c>
      <c r="AU54" s="4" t="s">
        <v>1221</v>
      </c>
      <c r="AY54" s="102"/>
      <c r="BA54" s="17" t="s">
        <v>1589</v>
      </c>
      <c r="BB54" s="35">
        <v>4.0946835926314783E-2</v>
      </c>
    </row>
    <row r="55" spans="1:54" ht="15" thickBot="1" x14ac:dyDescent="0.4">
      <c r="A55" t="s">
        <v>1274</v>
      </c>
      <c r="B55" t="s">
        <v>2261</v>
      </c>
      <c r="C55" t="s">
        <v>851</v>
      </c>
      <c r="D55">
        <v>2022</v>
      </c>
      <c r="E55">
        <v>2020</v>
      </c>
      <c r="F55" t="s">
        <v>1951</v>
      </c>
      <c r="G55">
        <v>2020</v>
      </c>
      <c r="H55" t="s">
        <v>1953</v>
      </c>
      <c r="I55" t="s">
        <v>1260</v>
      </c>
      <c r="J55" s="331">
        <f t="shared" ref="J55:P55" si="100">AK48*1000/1000000</f>
        <v>85.079003200000002</v>
      </c>
      <c r="K55" s="88">
        <f t="shared" si="100"/>
        <v>85.688171814389079</v>
      </c>
      <c r="L55" s="88">
        <f t="shared" si="100"/>
        <v>86.282185033168261</v>
      </c>
      <c r="M55" s="88">
        <f t="shared" si="100"/>
        <v>86.20960988316827</v>
      </c>
      <c r="N55" s="88">
        <f t="shared" si="100"/>
        <v>86.366957819672081</v>
      </c>
      <c r="O55" s="88">
        <f t="shared" si="100"/>
        <v>86.524305756175906</v>
      </c>
      <c r="P55" s="88">
        <f t="shared" si="100"/>
        <v>86.681653692679731</v>
      </c>
      <c r="Q55" s="87" t="s">
        <v>1939</v>
      </c>
      <c r="R55" s="87">
        <v>3</v>
      </c>
      <c r="S55">
        <v>1</v>
      </c>
      <c r="T55">
        <v>1</v>
      </c>
      <c r="U55">
        <v>3</v>
      </c>
      <c r="V55">
        <v>1</v>
      </c>
      <c r="Z55" s="33" t="s">
        <v>2159</v>
      </c>
      <c r="AH55" s="102"/>
      <c r="AJ55" s="17" t="s">
        <v>1017</v>
      </c>
      <c r="AK55" s="235" cm="1">
        <f t="array" ref="AK55">AVERAGE(_xlfn._xlws.FILTER('ANL-DOE-MHDV Data'!$AS:$AS,('ANL-DOE-MHDV Data'!$A:$A=$AJ55)*('ANL-DOE-MHDV Data'!$B:$B=AK$32+1)*('ANL-DOE-MHDV Data'!$D:$D="Transit")))</f>
        <v>267151.40769999998</v>
      </c>
      <c r="AL55" s="235" cm="1">
        <f t="array" ref="AL55">AVERAGE(_xlfn._xlws.FILTER('ANL-DOE-MHDV Data'!$AS:$AS,('ANL-DOE-MHDV Data'!$A:$A=$AJ55)*('ANL-DOE-MHDV Data'!$B:$B=AL$32)*('ANL-DOE-MHDV Data'!$D:$D="Transit")))</f>
        <v>268335.44759590185</v>
      </c>
      <c r="AM55" s="235" cm="1">
        <f t="array" ref="AM55">AVERAGE(_xlfn._xlws.FILTER('ANL-DOE-MHDV Data'!$AS:$AS,('ANL-DOE-MHDV Data'!$A:$A=$AJ55)*('ANL-DOE-MHDV Data'!$B:$B=AM$32)*('ANL-DOE-MHDV Data'!$D:$D="Transit")))</f>
        <v>269540.42733110394</v>
      </c>
      <c r="AN55" s="235" cm="1">
        <f t="array" ref="AN55">AVERAGE(_xlfn._xlws.FILTER('ANL-DOE-MHDV Data'!$AS:$AS,('ANL-DOE-MHDV Data'!$A:$A=$AJ55)*('ANL-DOE-MHDV Data'!$B:$B=AN$32)*('ANL-DOE-MHDV Data'!$D:$D="Transit")))</f>
        <v>269833.41093110392</v>
      </c>
      <c r="AO55" s="235">
        <f t="shared" ref="AO55:AP60" si="101">($AQ55-$AN55)/3 + AN55</f>
        <v>270170.11677290429</v>
      </c>
      <c r="AP55" s="235">
        <f t="shared" si="101"/>
        <v>270506.82261470467</v>
      </c>
      <c r="AQ55" s="235" cm="1">
        <f t="array" ref="AQ55">AVERAGE(_xlfn._xlws.FILTER('ANL-DOE-MHDV Data'!$AS:$AS,('ANL-DOE-MHDV Data'!$A:$A=$AJ55)*('ANL-DOE-MHDV Data'!$B:$B=AQ$32)*('ANL-DOE-MHDV Data'!$D:$D="Transit")))</f>
        <v>270843.5284565051</v>
      </c>
      <c r="AR55" s="102">
        <f t="shared" ref="AR55:AR60" si="102">(AQ55-AK55)/AK55</f>
        <v>1.3820330532007583E-2</v>
      </c>
      <c r="AS55" s="118">
        <f>AS34</f>
        <v>0.87607099143206857</v>
      </c>
      <c r="AU55" s="224" t="s">
        <v>109</v>
      </c>
      <c r="AV55" s="235">
        <f>'Background Data'!BH23*1000*USD2021_to_CAD2020/1.5</f>
        <v>133405.68502824861</v>
      </c>
      <c r="AW55" s="235">
        <f>'Background Data'!BI23*1000*USD2021_to_CAD2020/1.5</f>
        <v>141490.87806026367</v>
      </c>
      <c r="AX55" s="235">
        <f>'Background Data'!BJ23*1000*USD2021_to_CAD2020/1.5</f>
        <v>128554.56920903956</v>
      </c>
      <c r="AY55" s="102">
        <f t="shared" ref="AY55:AY60" si="103">(AX55-AV55)/AV55</f>
        <v>-3.6363636363636445E-2</v>
      </c>
      <c r="BA55" s="17" t="s">
        <v>1590</v>
      </c>
      <c r="BB55" s="35">
        <v>0.2338932900639496</v>
      </c>
    </row>
    <row r="56" spans="1:54" x14ac:dyDescent="0.35">
      <c r="A56" t="s">
        <v>1275</v>
      </c>
      <c r="B56" t="s">
        <v>2261</v>
      </c>
      <c r="C56" t="s">
        <v>851</v>
      </c>
      <c r="D56">
        <v>2022</v>
      </c>
      <c r="E56">
        <v>2020</v>
      </c>
      <c r="F56" t="s">
        <v>1951</v>
      </c>
      <c r="G56">
        <v>2020</v>
      </c>
      <c r="H56" t="s">
        <v>1953</v>
      </c>
      <c r="I56" t="s">
        <v>1260</v>
      </c>
      <c r="J56" s="331">
        <f t="shared" ref="J56:P56" si="104">J55*$AS$50</f>
        <v>110.60270416</v>
      </c>
      <c r="K56" s="88">
        <f t="shared" si="104"/>
        <v>111.3946233587058</v>
      </c>
      <c r="L56" s="88">
        <f t="shared" si="104"/>
        <v>112.16684054311874</v>
      </c>
      <c r="M56" s="88">
        <f t="shared" si="104"/>
        <v>112.07249284811876</v>
      </c>
      <c r="N56" s="88">
        <f t="shared" si="104"/>
        <v>112.27704516557371</v>
      </c>
      <c r="O56" s="88">
        <f t="shared" si="104"/>
        <v>112.48159748302868</v>
      </c>
      <c r="P56" s="88">
        <f t="shared" si="104"/>
        <v>112.68614980048365</v>
      </c>
      <c r="Q56" s="87" t="s">
        <v>1940</v>
      </c>
      <c r="R56" s="87">
        <v>3</v>
      </c>
      <c r="S56">
        <v>1</v>
      </c>
      <c r="T56">
        <v>1</v>
      </c>
      <c r="U56">
        <v>3</v>
      </c>
      <c r="V56">
        <v>2</v>
      </c>
      <c r="Z56" s="17" t="s">
        <v>985</v>
      </c>
      <c r="AA56" s="235" cm="1">
        <f t="array" ref="AA56">AVERAGE(_xlfn._xlws.FILTER('ANL-DOE-LDV Data'!$AS:$AS, ('ANL-DOE-LDV Data'!$A:$A=$Z56)*('ANL-DOE-LDV Data'!$B:$B=AA$2-5)*('ANL-DOE-LDV Data'!$D:$D="Pickup_B")))</f>
        <v>31056.815040325946</v>
      </c>
      <c r="AB56" s="235" cm="1">
        <f t="array" ref="AB56">AVERAGE(_xlfn._xlws.FILTER('ANL-DOE-LDV Data'!$AS:$AS, ('ANL-DOE-LDV Data'!$A:$A=$Z56)*('ANL-DOE-LDV Data'!$B:$B=AB$2-5)*('ANL-DOE-LDV Data'!$D:$D="Pickup_B")))</f>
        <v>30994.20974619743</v>
      </c>
      <c r="AC56" s="235" cm="1">
        <f t="array" ref="AC56">AVERAGE(_xlfn._xlws.FILTER('ANL-DOE-LDV Data'!$AS:$AS, ('ANL-DOE-LDV Data'!$A:$A=$Z56)*('ANL-DOE-LDV Data'!$B:$B=AC$2-5)*('ANL-DOE-LDV Data'!$D:$D="Pickup_B")))</f>
        <v>31696.992701537114</v>
      </c>
      <c r="AD56" s="235" cm="1">
        <f t="array" ref="AD56">AVERAGE(_xlfn._xlws.FILTER('ANL-DOE-LDV Data'!$AS:$AS, ('ANL-DOE-LDV Data'!$A:$A=$Z56)*('ANL-DOE-LDV Data'!$B:$B=AD$2-5)*('ANL-DOE-LDV Data'!$D:$D="Pickup_B")))</f>
        <v>33119.256836060093</v>
      </c>
      <c r="AE56" s="235">
        <f>($AG56-$AD56)/3 + AD56</f>
        <v>33064.385778586911</v>
      </c>
      <c r="AF56" s="235">
        <f>($AG56-$AD56)/3 + AE56</f>
        <v>33009.51472111373</v>
      </c>
      <c r="AG56" s="235" cm="1">
        <f t="array" ref="AG56">AVERAGE(_xlfn._xlws.FILTER('ANL-DOE-LDV Data'!$AS:$AS, ('ANL-DOE-LDV Data'!$A:$A=$Z56)*('ANL-DOE-LDV Data'!$B:$B=AG$2-5)*('ANL-DOE-LDV Data'!$D:$D="Pickup_B")))</f>
        <v>32954.643663640556</v>
      </c>
      <c r="AH56" s="102">
        <f t="shared" ref="AH56:AH67" si="105">(AG56-AA56)/AA56</f>
        <v>6.1108282380223491E-2</v>
      </c>
      <c r="AJ56" s="17" t="s">
        <v>1020</v>
      </c>
      <c r="AK56" s="235" cm="1">
        <f t="array" ref="AK56">AVERAGE(_xlfn._xlws.FILTER('ANL-DOE-MHDV Data'!$AS:$AS,('ANL-DOE-MHDV Data'!$A:$A=$AJ56)*('ANL-DOE-MHDV Data'!$B:$B=AK$32+1)*('ANL-DOE-MHDV Data'!$D:$D="Transit")))</f>
        <v>280150.64810339897</v>
      </c>
      <c r="AL56" s="235" cm="1">
        <f t="array" ref="AL56">AVERAGE(_xlfn._xlws.FILTER('ANL-DOE-MHDV Data'!$AS:$AS,('ANL-DOE-MHDV Data'!$A:$A=$AJ56)*('ANL-DOE-MHDV Data'!$B:$B=AL$32)*('ANL-DOE-MHDV Data'!$D:$D="Transit")))</f>
        <v>279655.37033452594</v>
      </c>
      <c r="AM56" s="235" cm="1">
        <f t="array" ref="AM56">AVERAGE(_xlfn._xlws.FILTER('ANL-DOE-MHDV Data'!$AS:$AS,('ANL-DOE-MHDV Data'!$A:$A=$AJ56)*('ANL-DOE-MHDV Data'!$B:$B=AM$32)*('ANL-DOE-MHDV Data'!$D:$D="Transit")))</f>
        <v>279696.2813185252</v>
      </c>
      <c r="AN56" s="235" cm="1">
        <f t="array" ref="AN56">AVERAGE(_xlfn._xlws.FILTER('ANL-DOE-MHDV Data'!$AS:$AS,('ANL-DOE-MHDV Data'!$A:$A=$AJ56)*('ANL-DOE-MHDV Data'!$B:$B=AN$32)*('ANL-DOE-MHDV Data'!$D:$D="Transit")))</f>
        <v>279274.68898048298</v>
      </c>
      <c r="AO56" s="235">
        <f t="shared" si="101"/>
        <v>279227.73289265914</v>
      </c>
      <c r="AP56" s="235">
        <f t="shared" si="101"/>
        <v>279180.7768048353</v>
      </c>
      <c r="AQ56" s="235" cm="1">
        <f t="array" ref="AQ56">AVERAGE(_xlfn._xlws.FILTER('ANL-DOE-MHDV Data'!$AS:$AS,('ANL-DOE-MHDV Data'!$A:$A=$AJ56)*('ANL-DOE-MHDV Data'!$B:$B=AQ$32)*('ANL-DOE-MHDV Data'!$D:$D="Transit")))</f>
        <v>279133.82071701146</v>
      </c>
      <c r="AR56" s="102">
        <f t="shared" si="102"/>
        <v>-3.6295735643353333E-3</v>
      </c>
      <c r="AS56" s="380" t="s">
        <v>1778</v>
      </c>
      <c r="AT56" s="102"/>
      <c r="AU56" s="224" t="s">
        <v>246</v>
      </c>
      <c r="AV56" s="235">
        <f>'Background Data'!BH24*1000*USD2021_to_CAD2020/1.5</f>
        <v>659751.7514124295</v>
      </c>
      <c r="AW56" s="235">
        <f>'Background Data'!BI24*1000*USD2021_to_CAD2020/1.5</f>
        <v>342003.6652542373</v>
      </c>
      <c r="AX56" s="235">
        <f>'Background Data'!BJ24*1000*USD2021_to_CAD2020/1.5</f>
        <v>227193.92419962338</v>
      </c>
      <c r="AY56" s="102">
        <f t="shared" si="103"/>
        <v>-0.65563725490196079</v>
      </c>
      <c r="BA56" s="33"/>
      <c r="BB56" s="35"/>
    </row>
    <row r="57" spans="1:54" ht="15" thickBot="1" x14ac:dyDescent="0.4">
      <c r="A57" t="s">
        <v>1276</v>
      </c>
      <c r="B57" t="s">
        <v>2261</v>
      </c>
      <c r="C57" t="s">
        <v>851</v>
      </c>
      <c r="D57">
        <v>2022</v>
      </c>
      <c r="E57">
        <v>2020</v>
      </c>
      <c r="F57" t="s">
        <v>1951</v>
      </c>
      <c r="G57">
        <v>2020</v>
      </c>
      <c r="H57" t="s">
        <v>1953</v>
      </c>
      <c r="I57" t="s">
        <v>1260</v>
      </c>
      <c r="J57" s="331">
        <f t="shared" ref="J57:P61" si="106">AK49*1000/1000000</f>
        <v>98.662606833021343</v>
      </c>
      <c r="K57" s="88">
        <f t="shared" si="106"/>
        <v>98.328144277296019</v>
      </c>
      <c r="L57" s="88">
        <f t="shared" si="106"/>
        <v>97.768641262434855</v>
      </c>
      <c r="M57" s="88">
        <f t="shared" si="106"/>
        <v>101.2092627073049</v>
      </c>
      <c r="N57" s="88">
        <f t="shared" si="106"/>
        <v>101.02328678205492</v>
      </c>
      <c r="O57" s="88">
        <f t="shared" si="106"/>
        <v>100.83731085680496</v>
      </c>
      <c r="P57" s="88">
        <f t="shared" si="106"/>
        <v>100.651334931555</v>
      </c>
      <c r="Q57" s="87" t="s">
        <v>1939</v>
      </c>
      <c r="R57" s="87">
        <v>3</v>
      </c>
      <c r="S57">
        <v>1</v>
      </c>
      <c r="T57">
        <v>1</v>
      </c>
      <c r="U57">
        <v>3</v>
      </c>
      <c r="V57">
        <v>1</v>
      </c>
      <c r="Z57" s="17" t="s">
        <v>982</v>
      </c>
      <c r="AA57" s="235" cm="1">
        <f t="array" ref="AA57">AVERAGE(_xlfn._xlws.FILTER('ANL-DOE-LDV Data'!$AS:$AS, ('ANL-DOE-LDV Data'!$A:$A=$Z57)*('ANL-DOE-LDV Data'!$B:$B=AA$2-5)*('ANL-DOE-LDV Data'!$D:$D="Pickup_B")))</f>
        <v>37168.609579538308</v>
      </c>
      <c r="AB57" s="235" cm="1">
        <f t="array" ref="AB57">AVERAGE(_xlfn._xlws.FILTER('ANL-DOE-LDV Data'!$AS:$AS, ('ANL-DOE-LDV Data'!$A:$A=$Z57)*('ANL-DOE-LDV Data'!$B:$B=AB$2-5)*('ANL-DOE-LDV Data'!$D:$D="Pickup_B")))</f>
        <v>36638.279539859752</v>
      </c>
      <c r="AC57" s="235" cm="1">
        <f t="array" ref="AC57">AVERAGE(_xlfn._xlws.FILTER('ANL-DOE-LDV Data'!$AS:$AS, ('ANL-DOE-LDV Data'!$A:$A=$Z57)*('ANL-DOE-LDV Data'!$B:$B=AC$2-5)*('ANL-DOE-LDV Data'!$D:$D="Pickup_B")))</f>
        <v>36483.961495212236</v>
      </c>
      <c r="AD57" s="235" cm="1">
        <f t="array" ref="AD57">AVERAGE(_xlfn._xlws.FILTER('ANL-DOE-LDV Data'!$AS:$AS, ('ANL-DOE-LDV Data'!$A:$A=$Z57)*('ANL-DOE-LDV Data'!$B:$B=AD$2-5)*('ANL-DOE-LDV Data'!$D:$D="Pickup_B")))</f>
        <v>36407.561047614319</v>
      </c>
      <c r="AE57" s="235">
        <f t="shared" ref="AE57:AF57" si="107">($AG57-$AD57)/3 + AD57</f>
        <v>36344.225613543691</v>
      </c>
      <c r="AF57" s="235">
        <f t="shared" si="107"/>
        <v>36280.890179473063</v>
      </c>
      <c r="AG57" s="235" cm="1">
        <f t="array" ref="AG57">AVERAGE(_xlfn._xlws.FILTER('ANL-DOE-LDV Data'!$AS:$AS, ('ANL-DOE-LDV Data'!$A:$A=$Z57)*('ANL-DOE-LDV Data'!$B:$B=AG$2-5)*('ANL-DOE-LDV Data'!$D:$D="Pickup_B")))</f>
        <v>36217.554745402427</v>
      </c>
      <c r="AH57" s="102">
        <f t="shared" si="105"/>
        <v>-2.5587581695804031E-2</v>
      </c>
      <c r="AJ57" s="17" t="s">
        <v>1021</v>
      </c>
      <c r="AK57" s="235" cm="1">
        <f t="array" ref="AK57">AVERAGE(_xlfn._xlws.FILTER('ANL-DOE-MHDV Data'!$AS:$AS,('ANL-DOE-MHDV Data'!$A:$A=$AJ57)*('ANL-DOE-MHDV Data'!$B:$B=AK$32+1)*('ANL-DOE-MHDV Data'!$D:$D="Transit")))</f>
        <v>314613.10529662599</v>
      </c>
      <c r="AL57" s="235" cm="1">
        <f t="array" ref="AL57">AVERAGE(_xlfn._xlws.FILTER('ANL-DOE-MHDV Data'!$AS:$AS,('ANL-DOE-MHDV Data'!$A:$A=$AJ57)*('ANL-DOE-MHDV Data'!$B:$B=AL$32)*('ANL-DOE-MHDV Data'!$D:$D="Transit")))</f>
        <v>307413.26801359956</v>
      </c>
      <c r="AM57" s="235" cm="1">
        <f t="array" ref="AM57">AVERAGE(_xlfn._xlws.FILTER('ANL-DOE-MHDV Data'!$AS:$AS,('ANL-DOE-MHDV Data'!$A:$A=$AJ57)*('ANL-DOE-MHDV Data'!$B:$B=AM$32)*('ANL-DOE-MHDV Data'!$D:$D="Transit")))</f>
        <v>296734.95351928414</v>
      </c>
      <c r="AN57" s="235" cm="1">
        <f t="array" ref="AN57">AVERAGE(_xlfn._xlws.FILTER('ANL-DOE-MHDV Data'!$AS:$AS,('ANL-DOE-MHDV Data'!$A:$A=$AJ57)*('ANL-DOE-MHDV Data'!$B:$B=AN$32)*('ANL-DOE-MHDV Data'!$D:$D="Transit")))</f>
        <v>290864.6262967232</v>
      </c>
      <c r="AO57" s="235">
        <f t="shared" si="101"/>
        <v>287887.70562481863</v>
      </c>
      <c r="AP57" s="235">
        <f t="shared" si="101"/>
        <v>284910.78495291405</v>
      </c>
      <c r="AQ57" s="235" cm="1">
        <f t="array" ref="AQ57">AVERAGE(_xlfn._xlws.FILTER('ANL-DOE-MHDV Data'!$AS:$AS,('ANL-DOE-MHDV Data'!$A:$A=$AJ57)*('ANL-DOE-MHDV Data'!$B:$B=AQ$32)*('ANL-DOE-MHDV Data'!$D:$D="Transit")))</f>
        <v>281933.86428100942</v>
      </c>
      <c r="AR57" s="102">
        <f t="shared" si="102"/>
        <v>-0.10387120073973292</v>
      </c>
      <c r="AS57" s="118">
        <f>'GREET-AFLEET Summary'!AN15/'GREET-AFLEET Summary'!AC15</f>
        <v>1.08</v>
      </c>
      <c r="AT57" s="102"/>
      <c r="AU57" s="224" t="s">
        <v>627</v>
      </c>
      <c r="AV57" s="235">
        <f>'Background Data'!BH25*1000*USD2021_to_CAD2020/1.5</f>
        <v>312088.45103578159</v>
      </c>
      <c r="AW57" s="235">
        <f>'Background Data'!BI25*1000*USD2021_to_CAD2020/1.5</f>
        <v>208597.98022598875</v>
      </c>
      <c r="AX57" s="235">
        <f>'Background Data'!BJ25*1000*USD2021_to_CAD2020/1.5</f>
        <v>145533.4745762712</v>
      </c>
      <c r="AY57" s="102">
        <f t="shared" si="103"/>
        <v>-0.53367875647668395</v>
      </c>
      <c r="BA57" s="375" t="s">
        <v>1681</v>
      </c>
      <c r="BB57" s="35"/>
    </row>
    <row r="58" spans="1:54" ht="15" thickBot="1" x14ac:dyDescent="0.4">
      <c r="A58" t="s">
        <v>1277</v>
      </c>
      <c r="B58" t="s">
        <v>2261</v>
      </c>
      <c r="C58" t="s">
        <v>851</v>
      </c>
      <c r="D58">
        <v>2022</v>
      </c>
      <c r="E58">
        <v>2020</v>
      </c>
      <c r="F58" t="s">
        <v>1951</v>
      </c>
      <c r="G58">
        <v>2020</v>
      </c>
      <c r="H58" t="s">
        <v>1953</v>
      </c>
      <c r="I58" t="s">
        <v>1260</v>
      </c>
      <c r="J58" s="331">
        <f t="shared" si="106"/>
        <v>105.41023888018358</v>
      </c>
      <c r="K58" s="88">
        <f t="shared" si="106"/>
        <v>101.46196569472441</v>
      </c>
      <c r="L58" s="88">
        <f t="shared" si="106"/>
        <v>95.458182098227624</v>
      </c>
      <c r="M58" s="88">
        <f t="shared" si="106"/>
        <v>92.115801277726732</v>
      </c>
      <c r="N58" s="88">
        <f t="shared" si="106"/>
        <v>90.672417551939049</v>
      </c>
      <c r="O58" s="88">
        <f t="shared" si="106"/>
        <v>89.22903382615138</v>
      </c>
      <c r="P58" s="88">
        <f t="shared" si="106"/>
        <v>87.785650100363725</v>
      </c>
      <c r="Q58" s="87" t="s">
        <v>1939</v>
      </c>
      <c r="R58" s="87">
        <v>3</v>
      </c>
      <c r="S58">
        <v>1</v>
      </c>
      <c r="T58">
        <v>1</v>
      </c>
      <c r="U58">
        <v>3</v>
      </c>
      <c r="V58">
        <v>1</v>
      </c>
      <c r="Z58" s="17" t="s">
        <v>984</v>
      </c>
      <c r="AA58" s="235" cm="1">
        <f t="array" ref="AA58">AVERAGE(_xlfn._xlws.FILTER('ANL-DOE-LDV Data'!$AS:$AS, ('ANL-DOE-LDV Data'!$A:$A=$Z58)*('ANL-DOE-LDV Data'!$B:$B=AA$2-5)*('ANL-DOE-LDV Data'!$D:$D="Pickup_B")))</f>
        <v>38331.63873981846</v>
      </c>
      <c r="AB58" s="235" cm="1">
        <f t="array" ref="AB58">AVERAGE(_xlfn._xlws.FILTER('ANL-DOE-LDV Data'!$AS:$AS, ('ANL-DOE-LDV Data'!$A:$A=$Z58)*('ANL-DOE-LDV Data'!$B:$B=AB$2-5)*('ANL-DOE-LDV Data'!$D:$D="Pickup_B")))</f>
        <v>37974.480685540067</v>
      </c>
      <c r="AC58" s="235" cm="1">
        <f t="array" ref="AC58">AVERAGE(_xlfn._xlws.FILTER('ANL-DOE-LDV Data'!$AS:$AS, ('ANL-DOE-LDV Data'!$A:$A=$Z58)*('ANL-DOE-LDV Data'!$B:$B=AC$2-5)*('ANL-DOE-LDV Data'!$D:$D="Pickup_B")))</f>
        <v>37929.502993365299</v>
      </c>
      <c r="AD58" s="235" cm="1">
        <f t="array" ref="AD58">AVERAGE(_xlfn._xlws.FILTER('ANL-DOE-LDV Data'!$AS:$AS, ('ANL-DOE-LDV Data'!$A:$A=$Z58)*('ANL-DOE-LDV Data'!$B:$B=AD$2-5)*('ANL-DOE-LDV Data'!$D:$D="Pickup_B")))</f>
        <v>37823.964359154153</v>
      </c>
      <c r="AE58" s="235">
        <f t="shared" ref="AE58:AF58" si="108">($AG58-$AD58)/3 + AD58</f>
        <v>37770.578730729008</v>
      </c>
      <c r="AF58" s="235">
        <f t="shared" si="108"/>
        <v>37717.193102303863</v>
      </c>
      <c r="AG58" s="235" cm="1">
        <f t="array" ref="AG58">AVERAGE(_xlfn._xlws.FILTER('ANL-DOE-LDV Data'!$AS:$AS, ('ANL-DOE-LDV Data'!$A:$A=$Z58)*('ANL-DOE-LDV Data'!$B:$B=AG$2-5)*('ANL-DOE-LDV Data'!$D:$D="Pickup_B")))</f>
        <v>37663.807473878711</v>
      </c>
      <c r="AH58" s="102">
        <f t="shared" si="105"/>
        <v>-1.7422455389208641E-2</v>
      </c>
      <c r="AJ58" s="17" t="s">
        <v>246</v>
      </c>
      <c r="AK58" s="235" cm="1">
        <f t="array" ref="AK58">AVERAGE(_xlfn._xlws.FILTER('ANL-DOE-MHDV Data'!$AS:$AS,('ANL-DOE-MHDV Data'!$A:$A=$AJ58)*('ANL-DOE-MHDV Data'!$B:$B=AK$32+1)*('ANL-DOE-MHDV Data'!$D:$D="Transit")))</f>
        <v>331893.63050074602</v>
      </c>
      <c r="AL58" s="235" cm="1">
        <f t="array" ref="AL58">AVERAGE(_xlfn._xlws.FILTER('ANL-DOE-MHDV Data'!$AS:$AS,('ANL-DOE-MHDV Data'!$A:$A=$AJ58)*('ANL-DOE-MHDV Data'!$B:$B=AL$32)*('ANL-DOE-MHDV Data'!$D:$D="Transit")))</f>
        <v>320284.54615094542</v>
      </c>
      <c r="AM58" s="235" cm="1">
        <f t="array" ref="AM58">AVERAGE(_xlfn._xlws.FILTER('ANL-DOE-MHDV Data'!$AS:$AS,('ANL-DOE-MHDV Data'!$A:$A=$AJ58)*('ANL-DOE-MHDV Data'!$B:$B=AM$32)*('ANL-DOE-MHDV Data'!$D:$D="Transit")))</f>
        <v>302768.09278279758</v>
      </c>
      <c r="AN58" s="235" cm="1">
        <f t="array" ref="AN58">AVERAGE(_xlfn._xlws.FILTER('ANL-DOE-MHDV Data'!$AS:$AS,('ANL-DOE-MHDV Data'!$A:$A=$AJ58)*('ANL-DOE-MHDV Data'!$B:$B=AN$32)*('ANL-DOE-MHDV Data'!$D:$D="Transit")))</f>
        <v>293673.92553944787</v>
      </c>
      <c r="AO58" s="235">
        <f t="shared" si="101"/>
        <v>288952.85394003883</v>
      </c>
      <c r="AP58" s="235">
        <f t="shared" si="101"/>
        <v>284231.78234062978</v>
      </c>
      <c r="AQ58" s="235" cm="1">
        <f t="array" ref="AQ58">AVERAGE(_xlfn._xlws.FILTER('ANL-DOE-MHDV Data'!$AS:$AS,('ANL-DOE-MHDV Data'!$A:$A=$AJ58)*('ANL-DOE-MHDV Data'!$B:$B=AQ$32)*('ANL-DOE-MHDV Data'!$D:$D="Transit")))</f>
        <v>279510.71074122074</v>
      </c>
      <c r="AR58" s="102">
        <f t="shared" si="102"/>
        <v>-0.15783044609952987</v>
      </c>
      <c r="AU58" s="224" t="s">
        <v>828</v>
      </c>
      <c r="AV58" s="235">
        <f>'Background Data'!BH26*1000*USD2021_to_CAD2020/1.5</f>
        <v>133405.68502824861</v>
      </c>
      <c r="AW58" s="235">
        <f>'Background Data'!BI26*1000*USD2021_to_CAD2020/1.5</f>
        <v>135022.72363465163</v>
      </c>
      <c r="AX58" s="235">
        <f>'Background Data'!BJ26*1000*USD2021_to_CAD2020/1.5</f>
        <v>124511.97269303205</v>
      </c>
      <c r="AY58" s="102">
        <f t="shared" si="103"/>
        <v>-6.6666666666666596E-2</v>
      </c>
      <c r="BA58" s="105" t="s">
        <v>1595</v>
      </c>
      <c r="BB58" s="105" t="s">
        <v>1682</v>
      </c>
    </row>
    <row r="59" spans="1:54" ht="15" thickTop="1" x14ac:dyDescent="0.35">
      <c r="A59" t="s">
        <v>1278</v>
      </c>
      <c r="B59" t="s">
        <v>2261</v>
      </c>
      <c r="C59" t="s">
        <v>851</v>
      </c>
      <c r="D59">
        <v>2022</v>
      </c>
      <c r="E59">
        <v>2020</v>
      </c>
      <c r="F59" t="s">
        <v>1951</v>
      </c>
      <c r="G59">
        <v>2020</v>
      </c>
      <c r="H59" t="s">
        <v>1953</v>
      </c>
      <c r="I59" t="s">
        <v>1260</v>
      </c>
      <c r="J59" s="331">
        <f t="shared" si="106"/>
        <v>106.77813941761883</v>
      </c>
      <c r="K59" s="88">
        <f t="shared" si="106"/>
        <v>100.45007135752338</v>
      </c>
      <c r="L59" s="88">
        <f t="shared" si="106"/>
        <v>91.271620754383576</v>
      </c>
      <c r="M59" s="88">
        <f t="shared" si="106"/>
        <v>86.487245446952357</v>
      </c>
      <c r="N59" s="88">
        <f t="shared" si="106"/>
        <v>84.188053858237993</v>
      </c>
      <c r="O59" s="88">
        <f t="shared" si="106"/>
        <v>81.888862269523642</v>
      </c>
      <c r="P59" s="88">
        <f t="shared" si="106"/>
        <v>79.589670680809277</v>
      </c>
      <c r="Q59" s="87" t="s">
        <v>1939</v>
      </c>
      <c r="R59" s="87">
        <v>3</v>
      </c>
      <c r="S59">
        <v>1</v>
      </c>
      <c r="T59">
        <v>1</v>
      </c>
      <c r="U59">
        <v>3</v>
      </c>
      <c r="V59">
        <v>1</v>
      </c>
      <c r="Z59" s="17" t="s">
        <v>991</v>
      </c>
      <c r="AA59" s="235" cm="1">
        <f t="array" ref="AA59">AVERAGE(_xlfn._xlws.FILTER('ANL-DOE-LDV Data'!$AS:$AS, ('ANL-DOE-LDV Data'!$A:$A=$Z59)*('ANL-DOE-LDV Data'!$B:$B=AA$2-5)*('ANL-DOE-LDV Data'!$D:$D="Pickup_B")))</f>
        <v>38570.526941726355</v>
      </c>
      <c r="AB59" s="235" cm="1">
        <f t="array" ref="AB59">AVERAGE(_xlfn._xlws.FILTER('ANL-DOE-LDV Data'!$AS:$AS, ('ANL-DOE-LDV Data'!$A:$A=$Z59)*('ANL-DOE-LDV Data'!$B:$B=AB$2-5)*('ANL-DOE-LDV Data'!$D:$D="Pickup_B")))</f>
        <v>36900.755827097899</v>
      </c>
      <c r="AC59" s="235" cm="1">
        <f t="array" ref="AC59">AVERAGE(_xlfn._xlws.FILTER('ANL-DOE-LDV Data'!$AS:$AS, ('ANL-DOE-LDV Data'!$A:$A=$Z59)*('ANL-DOE-LDV Data'!$B:$B=AC$2-5)*('ANL-DOE-LDV Data'!$D:$D="Pickup_B")))</f>
        <v>35599.977202194386</v>
      </c>
      <c r="AD59" s="235" cm="1">
        <f t="array" ref="AD59">AVERAGE(_xlfn._xlws.FILTER('ANL-DOE-LDV Data'!$AS:$AS, ('ANL-DOE-LDV Data'!$A:$A=$Z59)*('ANL-DOE-LDV Data'!$B:$B=AD$2-5)*('ANL-DOE-LDV Data'!$D:$D="Pickup_B")))</f>
        <v>34841.286514926069</v>
      </c>
      <c r="AE59" s="235">
        <f t="shared" ref="AE59:AF59" si="109">($AG59-$AD59)/3 + AD59</f>
        <v>34340.164239309233</v>
      </c>
      <c r="AF59" s="235">
        <f t="shared" si="109"/>
        <v>33839.041963692398</v>
      </c>
      <c r="AG59" s="235" cm="1">
        <f t="array" ref="AG59">AVERAGE(_xlfn._xlws.FILTER('ANL-DOE-LDV Data'!$AS:$AS, ('ANL-DOE-LDV Data'!$A:$A=$Z59)*('ANL-DOE-LDV Data'!$B:$B=AG$2-5)*('ANL-DOE-LDV Data'!$D:$D="Pickup_B")))</f>
        <v>33337.919688075563</v>
      </c>
      <c r="AH59" s="102">
        <f t="shared" si="105"/>
        <v>-0.13566335926798176</v>
      </c>
      <c r="AJ59" s="17" t="s">
        <v>627</v>
      </c>
      <c r="AK59" s="235" cm="1">
        <f t="array" ref="AK59">AVERAGE(_xlfn._xlws.FILTER('ANL-DOE-MHDV Data'!$AS:$AS,('ANL-DOE-MHDV Data'!$A:$A=$AJ59)*('ANL-DOE-MHDV Data'!$B:$B=AK$32+1)*('ANL-DOE-MHDV Data'!$D:$D="Transit")))</f>
        <v>318472.65759702382</v>
      </c>
      <c r="AL59" s="235" cm="1">
        <f t="array" ref="AL59">AVERAGE(_xlfn._xlws.FILTER('ANL-DOE-MHDV Data'!$AS:$AS,('ANL-DOE-MHDV Data'!$A:$A=$AJ59)*('ANL-DOE-MHDV Data'!$B:$B=AL$32)*('ANL-DOE-MHDV Data'!$D:$D="Transit")))</f>
        <v>306758.63047944207</v>
      </c>
      <c r="AM59" s="235" cm="1">
        <f t="array" ref="AM59">AVERAGE(_xlfn._xlws.FILTER('ANL-DOE-MHDV Data'!$AS:$AS,('ANL-DOE-MHDV Data'!$A:$A=$AJ59)*('ANL-DOE-MHDV Data'!$B:$B=AM$32)*('ANL-DOE-MHDV Data'!$D:$D="Transit")))</f>
        <v>299626.74814979371</v>
      </c>
      <c r="AN59" s="235" cm="1">
        <f t="array" ref="AN59">AVERAGE(_xlfn._xlws.FILTER('ANL-DOE-MHDV Data'!$AS:$AS,('ANL-DOE-MHDV Data'!$A:$A=$AJ59)*('ANL-DOE-MHDV Data'!$B:$B=AN$32)*('ANL-DOE-MHDV Data'!$D:$D="Transit")))</f>
        <v>293670.41457148339</v>
      </c>
      <c r="AO59" s="235">
        <f t="shared" si="101"/>
        <v>291221.44356712402</v>
      </c>
      <c r="AP59" s="235">
        <f t="shared" si="101"/>
        <v>288772.47256276465</v>
      </c>
      <c r="AQ59" s="235" cm="1">
        <f t="array" ref="AQ59">AVERAGE(_xlfn._xlws.FILTER('ANL-DOE-MHDV Data'!$AS:$AS,('ANL-DOE-MHDV Data'!$A:$A=$AJ59)*('ANL-DOE-MHDV Data'!$B:$B=AQ$32)*('ANL-DOE-MHDV Data'!$D:$D="Transit")))</f>
        <v>286323.50155840523</v>
      </c>
      <c r="AR59" s="102">
        <f t="shared" si="102"/>
        <v>-0.10094793154675841</v>
      </c>
      <c r="AU59" s="224" t="s">
        <v>829</v>
      </c>
      <c r="AV59" s="235">
        <f>'Background Data'!BH27*1000*USD2021_to_CAD2020/1.5</f>
        <v>207789.46092278723</v>
      </c>
      <c r="AW59" s="235">
        <f>'Background Data'!BI27*1000*USD2021_to_CAD2020/1.5</f>
        <v>160086.82203389832</v>
      </c>
      <c r="AX59" s="235">
        <f>'Background Data'!BJ27*1000*USD2021_to_CAD2020/1.5</f>
        <v>137448.28154425614</v>
      </c>
      <c r="AY59" s="102">
        <f t="shared" si="103"/>
        <v>-0.33852140077821014</v>
      </c>
      <c r="BA59" s="33" t="s">
        <v>1678</v>
      </c>
    </row>
    <row r="60" spans="1:54" x14ac:dyDescent="0.35">
      <c r="A60" t="s">
        <v>1279</v>
      </c>
      <c r="B60" t="s">
        <v>2261</v>
      </c>
      <c r="C60" t="s">
        <v>851</v>
      </c>
      <c r="D60">
        <v>2022</v>
      </c>
      <c r="E60">
        <v>2020</v>
      </c>
      <c r="F60" t="s">
        <v>1951</v>
      </c>
      <c r="G60">
        <v>2020</v>
      </c>
      <c r="H60" t="s">
        <v>1953</v>
      </c>
      <c r="I60" t="s">
        <v>1260</v>
      </c>
      <c r="J60" s="331">
        <f t="shared" si="106"/>
        <v>133.61606310864045</v>
      </c>
      <c r="K60" s="88">
        <f t="shared" si="106"/>
        <v>121.21345756973879</v>
      </c>
      <c r="L60" s="88">
        <f t="shared" si="106"/>
        <v>111.7864354401939</v>
      </c>
      <c r="M60" s="88">
        <f t="shared" si="106"/>
        <v>105.86589633053937</v>
      </c>
      <c r="N60" s="88">
        <f t="shared" si="106"/>
        <v>103.65636797789213</v>
      </c>
      <c r="O60" s="88">
        <f t="shared" si="106"/>
        <v>101.44683962524491</v>
      </c>
      <c r="P60" s="88">
        <f t="shared" si="106"/>
        <v>99.237311272597665</v>
      </c>
      <c r="Q60" s="87" t="s">
        <v>1939</v>
      </c>
      <c r="R60" s="87">
        <v>3</v>
      </c>
      <c r="S60">
        <v>1</v>
      </c>
      <c r="T60">
        <v>1</v>
      </c>
      <c r="U60">
        <v>3</v>
      </c>
      <c r="V60">
        <v>1</v>
      </c>
      <c r="Z60" s="17" t="s">
        <v>992</v>
      </c>
      <c r="AA60" s="235" cm="1">
        <f t="array" ref="AA60">AVERAGE(_xlfn._xlws.FILTER('ANL-DOE-LDV Data'!$AS:$AS, ('ANL-DOE-LDV Data'!$A:$A=$Z60)*('ANL-DOE-LDV Data'!$B:$B=AA$2-5)*('ANL-DOE-LDV Data'!$D:$D="Pickup_B")))</f>
        <v>40317.960113021611</v>
      </c>
      <c r="AB60" s="235" cm="1">
        <f t="array" ref="AB60">AVERAGE(_xlfn._xlws.FILTER('ANL-DOE-LDV Data'!$AS:$AS, ('ANL-DOE-LDV Data'!$A:$A=$Z60)*('ANL-DOE-LDV Data'!$B:$B=AB$2-5)*('ANL-DOE-LDV Data'!$D:$D="Pickup_B")))</f>
        <v>37430.287185958623</v>
      </c>
      <c r="AC60" s="235" cm="1">
        <f t="array" ref="AC60">AVERAGE(_xlfn._xlws.FILTER('ANL-DOE-LDV Data'!$AS:$AS, ('ANL-DOE-LDV Data'!$A:$A=$Z60)*('ANL-DOE-LDV Data'!$B:$B=AC$2-5)*('ANL-DOE-LDV Data'!$D:$D="Pickup_B")))</f>
        <v>35328.020008967724</v>
      </c>
      <c r="AD60" s="235" cm="1">
        <f t="array" ref="AD60">AVERAGE(_xlfn._xlws.FILTER('ANL-DOE-LDV Data'!$AS:$AS, ('ANL-DOE-LDV Data'!$A:$A=$Z60)*('ANL-DOE-LDV Data'!$B:$B=AD$2-5)*('ANL-DOE-LDV Data'!$D:$D="Pickup_B")))</f>
        <v>34444.051725679368</v>
      </c>
      <c r="AE60" s="235">
        <f t="shared" ref="AE60:AF60" si="110">($AG60-$AD60)/3 + AD60</f>
        <v>33932.627013800629</v>
      </c>
      <c r="AF60" s="235">
        <f t="shared" si="110"/>
        <v>33421.20230192189</v>
      </c>
      <c r="AG60" s="235" cm="1">
        <f t="array" ref="AG60">AVERAGE(_xlfn._xlws.FILTER('ANL-DOE-LDV Data'!$AS:$AS, ('ANL-DOE-LDV Data'!$A:$A=$Z60)*('ANL-DOE-LDV Data'!$B:$B=AG$2-5)*('ANL-DOE-LDV Data'!$D:$D="Pickup_B")))</f>
        <v>32909.777590043159</v>
      </c>
      <c r="AH60" s="102">
        <f t="shared" si="105"/>
        <v>-0.18374398164518768</v>
      </c>
      <c r="AJ60" s="17" t="s">
        <v>1065</v>
      </c>
      <c r="AK60" s="235" cm="1">
        <f t="array" ref="AK60">AVERAGE(_xlfn._xlws.FILTER('ANL-DOE-MHDV Data'!$AS:$AS,('ANL-DOE-MHDV Data'!$A:$A=$AJ60)*('ANL-DOE-MHDV Data'!$B:$B=AK$32+1)*('ANL-DOE-MHDV Data'!$D:$D="Transit")))</f>
        <v>300711.4271484671</v>
      </c>
      <c r="AL60" s="235" cm="1">
        <f t="array" ref="AL60">AVERAGE(_xlfn._xlws.FILTER('ANL-DOE-MHDV Data'!$AS:$AS,('ANL-DOE-MHDV Data'!$A:$A=$AJ60)*('ANL-DOE-MHDV Data'!$B:$B=AL$32)*('ANL-DOE-MHDV Data'!$D:$D="Transit")))</f>
        <v>292619.01168533711</v>
      </c>
      <c r="AM60" s="235" cm="1">
        <f t="array" ref="AM60">AVERAGE(_xlfn._xlws.FILTER('ANL-DOE-MHDV Data'!$AS:$AS,('ANL-DOE-MHDV Data'!$A:$A=$AJ60)*('ANL-DOE-MHDV Data'!$B:$B=AM$32)*('ANL-DOE-MHDV Data'!$D:$D="Transit")))</f>
        <v>285271.50359088887</v>
      </c>
      <c r="AN60" s="235" cm="1">
        <f t="array" ref="AN60">AVERAGE(_xlfn._xlws.FILTER('ANL-DOE-MHDV Data'!$AS:$AS,('ANL-DOE-MHDV Data'!$A:$A=$AJ60)*('ANL-DOE-MHDV Data'!$B:$B=AN$32)*('ANL-DOE-MHDV Data'!$D:$D="Transit")))</f>
        <v>280981.68765565805</v>
      </c>
      <c r="AO60" s="235">
        <f t="shared" si="101"/>
        <v>278668.56211086281</v>
      </c>
      <c r="AP60" s="235">
        <f t="shared" si="101"/>
        <v>276355.43656606757</v>
      </c>
      <c r="AQ60" s="235" cm="1">
        <f t="array" ref="AQ60">AVERAGE(_xlfn._xlws.FILTER('ANL-DOE-MHDV Data'!$AS:$AS,('ANL-DOE-MHDV Data'!$A:$A=$AJ60)*('ANL-DOE-MHDV Data'!$B:$B=AQ$32)*('ANL-DOE-MHDV Data'!$D:$D="Transit")))</f>
        <v>274042.31102127238</v>
      </c>
      <c r="AR60" s="102">
        <f t="shared" si="102"/>
        <v>-8.8686739909047949E-2</v>
      </c>
      <c r="AU60" s="224" t="s">
        <v>240</v>
      </c>
      <c r="AV60" s="235">
        <f>'Background Data'!BH28*1000*USD2021_to_CAD2020/1.5</f>
        <v>168172.01506591341</v>
      </c>
      <c r="AW60" s="235">
        <f>'Background Data'!BI28*1000*USD2021_to_CAD2020/1.5</f>
        <v>146341.99387947272</v>
      </c>
      <c r="AX60" s="235">
        <f>'Background Data'!BJ28*1000*USD2021_to_CAD2020/1.5</f>
        <v>137448.28154425614</v>
      </c>
      <c r="AY60" s="102">
        <f t="shared" si="103"/>
        <v>-0.18269230769230776</v>
      </c>
      <c r="BA60" s="17" t="s">
        <v>1679</v>
      </c>
      <c r="BB60" s="34">
        <v>0.18272858103533385</v>
      </c>
    </row>
    <row r="61" spans="1:54" x14ac:dyDescent="0.35">
      <c r="A61" t="s">
        <v>1280</v>
      </c>
      <c r="B61" t="s">
        <v>2261</v>
      </c>
      <c r="C61" t="s">
        <v>851</v>
      </c>
      <c r="D61">
        <v>2022</v>
      </c>
      <c r="E61">
        <v>2020</v>
      </c>
      <c r="F61" t="s">
        <v>1951</v>
      </c>
      <c r="G61">
        <v>2020</v>
      </c>
      <c r="H61" t="s">
        <v>1953</v>
      </c>
      <c r="I61" t="s">
        <v>1260</v>
      </c>
      <c r="J61" s="331">
        <f t="shared" si="106"/>
        <v>100.80712332416041</v>
      </c>
      <c r="K61" s="88">
        <f t="shared" si="106"/>
        <v>94.936117116953696</v>
      </c>
      <c r="L61" s="88">
        <f t="shared" si="106"/>
        <v>89.186625691982812</v>
      </c>
      <c r="M61" s="88">
        <f t="shared" si="106"/>
        <v>85.977070278401214</v>
      </c>
      <c r="N61" s="88">
        <f t="shared" si="106"/>
        <v>84.44427150353215</v>
      </c>
      <c r="O61" s="88">
        <f t="shared" si="106"/>
        <v>82.911472728663114</v>
      </c>
      <c r="P61" s="88">
        <f t="shared" si="106"/>
        <v>81.378673953794063</v>
      </c>
      <c r="Q61" s="87" t="s">
        <v>1939</v>
      </c>
      <c r="R61" s="87">
        <v>3</v>
      </c>
      <c r="S61">
        <v>1</v>
      </c>
      <c r="T61">
        <v>1</v>
      </c>
      <c r="U61">
        <v>3</v>
      </c>
      <c r="V61">
        <v>1</v>
      </c>
      <c r="Z61" s="17" t="s">
        <v>987</v>
      </c>
      <c r="AA61" s="235" cm="1">
        <f t="array" ref="AA61">AVERAGE(_xlfn._xlws.FILTER('ANL-DOE-LDV Data'!$AS:$AS, ('ANL-DOE-LDV Data'!$A:$A=$Z61)*('ANL-DOE-LDV Data'!$B:$B=AA$2-5)*('ANL-DOE-LDV Data'!$D:$D="Pickup_B")))</f>
        <v>44740.808594017784</v>
      </c>
      <c r="AB61" s="235" cm="1">
        <f t="array" ref="AB61">AVERAGE(_xlfn._xlws.FILTER('ANL-DOE-LDV Data'!$AS:$AS, ('ANL-DOE-LDV Data'!$A:$A=$Z61)*('ANL-DOE-LDV Data'!$B:$B=AB$2-5)*('ANL-DOE-LDV Data'!$D:$D="Pickup_B")))</f>
        <v>40642.241488370746</v>
      </c>
      <c r="AC61" s="235" cm="1">
        <f t="array" ref="AC61">AVERAGE(_xlfn._xlws.FILTER('ANL-DOE-LDV Data'!$AS:$AS, ('ANL-DOE-LDV Data'!$A:$A=$Z61)*('ANL-DOE-LDV Data'!$B:$B=AC$2-5)*('ANL-DOE-LDV Data'!$D:$D="Pickup_B")))</f>
        <v>37386.800367353266</v>
      </c>
      <c r="AD61" s="235" cm="1">
        <f t="array" ref="AD61">AVERAGE(_xlfn._xlws.FILTER('ANL-DOE-LDV Data'!$AS:$AS, ('ANL-DOE-LDV Data'!$A:$A=$Z61)*('ANL-DOE-LDV Data'!$B:$B=AD$2-5)*('ANL-DOE-LDV Data'!$D:$D="Pickup_B")))</f>
        <v>35712.300001056094</v>
      </c>
      <c r="AE61" s="235">
        <f t="shared" ref="AE61:AF61" si="111">($AG61-$AD61)/3 + AD61</f>
        <v>34979.604195922031</v>
      </c>
      <c r="AF61" s="235">
        <f t="shared" si="111"/>
        <v>34246.908390787969</v>
      </c>
      <c r="AG61" s="235" cm="1">
        <f t="array" ref="AG61">AVERAGE(_xlfn._xlws.FILTER('ANL-DOE-LDV Data'!$AS:$AS, ('ANL-DOE-LDV Data'!$A:$A=$Z61)*('ANL-DOE-LDV Data'!$B:$B=AG$2-5)*('ANL-DOE-LDV Data'!$D:$D="Pickup_B")))</f>
        <v>33514.212585653913</v>
      </c>
      <c r="AH61" s="102">
        <f t="shared" si="105"/>
        <v>-0.25092519248445055</v>
      </c>
      <c r="AJ61" s="92" t="s">
        <v>2164</v>
      </c>
      <c r="BA61" s="17" t="s">
        <v>1680</v>
      </c>
      <c r="BB61" s="34">
        <v>0.81727141896466615</v>
      </c>
    </row>
    <row r="62" spans="1:54" x14ac:dyDescent="0.35">
      <c r="A62" t="s">
        <v>1281</v>
      </c>
      <c r="B62" t="s">
        <v>2261</v>
      </c>
      <c r="C62" t="s">
        <v>851</v>
      </c>
      <c r="D62">
        <v>2022</v>
      </c>
      <c r="E62">
        <v>2020</v>
      </c>
      <c r="F62" t="s">
        <v>1951</v>
      </c>
      <c r="G62">
        <v>2020</v>
      </c>
      <c r="H62" t="s">
        <v>1953</v>
      </c>
      <c r="I62" t="s">
        <v>1260</v>
      </c>
      <c r="J62" s="331">
        <f t="shared" ref="J62:P62" si="112">J63*$AS$55</f>
        <v>234.04359860621176</v>
      </c>
      <c r="K62" s="88">
        <f t="shared" si="112"/>
        <v>235.08090161170961</v>
      </c>
      <c r="L62" s="88">
        <f t="shared" si="112"/>
        <v>236.13654940298363</v>
      </c>
      <c r="M62" s="88">
        <f t="shared" si="112"/>
        <v>236.39322383590903</v>
      </c>
      <c r="N62" s="88">
        <f t="shared" si="112"/>
        <v>236.68820205655601</v>
      </c>
      <c r="O62" s="88">
        <f t="shared" si="112"/>
        <v>236.98318027720302</v>
      </c>
      <c r="P62" s="88">
        <f t="shared" si="112"/>
        <v>237.27815849785011</v>
      </c>
      <c r="Q62" s="87" t="s">
        <v>1941</v>
      </c>
      <c r="R62" s="87">
        <v>3</v>
      </c>
      <c r="S62">
        <v>1</v>
      </c>
      <c r="T62">
        <v>1</v>
      </c>
      <c r="U62">
        <v>3</v>
      </c>
      <c r="V62">
        <v>2</v>
      </c>
      <c r="Z62" s="17" t="s">
        <v>975</v>
      </c>
      <c r="AA62" s="235" cm="1">
        <f t="array" ref="AA62">AVERAGE(_xlfn._xlws.FILTER('ANL-DOE-LDV Data'!$AS:$AS, ('ANL-DOE-LDV Data'!$A:$A=$Z62)*('ANL-DOE-LDV Data'!$B:$B=AA$2-5)*('ANL-DOE-LDV Data'!$D:$D="Pickup_B")))</f>
        <v>39658.629495646906</v>
      </c>
      <c r="AB62" s="235" cm="1">
        <f t="array" ref="AB62">AVERAGE(_xlfn._xlws.FILTER('ANL-DOE-LDV Data'!$AS:$AS, ('ANL-DOE-LDV Data'!$A:$A=$Z62)*('ANL-DOE-LDV Data'!$B:$B=AB$2-5)*('ANL-DOE-LDV Data'!$D:$D="Pickup_B")))</f>
        <v>36861.874052118284</v>
      </c>
      <c r="AC62" s="235" cm="1">
        <f t="array" ref="AC62">AVERAGE(_xlfn._xlws.FILTER('ANL-DOE-LDV Data'!$AS:$AS, ('ANL-DOE-LDV Data'!$A:$A=$Z62)*('ANL-DOE-LDV Data'!$B:$B=AC$2-5)*('ANL-DOE-LDV Data'!$D:$D="Pickup_B")))</f>
        <v>32977.077524144006</v>
      </c>
      <c r="AD62" s="235" cm="1">
        <f t="array" ref="AD62">AVERAGE(_xlfn._xlws.FILTER('ANL-DOE-LDV Data'!$AS:$AS, ('ANL-DOE-LDV Data'!$A:$A=$Z62)*('ANL-DOE-LDV Data'!$B:$B=AD$2-5)*('ANL-DOE-LDV Data'!$D:$D="Pickup_B")))</f>
        <v>30627.671310032234</v>
      </c>
      <c r="AE62" s="235">
        <f t="shared" ref="AE62:AF62" si="113">($AG62-$AD62)/3 + AD62</f>
        <v>29497.982979904151</v>
      </c>
      <c r="AF62" s="235">
        <f t="shared" si="113"/>
        <v>28368.294649776068</v>
      </c>
      <c r="AG62" s="235" cm="1">
        <f t="array" ref="AG62">AVERAGE(_xlfn._xlws.FILTER('ANL-DOE-LDV Data'!$AS:$AS, ('ANL-DOE-LDV Data'!$A:$A=$Z62)*('ANL-DOE-LDV Data'!$B:$B=AG$2-5)*('ANL-DOE-LDV Data'!$D:$D="Pickup_B")))</f>
        <v>27238.606319647984</v>
      </c>
      <c r="AH62" s="102">
        <f t="shared" si="105"/>
        <v>-0.31317328243433612</v>
      </c>
    </row>
    <row r="63" spans="1:54" ht="15.5" x14ac:dyDescent="0.35">
      <c r="A63" t="s">
        <v>1282</v>
      </c>
      <c r="B63" t="s">
        <v>2261</v>
      </c>
      <c r="C63" t="s">
        <v>851</v>
      </c>
      <c r="D63">
        <v>2022</v>
      </c>
      <c r="E63">
        <v>2020</v>
      </c>
      <c r="F63" t="s">
        <v>1951</v>
      </c>
      <c r="G63">
        <v>2020</v>
      </c>
      <c r="H63" t="s">
        <v>1953</v>
      </c>
      <c r="I63" t="s">
        <v>1260</v>
      </c>
      <c r="J63" s="331">
        <f t="shared" ref="J63:P63" si="114">AK55*1000/1000000</f>
        <v>267.15140769999999</v>
      </c>
      <c r="K63" s="88">
        <f t="shared" si="114"/>
        <v>268.33544759590183</v>
      </c>
      <c r="L63" s="88">
        <f t="shared" si="114"/>
        <v>269.5404273311039</v>
      </c>
      <c r="M63" s="88">
        <f t="shared" si="114"/>
        <v>269.83341093110397</v>
      </c>
      <c r="N63" s="88">
        <f t="shared" si="114"/>
        <v>270.17011677290429</v>
      </c>
      <c r="O63" s="88">
        <f t="shared" si="114"/>
        <v>270.50682261470467</v>
      </c>
      <c r="P63" s="88">
        <f t="shared" si="114"/>
        <v>270.84352845650511</v>
      </c>
      <c r="Q63" s="87" t="s">
        <v>1943</v>
      </c>
      <c r="R63" s="87">
        <v>3</v>
      </c>
      <c r="S63">
        <v>1</v>
      </c>
      <c r="T63">
        <v>1</v>
      </c>
      <c r="U63">
        <v>3</v>
      </c>
      <c r="V63">
        <v>1</v>
      </c>
      <c r="Z63" s="17" t="s">
        <v>979</v>
      </c>
      <c r="AA63" s="235" cm="1">
        <f t="array" ref="AA63">AVERAGE(_xlfn._xlws.FILTER('ANL-DOE-LDV Data'!$AS:$AS, ('ANL-DOE-LDV Data'!$A:$A=$Z63)*('ANL-DOE-LDV Data'!$B:$B=AA$2-5)*('ANL-DOE-LDV Data'!$D:$D="Pickup_B")))</f>
        <v>47932.955712934905</v>
      </c>
      <c r="AB63" s="235" cm="1">
        <f t="array" ref="AB63">AVERAGE(_xlfn._xlws.FILTER('ANL-DOE-LDV Data'!$AS:$AS, ('ANL-DOE-LDV Data'!$A:$A=$Z63)*('ANL-DOE-LDV Data'!$B:$B=AB$2-5)*('ANL-DOE-LDV Data'!$D:$D="Pickup_B")))</f>
        <v>44010.675744461478</v>
      </c>
      <c r="AC63" s="235" cm="1">
        <f t="array" ref="AC63">AVERAGE(_xlfn._xlws.FILTER('ANL-DOE-LDV Data'!$AS:$AS, ('ANL-DOE-LDV Data'!$A:$A=$Z63)*('ANL-DOE-LDV Data'!$B:$B=AC$2-5)*('ANL-DOE-LDV Data'!$D:$D="Pickup_B")))</f>
        <v>38224.99088661401</v>
      </c>
      <c r="AD63" s="235" cm="1">
        <f t="array" ref="AD63">AVERAGE(_xlfn._xlws.FILTER('ANL-DOE-LDV Data'!$AS:$AS, ('ANL-DOE-LDV Data'!$A:$A=$Z63)*('ANL-DOE-LDV Data'!$B:$B=AD$2-5)*('ANL-DOE-LDV Data'!$D:$D="Pickup_B")))</f>
        <v>34810.298333933228</v>
      </c>
      <c r="AE63" s="235">
        <f t="shared" ref="AE63:AF63" si="115">($AG63-$AD63)/3 + AD63</f>
        <v>33217.844554452313</v>
      </c>
      <c r="AF63" s="235">
        <f t="shared" si="115"/>
        <v>31625.390774971398</v>
      </c>
      <c r="AG63" s="235" cm="1">
        <f t="array" ref="AG63">AVERAGE(_xlfn._xlws.FILTER('ANL-DOE-LDV Data'!$AS:$AS, ('ANL-DOE-LDV Data'!$A:$A=$Z63)*('ANL-DOE-LDV Data'!$B:$B=AG$2-5)*('ANL-DOE-LDV Data'!$D:$D="Pickup_B")))</f>
        <v>30032.936995490487</v>
      </c>
      <c r="AH63" s="102">
        <f t="shared" si="105"/>
        <v>-0.37343865929415293</v>
      </c>
      <c r="AJ63" s="189" t="s">
        <v>1948</v>
      </c>
    </row>
    <row r="64" spans="1:54" ht="15" thickBot="1" x14ac:dyDescent="0.4">
      <c r="A64" t="s">
        <v>1283</v>
      </c>
      <c r="B64" t="s">
        <v>2261</v>
      </c>
      <c r="C64" t="s">
        <v>851</v>
      </c>
      <c r="D64">
        <v>2022</v>
      </c>
      <c r="E64">
        <v>2020</v>
      </c>
      <c r="F64" t="s">
        <v>1951</v>
      </c>
      <c r="G64">
        <v>2020</v>
      </c>
      <c r="H64" t="s">
        <v>1953</v>
      </c>
      <c r="I64" t="s">
        <v>1260</v>
      </c>
      <c r="J64" s="331">
        <f t="shared" ref="J64:P64" si="116">J63*$AS$57</f>
        <v>288.52352031600003</v>
      </c>
      <c r="K64" s="88">
        <f t="shared" si="116"/>
        <v>289.80228340357399</v>
      </c>
      <c r="L64" s="88">
        <f t="shared" si="116"/>
        <v>291.10366151759223</v>
      </c>
      <c r="M64" s="88">
        <f t="shared" si="116"/>
        <v>291.4200838055923</v>
      </c>
      <c r="N64" s="88">
        <f t="shared" si="116"/>
        <v>291.78372611473668</v>
      </c>
      <c r="O64" s="88">
        <f t="shared" si="116"/>
        <v>292.14736842388106</v>
      </c>
      <c r="P64" s="88">
        <f t="shared" si="116"/>
        <v>292.51101073302556</v>
      </c>
      <c r="Q64" s="87" t="s">
        <v>1942</v>
      </c>
      <c r="R64" s="87">
        <v>3</v>
      </c>
      <c r="S64">
        <v>1</v>
      </c>
      <c r="T64">
        <v>1</v>
      </c>
      <c r="U64">
        <v>3</v>
      </c>
      <c r="V64">
        <v>2</v>
      </c>
      <c r="Z64" s="17" t="s">
        <v>980</v>
      </c>
      <c r="AA64" s="235" cm="1">
        <f t="array" ref="AA64">AVERAGE(_xlfn._xlws.FILTER('ANL-DOE-LDV Data'!$AS:$AS, ('ANL-DOE-LDV Data'!$A:$A=$Z64)*('ANL-DOE-LDV Data'!$B:$B=AA$2-5)*('ANL-DOE-LDV Data'!$D:$D="Pickup_B")))</f>
        <v>59483.685040575903</v>
      </c>
      <c r="AB64" s="235" cm="1">
        <f t="array" ref="AB64">AVERAGE(_xlfn._xlws.FILTER('ANL-DOE-LDV Data'!$AS:$AS, ('ANL-DOE-LDV Data'!$A:$A=$Z64)*('ANL-DOE-LDV Data'!$B:$B=AB$2-5)*('ANL-DOE-LDV Data'!$D:$D="Pickup_B")))</f>
        <v>54051.689270621471</v>
      </c>
      <c r="AC64" s="235" cm="1">
        <f t="array" ref="AC64">AVERAGE(_xlfn._xlws.FILTER('ANL-DOE-LDV Data'!$AS:$AS, ('ANL-DOE-LDV Data'!$A:$A=$Z64)*('ANL-DOE-LDV Data'!$B:$B=AC$2-5)*('ANL-DOE-LDV Data'!$D:$D="Pickup_B")))</f>
        <v>45441.326598939006</v>
      </c>
      <c r="AD64" s="235" cm="1">
        <f t="array" ref="AD64">AVERAGE(_xlfn._xlws.FILTER('ANL-DOE-LDV Data'!$AS:$AS, ('ANL-DOE-LDV Data'!$A:$A=$Z64)*('ANL-DOE-LDV Data'!$B:$B=AD$2-5)*('ANL-DOE-LDV Data'!$D:$D="Pickup_B")))</f>
        <v>40559.085305732231</v>
      </c>
      <c r="AE64" s="235">
        <f t="shared" ref="AE64:AF64" si="117">($AG64-$AD64)/3 + AD64</f>
        <v>38318.818210194819</v>
      </c>
      <c r="AF64" s="235">
        <f t="shared" si="117"/>
        <v>36078.551114657406</v>
      </c>
      <c r="AG64" s="235" cm="1">
        <f t="array" ref="AG64">AVERAGE(_xlfn._xlws.FILTER('ANL-DOE-LDV Data'!$AS:$AS, ('ANL-DOE-LDV Data'!$A:$A=$Z64)*('ANL-DOE-LDV Data'!$B:$B=AG$2-5)*('ANL-DOE-LDV Data'!$D:$D="Pickup_B")))</f>
        <v>33838.284019119987</v>
      </c>
      <c r="AH64" s="102">
        <f t="shared" si="105"/>
        <v>-0.4311333604157559</v>
      </c>
      <c r="AJ64" s="105" t="s">
        <v>1721</v>
      </c>
      <c r="AK64" s="105" t="s">
        <v>1718</v>
      </c>
      <c r="AL64" s="105" t="s">
        <v>1719</v>
      </c>
      <c r="AM64" s="105" t="s">
        <v>1944</v>
      </c>
      <c r="AN64" s="105" t="s">
        <v>1945</v>
      </c>
      <c r="AO64" s="105" t="s">
        <v>627</v>
      </c>
      <c r="AP64" s="105" t="s">
        <v>1946</v>
      </c>
      <c r="AQ64" s="105" t="s">
        <v>246</v>
      </c>
    </row>
    <row r="65" spans="1:43" ht="15" thickTop="1" x14ac:dyDescent="0.35">
      <c r="A65" t="s">
        <v>1284</v>
      </c>
      <c r="B65" t="s">
        <v>2261</v>
      </c>
      <c r="C65" t="s">
        <v>851</v>
      </c>
      <c r="D65">
        <v>2022</v>
      </c>
      <c r="E65">
        <v>2020</v>
      </c>
      <c r="F65" t="s">
        <v>1951</v>
      </c>
      <c r="G65">
        <v>2020</v>
      </c>
      <c r="H65" t="s">
        <v>1953</v>
      </c>
      <c r="I65" t="s">
        <v>1260</v>
      </c>
      <c r="J65" s="331">
        <f t="shared" ref="J65:P69" si="118">AK56*1000/1000000</f>
        <v>280.15064810339896</v>
      </c>
      <c r="K65" s="88">
        <f t="shared" si="118"/>
        <v>279.65537033452597</v>
      </c>
      <c r="L65" s="88">
        <f t="shared" si="118"/>
        <v>279.69628131852522</v>
      </c>
      <c r="M65" s="88">
        <f t="shared" si="118"/>
        <v>279.27468898048301</v>
      </c>
      <c r="N65" s="88">
        <f t="shared" si="118"/>
        <v>279.22773289265911</v>
      </c>
      <c r="O65" s="88">
        <f t="shared" si="118"/>
        <v>279.18077680483532</v>
      </c>
      <c r="P65" s="88">
        <f t="shared" si="118"/>
        <v>279.13382071701147</v>
      </c>
      <c r="Q65" s="87" t="s">
        <v>1943</v>
      </c>
      <c r="R65" s="87">
        <v>3</v>
      </c>
      <c r="S65">
        <v>1</v>
      </c>
      <c r="T65">
        <v>1</v>
      </c>
      <c r="U65">
        <v>3</v>
      </c>
      <c r="V65">
        <v>1</v>
      </c>
      <c r="Z65" s="17" t="s">
        <v>981</v>
      </c>
      <c r="AA65" s="235" cm="1">
        <f t="array" ref="AA65">AVERAGE(_xlfn._xlws.FILTER('ANL-DOE-LDV Data'!$AS:$AS, ('ANL-DOE-LDV Data'!$A:$A=$Z65)*('ANL-DOE-LDV Data'!$B:$B=AA$2-5)*('ANL-DOE-LDV Data'!$D:$D="Pickup_B")))</f>
        <v>73284.626941342896</v>
      </c>
      <c r="AB65" s="235" cm="1">
        <f t="array" ref="AB65">AVERAGE(_xlfn._xlws.FILTER('ANL-DOE-LDV Data'!$AS:$AS, ('ANL-DOE-LDV Data'!$A:$A=$Z65)*('ANL-DOE-LDV Data'!$B:$B=AB$2-5)*('ANL-DOE-LDV Data'!$D:$D="Pickup_B")))</f>
        <v>65998.496201206275</v>
      </c>
      <c r="AC65" s="235" cm="1">
        <f t="array" ref="AC65">AVERAGE(_xlfn._xlws.FILTER('ANL-DOE-LDV Data'!$AS:$AS, ('ANL-DOE-LDV Data'!$A:$A=$Z65)*('ANL-DOE-LDV Data'!$B:$B=AC$2-5)*('ANL-DOE-LDV Data'!$D:$D="Pickup_B")))</f>
        <v>53453.347722159007</v>
      </c>
      <c r="AD65" s="235" cm="1">
        <f t="array" ref="AD65">AVERAGE(_xlfn._xlws.FILTER('ANL-DOE-LDV Data'!$AS:$AS, ('ANL-DOE-LDV Data'!$A:$A=$Z65)*('ANL-DOE-LDV Data'!$B:$B=AD$2-5)*('ANL-DOE-LDV Data'!$D:$D="Pickup_B")))</f>
        <v>47022.009379076226</v>
      </c>
      <c r="AE65" s="235">
        <f t="shared" ref="AE65:AF65" si="119">($AG65-$AD65)/3 + AD65</f>
        <v>44062.506919010979</v>
      </c>
      <c r="AF65" s="235">
        <f t="shared" si="119"/>
        <v>41103.004458945732</v>
      </c>
      <c r="AG65" s="235" cm="1">
        <f t="array" ref="AG65">AVERAGE(_xlfn._xlws.FILTER('ANL-DOE-LDV Data'!$AS:$AS, ('ANL-DOE-LDV Data'!$A:$A=$Z65)*('ANL-DOE-LDV Data'!$B:$B=AG$2-5)*('ANL-DOE-LDV Data'!$D:$D="Pickup_B")))</f>
        <v>38143.501998880485</v>
      </c>
      <c r="AH65" s="102">
        <f t="shared" si="105"/>
        <v>-0.4795156420812432</v>
      </c>
      <c r="AJ65" s="33" t="s">
        <v>1723</v>
      </c>
      <c r="AK65" s="101">
        <f>AL65</f>
        <v>1</v>
      </c>
      <c r="AL65" s="101">
        <f>'Background Data'!BF81/'Background Data'!BF75</f>
        <v>1</v>
      </c>
      <c r="AM65" s="101">
        <f>($AO$65-$AL$65)/3 + AL65</f>
        <v>1.0205774747326513</v>
      </c>
      <c r="AN65" s="101">
        <f>($AO$65-$AL$65)/3 + AM65</f>
        <v>1.0411549494653025</v>
      </c>
      <c r="AO65" s="101">
        <f>'Background Data'!BF79/'Background Data'!BF73</f>
        <v>1.0617324241979538</v>
      </c>
      <c r="AP65" s="101">
        <f>(AQ65-AO65)/2 + AO65</f>
        <v>1.1403261650513192</v>
      </c>
      <c r="AQ65" s="101">
        <f>'Background Data'!BF77/'Background Data'!BF71</f>
        <v>1.2189199059046849</v>
      </c>
    </row>
    <row r="66" spans="1:43" x14ac:dyDescent="0.35">
      <c r="A66" t="s">
        <v>1285</v>
      </c>
      <c r="B66" t="s">
        <v>2261</v>
      </c>
      <c r="C66" t="s">
        <v>851</v>
      </c>
      <c r="D66">
        <v>2022</v>
      </c>
      <c r="E66">
        <v>2020</v>
      </c>
      <c r="F66" t="s">
        <v>1951</v>
      </c>
      <c r="G66">
        <v>2020</v>
      </c>
      <c r="H66" t="s">
        <v>1953</v>
      </c>
      <c r="I66" t="s">
        <v>1260</v>
      </c>
      <c r="J66" s="331">
        <f t="shared" si="118"/>
        <v>314.61310529662597</v>
      </c>
      <c r="K66" s="88">
        <f t="shared" si="118"/>
        <v>307.41326801359958</v>
      </c>
      <c r="L66" s="88">
        <f t="shared" si="118"/>
        <v>296.73495351928415</v>
      </c>
      <c r="M66" s="88">
        <f t="shared" si="118"/>
        <v>290.8646262967232</v>
      </c>
      <c r="N66" s="88">
        <f t="shared" si="118"/>
        <v>287.88770562481864</v>
      </c>
      <c r="O66" s="88">
        <f t="shared" si="118"/>
        <v>284.91078495291407</v>
      </c>
      <c r="P66" s="88">
        <f t="shared" si="118"/>
        <v>281.93386428100945</v>
      </c>
      <c r="Q66" s="87" t="s">
        <v>1943</v>
      </c>
      <c r="R66" s="87">
        <v>3</v>
      </c>
      <c r="S66">
        <v>1</v>
      </c>
      <c r="T66">
        <v>1</v>
      </c>
      <c r="U66">
        <v>3</v>
      </c>
      <c r="V66">
        <v>1</v>
      </c>
      <c r="Z66" s="17" t="s">
        <v>988</v>
      </c>
      <c r="AA66" s="235" cm="1">
        <f t="array" ref="AA66">AVERAGE(_xlfn._xlws.FILTER('ANL-DOE-LDV Data'!$AS:$AS, ('ANL-DOE-LDV Data'!$A:$A=$Z66)*('ANL-DOE-LDV Data'!$B:$B=AA$2-5)*('ANL-DOE-LDV Data'!$D:$D="Pickup_B")))</f>
        <v>48987.600786751209</v>
      </c>
      <c r="AB66" s="235" cm="1">
        <f t="array" ref="AB66">AVERAGE(_xlfn._xlws.FILTER('ANL-DOE-LDV Data'!$AS:$AS, ('ANL-DOE-LDV Data'!$A:$A=$Z66)*('ANL-DOE-LDV Data'!$B:$B=AB$2-5)*('ANL-DOE-LDV Data'!$D:$D="Pickup_B")))</f>
        <v>45670.102214683764</v>
      </c>
      <c r="AC66" s="235" cm="1">
        <f t="array" ref="AC66">AVERAGE(_xlfn._xlws.FILTER('ANL-DOE-LDV Data'!$AS:$AS, ('ANL-DOE-LDV Data'!$A:$A=$Z66)*('ANL-DOE-LDV Data'!$B:$B=AC$2-5)*('ANL-DOE-LDV Data'!$D:$D="Pickup_B")))</f>
        <v>42818.274761577813</v>
      </c>
      <c r="AD66" s="235" cm="1">
        <f t="array" ref="AD66">AVERAGE(_xlfn._xlws.FILTER('ANL-DOE-LDV Data'!$AS:$AS, ('ANL-DOE-LDV Data'!$A:$A=$Z66)*('ANL-DOE-LDV Data'!$B:$B=AD$2-5)*('ANL-DOE-LDV Data'!$D:$D="Pickup_B")))</f>
        <v>41216.564258518956</v>
      </c>
      <c r="AE66" s="235">
        <f t="shared" ref="AE66:AF66" si="120">($AG66-$AD66)/3 + AD66</f>
        <v>40109.937804858338</v>
      </c>
      <c r="AF66" s="235">
        <f t="shared" si="120"/>
        <v>39003.311351197721</v>
      </c>
      <c r="AG66" s="235" cm="1">
        <f t="array" ref="AG66">AVERAGE(_xlfn._xlws.FILTER('ANL-DOE-LDV Data'!$AS:$AS, ('ANL-DOE-LDV Data'!$A:$A=$Z66)*('ANL-DOE-LDV Data'!$B:$B=AG$2-5)*('ANL-DOE-LDV Data'!$D:$D="Pickup_B")))</f>
        <v>37896.684897537096</v>
      </c>
      <c r="AH66" s="102">
        <f t="shared" si="105"/>
        <v>-0.22640251229069525</v>
      </c>
      <c r="AJ66" s="74" t="s">
        <v>1947</v>
      </c>
      <c r="AM66" s="101"/>
      <c r="AN66" s="349"/>
    </row>
    <row r="67" spans="1:43" x14ac:dyDescent="0.35">
      <c r="A67" t="s">
        <v>1286</v>
      </c>
      <c r="B67" t="s">
        <v>2261</v>
      </c>
      <c r="C67" t="s">
        <v>851</v>
      </c>
      <c r="D67">
        <v>2022</v>
      </c>
      <c r="E67">
        <v>2020</v>
      </c>
      <c r="F67" t="s">
        <v>1951</v>
      </c>
      <c r="G67">
        <v>2020</v>
      </c>
      <c r="H67" t="s">
        <v>1953</v>
      </c>
      <c r="I67" t="s">
        <v>1260</v>
      </c>
      <c r="J67" s="331">
        <f t="shared" si="118"/>
        <v>331.89363050074599</v>
      </c>
      <c r="K67" s="88">
        <f t="shared" si="118"/>
        <v>320.2845461509454</v>
      </c>
      <c r="L67" s="88">
        <f t="shared" si="118"/>
        <v>302.76809278279757</v>
      </c>
      <c r="M67" s="88">
        <f t="shared" si="118"/>
        <v>293.67392553944785</v>
      </c>
      <c r="N67" s="88">
        <f t="shared" si="118"/>
        <v>288.95285394003878</v>
      </c>
      <c r="O67" s="88">
        <f t="shared" si="118"/>
        <v>284.23178234062976</v>
      </c>
      <c r="P67" s="88">
        <f t="shared" si="118"/>
        <v>279.51071074122069</v>
      </c>
      <c r="Q67" s="87" t="s">
        <v>1943</v>
      </c>
      <c r="R67" s="87">
        <v>3</v>
      </c>
      <c r="S67">
        <v>1</v>
      </c>
      <c r="T67">
        <v>1</v>
      </c>
      <c r="U67">
        <v>3</v>
      </c>
      <c r="V67">
        <v>1</v>
      </c>
      <c r="Z67" s="17" t="s">
        <v>990</v>
      </c>
      <c r="AA67" s="235" cm="1">
        <f t="array" ref="AA67">AVERAGE(_xlfn._xlws.FILTER('ANL-DOE-LDV Data'!$AS:$AS, ('ANL-DOE-LDV Data'!$A:$A=$Z67)*('ANL-DOE-LDV Data'!$B:$B=AA$2-5)*('ANL-DOE-LDV Data'!$D:$D="Pickup_B")))</f>
        <v>50653.449193351225</v>
      </c>
      <c r="AB67" s="235" cm="1">
        <f t="array" ref="AB67">AVERAGE(_xlfn._xlws.FILTER('ANL-DOE-LDV Data'!$AS:$AS, ('ANL-DOE-LDV Data'!$A:$A=$Z67)*('ANL-DOE-LDV Data'!$B:$B=AB$2-5)*('ANL-DOE-LDV Data'!$D:$D="Pickup_B")))</f>
        <v>47179.680896083773</v>
      </c>
      <c r="AC67" s="235" cm="1">
        <f t="array" ref="AC67">AVERAGE(_xlfn._xlws.FILTER('ANL-DOE-LDV Data'!$AS:$AS, ('ANL-DOE-LDV Data'!$A:$A=$Z67)*('ANL-DOE-LDV Data'!$B:$B=AC$2-5)*('ANL-DOE-LDV Data'!$D:$D="Pickup_B")))</f>
        <v>44367.11048440983</v>
      </c>
      <c r="AD67" s="235" cm="1">
        <f t="array" ref="AD67">AVERAGE(_xlfn._xlws.FILTER('ANL-DOE-LDV Data'!$AS:$AS, ('ANL-DOE-LDV Data'!$A:$A=$Z67)*('ANL-DOE-LDV Data'!$B:$B=AD$2-5)*('ANL-DOE-LDV Data'!$D:$D="Pickup_B")))</f>
        <v>42671.726305774282</v>
      </c>
      <c r="AE67" s="235">
        <f t="shared" ref="AE67:AF67" si="121">($AG67-$AD67)/3 + AD67</f>
        <v>41510.465018441835</v>
      </c>
      <c r="AF67" s="235">
        <f t="shared" si="121"/>
        <v>40349.203731109388</v>
      </c>
      <c r="AG67" s="235" cm="1">
        <f t="array" ref="AG67">AVERAGE(_xlfn._xlws.FILTER('ANL-DOE-LDV Data'!$AS:$AS, ('ANL-DOE-LDV Data'!$A:$A=$Z67)*('ANL-DOE-LDV Data'!$B:$B=AG$2-5)*('ANL-DOE-LDV Data'!$D:$D="Pickup_B")))</f>
        <v>39187.942443776941</v>
      </c>
      <c r="AH67" s="102">
        <f t="shared" si="105"/>
        <v>-0.22635194507305628</v>
      </c>
    </row>
    <row r="68" spans="1:43" ht="15.5" x14ac:dyDescent="0.35">
      <c r="A68" t="s">
        <v>1287</v>
      </c>
      <c r="B68" t="s">
        <v>2261</v>
      </c>
      <c r="C68" t="s">
        <v>851</v>
      </c>
      <c r="D68">
        <v>2022</v>
      </c>
      <c r="E68">
        <v>2020</v>
      </c>
      <c r="F68" t="s">
        <v>1951</v>
      </c>
      <c r="G68">
        <v>2020</v>
      </c>
      <c r="H68" t="s">
        <v>1953</v>
      </c>
      <c r="I68" t="s">
        <v>1260</v>
      </c>
      <c r="J68" s="331">
        <f t="shared" si="118"/>
        <v>318.47265759702384</v>
      </c>
      <c r="K68" s="88">
        <f t="shared" si="118"/>
        <v>306.75863047944205</v>
      </c>
      <c r="L68" s="88">
        <f t="shared" si="118"/>
        <v>299.62674814979368</v>
      </c>
      <c r="M68" s="88">
        <f t="shared" si="118"/>
        <v>293.67041457148338</v>
      </c>
      <c r="N68" s="88">
        <f t="shared" si="118"/>
        <v>291.22144356712403</v>
      </c>
      <c r="O68" s="88">
        <f t="shared" si="118"/>
        <v>288.77247256276462</v>
      </c>
      <c r="P68" s="88">
        <f t="shared" si="118"/>
        <v>286.32350155840521</v>
      </c>
      <c r="Q68" s="87" t="s">
        <v>1943</v>
      </c>
      <c r="R68" s="87">
        <v>3</v>
      </c>
      <c r="S68">
        <v>1</v>
      </c>
      <c r="T68">
        <v>1</v>
      </c>
      <c r="U68">
        <v>3</v>
      </c>
      <c r="V68">
        <v>1</v>
      </c>
      <c r="AJ68" s="189" t="s">
        <v>2062</v>
      </c>
      <c r="AK68" s="189"/>
      <c r="AL68" s="189"/>
      <c r="AM68" s="189"/>
      <c r="AN68" s="189"/>
      <c r="AO68" s="189"/>
      <c r="AP68" s="189"/>
      <c r="AQ68" s="189"/>
    </row>
    <row r="69" spans="1:43" ht="16" thickBot="1" x14ac:dyDescent="0.4">
      <c r="A69" t="s">
        <v>1288</v>
      </c>
      <c r="B69" t="s">
        <v>2261</v>
      </c>
      <c r="C69" t="s">
        <v>851</v>
      </c>
      <c r="D69">
        <v>2022</v>
      </c>
      <c r="E69">
        <v>2020</v>
      </c>
      <c r="F69" t="s">
        <v>1951</v>
      </c>
      <c r="G69">
        <v>2020</v>
      </c>
      <c r="H69" t="s">
        <v>1953</v>
      </c>
      <c r="I69" t="s">
        <v>1260</v>
      </c>
      <c r="J69" s="331">
        <f t="shared" si="118"/>
        <v>300.71142714846712</v>
      </c>
      <c r="K69" s="88">
        <f t="shared" si="118"/>
        <v>292.61901168533711</v>
      </c>
      <c r="L69" s="88">
        <f t="shared" si="118"/>
        <v>285.27150359088887</v>
      </c>
      <c r="M69" s="88">
        <f t="shared" si="118"/>
        <v>280.98168765565805</v>
      </c>
      <c r="N69" s="88">
        <f t="shared" si="118"/>
        <v>278.66856211086281</v>
      </c>
      <c r="O69" s="88">
        <f t="shared" si="118"/>
        <v>276.35543656606757</v>
      </c>
      <c r="P69" s="88">
        <f t="shared" si="118"/>
        <v>274.04231102127238</v>
      </c>
      <c r="Q69" s="87" t="s">
        <v>1943</v>
      </c>
      <c r="R69" s="87">
        <v>3</v>
      </c>
      <c r="S69">
        <v>1</v>
      </c>
      <c r="T69">
        <v>1</v>
      </c>
      <c r="U69">
        <v>3</v>
      </c>
      <c r="V69">
        <v>1</v>
      </c>
      <c r="Z69" s="318" t="s">
        <v>1261</v>
      </c>
      <c r="AA69" s="318"/>
      <c r="AB69" s="318"/>
      <c r="AC69" s="318"/>
      <c r="AD69" s="318"/>
      <c r="AE69" s="318"/>
      <c r="AF69" s="318"/>
      <c r="AG69" s="318"/>
      <c r="AH69" s="189"/>
      <c r="AJ69" s="105" t="s">
        <v>2056</v>
      </c>
      <c r="AK69" s="105">
        <v>2020</v>
      </c>
      <c r="AL69" s="105">
        <v>2025</v>
      </c>
      <c r="AM69" s="105">
        <v>2030</v>
      </c>
      <c r="AN69" s="105">
        <v>2035</v>
      </c>
      <c r="AO69" s="105">
        <v>2040</v>
      </c>
      <c r="AP69" s="105">
        <v>2045</v>
      </c>
      <c r="AQ69" s="105">
        <v>2050</v>
      </c>
    </row>
    <row r="70" spans="1:43" ht="15.5" thickTop="1" thickBot="1" x14ac:dyDescent="0.4">
      <c r="A70" t="s">
        <v>1289</v>
      </c>
      <c r="B70" t="s">
        <v>2261</v>
      </c>
      <c r="C70" t="s">
        <v>851</v>
      </c>
      <c r="D70">
        <v>2022</v>
      </c>
      <c r="E70">
        <v>2020</v>
      </c>
      <c r="F70" t="s">
        <v>1951</v>
      </c>
      <c r="G70">
        <v>2020</v>
      </c>
      <c r="H70" t="s">
        <v>1953</v>
      </c>
      <c r="I70" t="s">
        <v>1260</v>
      </c>
      <c r="J70" s="331">
        <f t="shared" ref="J70:P70" si="122">J62*$AK$65</f>
        <v>234.04359860621176</v>
      </c>
      <c r="K70" s="88">
        <f t="shared" si="122"/>
        <v>235.08090161170961</v>
      </c>
      <c r="L70" s="88">
        <f t="shared" si="122"/>
        <v>236.13654940298363</v>
      </c>
      <c r="M70" s="88">
        <f t="shared" si="122"/>
        <v>236.39322383590903</v>
      </c>
      <c r="N70" s="88">
        <f t="shared" si="122"/>
        <v>236.68820205655601</v>
      </c>
      <c r="O70" s="88">
        <f t="shared" si="122"/>
        <v>236.98318027720302</v>
      </c>
      <c r="P70" s="88">
        <f t="shared" si="122"/>
        <v>237.27815849785011</v>
      </c>
      <c r="Q70" s="87" t="s">
        <v>1960</v>
      </c>
      <c r="R70" s="87">
        <v>3</v>
      </c>
      <c r="S70">
        <v>1</v>
      </c>
      <c r="T70">
        <v>1</v>
      </c>
      <c r="U70">
        <v>3</v>
      </c>
      <c r="V70">
        <v>2</v>
      </c>
      <c r="Z70" s="105" t="s">
        <v>245</v>
      </c>
      <c r="AA70" s="105">
        <v>2021</v>
      </c>
      <c r="AB70" s="105">
        <v>2025</v>
      </c>
      <c r="AC70" s="105">
        <v>2030</v>
      </c>
      <c r="AD70" s="105">
        <v>2035</v>
      </c>
      <c r="AE70" s="100" t="s">
        <v>1049</v>
      </c>
      <c r="AF70" s="100" t="s">
        <v>1050</v>
      </c>
      <c r="AG70" s="105">
        <v>2050</v>
      </c>
      <c r="AH70" s="33" t="s">
        <v>1055</v>
      </c>
      <c r="AJ70" t="s">
        <v>2060</v>
      </c>
      <c r="AK70" s="411">
        <f>'OEO &amp; EPAUS9rT-HDV Data'!R73*USD2018_to_CAD2020</f>
        <v>428.37590797546022</v>
      </c>
      <c r="AL70" s="411">
        <f>'OEO &amp; EPAUS9rT-HDV Data'!S73*USD2018_to_CAD2020</f>
        <v>352.70066871165653</v>
      </c>
      <c r="AM70" s="411">
        <f>'OEO &amp; EPAUS9rT-HDV Data'!T73*USD2018_to_CAD2020</f>
        <v>277.02542944785284</v>
      </c>
      <c r="AN70" s="411">
        <f>'OEO &amp; EPAUS9rT-HDV Data'!U73*USD2018_to_CAD2020</f>
        <v>277.02542944785284</v>
      </c>
      <c r="AO70" s="411">
        <f>'OEO &amp; EPAUS9rT-HDV Data'!V73*USD2018_to_CAD2020</f>
        <v>277.02542944785284</v>
      </c>
      <c r="AP70" s="411">
        <f>'OEO &amp; EPAUS9rT-HDV Data'!W73*USD2018_to_CAD2020</f>
        <v>277.02542944785284</v>
      </c>
      <c r="AQ70" s="411">
        <f>'OEO &amp; EPAUS9rT-HDV Data'!X73*USD2018_to_CAD2020</f>
        <v>277.02542944785284</v>
      </c>
    </row>
    <row r="71" spans="1:43" ht="15" thickTop="1" x14ac:dyDescent="0.35">
      <c r="A71" t="s">
        <v>1290</v>
      </c>
      <c r="B71" t="s">
        <v>2261</v>
      </c>
      <c r="C71" t="s">
        <v>851</v>
      </c>
      <c r="D71">
        <v>2022</v>
      </c>
      <c r="E71">
        <v>2020</v>
      </c>
      <c r="F71" t="s">
        <v>1951</v>
      </c>
      <c r="G71">
        <v>2020</v>
      </c>
      <c r="H71" t="s">
        <v>1953</v>
      </c>
      <c r="I71" t="s">
        <v>1260</v>
      </c>
      <c r="J71" s="331">
        <f t="shared" ref="J71:P71" si="123">J63*$AL$65</f>
        <v>267.15140769999999</v>
      </c>
      <c r="K71" s="88">
        <f t="shared" si="123"/>
        <v>268.33544759590183</v>
      </c>
      <c r="L71" s="88">
        <f t="shared" si="123"/>
        <v>269.5404273311039</v>
      </c>
      <c r="M71" s="88">
        <f t="shared" si="123"/>
        <v>269.83341093110397</v>
      </c>
      <c r="N71" s="88">
        <f t="shared" si="123"/>
        <v>270.17011677290429</v>
      </c>
      <c r="O71" s="88">
        <f t="shared" si="123"/>
        <v>270.50682261470467</v>
      </c>
      <c r="P71" s="88">
        <f t="shared" si="123"/>
        <v>270.84352845650511</v>
      </c>
      <c r="Q71" s="87" t="s">
        <v>1959</v>
      </c>
      <c r="R71" s="87">
        <v>3</v>
      </c>
      <c r="S71">
        <v>1</v>
      </c>
      <c r="T71">
        <v>1</v>
      </c>
      <c r="U71">
        <v>3</v>
      </c>
      <c r="V71">
        <v>2</v>
      </c>
      <c r="Z71" s="33" t="s">
        <v>1586</v>
      </c>
      <c r="AJ71" t="s">
        <v>2059</v>
      </c>
      <c r="AK71" s="411">
        <f>'OEO &amp; EPAUS9rT-HDV Data'!R74*USD2018_to_CAD2020</f>
        <v>135.29651705521476</v>
      </c>
      <c r="AL71" s="411">
        <f>'OEO &amp; EPAUS9rT-HDV Data'!S74*USD2018_to_CAD2020</f>
        <v>135.29651705521476</v>
      </c>
      <c r="AM71" s="411">
        <f>'OEO &amp; EPAUS9rT-HDV Data'!T74*USD2018_to_CAD2020</f>
        <v>135.29651705521476</v>
      </c>
      <c r="AN71" s="411">
        <f>'OEO &amp; EPAUS9rT-HDV Data'!U74*USD2018_to_CAD2020</f>
        <v>135.29651705521476</v>
      </c>
      <c r="AO71" s="411">
        <f>'OEO &amp; EPAUS9rT-HDV Data'!V74*USD2018_to_CAD2020</f>
        <v>135.29651705521476</v>
      </c>
      <c r="AP71" s="411">
        <f>'OEO &amp; EPAUS9rT-HDV Data'!W74*USD2018_to_CAD2020</f>
        <v>135.29651705521476</v>
      </c>
      <c r="AQ71" s="411">
        <f>'OEO &amp; EPAUS9rT-HDV Data'!X74*USD2018_to_CAD2020</f>
        <v>135.29651705521476</v>
      </c>
    </row>
    <row r="72" spans="1:43" x14ac:dyDescent="0.35">
      <c r="A72" t="s">
        <v>1291</v>
      </c>
      <c r="B72" t="s">
        <v>2261</v>
      </c>
      <c r="C72" t="s">
        <v>851</v>
      </c>
      <c r="D72">
        <v>2022</v>
      </c>
      <c r="E72">
        <v>2020</v>
      </c>
      <c r="F72" t="s">
        <v>1951</v>
      </c>
      <c r="G72">
        <v>2020</v>
      </c>
      <c r="H72" t="s">
        <v>1953</v>
      </c>
      <c r="I72" t="s">
        <v>1260</v>
      </c>
      <c r="J72" s="331">
        <f t="shared" ref="J72:P72" si="124">J65*$AM$65</f>
        <v>285.91544098608256</v>
      </c>
      <c r="K72" s="88">
        <f t="shared" si="124"/>
        <v>285.40997165143489</v>
      </c>
      <c r="L72" s="88">
        <f t="shared" si="124"/>
        <v>285.45172448017371</v>
      </c>
      <c r="M72" s="88">
        <f t="shared" si="124"/>
        <v>285.02145683644795</v>
      </c>
      <c r="N72" s="88">
        <f t="shared" si="124"/>
        <v>284.97353451091328</v>
      </c>
      <c r="O72" s="88">
        <f t="shared" si="124"/>
        <v>284.92561218537878</v>
      </c>
      <c r="P72" s="88">
        <f t="shared" si="124"/>
        <v>284.87768985984417</v>
      </c>
      <c r="Q72" s="87" t="s">
        <v>1961</v>
      </c>
      <c r="R72" s="87">
        <v>3</v>
      </c>
      <c r="S72">
        <v>1</v>
      </c>
      <c r="T72">
        <v>1</v>
      </c>
      <c r="U72">
        <v>3</v>
      </c>
      <c r="V72">
        <v>2</v>
      </c>
      <c r="Z72" s="17" t="s">
        <v>1017</v>
      </c>
      <c r="AA72" s="235" cm="1">
        <f t="array" ref="AA72">AVERAGE(_xlfn._xlws.FILTER('ANL-DOE-MHDV Data'!$AS:$AS,('ANL-DOE-MHDV Data'!$A:$A=$Z72)*('ANL-DOE-MHDV Data'!$B:$B=AA$70)*('ANL-DOE-MHDV Data'!$E:$E="Medium 3")*('ANL-DOE-MHDV Data'!$D:$D&lt;&gt;"Pickup")*('ANL-DOE-MHDV Data'!$D:$D&lt;&gt;"School")))</f>
        <v>55389.595950000003</v>
      </c>
      <c r="AB72" s="235" cm="1">
        <f t="array" ref="AB72">AVERAGE(_xlfn._xlws.FILTER('ANL-DOE-MHDV Data'!$AS:$AS,('ANL-DOE-MHDV Data'!$A:$A=$Z72)*('ANL-DOE-MHDV Data'!$B:$B=AB$70)*('ANL-DOE-MHDV Data'!$E:$E="Medium 3")*('ANL-DOE-MHDV Data'!$D:$D&lt;&gt;"Pickup")*('ANL-DOE-MHDV Data'!$D:$D&lt;&gt;"School")))</f>
        <v>55793.814536304068</v>
      </c>
      <c r="AC72" s="235" cm="1">
        <f t="array" ref="AC72">AVERAGE(_xlfn._xlws.FILTER('ANL-DOE-MHDV Data'!$AS:$AS,('ANL-DOE-MHDV Data'!$A:$A=$Z72)*('ANL-DOE-MHDV Data'!$B:$B=AC$70)*('ANL-DOE-MHDV Data'!$E:$E="Medium 3")*('ANL-DOE-MHDV Data'!$D:$D&lt;&gt;"Pickup")*('ANL-DOE-MHDV Data'!$D:$D&lt;&gt;"School")))</f>
        <v>56471.465470988202</v>
      </c>
      <c r="AD72" s="235" cm="1">
        <f t="array" ref="AD72">AVERAGE(_xlfn._xlws.FILTER('ANL-DOE-MHDV Data'!$AS:$AS,('ANL-DOE-MHDV Data'!$A:$A=$Z72)*('ANL-DOE-MHDV Data'!$B:$B=AD$70)*('ANL-DOE-MHDV Data'!$E:$E="Medium 3")*('ANL-DOE-MHDV Data'!$D:$D&lt;&gt;"Pickup")*('ANL-DOE-MHDV Data'!$D:$D&lt;&gt;"School")))</f>
        <v>56296.936320988199</v>
      </c>
      <c r="AE72" s="235">
        <f t="shared" ref="AE72:AF72" si="125">($AG72-$AD72)/3 + AD72</f>
        <v>56435.305868141018</v>
      </c>
      <c r="AF72" s="235">
        <f t="shared" si="125"/>
        <v>56573.675415293837</v>
      </c>
      <c r="AG72" s="235" cm="1">
        <f t="array" ref="AG72">AVERAGE(_xlfn._xlws.FILTER('ANL-DOE-MHDV Data'!$AS:$AS,('ANL-DOE-MHDV Data'!$A:$A=$Z72)*('ANL-DOE-MHDV Data'!$B:$B=AG$70)*('ANL-DOE-MHDV Data'!$E:$E="Medium 3")*('ANL-DOE-MHDV Data'!$D:$D&lt;&gt;"Pickup")*('ANL-DOE-MHDV Data'!$D:$D&lt;&gt;"School")))</f>
        <v>56712.044962446656</v>
      </c>
      <c r="AH72" s="102">
        <f t="shared" ref="AH72:AH77" si="126">(AG72-AA72)/AA72</f>
        <v>2.3875404573097517E-2</v>
      </c>
    </row>
    <row r="73" spans="1:43" x14ac:dyDescent="0.35">
      <c r="A73" t="s">
        <v>1292</v>
      </c>
      <c r="B73" t="s">
        <v>2261</v>
      </c>
      <c r="C73" t="s">
        <v>851</v>
      </c>
      <c r="D73">
        <v>2022</v>
      </c>
      <c r="E73">
        <v>2020</v>
      </c>
      <c r="F73" t="s">
        <v>1951</v>
      </c>
      <c r="G73">
        <v>2020</v>
      </c>
      <c r="H73" t="s">
        <v>1953</v>
      </c>
      <c r="I73" t="s">
        <v>1260</v>
      </c>
      <c r="J73" s="331">
        <f t="shared" ref="J73:P73" si="127">J67*$AQ$65</f>
        <v>404.55175286033358</v>
      </c>
      <c r="K73" s="88">
        <f t="shared" si="127"/>
        <v>390.4012088570351</v>
      </c>
      <c r="L73" s="88">
        <f t="shared" si="127"/>
        <v>369.05005516574852</v>
      </c>
      <c r="M73" s="88">
        <f t="shared" si="127"/>
        <v>357.96499368520324</v>
      </c>
      <c r="N73" s="88">
        <f t="shared" si="127"/>
        <v>352.2103855354822</v>
      </c>
      <c r="O73" s="88">
        <f t="shared" si="127"/>
        <v>346.45577738576134</v>
      </c>
      <c r="P73" s="88">
        <f t="shared" si="127"/>
        <v>340.7011692360403</v>
      </c>
      <c r="Q73" s="87" t="s">
        <v>1959</v>
      </c>
      <c r="R73" s="87">
        <v>3</v>
      </c>
      <c r="S73">
        <v>1</v>
      </c>
      <c r="T73">
        <v>1</v>
      </c>
      <c r="U73">
        <v>3</v>
      </c>
      <c r="V73">
        <v>2</v>
      </c>
      <c r="Z73" s="17" t="s">
        <v>1020</v>
      </c>
      <c r="AA73" s="235" cm="1">
        <f t="array" ref="AA73">AVERAGE(_xlfn._xlws.FILTER('ANL-DOE-MHDV Data'!$AS:$AS,('ANL-DOE-MHDV Data'!$A:$A=$Z73)*('ANL-DOE-MHDV Data'!$B:$B=AA$70)*('ANL-DOE-MHDV Data'!$E:$E="Medium 3")*('ANL-DOE-MHDV Data'!$D:$D&lt;&gt;"Pickup")*('ANL-DOE-MHDV Data'!$D:$D&lt;&gt;"School")))</f>
        <v>62637.326564001851</v>
      </c>
      <c r="AB73" s="235" cm="1">
        <f t="array" ref="AB73">AVERAGE(_xlfn._xlws.FILTER('ANL-DOE-MHDV Data'!$AS:$AS,('ANL-DOE-MHDV Data'!$A:$A=$Z73)*('ANL-DOE-MHDV Data'!$B:$B=AB$70)*('ANL-DOE-MHDV Data'!$E:$E="Medium 3")*('ANL-DOE-MHDV Data'!$D:$D&lt;&gt;"Pickup")*('ANL-DOE-MHDV Data'!$D:$D&lt;&gt;"School")))</f>
        <v>62551.827857225697</v>
      </c>
      <c r="AC73" s="235" cm="1">
        <f t="array" ref="AC73">AVERAGE(_xlfn._xlws.FILTER('ANL-DOE-MHDV Data'!$AS:$AS,('ANL-DOE-MHDV Data'!$A:$A=$Z73)*('ANL-DOE-MHDV Data'!$B:$B=AC$70)*('ANL-DOE-MHDV Data'!$E:$E="Medium 3")*('ANL-DOE-MHDV Data'!$D:$D&lt;&gt;"Pickup")*('ANL-DOE-MHDV Data'!$D:$D&lt;&gt;"School")))</f>
        <v>62437.862304847695</v>
      </c>
      <c r="AD73" s="235" cm="1">
        <f t="array" ref="AD73">AVERAGE(_xlfn._xlws.FILTER('ANL-DOE-MHDV Data'!$AS:$AS,('ANL-DOE-MHDV Data'!$A:$A=$Z73)*('ANL-DOE-MHDV Data'!$B:$B=AD$70)*('ANL-DOE-MHDV Data'!$E:$E="Medium 3")*('ANL-DOE-MHDV Data'!$D:$D&lt;&gt;"Pickup")*('ANL-DOE-MHDV Data'!$D:$D&lt;&gt;"School")))</f>
        <v>61829.68688130856</v>
      </c>
      <c r="AE73" s="235">
        <f t="shared" ref="AE73:AF73" si="128">($AG73-$AD73)/3 + AD73</f>
        <v>61748.256893689046</v>
      </c>
      <c r="AF73" s="235">
        <f t="shared" si="128"/>
        <v>61666.826906069531</v>
      </c>
      <c r="AG73" s="235" cm="1">
        <f t="array" ref="AG73">AVERAGE(_xlfn._xlws.FILTER('ANL-DOE-MHDV Data'!$AS:$AS,('ANL-DOE-MHDV Data'!$A:$A=$Z73)*('ANL-DOE-MHDV Data'!$B:$B=AG$70)*('ANL-DOE-MHDV Data'!$E:$E="Medium 3")*('ANL-DOE-MHDV Data'!$D:$D&lt;&gt;"Pickup")*('ANL-DOE-MHDV Data'!$D:$D&lt;&gt;"School")))</f>
        <v>61585.396918450009</v>
      </c>
      <c r="AH73" s="102">
        <f t="shared" si="126"/>
        <v>-1.6793974188489609E-2</v>
      </c>
    </row>
    <row r="74" spans="1:43" x14ac:dyDescent="0.35">
      <c r="A74" t="s">
        <v>1293</v>
      </c>
      <c r="B74" t="s">
        <v>2261</v>
      </c>
      <c r="C74" t="s">
        <v>851</v>
      </c>
      <c r="D74">
        <v>2022</v>
      </c>
      <c r="E74">
        <v>2020</v>
      </c>
      <c r="F74" t="s">
        <v>1951</v>
      </c>
      <c r="G74">
        <v>2020</v>
      </c>
      <c r="H74" t="s">
        <v>1953</v>
      </c>
      <c r="I74" t="s">
        <v>1260</v>
      </c>
      <c r="J74" s="331">
        <f t="shared" ref="J74:P74" si="129">J68*$AO$65</f>
        <v>338.132746791253</v>
      </c>
      <c r="K74" s="88">
        <f t="shared" si="129"/>
        <v>325.6955843825823</v>
      </c>
      <c r="L74" s="88">
        <f t="shared" si="129"/>
        <v>318.1234336676302</v>
      </c>
      <c r="M74" s="88">
        <f t="shared" si="129"/>
        <v>311.79940117819916</v>
      </c>
      <c r="N74" s="88">
        <f t="shared" si="129"/>
        <v>309.19924925695017</v>
      </c>
      <c r="O74" s="88">
        <f t="shared" si="129"/>
        <v>306.59909733570117</v>
      </c>
      <c r="P74" s="88">
        <f t="shared" si="129"/>
        <v>303.99894541445218</v>
      </c>
      <c r="Q74" s="87" t="s">
        <v>1959</v>
      </c>
      <c r="R74" s="87">
        <v>3</v>
      </c>
      <c r="S74">
        <v>1</v>
      </c>
      <c r="T74">
        <v>1</v>
      </c>
      <c r="U74">
        <v>3</v>
      </c>
      <c r="V74">
        <v>2</v>
      </c>
      <c r="Z74" s="17" t="s">
        <v>1021</v>
      </c>
      <c r="AA74" s="235" cm="1">
        <f t="array" ref="AA74">AVERAGE(_xlfn._xlws.FILTER('ANL-DOE-MHDV Data'!$AS:$AS,('ANL-DOE-MHDV Data'!$A:$A=$Z74)*('ANL-DOE-MHDV Data'!$B:$B=AA$70)*('ANL-DOE-MHDV Data'!$E:$E="Medium 3")*('ANL-DOE-MHDV Data'!$D:$D&lt;&gt;"Pickup")*('ANL-DOE-MHDV Data'!$D:$D&lt;&gt;"School")))</f>
        <v>77964.662639622897</v>
      </c>
      <c r="AB74" s="235" cm="1">
        <f t="array" ref="AB74">AVERAGE(_xlfn._xlws.FILTER('ANL-DOE-MHDV Data'!$AS:$AS,('ANL-DOE-MHDV Data'!$A:$A=$Z74)*('ANL-DOE-MHDV Data'!$B:$B=AB$70)*('ANL-DOE-MHDV Data'!$E:$E="Medium 3")*('ANL-DOE-MHDV Data'!$D:$D&lt;&gt;"Pickup")*('ANL-DOE-MHDV Data'!$D:$D&lt;&gt;"School")))</f>
        <v>73784.916877850133</v>
      </c>
      <c r="AC74" s="235" cm="1">
        <f t="array" ref="AC74">AVERAGE(_xlfn._xlws.FILTER('ANL-DOE-MHDV Data'!$AS:$AS,('ANL-DOE-MHDV Data'!$A:$A=$Z74)*('ANL-DOE-MHDV Data'!$B:$B=AC$70)*('ANL-DOE-MHDV Data'!$E:$E="Medium 3")*('ANL-DOE-MHDV Data'!$D:$D&lt;&gt;"Pickup")*('ANL-DOE-MHDV Data'!$D:$D&lt;&gt;"School")))</f>
        <v>68589.160330008686</v>
      </c>
      <c r="AD74" s="235" cm="1">
        <f t="array" ref="AD74">AVERAGE(_xlfn._xlws.FILTER('ANL-DOE-MHDV Data'!$AS:$AS,('ANL-DOE-MHDV Data'!$A:$A=$Z74)*('ANL-DOE-MHDV Data'!$B:$B=AD$70)*('ANL-DOE-MHDV Data'!$E:$E="Medium 3")*('ANL-DOE-MHDV Data'!$D:$D&lt;&gt;"Pickup")*('ANL-DOE-MHDV Data'!$D:$D&lt;&gt;"School")))</f>
        <v>64614.555800266273</v>
      </c>
      <c r="AE74" s="235">
        <f t="shared" ref="AE74:AF74" si="130">($AG74-$AD74)/3 + AD74</f>
        <v>63141.177952779901</v>
      </c>
      <c r="AF74" s="235">
        <f t="shared" si="130"/>
        <v>61667.800105293529</v>
      </c>
      <c r="AG74" s="235" cm="1">
        <f t="array" ref="AG74">AVERAGE(_xlfn._xlws.FILTER('ANL-DOE-MHDV Data'!$AS:$AS,('ANL-DOE-MHDV Data'!$A:$A=$Z74)*('ANL-DOE-MHDV Data'!$B:$B=AG$70)*('ANL-DOE-MHDV Data'!$E:$E="Medium 3")*('ANL-DOE-MHDV Data'!$D:$D&lt;&gt;"Pickup")*('ANL-DOE-MHDV Data'!$D:$D&lt;&gt;"School")))</f>
        <v>60194.422257807157</v>
      </c>
      <c r="AH74" s="102">
        <f t="shared" si="126"/>
        <v>-0.22792685532361448</v>
      </c>
    </row>
    <row r="75" spans="1:43" x14ac:dyDescent="0.35">
      <c r="A75" t="s">
        <v>1297</v>
      </c>
      <c r="B75" t="s">
        <v>2261</v>
      </c>
      <c r="C75" t="s">
        <v>1779</v>
      </c>
      <c r="D75">
        <v>2022</v>
      </c>
      <c r="E75">
        <v>2018</v>
      </c>
      <c r="F75" t="s">
        <v>1951</v>
      </c>
      <c r="G75">
        <v>2020</v>
      </c>
      <c r="H75" t="s">
        <v>1953</v>
      </c>
      <c r="I75" t="s">
        <v>1672</v>
      </c>
      <c r="J75" s="331">
        <f>$BB$4</f>
        <v>683.95310657439131</v>
      </c>
      <c r="K75" s="88">
        <f t="shared" ref="K75:P76" si="131">$BB$4</f>
        <v>683.95310657439131</v>
      </c>
      <c r="L75" s="88">
        <f t="shared" si="131"/>
        <v>683.95310657439131</v>
      </c>
      <c r="M75" s="88">
        <f t="shared" si="131"/>
        <v>683.95310657439131</v>
      </c>
      <c r="N75" s="88">
        <f t="shared" si="131"/>
        <v>683.95310657439131</v>
      </c>
      <c r="O75" s="88">
        <f t="shared" si="131"/>
        <v>683.95310657439131</v>
      </c>
      <c r="P75" s="88">
        <f t="shared" si="131"/>
        <v>683.95310657439131</v>
      </c>
      <c r="Q75" s="87" t="s">
        <v>1955</v>
      </c>
      <c r="R75" s="87">
        <v>3</v>
      </c>
      <c r="S75">
        <v>1</v>
      </c>
      <c r="T75">
        <v>1</v>
      </c>
      <c r="U75">
        <v>3</v>
      </c>
      <c r="V75">
        <v>1</v>
      </c>
      <c r="Z75" s="17" t="s">
        <v>246</v>
      </c>
      <c r="AA75" s="235" cm="1">
        <f t="array" ref="AA75">AVERAGE(_xlfn._xlws.FILTER('ANL-DOE-MHDV Data'!$AS:$AS,('ANL-DOE-MHDV Data'!$A:$A=$Z75)*('ANL-DOE-MHDV Data'!$B:$B=AA$70)*('ANL-DOE-MHDV Data'!$E:$E="Medium 3")*('ANL-DOE-MHDV Data'!$D:$D&lt;&gt;"Pickup")*('ANL-DOE-MHDV Data'!$D:$D&lt;&gt;"School")))</f>
        <v>73064.37400246867</v>
      </c>
      <c r="AB75" s="235" cm="1">
        <f t="array" ref="AB75">AVERAGE(_xlfn._xlws.FILTER('ANL-DOE-MHDV Data'!$AS:$AS,('ANL-DOE-MHDV Data'!$A:$A=$Z75)*('ANL-DOE-MHDV Data'!$B:$B=AB$70)*('ANL-DOE-MHDV Data'!$E:$E="Medium 3")*('ANL-DOE-MHDV Data'!$D:$D&lt;&gt;"Pickup")*('ANL-DOE-MHDV Data'!$D:$D&lt;&gt;"School")))</f>
        <v>67752.489846910699</v>
      </c>
      <c r="AC75" s="235" cm="1">
        <f t="array" ref="AC75">AVERAGE(_xlfn._xlws.FILTER('ANL-DOE-MHDV Data'!$AS:$AS,('ANL-DOE-MHDV Data'!$A:$A=$Z75)*('ANL-DOE-MHDV Data'!$B:$B=AC$70)*('ANL-DOE-MHDV Data'!$E:$E="Medium 3")*('ANL-DOE-MHDV Data'!$D:$D&lt;&gt;"Pickup")*('ANL-DOE-MHDV Data'!$D:$D&lt;&gt;"School")))</f>
        <v>59265.825036100272</v>
      </c>
      <c r="AD75" s="235" cm="1">
        <f t="array" ref="AD75">AVERAGE(_xlfn._xlws.FILTER('ANL-DOE-MHDV Data'!$AS:$AS,('ANL-DOE-MHDV Data'!$A:$A=$Z75)*('ANL-DOE-MHDV Data'!$B:$B=AD$70)*('ANL-DOE-MHDV Data'!$E:$E="Medium 3")*('ANL-DOE-MHDV Data'!$D:$D&lt;&gt;"Pickup")*('ANL-DOE-MHDV Data'!$D:$D&lt;&gt;"School")))</f>
        <v>54800.486659510294</v>
      </c>
      <c r="AE75" s="235">
        <f t="shared" ref="AE75:AF75" si="132">($AG75-$AD75)/3 + AD75</f>
        <v>52782.3189336949</v>
      </c>
      <c r="AF75" s="235">
        <f t="shared" si="132"/>
        <v>50764.151207879506</v>
      </c>
      <c r="AG75" s="235" cm="1">
        <f t="array" ref="AG75">AVERAGE(_xlfn._xlws.FILTER('ANL-DOE-MHDV Data'!$AS:$AS,('ANL-DOE-MHDV Data'!$A:$A=$Z75)*('ANL-DOE-MHDV Data'!$B:$B=AG$70)*('ANL-DOE-MHDV Data'!$E:$E="Medium 3")*('ANL-DOE-MHDV Data'!$D:$D&lt;&gt;"Pickup")*('ANL-DOE-MHDV Data'!$D:$D&lt;&gt;"School")))</f>
        <v>48745.983482064112</v>
      </c>
      <c r="AH75" s="102">
        <f t="shared" si="126"/>
        <v>-0.33283513138130627</v>
      </c>
    </row>
    <row r="76" spans="1:43" x14ac:dyDescent="0.35">
      <c r="A76" t="s">
        <v>1298</v>
      </c>
      <c r="B76" t="s">
        <v>2261</v>
      </c>
      <c r="C76" t="s">
        <v>1779</v>
      </c>
      <c r="D76">
        <v>2022</v>
      </c>
      <c r="E76">
        <v>2018</v>
      </c>
      <c r="F76" t="s">
        <v>1951</v>
      </c>
      <c r="G76">
        <v>2020</v>
      </c>
      <c r="H76" t="s">
        <v>1953</v>
      </c>
      <c r="I76" t="s">
        <v>1672</v>
      </c>
      <c r="J76" s="331">
        <f>$BB$4</f>
        <v>683.95310657439131</v>
      </c>
      <c r="K76" s="88">
        <f t="shared" si="131"/>
        <v>683.95310657439131</v>
      </c>
      <c r="L76" s="88">
        <f t="shared" si="131"/>
        <v>683.95310657439131</v>
      </c>
      <c r="M76" s="88">
        <f t="shared" si="131"/>
        <v>683.95310657439131</v>
      </c>
      <c r="N76" s="88">
        <f t="shared" si="131"/>
        <v>683.95310657439131</v>
      </c>
      <c r="O76" s="88">
        <f t="shared" si="131"/>
        <v>683.95310657439131</v>
      </c>
      <c r="P76" s="88">
        <f t="shared" si="131"/>
        <v>683.95310657439131</v>
      </c>
      <c r="Q76" s="87" t="s">
        <v>1956</v>
      </c>
      <c r="R76" s="87">
        <v>3</v>
      </c>
      <c r="S76">
        <v>1</v>
      </c>
      <c r="T76">
        <v>1</v>
      </c>
      <c r="U76">
        <v>3</v>
      </c>
      <c r="V76">
        <v>1</v>
      </c>
      <c r="Z76" s="17" t="s">
        <v>627</v>
      </c>
      <c r="AA76" s="235" cm="1">
        <f t="array" ref="AA76">AVERAGE(_xlfn._xlws.FILTER('ANL-DOE-MHDV Data'!$AS:$AS,('ANL-DOE-MHDV Data'!$A:$A=$Z76)*('ANL-DOE-MHDV Data'!$B:$B=AA$70)*('ANL-DOE-MHDV Data'!$E:$E="Medium 3")*('ANL-DOE-MHDV Data'!$D:$D&lt;&gt;"Pickup")*('ANL-DOE-MHDV Data'!$D:$D&lt;&gt;"School")))</f>
        <v>91961.46530980157</v>
      </c>
      <c r="AB76" s="235" cm="1">
        <f t="array" ref="AB76">AVERAGE(_xlfn._xlws.FILTER('ANL-DOE-MHDV Data'!$AS:$AS,('ANL-DOE-MHDV Data'!$A:$A=$Z76)*('ANL-DOE-MHDV Data'!$B:$B=AB$70)*('ANL-DOE-MHDV Data'!$E:$E="Medium 3")*('ANL-DOE-MHDV Data'!$D:$D&lt;&gt;"Pickup")*('ANL-DOE-MHDV Data'!$D:$D&lt;&gt;"School")))</f>
        <v>81501.169393325326</v>
      </c>
      <c r="AC76" s="235" cm="1">
        <f t="array" ref="AC76">AVERAGE(_xlfn._xlws.FILTER('ANL-DOE-MHDV Data'!$AS:$AS,('ANL-DOE-MHDV Data'!$A:$A=$Z76)*('ANL-DOE-MHDV Data'!$B:$B=AC$70)*('ANL-DOE-MHDV Data'!$E:$E="Medium 3")*('ANL-DOE-MHDV Data'!$D:$D&lt;&gt;"Pickup")*('ANL-DOE-MHDV Data'!$D:$D&lt;&gt;"School")))</f>
        <v>74975.737496299145</v>
      </c>
      <c r="AD76" s="235" cm="1">
        <f t="array" ref="AD76">AVERAGE(_xlfn._xlws.FILTER('ANL-DOE-MHDV Data'!$AS:$AS,('ANL-DOE-MHDV Data'!$A:$A=$Z76)*('ANL-DOE-MHDV Data'!$B:$B=AD$70)*('ANL-DOE-MHDV Data'!$E:$E="Medium 3")*('ANL-DOE-MHDV Data'!$D:$D&lt;&gt;"Pickup")*('ANL-DOE-MHDV Data'!$D:$D&lt;&gt;"School")))</f>
        <v>69659.816423711192</v>
      </c>
      <c r="AE76" s="235">
        <f t="shared" ref="AE76:AF76" si="133">($AG76-$AD76)/3 + AD76</f>
        <v>67684.155573500335</v>
      </c>
      <c r="AF76" s="235">
        <f t="shared" si="133"/>
        <v>65708.494723289477</v>
      </c>
      <c r="AG76" s="235" cm="1">
        <f t="array" ref="AG76">AVERAGE(_xlfn._xlws.FILTER('ANL-DOE-MHDV Data'!$AS:$AS,('ANL-DOE-MHDV Data'!$A:$A=$Z76)*('ANL-DOE-MHDV Data'!$B:$B=AG$70)*('ANL-DOE-MHDV Data'!$E:$E="Medium 3")*('ANL-DOE-MHDV Data'!$D:$D&lt;&gt;"Pickup")*('ANL-DOE-MHDV Data'!$D:$D&lt;&gt;"School")))</f>
        <v>63732.83387307862</v>
      </c>
      <c r="AH76" s="102">
        <f t="shared" si="126"/>
        <v>-0.30696152286858186</v>
      </c>
    </row>
    <row r="77" spans="1:43" x14ac:dyDescent="0.35">
      <c r="A77" t="s">
        <v>1299</v>
      </c>
      <c r="B77" t="s">
        <v>2261</v>
      </c>
      <c r="C77" t="s">
        <v>1779</v>
      </c>
      <c r="D77">
        <v>2022</v>
      </c>
      <c r="E77">
        <v>2018</v>
      </c>
      <c r="F77" t="s">
        <v>1951</v>
      </c>
      <c r="G77">
        <v>2020</v>
      </c>
      <c r="H77" t="s">
        <v>1953</v>
      </c>
      <c r="I77" t="s">
        <v>1683</v>
      </c>
      <c r="J77" s="418">
        <f>$BF$5</f>
        <v>2751.7103381725301</v>
      </c>
      <c r="K77" s="419">
        <f t="shared" ref="K77:P78" si="134">$BF$5</f>
        <v>2751.7103381725301</v>
      </c>
      <c r="L77" s="419">
        <f t="shared" si="134"/>
        <v>2751.7103381725301</v>
      </c>
      <c r="M77" s="419">
        <f t="shared" si="134"/>
        <v>2751.7103381725301</v>
      </c>
      <c r="N77" s="419">
        <f t="shared" si="134"/>
        <v>2751.7103381725301</v>
      </c>
      <c r="O77" s="419">
        <f t="shared" si="134"/>
        <v>2751.7103381725301</v>
      </c>
      <c r="P77" s="419">
        <f t="shared" si="134"/>
        <v>2751.7103381725301</v>
      </c>
      <c r="Q77" s="87" t="s">
        <v>1967</v>
      </c>
      <c r="R77" s="87">
        <v>3</v>
      </c>
      <c r="S77">
        <v>1</v>
      </c>
      <c r="T77">
        <v>1</v>
      </c>
      <c r="U77">
        <v>3</v>
      </c>
      <c r="V77">
        <v>2</v>
      </c>
      <c r="Z77" s="17" t="s">
        <v>1065</v>
      </c>
      <c r="AA77" s="235" cm="1">
        <f t="array" ref="AA77">AVERAGE(_xlfn._xlws.FILTER('ANL-DOE-MHDV Data'!$AS:$AS,('ANL-DOE-MHDV Data'!$A:$A=$Z77)*('ANL-DOE-MHDV Data'!$B:$B=AA$70)*('ANL-DOE-MHDV Data'!$E:$E="Medium 3")*('ANL-DOE-MHDV Data'!$D:$D&lt;&gt;"Pickup")*('ANL-DOE-MHDV Data'!$D:$D&lt;&gt;"School")))</f>
        <v>71806.14981489451</v>
      </c>
      <c r="AB77" s="235" cm="1">
        <f t="array" ref="AB77">AVERAGE(_xlfn._xlws.FILTER('ANL-DOE-MHDV Data'!$AS:$AS,('ANL-DOE-MHDV Data'!$A:$A=$Z77)*('ANL-DOE-MHDV Data'!$B:$B=AB$70)*('ANL-DOE-MHDV Data'!$E:$E="Medium 3")*('ANL-DOE-MHDV Data'!$D:$D&lt;&gt;"Pickup")*('ANL-DOE-MHDV Data'!$D:$D&lt;&gt;"School")))</f>
        <v>64861.369053511298</v>
      </c>
      <c r="AC77" s="235" cm="1">
        <f t="array" ref="AC77">AVERAGE(_xlfn._xlws.FILTER('ANL-DOE-MHDV Data'!$AS:$AS,('ANL-DOE-MHDV Data'!$A:$A=$Z77)*('ANL-DOE-MHDV Data'!$B:$B=AC$70)*('ANL-DOE-MHDV Data'!$E:$E="Medium 3")*('ANL-DOE-MHDV Data'!$D:$D&lt;&gt;"Pickup")*('ANL-DOE-MHDV Data'!$D:$D&lt;&gt;"School")))</f>
        <v>59422.088032872882</v>
      </c>
      <c r="AD77" s="235" cm="1">
        <f t="array" ref="AD77">AVERAGE(_xlfn._xlws.FILTER('ANL-DOE-MHDV Data'!$AS:$AS,('ANL-DOE-MHDV Data'!$A:$A=$Z77)*('ANL-DOE-MHDV Data'!$B:$B=AD$70)*('ANL-DOE-MHDV Data'!$E:$E="Medium 3")*('ANL-DOE-MHDV Data'!$D:$D&lt;&gt;"Pickup")*('ANL-DOE-MHDV Data'!$D:$D&lt;&gt;"School")))</f>
        <v>56031.958009641261</v>
      </c>
      <c r="AE77" s="235">
        <f t="shared" ref="AE77:AF77" si="135">($AG77-$AD77)/3 + AD77</f>
        <v>54551.765238506123</v>
      </c>
      <c r="AF77" s="235">
        <f t="shared" si="135"/>
        <v>53071.572467370985</v>
      </c>
      <c r="AG77" s="235" cm="1">
        <f t="array" ref="AG77">AVERAGE(_xlfn._xlws.FILTER('ANL-DOE-MHDV Data'!$AS:$AS,('ANL-DOE-MHDV Data'!$A:$A=$Z77)*('ANL-DOE-MHDV Data'!$B:$B=AG$70)*('ANL-DOE-MHDV Data'!$E:$E="Medium 3")*('ANL-DOE-MHDV Data'!$D:$D&lt;&gt;"Pickup")*('ANL-DOE-MHDV Data'!$D:$D&lt;&gt;"School")))</f>
        <v>51591.379696235854</v>
      </c>
      <c r="AH77" s="102">
        <f t="shared" si="126"/>
        <v>-0.28151864667259424</v>
      </c>
    </row>
    <row r="78" spans="1:43" x14ac:dyDescent="0.35">
      <c r="A78" t="s">
        <v>1300</v>
      </c>
      <c r="B78" t="s">
        <v>2261</v>
      </c>
      <c r="C78" t="s">
        <v>1779</v>
      </c>
      <c r="D78">
        <v>2022</v>
      </c>
      <c r="E78">
        <v>2018</v>
      </c>
      <c r="F78" t="s">
        <v>1951</v>
      </c>
      <c r="G78">
        <v>2020</v>
      </c>
      <c r="H78" t="s">
        <v>1953</v>
      </c>
      <c r="I78" t="s">
        <v>1683</v>
      </c>
      <c r="J78" s="418">
        <f>$BF$5</f>
        <v>2751.7103381725301</v>
      </c>
      <c r="K78" s="419">
        <f t="shared" si="134"/>
        <v>2751.7103381725301</v>
      </c>
      <c r="L78" s="419">
        <f t="shared" si="134"/>
        <v>2751.7103381725301</v>
      </c>
      <c r="M78" s="419">
        <f t="shared" si="134"/>
        <v>2751.7103381725301</v>
      </c>
      <c r="N78" s="419">
        <f t="shared" si="134"/>
        <v>2751.7103381725301</v>
      </c>
      <c r="O78" s="419">
        <f t="shared" si="134"/>
        <v>2751.7103381725301</v>
      </c>
      <c r="P78" s="419">
        <f t="shared" si="134"/>
        <v>2751.7103381725301</v>
      </c>
      <c r="Q78" s="87" t="s">
        <v>1967</v>
      </c>
      <c r="R78" s="87">
        <v>3</v>
      </c>
      <c r="S78">
        <v>1</v>
      </c>
      <c r="T78">
        <v>1</v>
      </c>
      <c r="U78">
        <v>3</v>
      </c>
      <c r="V78">
        <v>2</v>
      </c>
      <c r="Z78" s="33" t="s">
        <v>1587</v>
      </c>
      <c r="AH78" s="102"/>
    </row>
    <row r="79" spans="1:43" x14ac:dyDescent="0.35">
      <c r="A79" t="s">
        <v>1302</v>
      </c>
      <c r="B79" t="s">
        <v>2261</v>
      </c>
      <c r="C79" t="s">
        <v>1779</v>
      </c>
      <c r="D79">
        <v>2022</v>
      </c>
      <c r="E79">
        <v>2018</v>
      </c>
      <c r="F79" t="s">
        <v>1951</v>
      </c>
      <c r="G79">
        <v>2020</v>
      </c>
      <c r="H79" t="s">
        <v>1953</v>
      </c>
      <c r="I79" t="s">
        <v>1672</v>
      </c>
      <c r="J79" s="331">
        <f>$BB$15</f>
        <v>545.95257151485566</v>
      </c>
      <c r="K79" s="88">
        <f t="shared" ref="K79:P79" si="136">$BB$15</f>
        <v>545.95257151485566</v>
      </c>
      <c r="L79" s="88">
        <f t="shared" si="136"/>
        <v>545.95257151485566</v>
      </c>
      <c r="M79" s="88">
        <f t="shared" si="136"/>
        <v>545.95257151485566</v>
      </c>
      <c r="N79" s="88">
        <f t="shared" si="136"/>
        <v>545.95257151485566</v>
      </c>
      <c r="O79" s="88">
        <f t="shared" si="136"/>
        <v>545.95257151485566</v>
      </c>
      <c r="P79" s="88">
        <f t="shared" si="136"/>
        <v>545.95257151485566</v>
      </c>
      <c r="Q79" s="87" t="s">
        <v>1966</v>
      </c>
      <c r="R79" s="87">
        <v>3</v>
      </c>
      <c r="S79">
        <v>1</v>
      </c>
      <c r="T79">
        <v>1</v>
      </c>
      <c r="U79">
        <v>3</v>
      </c>
      <c r="V79">
        <v>1</v>
      </c>
      <c r="Z79" s="17" t="s">
        <v>1017</v>
      </c>
      <c r="AA79" s="235" cm="1">
        <f t="array" ref="AA79">AVERAGE(_xlfn._xlws.FILTER('ANL-DOE-MHDV Data'!$AS:$AS,('ANL-DOE-MHDV Data'!$A:$A=$Z79)*('ANL-DOE-MHDV Data'!$B:$B=AA$70)*('ANL-DOE-MHDV Data'!$E:$E="Medium 4")))</f>
        <v>72772.97653333332</v>
      </c>
      <c r="AB79" s="235" cm="1">
        <f t="array" ref="AB79">AVERAGE(_xlfn._xlws.FILTER('ANL-DOE-MHDV Data'!$AS:$AS,('ANL-DOE-MHDV Data'!$A:$A=$Z79)*('ANL-DOE-MHDV Data'!$B:$B=AB$70)*('ANL-DOE-MHDV Data'!$E:$E="Medium 4")))</f>
        <v>73239.798452970746</v>
      </c>
      <c r="AC79" s="235" cm="1">
        <f t="array" ref="AC79">AVERAGE(_xlfn._xlws.FILTER('ANL-DOE-MHDV Data'!$AS:$AS,('ANL-DOE-MHDV Data'!$A:$A=$Z79)*('ANL-DOE-MHDV Data'!$B:$B=AC$70)*('ANL-DOE-MHDV Data'!$E:$E="Medium 4")))</f>
        <v>73373.918304321516</v>
      </c>
      <c r="AD79" s="235" cm="1">
        <f t="array" ref="AD79">AVERAGE(_xlfn._xlws.FILTER('ANL-DOE-MHDV Data'!$AS:$AS,('ANL-DOE-MHDV Data'!$A:$A=$Z79)*('ANL-DOE-MHDV Data'!$B:$B=AD$70)*('ANL-DOE-MHDV Data'!$E:$E="Medium 4")))</f>
        <v>73125.383070988188</v>
      </c>
      <c r="AE79" s="235">
        <f t="shared" ref="AE79:AF79" si="137">($AG79-$AD79)/3 + AD79</f>
        <v>73231.03492369657</v>
      </c>
      <c r="AF79" s="235">
        <f t="shared" si="137"/>
        <v>73336.686776404953</v>
      </c>
      <c r="AG79" s="235" cm="1">
        <f t="array" ref="AG79">AVERAGE(_xlfn._xlws.FILTER('ANL-DOE-MHDV Data'!$AS:$AS,('ANL-DOE-MHDV Data'!$A:$A=$Z79)*('ANL-DOE-MHDV Data'!$B:$B=AG$70)*('ANL-DOE-MHDV Data'!$E:$E="Medium 4")))</f>
        <v>73442.338629113321</v>
      </c>
      <c r="AH79" s="102">
        <f t="shared" ref="AH79:AH84" si="138">(AG79-AA79)/AA79</f>
        <v>9.1979485746800961E-3</v>
      </c>
    </row>
    <row r="80" spans="1:43" x14ac:dyDescent="0.35">
      <c r="A80" t="s">
        <v>1303</v>
      </c>
      <c r="B80" t="s">
        <v>2261</v>
      </c>
      <c r="C80" t="s">
        <v>1779</v>
      </c>
      <c r="D80">
        <v>2022</v>
      </c>
      <c r="E80">
        <v>2018</v>
      </c>
      <c r="F80" t="s">
        <v>1951</v>
      </c>
      <c r="G80">
        <v>2020</v>
      </c>
      <c r="H80" t="s">
        <v>1953</v>
      </c>
      <c r="I80" t="s">
        <v>1672</v>
      </c>
      <c r="J80" s="331"/>
      <c r="K80" s="88"/>
      <c r="L80" s="88">
        <f>$BD$16</f>
        <v>724.29727413691899</v>
      </c>
      <c r="M80" s="88">
        <f t="shared" ref="M80:P80" si="139">$BD$16</f>
        <v>724.29727413691899</v>
      </c>
      <c r="N80" s="88">
        <f t="shared" si="139"/>
        <v>724.29727413691899</v>
      </c>
      <c r="O80" s="88">
        <f t="shared" si="139"/>
        <v>724.29727413691899</v>
      </c>
      <c r="P80" s="88">
        <f t="shared" si="139"/>
        <v>724.29727413691899</v>
      </c>
      <c r="Q80" s="87" t="s">
        <v>1966</v>
      </c>
      <c r="R80" s="87">
        <v>3</v>
      </c>
      <c r="S80">
        <v>1</v>
      </c>
      <c r="T80">
        <v>1</v>
      </c>
      <c r="U80">
        <v>3</v>
      </c>
      <c r="V80">
        <v>1</v>
      </c>
      <c r="Z80" s="17" t="s">
        <v>1020</v>
      </c>
      <c r="AA80" s="235" cm="1">
        <f t="array" ref="AA80">AVERAGE(_xlfn._xlws.FILTER('ANL-DOE-MHDV Data'!$AS:$AS,('ANL-DOE-MHDV Data'!$A:$A=$Z80)*('ANL-DOE-MHDV Data'!$B:$B=AA$70)*('ANL-DOE-MHDV Data'!$E:$E="Medium 4")))</f>
        <v>79633.658526462954</v>
      </c>
      <c r="AB80" s="235" cm="1">
        <f t="array" ref="AB80">AVERAGE(_xlfn._xlws.FILTER('ANL-DOE-MHDV Data'!$AS:$AS,('ANL-DOE-MHDV Data'!$A:$A=$Z80)*('ANL-DOE-MHDV Data'!$B:$B=AB$70)*('ANL-DOE-MHDV Data'!$E:$E="Medium 4")))</f>
        <v>79401.706457350941</v>
      </c>
      <c r="AC80" s="235" cm="1">
        <f t="array" ref="AC80">AVERAGE(_xlfn._xlws.FILTER('ANL-DOE-MHDV Data'!$AS:$AS,('ANL-DOE-MHDV Data'!$A:$A=$Z80)*('ANL-DOE-MHDV Data'!$B:$B=AC$70)*('ANL-DOE-MHDV Data'!$E:$E="Medium 4")))</f>
        <v>79039.960361586331</v>
      </c>
      <c r="AD80" s="235" cm="1">
        <f t="array" ref="AD80">AVERAGE(_xlfn._xlws.FILTER('ANL-DOE-MHDV Data'!$AS:$AS,('ANL-DOE-MHDV Data'!$A:$A=$Z80)*('ANL-DOE-MHDV Data'!$B:$B=AD$70)*('ANL-DOE-MHDV Data'!$E:$E="Medium 4")))</f>
        <v>78382.214432058725</v>
      </c>
      <c r="AE80" s="235">
        <f t="shared" ref="AE80:AF80" si="140">($AG80-$AD80)/3 + AD80</f>
        <v>78274.270382191578</v>
      </c>
      <c r="AF80" s="235">
        <f t="shared" si="140"/>
        <v>78166.326332324432</v>
      </c>
      <c r="AG80" s="235" cm="1">
        <f t="array" ref="AG80">AVERAGE(_xlfn._xlws.FILTER('ANL-DOE-MHDV Data'!$AS:$AS,('ANL-DOE-MHDV Data'!$A:$A=$Z80)*('ANL-DOE-MHDV Data'!$B:$B=AG$70)*('ANL-DOE-MHDV Data'!$E:$E="Medium 4")))</f>
        <v>78058.3822824573</v>
      </c>
      <c r="AH80" s="102">
        <f t="shared" si="138"/>
        <v>-1.9781538022420206E-2</v>
      </c>
    </row>
    <row r="81" spans="1:34" x14ac:dyDescent="0.35">
      <c r="A81" t="s">
        <v>1304</v>
      </c>
      <c r="B81" t="s">
        <v>2261</v>
      </c>
      <c r="C81" t="s">
        <v>1779</v>
      </c>
      <c r="D81">
        <v>2022</v>
      </c>
      <c r="E81">
        <v>2018</v>
      </c>
      <c r="F81" t="s">
        <v>1951</v>
      </c>
      <c r="G81">
        <v>2020</v>
      </c>
      <c r="H81" t="s">
        <v>1953</v>
      </c>
      <c r="I81" t="s">
        <v>1683</v>
      </c>
      <c r="J81" s="331">
        <f>$BB$18</f>
        <v>27.503142224747702</v>
      </c>
      <c r="K81" s="88">
        <f t="shared" ref="K81:P81" si="141">$BB$18</f>
        <v>27.503142224747702</v>
      </c>
      <c r="L81" s="88">
        <f t="shared" si="141"/>
        <v>27.503142224747702</v>
      </c>
      <c r="M81" s="88">
        <f t="shared" si="141"/>
        <v>27.503142224747702</v>
      </c>
      <c r="N81" s="88">
        <f t="shared" si="141"/>
        <v>27.503142224747702</v>
      </c>
      <c r="O81" s="88">
        <f t="shared" si="141"/>
        <v>27.503142224747702</v>
      </c>
      <c r="P81" s="88">
        <f t="shared" si="141"/>
        <v>27.503142224747702</v>
      </c>
      <c r="Q81" s="87" t="s">
        <v>1966</v>
      </c>
      <c r="R81" s="87">
        <v>3</v>
      </c>
      <c r="S81">
        <v>1</v>
      </c>
      <c r="T81">
        <v>1</v>
      </c>
      <c r="U81">
        <v>3</v>
      </c>
      <c r="V81">
        <v>1</v>
      </c>
      <c r="Z81" s="17" t="s">
        <v>1021</v>
      </c>
      <c r="AA81" s="235" cm="1">
        <f t="array" ref="AA81">AVERAGE(_xlfn._xlws.FILTER('ANL-DOE-MHDV Data'!$AS:$AS,('ANL-DOE-MHDV Data'!$A:$A=$Z81)*('ANL-DOE-MHDV Data'!$B:$B=AA$70)*('ANL-DOE-MHDV Data'!$E:$E="Medium 4")))</f>
        <v>95468.738999450346</v>
      </c>
      <c r="AB81" s="235" cm="1">
        <f t="array" ref="AB81">AVERAGE(_xlfn._xlws.FILTER('ANL-DOE-MHDV Data'!$AS:$AS,('ANL-DOE-MHDV Data'!$A:$A=$Z81)*('ANL-DOE-MHDV Data'!$B:$B=AB$70)*('ANL-DOE-MHDV Data'!$E:$E="Medium 4")))</f>
        <v>90686.998455261826</v>
      </c>
      <c r="AC81" s="235" cm="1">
        <f t="array" ref="AC81">AVERAGE(_xlfn._xlws.FILTER('ANL-DOE-MHDV Data'!$AS:$AS,('ANL-DOE-MHDV Data'!$A:$A=$Z81)*('ANL-DOE-MHDV Data'!$B:$B=AC$70)*('ANL-DOE-MHDV Data'!$E:$E="Medium 4")))</f>
        <v>84619.003377056579</v>
      </c>
      <c r="AD81" s="235" cm="1">
        <f t="array" ref="AD81">AVERAGE(_xlfn._xlws.FILTER('ANL-DOE-MHDV Data'!$AS:$AS,('ANL-DOE-MHDV Data'!$A:$A=$Z81)*('ANL-DOE-MHDV Data'!$B:$B=AD$70)*('ANL-DOE-MHDV Data'!$E:$E="Medium 4")))</f>
        <v>80508.226090335127</v>
      </c>
      <c r="AE81" s="235">
        <f t="shared" ref="AE81:AF81" si="142">($AG81-$AD81)/3 + AD81</f>
        <v>78824.492190265664</v>
      </c>
      <c r="AF81" s="235">
        <f t="shared" si="142"/>
        <v>77140.758290196201</v>
      </c>
      <c r="AG81" s="235" cm="1">
        <f t="array" ref="AG81">AVERAGE(_xlfn._xlws.FILTER('ANL-DOE-MHDV Data'!$AS:$AS,('ANL-DOE-MHDV Data'!$A:$A=$Z81)*('ANL-DOE-MHDV Data'!$B:$B=AG$70)*('ANL-DOE-MHDV Data'!$E:$E="Medium 4")))</f>
        <v>75457.024390126739</v>
      </c>
      <c r="AH81" s="102">
        <f t="shared" si="138"/>
        <v>-0.20961536539661244</v>
      </c>
    </row>
    <row r="82" spans="1:34" x14ac:dyDescent="0.35">
      <c r="A82" t="s">
        <v>1305</v>
      </c>
      <c r="B82" t="s">
        <v>2261</v>
      </c>
      <c r="C82" t="s">
        <v>1779</v>
      </c>
      <c r="D82">
        <v>2022</v>
      </c>
      <c r="E82">
        <v>2018</v>
      </c>
      <c r="F82" t="s">
        <v>1951</v>
      </c>
      <c r="G82">
        <v>2020</v>
      </c>
      <c r="H82" t="s">
        <v>1953</v>
      </c>
      <c r="I82" t="s">
        <v>1683</v>
      </c>
      <c r="J82" s="331"/>
      <c r="K82" s="88"/>
      <c r="L82" s="88">
        <f>$BD$19</f>
        <v>53.062729065613233</v>
      </c>
      <c r="M82" s="88">
        <f t="shared" ref="M82:P82" si="143">$BD$19</f>
        <v>53.062729065613233</v>
      </c>
      <c r="N82" s="88">
        <f t="shared" si="143"/>
        <v>53.062729065613233</v>
      </c>
      <c r="O82" s="88">
        <f t="shared" si="143"/>
        <v>53.062729065613233</v>
      </c>
      <c r="P82" s="88">
        <f t="shared" si="143"/>
        <v>53.062729065613233</v>
      </c>
      <c r="Q82" s="87" t="s">
        <v>1966</v>
      </c>
      <c r="R82" s="87">
        <v>3</v>
      </c>
      <c r="S82">
        <v>1</v>
      </c>
      <c r="T82">
        <v>1</v>
      </c>
      <c r="U82">
        <v>3</v>
      </c>
      <c r="V82">
        <v>1</v>
      </c>
      <c r="Z82" s="17" t="s">
        <v>246</v>
      </c>
      <c r="AA82" s="235" cm="1">
        <f t="array" ref="AA82">AVERAGE(_xlfn._xlws.FILTER('ANL-DOE-MHDV Data'!$AS:$AS,('ANL-DOE-MHDV Data'!$A:$A=$Z82)*('ANL-DOE-MHDV Data'!$B:$B=AA$70)*('ANL-DOE-MHDV Data'!$E:$E="Medium 4")))</f>
        <v>93745.370698128885</v>
      </c>
      <c r="AB82" s="235" cm="1">
        <f t="array" ref="AB82">AVERAGE(_xlfn._xlws.FILTER('ANL-DOE-MHDV Data'!$AS:$AS,('ANL-DOE-MHDV Data'!$A:$A=$Z82)*('ANL-DOE-MHDV Data'!$B:$B=AB$70)*('ANL-DOE-MHDV Data'!$E:$E="Medium 4")))</f>
        <v>87234.030515611332</v>
      </c>
      <c r="AC82" s="235" cm="1">
        <f t="array" ref="AC82">AVERAGE(_xlfn._xlws.FILTER('ANL-DOE-MHDV Data'!$AS:$AS,('ANL-DOE-MHDV Data'!$A:$A=$Z82)*('ANL-DOE-MHDV Data'!$B:$B=AC$70)*('ANL-DOE-MHDV Data'!$E:$E="Medium 4")))</f>
        <v>77670.698046010235</v>
      </c>
      <c r="AD82" s="235" cm="1">
        <f t="array" ref="AD82">AVERAGE(_xlfn._xlws.FILTER('ANL-DOE-MHDV Data'!$AS:$AS,('ANL-DOE-MHDV Data'!$A:$A=$Z82)*('ANL-DOE-MHDV Data'!$B:$B=AD$70)*('ANL-DOE-MHDV Data'!$E:$E="Medium 4")))</f>
        <v>72696.767284350586</v>
      </c>
      <c r="AE82" s="235">
        <f t="shared" ref="AE82:AF82" si="144">($AG82-$AD82)/3 + AD82</f>
        <v>70357.710275373232</v>
      </c>
      <c r="AF82" s="235">
        <f t="shared" si="144"/>
        <v>68018.653266395879</v>
      </c>
      <c r="AG82" s="235" cm="1">
        <f t="array" ref="AG82">AVERAGE(_xlfn._xlws.FILTER('ANL-DOE-MHDV Data'!$AS:$AS,('ANL-DOE-MHDV Data'!$A:$A=$Z82)*('ANL-DOE-MHDV Data'!$B:$B=AG$70)*('ANL-DOE-MHDV Data'!$E:$E="Medium 4")))</f>
        <v>65679.596257418511</v>
      </c>
      <c r="AH82" s="102">
        <f t="shared" si="138"/>
        <v>-0.29938304400209231</v>
      </c>
    </row>
    <row r="83" spans="1:34" x14ac:dyDescent="0.35">
      <c r="A83" t="s">
        <v>1310</v>
      </c>
      <c r="B83" t="s">
        <v>2261</v>
      </c>
      <c r="C83" t="s">
        <v>1779</v>
      </c>
      <c r="D83">
        <v>2022</v>
      </c>
      <c r="E83">
        <v>2018</v>
      </c>
      <c r="F83" t="s">
        <v>1951</v>
      </c>
      <c r="G83">
        <v>2020</v>
      </c>
      <c r="H83" t="s">
        <v>1953</v>
      </c>
      <c r="I83" t="s">
        <v>1683</v>
      </c>
      <c r="J83" s="331"/>
      <c r="K83" s="88">
        <f>$BC$20</f>
        <v>45.471626698930287</v>
      </c>
      <c r="L83" s="88">
        <f t="shared" ref="L83:P83" si="145">$BC$20</f>
        <v>45.471626698930287</v>
      </c>
      <c r="M83" s="88">
        <f t="shared" si="145"/>
        <v>45.471626698930287</v>
      </c>
      <c r="N83" s="88">
        <f t="shared" si="145"/>
        <v>45.471626698930287</v>
      </c>
      <c r="O83" s="88">
        <f t="shared" si="145"/>
        <v>45.471626698930287</v>
      </c>
      <c r="P83" s="88">
        <f t="shared" si="145"/>
        <v>45.471626698930287</v>
      </c>
      <c r="Q83" s="87" t="s">
        <v>1966</v>
      </c>
      <c r="R83" s="87">
        <v>3</v>
      </c>
      <c r="S83">
        <v>1</v>
      </c>
      <c r="T83">
        <v>1</v>
      </c>
      <c r="U83">
        <v>3</v>
      </c>
      <c r="V83">
        <v>1</v>
      </c>
      <c r="Z83" s="17" t="s">
        <v>627</v>
      </c>
      <c r="AA83" s="235" cm="1">
        <f t="array" ref="AA83">AVERAGE(_xlfn._xlws.FILTER('ANL-DOE-MHDV Data'!$AS:$AS,('ANL-DOE-MHDV Data'!$A:$A=$Z83)*('ANL-DOE-MHDV Data'!$B:$B=AA$70)*('ANL-DOE-MHDV Data'!$E:$E="Medium 4")))</f>
        <v>115238.44667874709</v>
      </c>
      <c r="AB83" s="235" cm="1">
        <f t="array" ref="AB83">AVERAGE(_xlfn._xlws.FILTER('ANL-DOE-MHDV Data'!$AS:$AS,('ANL-DOE-MHDV Data'!$A:$A=$Z83)*('ANL-DOE-MHDV Data'!$B:$B=AB$70)*('ANL-DOE-MHDV Data'!$E:$E="Medium 4")))</f>
        <v>102633.94121089076</v>
      </c>
      <c r="AC83" s="235" cm="1">
        <f t="array" ref="AC83">AVERAGE(_xlfn._xlws.FILTER('ANL-DOE-MHDV Data'!$AS:$AS,('ANL-DOE-MHDV Data'!$A:$A=$Z83)*('ANL-DOE-MHDV Data'!$B:$B=AC$70)*('ANL-DOE-MHDV Data'!$E:$E="Medium 4")))</f>
        <v>94660.167332667857</v>
      </c>
      <c r="AD83" s="235" cm="1">
        <f t="array" ref="AD83">AVERAGE(_xlfn._xlws.FILTER('ANL-DOE-MHDV Data'!$AS:$AS,('ANL-DOE-MHDV Data'!$A:$A=$Z83)*('ANL-DOE-MHDV Data'!$B:$B=AD$70)*('ANL-DOE-MHDV Data'!$E:$E="Medium 4")))</f>
        <v>88490.807948624148</v>
      </c>
      <c r="AE83" s="235">
        <f t="shared" ref="AE83:AF83" si="146">($AG83-$AD83)/3 + AD83</f>
        <v>86331.990496738246</v>
      </c>
      <c r="AF83" s="235">
        <f t="shared" si="146"/>
        <v>84173.173044852345</v>
      </c>
      <c r="AG83" s="235" cm="1">
        <f t="array" ref="AG83">AVERAGE(_xlfn._xlws.FILTER('ANL-DOE-MHDV Data'!$AS:$AS,('ANL-DOE-MHDV Data'!$A:$A=$Z83)*('ANL-DOE-MHDV Data'!$B:$B=AG$70)*('ANL-DOE-MHDV Data'!$E:$E="Medium 4")))</f>
        <v>82014.355592966429</v>
      </c>
      <c r="AH83" s="102">
        <f t="shared" si="138"/>
        <v>-0.28830734918182499</v>
      </c>
    </row>
    <row r="84" spans="1:34" x14ac:dyDescent="0.35">
      <c r="A84" t="s">
        <v>1997</v>
      </c>
      <c r="B84" t="s">
        <v>2261</v>
      </c>
      <c r="C84" t="s">
        <v>1779</v>
      </c>
      <c r="D84">
        <v>2022</v>
      </c>
      <c r="E84">
        <v>2018</v>
      </c>
      <c r="F84" t="s">
        <v>1951</v>
      </c>
      <c r="G84">
        <v>2020</v>
      </c>
      <c r="H84" t="s">
        <v>1953</v>
      </c>
      <c r="I84" t="s">
        <v>2055</v>
      </c>
      <c r="J84" s="331">
        <f t="shared" ref="J84:P85" si="147">AK70</f>
        <v>428.37590797546022</v>
      </c>
      <c r="K84" s="88">
        <f t="shared" si="147"/>
        <v>352.70066871165653</v>
      </c>
      <c r="L84" s="88">
        <f t="shared" si="147"/>
        <v>277.02542944785284</v>
      </c>
      <c r="M84" s="88">
        <f t="shared" si="147"/>
        <v>277.02542944785284</v>
      </c>
      <c r="N84" s="88">
        <f t="shared" si="147"/>
        <v>277.02542944785284</v>
      </c>
      <c r="O84" s="88">
        <f t="shared" si="147"/>
        <v>277.02542944785284</v>
      </c>
      <c r="P84" s="88">
        <f t="shared" si="147"/>
        <v>277.02542944785284</v>
      </c>
      <c r="Q84" s="87" t="s">
        <v>2063</v>
      </c>
      <c r="R84" s="87">
        <v>3</v>
      </c>
      <c r="S84">
        <v>1</v>
      </c>
      <c r="T84">
        <v>1</v>
      </c>
      <c r="U84">
        <v>3</v>
      </c>
      <c r="V84">
        <v>1</v>
      </c>
      <c r="Z84" s="17" t="s">
        <v>1065</v>
      </c>
      <c r="AA84" s="235" cm="1">
        <f t="array" ref="AA84">AVERAGE(_xlfn._xlws.FILTER('ANL-DOE-MHDV Data'!$AS:$AS,('ANL-DOE-MHDV Data'!$A:$A=$Z84)*('ANL-DOE-MHDV Data'!$B:$B=AA$70)*('ANL-DOE-MHDV Data'!$E:$E="Medium 4")))</f>
        <v>87435.517690799898</v>
      </c>
      <c r="AB84" s="235" cm="1">
        <f t="array" ref="AB84">AVERAGE(_xlfn._xlws.FILTER('ANL-DOE-MHDV Data'!$AS:$AS,('ANL-DOE-MHDV Data'!$A:$A=$Z84)*('ANL-DOE-MHDV Data'!$B:$B=AB$70)*('ANL-DOE-MHDV Data'!$E:$E="Medium 4")))</f>
        <v>80537.992690025014</v>
      </c>
      <c r="AC84" s="235" cm="1">
        <f t="array" ref="AC84">AVERAGE(_xlfn._xlws.FILTER('ANL-DOE-MHDV Data'!$AS:$AS,('ANL-DOE-MHDV Data'!$A:$A=$Z84)*('ANL-DOE-MHDV Data'!$B:$B=AC$70)*('ANL-DOE-MHDV Data'!$E:$E="Medium 4")))</f>
        <v>75027.954918803938</v>
      </c>
      <c r="AD84" s="235" cm="1">
        <f t="array" ref="AD84">AVERAGE(_xlfn._xlws.FILTER('ANL-DOE-MHDV Data'!$AS:$AS,('ANL-DOE-MHDV Data'!$A:$A=$Z84)*('ANL-DOE-MHDV Data'!$B:$B=AD$70)*('ANL-DOE-MHDV Data'!$E:$E="Medium 4")))</f>
        <v>71375.487144763931</v>
      </c>
      <c r="AE84" s="235">
        <f t="shared" ref="AE84:AF84" si="148">($AG84-$AD84)/3 + AD84</f>
        <v>69878.375689550972</v>
      </c>
      <c r="AF84" s="235">
        <f t="shared" si="148"/>
        <v>68381.264234338014</v>
      </c>
      <c r="AG84" s="235" cm="1">
        <f t="array" ref="AG84">AVERAGE(_xlfn._xlws.FILTER('ANL-DOE-MHDV Data'!$AS:$AS,('ANL-DOE-MHDV Data'!$A:$A=$Z84)*('ANL-DOE-MHDV Data'!$B:$B=AG$70)*('ANL-DOE-MHDV Data'!$E:$E="Medium 4")))</f>
        <v>66884.152779125056</v>
      </c>
      <c r="AH84" s="102">
        <f t="shared" si="138"/>
        <v>-0.23504595677412327</v>
      </c>
    </row>
    <row r="85" spans="1:34" x14ac:dyDescent="0.35">
      <c r="A85" t="s">
        <v>2007</v>
      </c>
      <c r="B85" t="s">
        <v>2261</v>
      </c>
      <c r="C85" t="s">
        <v>1779</v>
      </c>
      <c r="D85">
        <v>2022</v>
      </c>
      <c r="E85">
        <v>2018</v>
      </c>
      <c r="F85" t="s">
        <v>1951</v>
      </c>
      <c r="G85">
        <v>2020</v>
      </c>
      <c r="H85" t="s">
        <v>1953</v>
      </c>
      <c r="I85" t="s">
        <v>2055</v>
      </c>
      <c r="J85" s="331">
        <f t="shared" si="147"/>
        <v>135.29651705521476</v>
      </c>
      <c r="K85" s="88">
        <f t="shared" si="147"/>
        <v>135.29651705521476</v>
      </c>
      <c r="L85" s="88">
        <f t="shared" si="147"/>
        <v>135.29651705521476</v>
      </c>
      <c r="M85" s="88">
        <f t="shared" si="147"/>
        <v>135.29651705521476</v>
      </c>
      <c r="N85" s="88">
        <f t="shared" si="147"/>
        <v>135.29651705521476</v>
      </c>
      <c r="O85" s="88">
        <f t="shared" si="147"/>
        <v>135.29651705521476</v>
      </c>
      <c r="P85" s="88">
        <f t="shared" si="147"/>
        <v>135.29651705521476</v>
      </c>
      <c r="Q85" s="87" t="s">
        <v>2064</v>
      </c>
      <c r="R85" s="87">
        <v>3</v>
      </c>
      <c r="S85">
        <v>1</v>
      </c>
      <c r="T85">
        <v>1</v>
      </c>
      <c r="U85">
        <v>3</v>
      </c>
      <c r="V85">
        <v>1</v>
      </c>
      <c r="Z85" s="33" t="s">
        <v>1588</v>
      </c>
      <c r="AH85" s="102"/>
    </row>
    <row r="86" spans="1:34" x14ac:dyDescent="0.35">
      <c r="A86" t="s">
        <v>1998</v>
      </c>
      <c r="B86" t="s">
        <v>2261</v>
      </c>
      <c r="C86" t="s">
        <v>1779</v>
      </c>
      <c r="D86">
        <v>2022</v>
      </c>
      <c r="E86">
        <v>2018</v>
      </c>
      <c r="F86" t="s">
        <v>1951</v>
      </c>
      <c r="G86">
        <v>2020</v>
      </c>
      <c r="H86" t="s">
        <v>1953</v>
      </c>
      <c r="I86" t="s">
        <v>2055</v>
      </c>
      <c r="J86" s="331">
        <f t="shared" ref="J86:P86" si="149">AK71</f>
        <v>135.29651705521476</v>
      </c>
      <c r="K86" s="88">
        <f t="shared" si="149"/>
        <v>135.29651705521476</v>
      </c>
      <c r="L86" s="88">
        <f t="shared" si="149"/>
        <v>135.29651705521476</v>
      </c>
      <c r="M86" s="88">
        <f t="shared" si="149"/>
        <v>135.29651705521476</v>
      </c>
      <c r="N86" s="88">
        <f t="shared" si="149"/>
        <v>135.29651705521476</v>
      </c>
      <c r="O86" s="88">
        <f t="shared" si="149"/>
        <v>135.29651705521476</v>
      </c>
      <c r="P86" s="88">
        <f t="shared" si="149"/>
        <v>135.29651705521476</v>
      </c>
      <c r="Q86" s="87" t="s">
        <v>2064</v>
      </c>
      <c r="R86" s="87">
        <v>3</v>
      </c>
      <c r="S86">
        <v>1</v>
      </c>
      <c r="T86">
        <v>1</v>
      </c>
      <c r="U86">
        <v>3</v>
      </c>
      <c r="V86">
        <v>1</v>
      </c>
      <c r="Z86" s="17" t="s">
        <v>1017</v>
      </c>
      <c r="AA86" s="235" cm="1">
        <f t="array" ref="AA86">AVERAGE(_xlfn._xlws.FILTER('ANL-DOE-MHDV Data'!$AS:$AS,('ANL-DOE-MHDV Data'!$A:$A=$Z86)*('ANL-DOE-MHDV Data'!$B:$B=AA$70)*('ANL-DOE-MHDV Data'!$E:$E="Medium 5")))</f>
        <v>85221.2022</v>
      </c>
      <c r="AB86" s="235" cm="1">
        <f t="array" ref="AB86">AVERAGE(_xlfn._xlws.FILTER('ANL-DOE-MHDV Data'!$AS:$AS,('ANL-DOE-MHDV Data'!$A:$A=$Z86)*('ANL-DOE-MHDV Data'!$B:$B=AB$70)*('ANL-DOE-MHDV Data'!$E:$E="Medium 5")))</f>
        <v>85669.690286304074</v>
      </c>
      <c r="AC86" s="235" cm="1">
        <f t="array" ref="AC86">AVERAGE(_xlfn._xlws.FILTER('ANL-DOE-MHDV Data'!$AS:$AS,('ANL-DOE-MHDV Data'!$A:$A=$Z86)*('ANL-DOE-MHDV Data'!$B:$B=AC$70)*('ANL-DOE-MHDV Data'!$E:$E="Medium 5")))</f>
        <v>85968.367470988189</v>
      </c>
      <c r="AD86" s="235" cm="1">
        <f t="array" ref="AD86">AVERAGE(_xlfn._xlws.FILTER('ANL-DOE-MHDV Data'!$AS:$AS,('ANL-DOE-MHDV Data'!$A:$A=$Z86)*('ANL-DOE-MHDV Data'!$B:$B=AD$70)*('ANL-DOE-MHDV Data'!$E:$E="Medium 5")))</f>
        <v>85653.651570988193</v>
      </c>
      <c r="AE86" s="235">
        <f t="shared" ref="AE86:AF86" si="150">($AG86-$AD86)/3 + AD86</f>
        <v>85730.088534807684</v>
      </c>
      <c r="AF86" s="235">
        <f t="shared" si="150"/>
        <v>85806.525498627176</v>
      </c>
      <c r="AG86" s="235" cm="1">
        <f t="array" ref="AG86">AVERAGE(_xlfn._xlws.FILTER('ANL-DOE-MHDV Data'!$AS:$AS,('ANL-DOE-MHDV Data'!$A:$A=$Z86)*('ANL-DOE-MHDV Data'!$B:$B=AG$70)*('ANL-DOE-MHDV Data'!$E:$E="Medium 5")))</f>
        <v>85882.962462446652</v>
      </c>
      <c r="AH86" s="102">
        <f t="shared" ref="AH86:AH91" si="151">(AG86-AA86)/AA86</f>
        <v>7.7652068424663998E-3</v>
      </c>
    </row>
    <row r="87" spans="1:34" x14ac:dyDescent="0.35">
      <c r="A87" t="s">
        <v>2088</v>
      </c>
      <c r="B87" t="s">
        <v>2261</v>
      </c>
      <c r="C87" t="s">
        <v>1779</v>
      </c>
      <c r="D87">
        <v>2022</v>
      </c>
      <c r="E87">
        <v>2018</v>
      </c>
      <c r="F87" t="s">
        <v>1951</v>
      </c>
      <c r="G87">
        <v>2020</v>
      </c>
      <c r="H87" t="s">
        <v>1953</v>
      </c>
      <c r="I87" t="s">
        <v>2332</v>
      </c>
      <c r="J87" s="331">
        <f>'OEO &amp; EPAUS9rT-HDV Data'!R85*USD2018_to_CAD2020</f>
        <v>184.43136883435585</v>
      </c>
      <c r="K87" s="88">
        <f>'OEO &amp; EPAUS9rT-HDV Data'!S85*USD2018_to_CAD2020</f>
        <v>184.43136883435585</v>
      </c>
      <c r="L87" s="88">
        <f>'OEO &amp; EPAUS9rT-HDV Data'!T85*USD2018_to_CAD2020</f>
        <v>184.43136883435585</v>
      </c>
      <c r="M87" s="88">
        <f>'OEO &amp; EPAUS9rT-HDV Data'!U85*USD2018_to_CAD2020</f>
        <v>184.43136883435585</v>
      </c>
      <c r="N87" s="88">
        <f>'OEO &amp; EPAUS9rT-HDV Data'!V85*USD2018_to_CAD2020</f>
        <v>184.43136883435585</v>
      </c>
      <c r="O87" s="88">
        <f>'OEO &amp; EPAUS9rT-HDV Data'!W85*USD2018_to_CAD2020</f>
        <v>184.43136883435585</v>
      </c>
      <c r="P87" s="88">
        <f>'OEO &amp; EPAUS9rT-HDV Data'!X85*USD2018_to_CAD2020</f>
        <v>184.43136883435585</v>
      </c>
      <c r="Q87" s="87" t="s">
        <v>2143</v>
      </c>
      <c r="R87" s="87">
        <v>3</v>
      </c>
      <c r="S87">
        <v>1</v>
      </c>
      <c r="T87">
        <v>1</v>
      </c>
      <c r="U87">
        <v>3</v>
      </c>
      <c r="V87">
        <v>1</v>
      </c>
      <c r="Z87" s="17" t="s">
        <v>1020</v>
      </c>
      <c r="AA87" s="235" cm="1">
        <f t="array" ref="AA87">AVERAGE(_xlfn._xlws.FILTER('ANL-DOE-MHDV Data'!$AS:$AS,('ANL-DOE-MHDV Data'!$A:$A=$Z87)*('ANL-DOE-MHDV Data'!$B:$B=AA$70)*('ANL-DOE-MHDV Data'!$E:$E="Medium 5")))</f>
        <v>94364.458761766393</v>
      </c>
      <c r="AB87" s="235" cm="1">
        <f t="array" ref="AB87">AVERAGE(_xlfn._xlws.FILTER('ANL-DOE-MHDV Data'!$AS:$AS,('ANL-DOE-MHDV Data'!$A:$A=$Z87)*('ANL-DOE-MHDV Data'!$B:$B=AB$70)*('ANL-DOE-MHDV Data'!$E:$E="Medium 5")))</f>
        <v>94016.832963953566</v>
      </c>
      <c r="AC87" s="235" cm="1">
        <f t="array" ref="AC87">AVERAGE(_xlfn._xlws.FILTER('ANL-DOE-MHDV Data'!$AS:$AS,('ANL-DOE-MHDV Data'!$A:$A=$Z87)*('ANL-DOE-MHDV Data'!$B:$B=AC$70)*('ANL-DOE-MHDV Data'!$E:$E="Medium 5")))</f>
        <v>93637.354188975907</v>
      </c>
      <c r="AD87" s="235" cm="1">
        <f t="array" ref="AD87">AVERAGE(_xlfn._xlws.FILTER('ANL-DOE-MHDV Data'!$AS:$AS,('ANL-DOE-MHDV Data'!$A:$A=$Z87)*('ANL-DOE-MHDV Data'!$B:$B=AD$70)*('ANL-DOE-MHDV Data'!$E:$E="Medium 5")))</f>
        <v>92797.892464457895</v>
      </c>
      <c r="AE87" s="235">
        <f t="shared" ref="AE87:AF87" si="152">($AG87-$AD87)/3 + AD87</f>
        <v>92691.764673472368</v>
      </c>
      <c r="AF87" s="235">
        <f t="shared" si="152"/>
        <v>92585.63688248684</v>
      </c>
      <c r="AG87" s="235" cm="1">
        <f t="array" ref="AG87">AVERAGE(_xlfn._xlws.FILTER('ANL-DOE-MHDV Data'!$AS:$AS,('ANL-DOE-MHDV Data'!$A:$A=$Z87)*('ANL-DOE-MHDV Data'!$B:$B=AG$70)*('ANL-DOE-MHDV Data'!$E:$E="Medium 5")))</f>
        <v>92479.509091501328</v>
      </c>
      <c r="AH87" s="102">
        <f t="shared" si="151"/>
        <v>-1.9975207774187851E-2</v>
      </c>
    </row>
    <row r="88" spans="1:34" x14ac:dyDescent="0.35">
      <c r="A88" t="s">
        <v>2089</v>
      </c>
      <c r="B88" t="s">
        <v>2261</v>
      </c>
      <c r="C88" t="s">
        <v>1779</v>
      </c>
      <c r="D88">
        <v>2022</v>
      </c>
      <c r="E88">
        <v>2018</v>
      </c>
      <c r="F88" t="s">
        <v>1951</v>
      </c>
      <c r="G88">
        <v>2020</v>
      </c>
      <c r="H88" t="s">
        <v>1953</v>
      </c>
      <c r="I88" t="s">
        <v>2055</v>
      </c>
      <c r="J88" s="331">
        <f>'OEO &amp; EPAUS9rT-HDV Data'!R86*USD2018_to_CAD2020</f>
        <v>55.540220245398785</v>
      </c>
      <c r="K88" s="88">
        <f>'OEO &amp; EPAUS9rT-HDV Data'!S86*USD2018_to_CAD2020</f>
        <v>55.540220245398785</v>
      </c>
      <c r="L88" s="88">
        <f>'OEO &amp; EPAUS9rT-HDV Data'!T86*USD2018_to_CAD2020</f>
        <v>55.540220245398785</v>
      </c>
      <c r="M88" s="88">
        <f>'OEO &amp; EPAUS9rT-HDV Data'!U86*USD2018_to_CAD2020</f>
        <v>55.540220245398785</v>
      </c>
      <c r="N88" s="88">
        <f>'OEO &amp; EPAUS9rT-HDV Data'!V86*USD2018_to_CAD2020</f>
        <v>55.540220245398785</v>
      </c>
      <c r="O88" s="88">
        <f>'OEO &amp; EPAUS9rT-HDV Data'!W86*USD2018_to_CAD2020</f>
        <v>55.540220245398785</v>
      </c>
      <c r="P88" s="88">
        <f>'OEO &amp; EPAUS9rT-HDV Data'!X86*USD2018_to_CAD2020</f>
        <v>55.540220245398785</v>
      </c>
      <c r="Q88" s="87" t="s">
        <v>2143</v>
      </c>
      <c r="R88" s="87">
        <v>3</v>
      </c>
      <c r="S88">
        <v>1</v>
      </c>
      <c r="T88">
        <v>1</v>
      </c>
      <c r="U88">
        <v>3</v>
      </c>
      <c r="V88">
        <v>1</v>
      </c>
      <c r="Z88" s="17" t="s">
        <v>1021</v>
      </c>
      <c r="AA88" s="235" cm="1">
        <f t="array" ref="AA88">AVERAGE(_xlfn._xlws.FILTER('ANL-DOE-MHDV Data'!$AS:$AS,('ANL-DOE-MHDV Data'!$A:$A=$Z88)*('ANL-DOE-MHDV Data'!$B:$B=AA$70)*('ANL-DOE-MHDV Data'!$E:$E="Medium 5")))</f>
        <v>98578.132379774455</v>
      </c>
      <c r="AB88" s="235" cm="1">
        <f t="array" ref="AB88">AVERAGE(_xlfn._xlws.FILTER('ANL-DOE-MHDV Data'!$AS:$AS,('ANL-DOE-MHDV Data'!$A:$A=$Z88)*('ANL-DOE-MHDV Data'!$B:$B=AB$70)*('ANL-DOE-MHDV Data'!$E:$E="Medium 5")))</f>
        <v>94733.886392056971</v>
      </c>
      <c r="AC88" s="235" cm="1">
        <f t="array" ref="AC88">AVERAGE(_xlfn._xlws.FILTER('ANL-DOE-MHDV Data'!$AS:$AS,('ANL-DOE-MHDV Data'!$A:$A=$Z88)*('ANL-DOE-MHDV Data'!$B:$B=AC$70)*('ANL-DOE-MHDV Data'!$E:$E="Medium 5")))</f>
        <v>89646.11538255513</v>
      </c>
      <c r="AD88" s="235" cm="1">
        <f t="array" ref="AD88">AVERAGE(_xlfn._xlws.FILTER('ANL-DOE-MHDV Data'!$AS:$AS,('ANL-DOE-MHDV Data'!$A:$A=$Z88)*('ANL-DOE-MHDV Data'!$B:$B=AD$70)*('ANL-DOE-MHDV Data'!$E:$E="Medium 5")))</f>
        <v>86344.779420556355</v>
      </c>
      <c r="AE88" s="235">
        <f t="shared" ref="AE88:AF88" si="153">($AG88-$AD88)/3 + AD88</f>
        <v>84958.450600044409</v>
      </c>
      <c r="AF88" s="235">
        <f t="shared" si="153"/>
        <v>83572.121779532463</v>
      </c>
      <c r="AG88" s="235" cm="1">
        <f t="array" ref="AG88">AVERAGE(_xlfn._xlws.FILTER('ANL-DOE-MHDV Data'!$AS:$AS,('ANL-DOE-MHDV Data'!$A:$A=$Z88)*('ANL-DOE-MHDV Data'!$B:$B=AG$70)*('ANL-DOE-MHDV Data'!$E:$E="Medium 5")))</f>
        <v>82185.792959020517</v>
      </c>
      <c r="AH88" s="102">
        <f t="shared" si="151"/>
        <v>-0.16628778639873279</v>
      </c>
    </row>
    <row r="89" spans="1:34" x14ac:dyDescent="0.35">
      <c r="A89" t="s">
        <v>2090</v>
      </c>
      <c r="B89" t="s">
        <v>2261</v>
      </c>
      <c r="C89" t="s">
        <v>1779</v>
      </c>
      <c r="D89">
        <v>2022</v>
      </c>
      <c r="E89">
        <v>2018</v>
      </c>
      <c r="F89" t="s">
        <v>1951</v>
      </c>
      <c r="G89">
        <v>2020</v>
      </c>
      <c r="H89" t="s">
        <v>1953</v>
      </c>
      <c r="I89" t="s">
        <v>2055</v>
      </c>
      <c r="J89" s="331">
        <f>'OEO &amp; EPAUS9rT-HDV Data'!R87*USD2018_to_CAD2020</f>
        <v>49.837550429447866</v>
      </c>
      <c r="K89" s="88">
        <f>'OEO &amp; EPAUS9rT-HDV Data'!S87*USD2018_to_CAD2020</f>
        <v>49.837550429447866</v>
      </c>
      <c r="L89" s="88">
        <f>'OEO &amp; EPAUS9rT-HDV Data'!T87*USD2018_to_CAD2020</f>
        <v>49.837550429447866</v>
      </c>
      <c r="M89" s="88">
        <f>'OEO &amp; EPAUS9rT-HDV Data'!U87*USD2018_to_CAD2020</f>
        <v>49.837550429447866</v>
      </c>
      <c r="N89" s="88">
        <f>'OEO &amp; EPAUS9rT-HDV Data'!V87*USD2018_to_CAD2020</f>
        <v>49.837550429447866</v>
      </c>
      <c r="O89" s="88">
        <f>'OEO &amp; EPAUS9rT-HDV Data'!W87*USD2018_to_CAD2020</f>
        <v>49.837550429447866</v>
      </c>
      <c r="P89" s="88">
        <f>'OEO &amp; EPAUS9rT-HDV Data'!X87*USD2018_to_CAD2020</f>
        <v>49.837550429447866</v>
      </c>
      <c r="Q89" s="87" t="s">
        <v>2144</v>
      </c>
      <c r="R89" s="87">
        <v>3</v>
      </c>
      <c r="S89">
        <v>1</v>
      </c>
      <c r="T89">
        <v>1</v>
      </c>
      <c r="U89">
        <v>3</v>
      </c>
      <c r="V89">
        <v>2</v>
      </c>
      <c r="Z89" s="17" t="s">
        <v>246</v>
      </c>
      <c r="AA89" s="235" cm="1">
        <f t="array" ref="AA89">AVERAGE(_xlfn._xlws.FILTER('ANL-DOE-MHDV Data'!$AS:$AS,('ANL-DOE-MHDV Data'!$A:$A=$Z89)*('ANL-DOE-MHDV Data'!$B:$B=AA$70)*('ANL-DOE-MHDV Data'!$E:$E="Medium 5")))</f>
        <v>97050.307576129941</v>
      </c>
      <c r="AB89" s="235" cm="1">
        <f t="array" ref="AB89">AVERAGE(_xlfn._xlws.FILTER('ANL-DOE-MHDV Data'!$AS:$AS,('ANL-DOE-MHDV Data'!$A:$A=$Z89)*('ANL-DOE-MHDV Data'!$B:$B=AB$70)*('ANL-DOE-MHDV Data'!$E:$E="Medium 5")))</f>
        <v>91516.171094249206</v>
      </c>
      <c r="AC89" s="235" cm="1">
        <f t="array" ref="AC89">AVERAGE(_xlfn._xlws.FILTER('ANL-DOE-MHDV Data'!$AS:$AS,('ANL-DOE-MHDV Data'!$A:$A=$Z89)*('ANL-DOE-MHDV Data'!$B:$B=AC$70)*('ANL-DOE-MHDV Data'!$E:$E="Medium 5")))</f>
        <v>83592.303038143335</v>
      </c>
      <c r="AD89" s="235" cm="1">
        <f t="array" ref="AD89">AVERAGE(_xlfn._xlws.FILTER('ANL-DOE-MHDV Data'!$AS:$AS,('ANL-DOE-MHDV Data'!$A:$A=$Z89)*('ANL-DOE-MHDV Data'!$B:$B=AD$70)*('ANL-DOE-MHDV Data'!$E:$E="Medium 5")))</f>
        <v>79413.045911555877</v>
      </c>
      <c r="AE89" s="235">
        <f t="shared" ref="AE89:AF89" si="154">($AG89-$AD89)/3 + AD89</f>
        <v>77372.189738642701</v>
      </c>
      <c r="AF89" s="235">
        <f t="shared" si="154"/>
        <v>75331.333565729525</v>
      </c>
      <c r="AG89" s="235" cm="1">
        <f t="array" ref="AG89">AVERAGE(_xlfn._xlws.FILTER('ANL-DOE-MHDV Data'!$AS:$AS,('ANL-DOE-MHDV Data'!$A:$A=$Z89)*('ANL-DOE-MHDV Data'!$B:$B=AG$70)*('ANL-DOE-MHDV Data'!$E:$E="Medium 5")))</f>
        <v>73290.477392816349</v>
      </c>
      <c r="AH89" s="102">
        <f t="shared" si="151"/>
        <v>-0.24481973088725639</v>
      </c>
    </row>
    <row r="90" spans="1:34" x14ac:dyDescent="0.35">
      <c r="A90" t="s">
        <v>2091</v>
      </c>
      <c r="B90" t="s">
        <v>2261</v>
      </c>
      <c r="C90" t="s">
        <v>1779</v>
      </c>
      <c r="D90">
        <v>2022</v>
      </c>
      <c r="E90">
        <v>2018</v>
      </c>
      <c r="F90" t="s">
        <v>1951</v>
      </c>
      <c r="G90">
        <v>2020</v>
      </c>
      <c r="H90" t="s">
        <v>1953</v>
      </c>
      <c r="I90" t="s">
        <v>2055</v>
      </c>
      <c r="J90" s="331">
        <f>'OEO &amp; EPAUS9rT-HDV Data'!R87*USD2018_to_CAD2020</f>
        <v>49.837550429447866</v>
      </c>
      <c r="K90" s="88">
        <f>'OEO &amp; EPAUS9rT-HDV Data'!S87*USD2018_to_CAD2020</f>
        <v>49.837550429447866</v>
      </c>
      <c r="L90" s="88">
        <f>'OEO &amp; EPAUS9rT-HDV Data'!T87*USD2018_to_CAD2020</f>
        <v>49.837550429447866</v>
      </c>
      <c r="M90" s="88">
        <f>'OEO &amp; EPAUS9rT-HDV Data'!U87*USD2018_to_CAD2020</f>
        <v>49.837550429447866</v>
      </c>
      <c r="N90" s="88">
        <f>'OEO &amp; EPAUS9rT-HDV Data'!V87*USD2018_to_CAD2020</f>
        <v>49.837550429447866</v>
      </c>
      <c r="O90" s="88">
        <f>'OEO &amp; EPAUS9rT-HDV Data'!W87*USD2018_to_CAD2020</f>
        <v>49.837550429447866</v>
      </c>
      <c r="P90" s="88">
        <f>'OEO &amp; EPAUS9rT-HDV Data'!X87*USD2018_to_CAD2020</f>
        <v>49.837550429447866</v>
      </c>
      <c r="Q90" s="87" t="s">
        <v>2143</v>
      </c>
      <c r="R90" s="87">
        <v>3</v>
      </c>
      <c r="S90">
        <v>1</v>
      </c>
      <c r="T90">
        <v>1</v>
      </c>
      <c r="U90">
        <v>3</v>
      </c>
      <c r="V90">
        <v>1</v>
      </c>
      <c r="Z90" s="17" t="s">
        <v>627</v>
      </c>
      <c r="AA90" s="235" cm="1">
        <f t="array" ref="AA90">AVERAGE(_xlfn._xlws.FILTER('ANL-DOE-MHDV Data'!$AS:$AS,('ANL-DOE-MHDV Data'!$A:$A=$Z90)*('ANL-DOE-MHDV Data'!$B:$B=AA$70)*('ANL-DOE-MHDV Data'!$E:$E="Medium 5")))</f>
        <v>129171.75363260333</v>
      </c>
      <c r="AB90" s="235" cm="1">
        <f t="array" ref="AB90">AVERAGE(_xlfn._xlws.FILTER('ANL-DOE-MHDV Data'!$AS:$AS,('ANL-DOE-MHDV Data'!$A:$A=$Z90)*('ANL-DOE-MHDV Data'!$B:$B=AB$70)*('ANL-DOE-MHDV Data'!$E:$E="Medium 5")))</f>
        <v>116361.17243955516</v>
      </c>
      <c r="AC90" s="235" cm="1">
        <f t="array" ref="AC90">AVERAGE(_xlfn._xlws.FILTER('ANL-DOE-MHDV Data'!$AS:$AS,('ANL-DOE-MHDV Data'!$A:$A=$Z90)*('ANL-DOE-MHDV Data'!$B:$B=AC$70)*('ANL-DOE-MHDV Data'!$E:$E="Medium 5")))</f>
        <v>108433.85339628726</v>
      </c>
      <c r="AD90" s="235" cm="1">
        <f t="array" ref="AD90">AVERAGE(_xlfn._xlws.FILTER('ANL-DOE-MHDV Data'!$AS:$AS,('ANL-DOE-MHDV Data'!$A:$A=$Z90)*('ANL-DOE-MHDV Data'!$B:$B=AD$70)*('ANL-DOE-MHDV Data'!$E:$E="Medium 5")))</f>
        <v>102200.85894873999</v>
      </c>
      <c r="AE90" s="235">
        <f t="shared" ref="AE90:AF90" si="155">($AG90-$AD90)/3 + AD90</f>
        <v>99831.934103249499</v>
      </c>
      <c r="AF90" s="235">
        <f t="shared" si="155"/>
        <v>97463.009257759011</v>
      </c>
      <c r="AG90" s="235" cm="1">
        <f t="array" ref="AG90">AVERAGE(_xlfn._xlws.FILTER('ANL-DOE-MHDV Data'!$AS:$AS,('ANL-DOE-MHDV Data'!$A:$A=$Z90)*('ANL-DOE-MHDV Data'!$B:$B=AG$70)*('ANL-DOE-MHDV Data'!$E:$E="Medium 5")))</f>
        <v>95094.084412268508</v>
      </c>
      <c r="AH90" s="102">
        <f t="shared" si="151"/>
        <v>-0.26381672666038281</v>
      </c>
    </row>
    <row r="91" spans="1:34" x14ac:dyDescent="0.35">
      <c r="Z91" s="17" t="s">
        <v>1065</v>
      </c>
      <c r="AA91" s="235" cm="1">
        <f t="array" ref="AA91">AVERAGE(_xlfn._xlws.FILTER('ANL-DOE-MHDV Data'!$AS:$AS,('ANL-DOE-MHDV Data'!$A:$A=$Z91)*('ANL-DOE-MHDV Data'!$B:$B=AA$70)*('ANL-DOE-MHDV Data'!$E:$E="Medium 5")))</f>
        <v>92144.431974903258</v>
      </c>
      <c r="AB91" s="235" cm="1">
        <f t="array" ref="AB91">AVERAGE(_xlfn._xlws.FILTER('ANL-DOE-MHDV Data'!$AS:$AS,('ANL-DOE-MHDV Data'!$A:$A=$Z91)*('ANL-DOE-MHDV Data'!$B:$B=AB$70)*('ANL-DOE-MHDV Data'!$E:$E="Medium 5")))</f>
        <v>86868.389643527233</v>
      </c>
      <c r="AC91" s="235" cm="1">
        <f t="array" ref="AC91">AVERAGE(_xlfn._xlws.FILTER('ANL-DOE-MHDV Data'!$AS:$AS,('ANL-DOE-MHDV Data'!$A:$A=$Z91)*('ANL-DOE-MHDV Data'!$B:$B=AC$70)*('ANL-DOE-MHDV Data'!$E:$E="Medium 5")))</f>
        <v>82118.077094361885</v>
      </c>
      <c r="AD91" s="235" cm="1">
        <f t="array" ref="AD91">AVERAGE(_xlfn._xlws.FILTER('ANL-DOE-MHDV Data'!$AS:$AS,('ANL-DOE-MHDV Data'!$A:$A=$Z91)*('ANL-DOE-MHDV Data'!$B:$B=AD$70)*('ANL-DOE-MHDV Data'!$E:$E="Medium 5")))</f>
        <v>79176.71635733993</v>
      </c>
      <c r="AE91" s="235">
        <f t="shared" ref="AE91:AF91" si="156">($AG91-$AD91)/3 + AD91</f>
        <v>77764.654050839206</v>
      </c>
      <c r="AF91" s="235">
        <f t="shared" si="156"/>
        <v>76352.591744338482</v>
      </c>
      <c r="AG91" s="235" cm="1">
        <f t="array" ref="AG91">AVERAGE(_xlfn._xlws.FILTER('ANL-DOE-MHDV Data'!$AS:$AS,('ANL-DOE-MHDV Data'!$A:$A=$Z91)*('ANL-DOE-MHDV Data'!$B:$B=AG$70)*('ANL-DOE-MHDV Data'!$E:$E="Medium 5")))</f>
        <v>74940.529437837758</v>
      </c>
      <c r="AH91" s="102">
        <f t="shared" si="151"/>
        <v>-0.18670582875535233</v>
      </c>
    </row>
    <row r="92" spans="1:34" x14ac:dyDescent="0.35">
      <c r="Z92" s="33" t="s">
        <v>1589</v>
      </c>
      <c r="AH92" s="102"/>
    </row>
    <row r="93" spans="1:34" x14ac:dyDescent="0.35">
      <c r="Z93" s="17" t="s">
        <v>1017</v>
      </c>
      <c r="AA93" s="235" cm="1">
        <f t="array" ref="AA93">AVERAGE(_xlfn._xlws.FILTER('ANL-DOE-MHDV Data'!$AS:$AS,('ANL-DOE-MHDV Data'!$A:$A=$Z93)*('ANL-DOE-MHDV Data'!$B:$B=AA$70)*('ANL-DOE-MHDV Data'!$E:$E="Medium 6")))</f>
        <v>91254.374866666665</v>
      </c>
      <c r="AB93" s="235" cm="1">
        <f t="array" ref="AB93">AVERAGE(_xlfn._xlws.FILTER('ANL-DOE-MHDV Data'!$AS:$AS,('ANL-DOE-MHDV Data'!$A:$A=$Z93)*('ANL-DOE-MHDV Data'!$B:$B=AB$70)*('ANL-DOE-MHDV Data'!$E:$E="Medium 6")))</f>
        <v>91620.550088601551</v>
      </c>
      <c r="AC93" s="235" cm="1">
        <f t="array" ref="AC93">AVERAGE(_xlfn._xlws.FILTER('ANL-DOE-MHDV Data'!$AS:$AS,('ANL-DOE-MHDV Data'!$A:$A=$Z93)*('ANL-DOE-MHDV Data'!$B:$B=AC$70)*('ANL-DOE-MHDV Data'!$E:$E="Medium 6")))</f>
        <v>92371.861136428415</v>
      </c>
      <c r="AD93" s="235" cm="1">
        <f t="array" ref="AD93">AVERAGE(_xlfn._xlws.FILTER('ANL-DOE-MHDV Data'!$AS:$AS,('ANL-DOE-MHDV Data'!$A:$A=$Z93)*('ANL-DOE-MHDV Data'!$B:$B=AD$70)*('ANL-DOE-MHDV Data'!$E:$E="Medium 6")))</f>
        <v>92122.878736428407</v>
      </c>
      <c r="AE93" s="235">
        <f t="shared" ref="AE93:AF93" si="157">($AG93-$AD93)/3 + AD93</f>
        <v>92263.32234254152</v>
      </c>
      <c r="AF93" s="235">
        <f t="shared" si="157"/>
        <v>92403.765948654633</v>
      </c>
      <c r="AG93" s="235" cm="1">
        <f t="array" ref="AG93">AVERAGE(_xlfn._xlws.FILTER('ANL-DOE-MHDV Data'!$AS:$AS,('ANL-DOE-MHDV Data'!$A:$A=$Z93)*('ANL-DOE-MHDV Data'!$B:$B=AG$70)*('ANL-DOE-MHDV Data'!$E:$E="Medium 6")))</f>
        <v>92544.20955476776</v>
      </c>
      <c r="AH93" s="102">
        <f t="shared" ref="AH93:AH98" si="158">(AG93-AA93)/AA93</f>
        <v>1.4134497003411557E-2</v>
      </c>
    </row>
    <row r="94" spans="1:34" x14ac:dyDescent="0.35">
      <c r="Z94" s="17" t="s">
        <v>1020</v>
      </c>
      <c r="AA94" s="235" cm="1">
        <f t="array" ref="AA94">AVERAGE(_xlfn._xlws.FILTER('ANL-DOE-MHDV Data'!$AS:$AS,('ANL-DOE-MHDV Data'!$A:$A=$Z94)*('ANL-DOE-MHDV Data'!$B:$B=AA$70)*('ANL-DOE-MHDV Data'!$E:$E="Medium 6")))</f>
        <v>105732.02332515724</v>
      </c>
      <c r="AB94" s="235" cm="1">
        <f t="array" ref="AB94">AVERAGE(_xlfn._xlws.FILTER('ANL-DOE-MHDV Data'!$AS:$AS,('ANL-DOE-MHDV Data'!$A:$A=$Z94)*('ANL-DOE-MHDV Data'!$B:$B=AB$70)*('ANL-DOE-MHDV Data'!$E:$E="Medium 6")))</f>
        <v>105195.50251798012</v>
      </c>
      <c r="AC94" s="235" cm="1">
        <f t="array" ref="AC94">AVERAGE(_xlfn._xlws.FILTER('ANL-DOE-MHDV Data'!$AS:$AS,('ANL-DOE-MHDV Data'!$A:$A=$Z94)*('ANL-DOE-MHDV Data'!$B:$B=AC$70)*('ANL-DOE-MHDV Data'!$E:$E="Medium 6")))</f>
        <v>104825.00383481181</v>
      </c>
      <c r="AD94" s="235" cm="1">
        <f t="array" ref="AD94">AVERAGE(_xlfn._xlws.FILTER('ANL-DOE-MHDV Data'!$AS:$AS,('ANL-DOE-MHDV Data'!$A:$A=$Z94)*('ANL-DOE-MHDV Data'!$B:$B=AD$70)*('ANL-DOE-MHDV Data'!$E:$E="Medium 6")))</f>
        <v>103954.43753587257</v>
      </c>
      <c r="AE94" s="235">
        <f t="shared" ref="AE94:AF94" si="159">($AG94-$AD94)/3 + AD94</f>
        <v>103748.80366803102</v>
      </c>
      <c r="AF94" s="235">
        <f t="shared" si="159"/>
        <v>103543.16980018947</v>
      </c>
      <c r="AG94" s="235" cm="1">
        <f t="array" ref="AG94">AVERAGE(_xlfn._xlws.FILTER('ANL-DOE-MHDV Data'!$AS:$AS,('ANL-DOE-MHDV Data'!$A:$A=$Z94)*('ANL-DOE-MHDV Data'!$B:$B=AG$70)*('ANL-DOE-MHDV Data'!$E:$E="Medium 6")))</f>
        <v>103337.53593234794</v>
      </c>
      <c r="AH94" s="102">
        <f t="shared" si="158"/>
        <v>-2.2646756559699454E-2</v>
      </c>
    </row>
    <row r="95" spans="1:34" x14ac:dyDescent="0.35">
      <c r="Z95" s="17" t="s">
        <v>1021</v>
      </c>
      <c r="AA95" s="235" cm="1">
        <f t="array" ref="AA95">AVERAGE(_xlfn._xlws.FILTER('ANL-DOE-MHDV Data'!$AS:$AS,('ANL-DOE-MHDV Data'!$A:$A=$Z95)*('ANL-DOE-MHDV Data'!$B:$B=AA$70)*('ANL-DOE-MHDV Data'!$E:$E="Medium 6")))</f>
        <v>118238.44387959359</v>
      </c>
      <c r="AB95" s="235" cm="1">
        <f t="array" ref="AB95">AVERAGE(_xlfn._xlws.FILTER('ANL-DOE-MHDV Data'!$AS:$AS,('ANL-DOE-MHDV Data'!$A:$A=$Z95)*('ANL-DOE-MHDV Data'!$B:$B=AB$70)*('ANL-DOE-MHDV Data'!$E:$E="Medium 6")))</f>
        <v>112984.27066892112</v>
      </c>
      <c r="AC95" s="235" cm="1">
        <f t="array" ref="AC95">AVERAGE(_xlfn._xlws.FILTER('ANL-DOE-MHDV Data'!$AS:$AS,('ANL-DOE-MHDV Data'!$A:$A=$Z95)*('ANL-DOE-MHDV Data'!$B:$B=AC$70)*('ANL-DOE-MHDV Data'!$E:$E="Medium 6")))</f>
        <v>106560.35064862773</v>
      </c>
      <c r="AD95" s="235" cm="1">
        <f t="array" ref="AD95">AVERAGE(_xlfn._xlws.FILTER('ANL-DOE-MHDV Data'!$AS:$AS,('ANL-DOE-MHDV Data'!$A:$A=$Z95)*('ANL-DOE-MHDV Data'!$B:$B=AD$70)*('ANL-DOE-MHDV Data'!$E:$E="Medium 6")))</f>
        <v>102210.8979713436</v>
      </c>
      <c r="AE95" s="235">
        <f t="shared" ref="AE95:AF95" si="160">($AG95-$AD95)/3 + AD95</f>
        <v>100557.51937726728</v>
      </c>
      <c r="AF95" s="235">
        <f t="shared" si="160"/>
        <v>98904.14078319096</v>
      </c>
      <c r="AG95" s="235" cm="1">
        <f t="array" ref="AG95">AVERAGE(_xlfn._xlws.FILTER('ANL-DOE-MHDV Data'!$AS:$AS,('ANL-DOE-MHDV Data'!$A:$A=$Z95)*('ANL-DOE-MHDV Data'!$B:$B=AG$70)*('ANL-DOE-MHDV Data'!$E:$E="Medium 6")))</f>
        <v>97250.762189114641</v>
      </c>
      <c r="AH95" s="102">
        <f t="shared" si="158"/>
        <v>-0.17750302694994402</v>
      </c>
    </row>
    <row r="96" spans="1:34" x14ac:dyDescent="0.35">
      <c r="Z96" s="17" t="s">
        <v>246</v>
      </c>
      <c r="AA96" s="235" cm="1">
        <f t="array" ref="AA96">AVERAGE(_xlfn._xlws.FILTER('ANL-DOE-MHDV Data'!$AS:$AS,('ANL-DOE-MHDV Data'!$A:$A=$Z96)*('ANL-DOE-MHDV Data'!$B:$B=AA$70)*('ANL-DOE-MHDV Data'!$E:$E="Medium 6")))</f>
        <v>120426.8065551445</v>
      </c>
      <c r="AB96" s="235" cm="1">
        <f t="array" ref="AB96">AVERAGE(_xlfn._xlws.FILTER('ANL-DOE-MHDV Data'!$AS:$AS,('ANL-DOE-MHDV Data'!$A:$A=$Z96)*('ANL-DOE-MHDV Data'!$B:$B=AB$70)*('ANL-DOE-MHDV Data'!$E:$E="Medium 6")))</f>
        <v>112903.77704146039</v>
      </c>
      <c r="AC96" s="235" cm="1">
        <f t="array" ref="AC96">AVERAGE(_xlfn._xlws.FILTER('ANL-DOE-MHDV Data'!$AS:$AS,('ANL-DOE-MHDV Data'!$A:$A=$Z96)*('ANL-DOE-MHDV Data'!$B:$B=AC$70)*('ANL-DOE-MHDV Data'!$E:$E="Medium 6")))</f>
        <v>102404.73272717989</v>
      </c>
      <c r="AD96" s="235" cm="1">
        <f t="array" ref="AD96">AVERAGE(_xlfn._xlws.FILTER('ANL-DOE-MHDV Data'!$AS:$AS,('ANL-DOE-MHDV Data'!$A:$A=$Z96)*('ANL-DOE-MHDV Data'!$B:$B=AD$70)*('ANL-DOE-MHDV Data'!$E:$E="Medium 6")))</f>
        <v>96890.650210357257</v>
      </c>
      <c r="AE96" s="235">
        <f t="shared" ref="AE96:AF96" si="161">($AG96-$AD96)/3 + AD96</f>
        <v>94345.372318884416</v>
      </c>
      <c r="AF96" s="235">
        <f t="shared" si="161"/>
        <v>91800.094427411575</v>
      </c>
      <c r="AG96" s="235" cm="1">
        <f t="array" ref="AG96">AVERAGE(_xlfn._xlws.FILTER('ANL-DOE-MHDV Data'!$AS:$AS,('ANL-DOE-MHDV Data'!$A:$A=$Z96)*('ANL-DOE-MHDV Data'!$B:$B=AG$70)*('ANL-DOE-MHDV Data'!$E:$E="Medium 6")))</f>
        <v>89254.81653593872</v>
      </c>
      <c r="AH96" s="102">
        <f t="shared" si="158"/>
        <v>-0.25884594062478816</v>
      </c>
    </row>
    <row r="97" spans="26:34" x14ac:dyDescent="0.35">
      <c r="Z97" s="17" t="s">
        <v>627</v>
      </c>
      <c r="AA97" s="235" cm="1">
        <f t="array" ref="AA97">AVERAGE(_xlfn._xlws.FILTER('ANL-DOE-MHDV Data'!$AS:$AS,('ANL-DOE-MHDV Data'!$A:$A=$Z97)*('ANL-DOE-MHDV Data'!$B:$B=AA$70)*('ANL-DOE-MHDV Data'!$E:$E="Medium 6")))</f>
        <v>133611.55671125423</v>
      </c>
      <c r="AB97" s="235" cm="1">
        <f t="array" ref="AB97">AVERAGE(_xlfn._xlws.FILTER('ANL-DOE-MHDV Data'!$AS:$AS,('ANL-DOE-MHDV Data'!$A:$A=$Z97)*('ANL-DOE-MHDV Data'!$B:$B=AB$70)*('ANL-DOE-MHDV Data'!$E:$E="Medium 6")))</f>
        <v>122746.8723419099</v>
      </c>
      <c r="AC97" s="235" cm="1">
        <f t="array" ref="AC97">AVERAGE(_xlfn._xlws.FILTER('ANL-DOE-MHDV Data'!$AS:$AS,('ANL-DOE-MHDV Data'!$A:$A=$Z97)*('ANL-DOE-MHDV Data'!$B:$B=AC$70)*('ANL-DOE-MHDV Data'!$E:$E="Medium 6")))</f>
        <v>116172.96207594895</v>
      </c>
      <c r="AD97" s="235" cm="1">
        <f t="array" ref="AD97">AVERAGE(_xlfn._xlws.FILTER('ANL-DOE-MHDV Data'!$AS:$AS,('ANL-DOE-MHDV Data'!$A:$A=$Z97)*('ANL-DOE-MHDV Data'!$B:$B=AD$70)*('ANL-DOE-MHDV Data'!$E:$E="Medium 6")))</f>
        <v>110925.70928440501</v>
      </c>
      <c r="AE97" s="235">
        <f t="shared" ref="AE97:AF97" si="162">($AG97-$AD97)/3 + AD97</f>
        <v>108841.44995765686</v>
      </c>
      <c r="AF97" s="235">
        <f t="shared" si="162"/>
        <v>106757.19063090872</v>
      </c>
      <c r="AG97" s="235" cm="1">
        <f t="array" ref="AG97">AVERAGE(_xlfn._xlws.FILTER('ANL-DOE-MHDV Data'!$AS:$AS,('ANL-DOE-MHDV Data'!$A:$A=$Z97)*('ANL-DOE-MHDV Data'!$B:$B=AG$70)*('ANL-DOE-MHDV Data'!$E:$E="Medium 6")))</f>
        <v>104672.93130416058</v>
      </c>
      <c r="AH97" s="102">
        <f t="shared" si="158"/>
        <v>-0.21658774225370675</v>
      </c>
    </row>
    <row r="98" spans="26:34" x14ac:dyDescent="0.35">
      <c r="Z98" s="17" t="s">
        <v>1065</v>
      </c>
      <c r="AA98" s="235" cm="1">
        <f t="array" ref="AA98">AVERAGE(_xlfn._xlws.FILTER('ANL-DOE-MHDV Data'!$AS:$AS,('ANL-DOE-MHDV Data'!$A:$A=$Z98)*('ANL-DOE-MHDV Data'!$B:$B=AA$70)*('ANL-DOE-MHDV Data'!$E:$E="Medium 6")))</f>
        <v>115812.84678650093</v>
      </c>
      <c r="AB98" s="235" cm="1">
        <f t="array" ref="AB98">AVERAGE(_xlfn._xlws.FILTER('ANL-DOE-MHDV Data'!$AS:$AS,('ANL-DOE-MHDV Data'!$A:$A=$Z98)*('ANL-DOE-MHDV Data'!$B:$B=AB$70)*('ANL-DOE-MHDV Data'!$E:$E="Medium 6")))</f>
        <v>108256.75239184988</v>
      </c>
      <c r="AC98" s="235" cm="1">
        <f t="array" ref="AC98">AVERAGE(_xlfn._xlws.FILTER('ANL-DOE-MHDV Data'!$AS:$AS,('ANL-DOE-MHDV Data'!$A:$A=$Z98)*('ANL-DOE-MHDV Data'!$B:$B=AC$70)*('ANL-DOE-MHDV Data'!$E:$E="Medium 6")))</f>
        <v>101815.76223643072</v>
      </c>
      <c r="AD98" s="235" cm="1">
        <f t="array" ref="AD98">AVERAGE(_xlfn._xlws.FILTER('ANL-DOE-MHDV Data'!$AS:$AS,('ANL-DOE-MHDV Data'!$A:$A=$Z98)*('ANL-DOE-MHDV Data'!$B:$B=AD$70)*('ANL-DOE-MHDV Data'!$E:$E="Medium 6")))</f>
        <v>97978.035058621244</v>
      </c>
      <c r="AE98" s="235">
        <f t="shared" ref="AE98:AF98" si="163">($AG98-$AD98)/3 + AD98</f>
        <v>96203.691479798668</v>
      </c>
      <c r="AF98" s="235">
        <f t="shared" si="163"/>
        <v>94429.347900976092</v>
      </c>
      <c r="AG98" s="235" cm="1">
        <f t="array" ref="AG98">AVERAGE(_xlfn._xlws.FILTER('ANL-DOE-MHDV Data'!$AS:$AS,('ANL-DOE-MHDV Data'!$A:$A=$Z98)*('ANL-DOE-MHDV Data'!$B:$B=AG$70)*('ANL-DOE-MHDV Data'!$E:$E="Medium 6")))</f>
        <v>92655.004322153502</v>
      </c>
      <c r="AH98" s="102">
        <f t="shared" si="158"/>
        <v>-0.1999591850724344</v>
      </c>
    </row>
    <row r="99" spans="26:34" x14ac:dyDescent="0.35">
      <c r="Z99" s="33" t="s">
        <v>1590</v>
      </c>
      <c r="AH99" s="102"/>
    </row>
    <row r="100" spans="26:34" x14ac:dyDescent="0.35">
      <c r="Z100" s="17" t="s">
        <v>1017</v>
      </c>
      <c r="AA100" s="235" cm="1">
        <f t="array" ref="AA100">AVERAGE(_xlfn._xlws.FILTER('ANL-DOE-MHDV Data'!$AS:$AS,('ANL-DOE-MHDV Data'!$A:$A=$Z100)*('ANL-DOE-MHDV Data'!$B:$B=AA$70)*(RIGHT('ANL-DOE-MHDV Data'!$E:$E, 1)="7")*('ANL-DOE-MHDV Data'!$D:$D&lt;&gt;"School")))</f>
        <v>117749.53646666666</v>
      </c>
      <c r="AB100" s="235" cm="1">
        <f t="array" ref="AB100">AVERAGE(_xlfn._xlws.FILTER('ANL-DOE-MHDV Data'!$AS:$AS,('ANL-DOE-MHDV Data'!$A:$A=$Z100)*('ANL-DOE-MHDV Data'!$B:$B=AB$70)*(RIGHT('ANL-DOE-MHDV Data'!$E:$E, 1)="7")*('ANL-DOE-MHDV Data'!$D:$D&lt;&gt;"School")))</f>
        <v>117388.41167580739</v>
      </c>
      <c r="AC100" s="235" cm="1">
        <f t="array" ref="AC100">AVERAGE(_xlfn._xlws.FILTER('ANL-DOE-MHDV Data'!$AS:$AS,('ANL-DOE-MHDV Data'!$A:$A=$Z100)*('ANL-DOE-MHDV Data'!$B:$B=AC$70)*(RIGHT('ANL-DOE-MHDV Data'!$E:$E, 1)="7")*('ANL-DOE-MHDV Data'!$D:$D&lt;&gt;"School")))</f>
        <v>117324.31216201496</v>
      </c>
      <c r="AD100" s="235" cm="1">
        <f t="array" ref="AD100">AVERAGE(_xlfn._xlws.FILTER('ANL-DOE-MHDV Data'!$AS:$AS,('ANL-DOE-MHDV Data'!$A:$A=$Z100)*('ANL-DOE-MHDV Data'!$B:$B=AD$70)*(RIGHT('ANL-DOE-MHDV Data'!$E:$E, 1)="7")*('ANL-DOE-MHDV Data'!$D:$D&lt;&gt;"School")))</f>
        <v>116719.87697868166</v>
      </c>
      <c r="AE100" s="235">
        <f t="shared" ref="AE100:AF100" si="164">($AG100-$AD100)/3 + AD100</f>
        <v>116856.49490453648</v>
      </c>
      <c r="AF100" s="235">
        <f t="shared" si="164"/>
        <v>116993.1128303913</v>
      </c>
      <c r="AG100" s="235" cm="1">
        <f t="array" ref="AG100">AVERAGE(_xlfn._xlws.FILTER('ANL-DOE-MHDV Data'!$AS:$AS,('ANL-DOE-MHDV Data'!$A:$A=$Z100)*('ANL-DOE-MHDV Data'!$B:$B=AG$70)*(RIGHT('ANL-DOE-MHDV Data'!$E:$E, 1)="7")*('ANL-DOE-MHDV Data'!$D:$D&lt;&gt;"School")))</f>
        <v>117129.73075624614</v>
      </c>
      <c r="AH100" s="102">
        <f t="shared" ref="AH100:AH105" si="165">(AG100-AA100)/AA100</f>
        <v>-5.2637634849287121E-3</v>
      </c>
    </row>
    <row r="101" spans="26:34" x14ac:dyDescent="0.35">
      <c r="Z101" s="17" t="s">
        <v>1020</v>
      </c>
      <c r="AA101" s="235" cm="1">
        <f t="array" ref="AA101">AVERAGE(_xlfn._xlws.FILTER('ANL-DOE-MHDV Data'!$AS:$AS,('ANL-DOE-MHDV Data'!$A:$A=$Z101)*('ANL-DOE-MHDV Data'!$B:$B=AA$70)*(RIGHT('ANL-DOE-MHDV Data'!$E:$E, 1)="7")*('ANL-DOE-MHDV Data'!$D:$D&lt;&gt;"School")))</f>
        <v>129826.37833222871</v>
      </c>
      <c r="AB101" s="235" cm="1">
        <f t="array" ref="AB101">AVERAGE(_xlfn._xlws.FILTER('ANL-DOE-MHDV Data'!$AS:$AS,('ANL-DOE-MHDV Data'!$A:$A=$Z101)*('ANL-DOE-MHDV Data'!$B:$B=AB$70)*(RIGHT('ANL-DOE-MHDV Data'!$E:$E, 1)="7")*('ANL-DOE-MHDV Data'!$D:$D&lt;&gt;"School")))</f>
        <v>129059.10664331603</v>
      </c>
      <c r="AC101" s="235" cm="1">
        <f t="array" ref="AC101">AVERAGE(_xlfn._xlws.FILTER('ANL-DOE-MHDV Data'!$AS:$AS,('ANL-DOE-MHDV Data'!$A:$A=$Z101)*('ANL-DOE-MHDV Data'!$B:$B=AC$70)*(RIGHT('ANL-DOE-MHDV Data'!$E:$E, 1)="7")*('ANL-DOE-MHDV Data'!$D:$D&lt;&gt;"School")))</f>
        <v>128486.18072879604</v>
      </c>
      <c r="AD101" s="235" cm="1">
        <f t="array" ref="AD101">AVERAGE(_xlfn._xlws.FILTER('ANL-DOE-MHDV Data'!$AS:$AS,('ANL-DOE-MHDV Data'!$A:$A=$Z101)*('ANL-DOE-MHDV Data'!$B:$B=AD$70)*(RIGHT('ANL-DOE-MHDV Data'!$E:$E, 1)="7")*('ANL-DOE-MHDV Data'!$D:$D&lt;&gt;"School")))</f>
        <v>127517.58334336073</v>
      </c>
      <c r="AE101" s="235">
        <f t="shared" ref="AE101:AF101" si="166">($AG101-$AD101)/3 + AD101</f>
        <v>128564.95438781256</v>
      </c>
      <c r="AF101" s="235">
        <f t="shared" si="166"/>
        <v>129612.32543226438</v>
      </c>
      <c r="AG101" s="235" cm="1">
        <f t="array" ref="AG101">AVERAGE(_xlfn._xlws.FILTER('ANL-DOE-MHDV Data'!$AS:$AS,('ANL-DOE-MHDV Data'!$A:$A=$Z101)*('ANL-DOE-MHDV Data'!$B:$B=AG$70)*(RIGHT('ANL-DOE-MHDV Data'!$E:$E, 1)="7")*('ANL-DOE-MHDV Data'!$D:$D&lt;&gt;"School")))</f>
        <v>130659.6964767162</v>
      </c>
      <c r="AH101" s="102">
        <f t="shared" si="165"/>
        <v>6.4187120921991147E-3</v>
      </c>
    </row>
    <row r="102" spans="26:34" x14ac:dyDescent="0.35">
      <c r="Z102" s="17" t="s">
        <v>1021</v>
      </c>
      <c r="AA102" s="235" cm="1">
        <f t="array" ref="AA102">AVERAGE(_xlfn._xlws.FILTER('ANL-DOE-MHDV Data'!$AS:$AS,('ANL-DOE-MHDV Data'!$A:$A=$Z102)*('ANL-DOE-MHDV Data'!$B:$B=AA$70)*(RIGHT('ANL-DOE-MHDV Data'!$E:$E, 1)="7")*('ANL-DOE-MHDV Data'!$D:$D&lt;&gt;"School")))</f>
        <v>161703.74271943202</v>
      </c>
      <c r="AB102" s="235" cm="1">
        <f t="array" ref="AB102">AVERAGE(_xlfn._xlws.FILTER('ANL-DOE-MHDV Data'!$AS:$AS,('ANL-DOE-MHDV Data'!$A:$A=$Z102)*('ANL-DOE-MHDV Data'!$B:$B=AB$70)*(RIGHT('ANL-DOE-MHDV Data'!$E:$E, 1)="7")*('ANL-DOE-MHDV Data'!$D:$D&lt;&gt;"School")))</f>
        <v>153808.99949985128</v>
      </c>
      <c r="AC102" s="235" cm="1">
        <f t="array" ref="AC102">AVERAGE(_xlfn._xlws.FILTER('ANL-DOE-MHDV Data'!$AS:$AS,('ANL-DOE-MHDV Data'!$A:$A=$Z102)*('ANL-DOE-MHDV Data'!$B:$B=AC$70)*(RIGHT('ANL-DOE-MHDV Data'!$E:$E, 1)="7")*('ANL-DOE-MHDV Data'!$D:$D&lt;&gt;"School")))</f>
        <v>143068.81253996</v>
      </c>
      <c r="AD102" s="235" cm="1">
        <f t="array" ref="AD102">AVERAGE(_xlfn._xlws.FILTER('ANL-DOE-MHDV Data'!$AS:$AS,('ANL-DOE-MHDV Data'!$A:$A=$Z102)*('ANL-DOE-MHDV Data'!$B:$B=AD$70)*(RIGHT('ANL-DOE-MHDV Data'!$E:$E, 1)="7")*('ANL-DOE-MHDV Data'!$D:$D&lt;&gt;"School")))</f>
        <v>136347.97664871803</v>
      </c>
      <c r="AE102" s="235">
        <f t="shared" ref="AE102:AF102" si="167">($AG102-$AD102)/3 + AD102</f>
        <v>133796.66595458341</v>
      </c>
      <c r="AF102" s="235">
        <f t="shared" si="167"/>
        <v>131245.35526044879</v>
      </c>
      <c r="AG102" s="235" cm="1">
        <f t="array" ref="AG102">AVERAGE(_xlfn._xlws.FILTER('ANL-DOE-MHDV Data'!$AS:$AS,('ANL-DOE-MHDV Data'!$A:$A=$Z102)*('ANL-DOE-MHDV Data'!$B:$B=AG$70)*(RIGHT('ANL-DOE-MHDV Data'!$E:$E, 1)="7")*('ANL-DOE-MHDV Data'!$D:$D&lt;&gt;"School")))</f>
        <v>128694.04456631414</v>
      </c>
      <c r="AH102" s="102">
        <f t="shared" si="165"/>
        <v>-0.20413688389632484</v>
      </c>
    </row>
    <row r="103" spans="26:34" x14ac:dyDescent="0.35">
      <c r="Z103" s="17" t="s">
        <v>246</v>
      </c>
      <c r="AA103" s="235" cm="1">
        <f t="array" ref="AA103">AVERAGE(_xlfn._xlws.FILTER('ANL-DOE-MHDV Data'!$AS:$AS,('ANL-DOE-MHDV Data'!$A:$A=$Z103)*('ANL-DOE-MHDV Data'!$B:$B=AA$70)*(RIGHT('ANL-DOE-MHDV Data'!$E:$E, 1)="7")*('ANL-DOE-MHDV Data'!$D:$D&lt;&gt;"School")))</f>
        <v>174488.35805323409</v>
      </c>
      <c r="AB103" s="235" cm="1">
        <f t="array" ref="AB103">AVERAGE(_xlfn._xlws.FILTER('ANL-DOE-MHDV Data'!$AS:$AS,('ANL-DOE-MHDV Data'!$A:$A=$Z103)*('ANL-DOE-MHDV Data'!$B:$B=AB$70)*(RIGHT('ANL-DOE-MHDV Data'!$E:$E, 1)="7")*('ANL-DOE-MHDV Data'!$D:$D&lt;&gt;"School")))</f>
        <v>161937.75298768791</v>
      </c>
      <c r="AC103" s="235" cm="1">
        <f t="array" ref="AC103">AVERAGE(_xlfn._xlws.FILTER('ANL-DOE-MHDV Data'!$AS:$AS,('ANL-DOE-MHDV Data'!$A:$A=$Z103)*('ANL-DOE-MHDV Data'!$B:$B=AC$70)*(RIGHT('ANL-DOE-MHDV Data'!$E:$E, 1)="7")*('ANL-DOE-MHDV Data'!$D:$D&lt;&gt;"School")))</f>
        <v>144253.4894838224</v>
      </c>
      <c r="AD103" s="235" cm="1">
        <f t="array" ref="AD103">AVERAGE(_xlfn._xlws.FILTER('ANL-DOE-MHDV Data'!$AS:$AS,('ANL-DOE-MHDV Data'!$A:$A=$Z103)*('ANL-DOE-MHDV Data'!$B:$B=AD$70)*(RIGHT('ANL-DOE-MHDV Data'!$E:$E, 1)="7")*('ANL-DOE-MHDV Data'!$D:$D&lt;&gt;"School")))</f>
        <v>134973.63575386562</v>
      </c>
      <c r="AE103" s="235">
        <f t="shared" ref="AE103:AF103" si="168">($AG103-$AD103)/3 + AD103</f>
        <v>130971.48112667679</v>
      </c>
      <c r="AF103" s="235">
        <f t="shared" si="168"/>
        <v>126969.32649948797</v>
      </c>
      <c r="AG103" s="235" cm="1">
        <f t="array" ref="AG103">AVERAGE(_xlfn._xlws.FILTER('ANL-DOE-MHDV Data'!$AS:$AS,('ANL-DOE-MHDV Data'!$A:$A=$Z103)*('ANL-DOE-MHDV Data'!$B:$B=AG$70)*(RIGHT('ANL-DOE-MHDV Data'!$E:$E, 1)="7")*('ANL-DOE-MHDV Data'!$D:$D&lt;&gt;"School")))</f>
        <v>122967.17187229916</v>
      </c>
      <c r="AH103" s="102">
        <f t="shared" si="165"/>
        <v>-0.29527004985178718</v>
      </c>
    </row>
    <row r="104" spans="26:34" x14ac:dyDescent="0.35">
      <c r="Z104" s="17" t="s">
        <v>627</v>
      </c>
      <c r="AA104" s="235" cm="1">
        <f t="array" ref="AA104">AVERAGE(_xlfn._xlws.FILTER('ANL-DOE-MHDV Data'!$AS:$AS,('ANL-DOE-MHDV Data'!$A:$A=$Z104)*('ANL-DOE-MHDV Data'!$B:$B=AA$70)*(RIGHT('ANL-DOE-MHDV Data'!$E:$E, 1)="7")*('ANL-DOE-MHDV Data'!$D:$D&lt;&gt;"School")))</f>
        <v>166076.15686204156</v>
      </c>
      <c r="AB104" s="235" cm="1">
        <f t="array" ref="AB104">AVERAGE(_xlfn._xlws.FILTER('ANL-DOE-MHDV Data'!$AS:$AS,('ANL-DOE-MHDV Data'!$A:$A=$Z104)*('ANL-DOE-MHDV Data'!$B:$B=AB$70)*(RIGHT('ANL-DOE-MHDV Data'!$E:$E, 1)="7")*('ANL-DOE-MHDV Data'!$D:$D&lt;&gt;"School")))</f>
        <v>154227.71268088339</v>
      </c>
      <c r="AC104" s="235" cm="1">
        <f t="array" ref="AC104">AVERAGE(_xlfn._xlws.FILTER('ANL-DOE-MHDV Data'!$AS:$AS,('ANL-DOE-MHDV Data'!$A:$A=$Z104)*('ANL-DOE-MHDV Data'!$B:$B=AC$70)*(RIGHT('ANL-DOE-MHDV Data'!$E:$E, 1)="7")*('ANL-DOE-MHDV Data'!$D:$D&lt;&gt;"School")))</f>
        <v>143933.40653277241</v>
      </c>
      <c r="AD104" s="235" cm="1">
        <f t="array" ref="AD104">AVERAGE(_xlfn._xlws.FILTER('ANL-DOE-MHDV Data'!$AS:$AS,('ANL-DOE-MHDV Data'!$A:$A=$Z104)*('ANL-DOE-MHDV Data'!$B:$B=AD$70)*(RIGHT('ANL-DOE-MHDV Data'!$E:$E, 1)="7")*('ANL-DOE-MHDV Data'!$D:$D&lt;&gt;"School")))</f>
        <v>137842.01104086437</v>
      </c>
      <c r="AE104" s="235">
        <f t="shared" ref="AE104:AF104" si="169">($AG104-$AD104)/3 + AD104</f>
        <v>135757.52544718242</v>
      </c>
      <c r="AF104" s="235">
        <f t="shared" si="169"/>
        <v>133673.03985350046</v>
      </c>
      <c r="AG104" s="235" cm="1">
        <f t="array" ref="AG104">AVERAGE(_xlfn._xlws.FILTER('ANL-DOE-MHDV Data'!$AS:$AS,('ANL-DOE-MHDV Data'!$A:$A=$Z104)*('ANL-DOE-MHDV Data'!$B:$B=AG$70)*(RIGHT('ANL-DOE-MHDV Data'!$E:$E, 1)="7")*('ANL-DOE-MHDV Data'!$D:$D&lt;&gt;"School")))</f>
        <v>131588.55425981848</v>
      </c>
      <c r="AH104" s="102">
        <f t="shared" si="165"/>
        <v>-0.20766137207083687</v>
      </c>
    </row>
    <row r="105" spans="26:34" x14ac:dyDescent="0.35">
      <c r="Z105" s="17" t="s">
        <v>1065</v>
      </c>
      <c r="AA105" s="235" cm="1">
        <f t="array" ref="AA105">AVERAGE(_xlfn._xlws.FILTER('ANL-DOE-MHDV Data'!$AS:$AS,('ANL-DOE-MHDV Data'!$A:$A=$Z105)*('ANL-DOE-MHDV Data'!$B:$B=AA$70)*(RIGHT('ANL-DOE-MHDV Data'!$E:$E, 1)="7")*('ANL-DOE-MHDV Data'!$D:$D&lt;&gt;"School")))</f>
        <v>152030.16892213098</v>
      </c>
      <c r="AB105" s="235" cm="1">
        <f t="array" ref="AB105">AVERAGE(_xlfn._xlws.FILTER('ANL-DOE-MHDV Data'!$AS:$AS,('ANL-DOE-MHDV Data'!$A:$A=$Z105)*('ANL-DOE-MHDV Data'!$B:$B=AB$70)*(RIGHT('ANL-DOE-MHDV Data'!$E:$E, 1)="7")*('ANL-DOE-MHDV Data'!$D:$D&lt;&gt;"School")))</f>
        <v>141775.30201552331</v>
      </c>
      <c r="AC105" s="235" cm="1">
        <f t="array" ref="AC105">AVERAGE(_xlfn._xlws.FILTER('ANL-DOE-MHDV Data'!$AS:$AS,('ANL-DOE-MHDV Data'!$A:$A=$Z105)*('ANL-DOE-MHDV Data'!$B:$B=AC$70)*(RIGHT('ANL-DOE-MHDV Data'!$E:$E, 1)="7")*('ANL-DOE-MHDV Data'!$D:$D&lt;&gt;"School")))</f>
        <v>132301.6564130632</v>
      </c>
      <c r="AD105" s="235" cm="1">
        <f t="array" ref="AD105">AVERAGE(_xlfn._xlws.FILTER('ANL-DOE-MHDV Data'!$AS:$AS,('ANL-DOE-MHDV Data'!$A:$A=$Z105)*('ANL-DOE-MHDV Data'!$B:$B=AD$70)*(RIGHT('ANL-DOE-MHDV Data'!$E:$E, 1)="7")*('ANL-DOE-MHDV Data'!$D:$D&lt;&gt;"School")))</f>
        <v>127119.09961253517</v>
      </c>
      <c r="AE105" s="235">
        <f t="shared" ref="AE105:AF105" si="170">($AG105-$AD105)/3 + AD105</f>
        <v>125050.69022779871</v>
      </c>
      <c r="AF105" s="235">
        <f t="shared" si="170"/>
        <v>122982.28084306225</v>
      </c>
      <c r="AG105" s="235" cm="1">
        <f t="array" ref="AG105">AVERAGE(_xlfn._xlws.FILTER('ANL-DOE-MHDV Data'!$AS:$AS,('ANL-DOE-MHDV Data'!$A:$A=$Z105)*('ANL-DOE-MHDV Data'!$B:$B=AG$70)*(RIGHT('ANL-DOE-MHDV Data'!$E:$E, 1)="7")*('ANL-DOE-MHDV Data'!$D:$D&lt;&gt;"School")))</f>
        <v>120913.87145832581</v>
      </c>
      <c r="AH105" s="102">
        <f t="shared" si="165"/>
        <v>-0.20467186009470767</v>
      </c>
    </row>
    <row r="106" spans="26:34" x14ac:dyDescent="0.35">
      <c r="Z106" s="33" t="s">
        <v>2161</v>
      </c>
      <c r="AH106" s="102"/>
    </row>
    <row r="107" spans="26:34" x14ac:dyDescent="0.35">
      <c r="Z107" s="17" t="s">
        <v>1017</v>
      </c>
      <c r="AA107" s="235" cm="1">
        <f t="array" ref="AA107">AVERAGE(_xlfn._xlws.FILTER('ANL-DOE-MHDV Data'!$AS:$AS,('ANL-DOE-MHDV Data'!$A:$A=$Z107)*('ANL-DOE-MHDV Data'!$B:$B=AA$70)*('ANL-DOE-MHDV Data'!$E:$E="DayCab 8")))</f>
        <v>152149.79983333332</v>
      </c>
      <c r="AB107" s="235" cm="1">
        <f t="array" ref="AB107">AVERAGE(_xlfn._xlws.FILTER('ANL-DOE-MHDV Data'!$AS:$AS,('ANL-DOE-MHDV Data'!$A:$A=$Z107)*('ANL-DOE-MHDV Data'!$B:$B=AB$70)*('ANL-DOE-MHDV Data'!$E:$E="DayCab 8")))</f>
        <v>153283.11639559027</v>
      </c>
      <c r="AC107" s="235" cm="1">
        <f t="array" ref="AC107">AVERAGE(_xlfn._xlws.FILTER('ANL-DOE-MHDV Data'!$AS:$AS,('ANL-DOE-MHDV Data'!$A:$A=$Z107)*('ANL-DOE-MHDV Data'!$B:$B=AC$70)*('ANL-DOE-MHDV Data'!$E:$E="DayCab 8")))</f>
        <v>154133.13521431488</v>
      </c>
      <c r="AD107" s="235" cm="1">
        <f t="array" ref="AD107">AVERAGE(_xlfn._xlws.FILTER('ANL-DOE-MHDV Data'!$AS:$AS,('ANL-DOE-MHDV Data'!$A:$A=$Z107)*('ANL-DOE-MHDV Data'!$B:$B=AD$70)*('ANL-DOE-MHDV Data'!$E:$E="DayCab 8")))</f>
        <v>154187.46596431485</v>
      </c>
      <c r="AE107" s="235">
        <f t="shared" ref="AE107:AF107" si="171">($AG107-$AD107)/3 + AD107</f>
        <v>154593.44193275296</v>
      </c>
      <c r="AF107" s="235">
        <f t="shared" si="171"/>
        <v>154999.41790119107</v>
      </c>
      <c r="AG107" s="235" cm="1">
        <f t="array" ref="AG107">AVERAGE(_xlfn._xlws.FILTER('ANL-DOE-MHDV Data'!$AS:$AS,('ANL-DOE-MHDV Data'!$A:$A=$Z107)*('ANL-DOE-MHDV Data'!$B:$B=AG$70)*('ANL-DOE-MHDV Data'!$E:$E="DayCab 8")))</f>
        <v>155405.39386962922</v>
      </c>
      <c r="AH107" s="102">
        <f t="shared" ref="AH107:AH112" si="172">(AG107-AA107)/AA107</f>
        <v>2.1397294244633311E-2</v>
      </c>
    </row>
    <row r="108" spans="26:34" x14ac:dyDescent="0.35">
      <c r="Z108" s="17" t="s">
        <v>1020</v>
      </c>
      <c r="AA108" s="235" cm="1">
        <f t="array" ref="AA108">AVERAGE(_xlfn._xlws.FILTER('ANL-DOE-MHDV Data'!$AS:$AS,('ANL-DOE-MHDV Data'!$A:$A=$Z108)*('ANL-DOE-MHDV Data'!$B:$B=AA$70)*('ANL-DOE-MHDV Data'!$E:$E="DayCab 8")))</f>
        <v>167025.99273614498</v>
      </c>
      <c r="AB108" s="235" cm="1">
        <f t="array" ref="AB108">AVERAGE(_xlfn._xlws.FILTER('ANL-DOE-MHDV Data'!$AS:$AS,('ANL-DOE-MHDV Data'!$A:$A=$Z108)*('ANL-DOE-MHDV Data'!$B:$B=AB$70)*('ANL-DOE-MHDV Data'!$E:$E="DayCab 8")))</f>
        <v>167035.39444744552</v>
      </c>
      <c r="AC108" s="235" cm="1">
        <f t="array" ref="AC108">AVERAGE(_xlfn._xlws.FILTER('ANL-DOE-MHDV Data'!$AS:$AS,('ANL-DOE-MHDV Data'!$A:$A=$Z108)*('ANL-DOE-MHDV Data'!$B:$B=AC$70)*('ANL-DOE-MHDV Data'!$E:$E="DayCab 8")))</f>
        <v>167026.73156358197</v>
      </c>
      <c r="AD108" s="235" cm="1">
        <f t="array" ref="AD108">AVERAGE(_xlfn._xlws.FILTER('ANL-DOE-MHDV Data'!$AS:$AS,('ANL-DOE-MHDV Data'!$A:$A=$Z108)*('ANL-DOE-MHDV Data'!$B:$B=AD$70)*('ANL-DOE-MHDV Data'!$E:$E="DayCab 8")))</f>
        <v>166609.67614406769</v>
      </c>
      <c r="AE108" s="235">
        <f t="shared" ref="AE108:AF108" si="173">($AG108-$AD108)/3 + AD108</f>
        <v>166804.06527256058</v>
      </c>
      <c r="AF108" s="235">
        <f t="shared" si="173"/>
        <v>166998.45440105346</v>
      </c>
      <c r="AG108" s="235" cm="1">
        <f t="array" ref="AG108">AVERAGE(_xlfn._xlws.FILTER('ANL-DOE-MHDV Data'!$AS:$AS,('ANL-DOE-MHDV Data'!$A:$A=$Z108)*('ANL-DOE-MHDV Data'!$B:$B=AG$70)*('ANL-DOE-MHDV Data'!$E:$E="DayCab 8")))</f>
        <v>167192.84352954631</v>
      </c>
      <c r="AH108" s="102">
        <f t="shared" si="172"/>
        <v>9.9895106544830182E-4</v>
      </c>
    </row>
    <row r="109" spans="26:34" x14ac:dyDescent="0.35">
      <c r="Z109" s="17" t="s">
        <v>1021</v>
      </c>
      <c r="AA109" s="235" cm="1">
        <f t="array" ref="AA109">AVERAGE(_xlfn._xlws.FILTER('ANL-DOE-MHDV Data'!$AS:$AS,('ANL-DOE-MHDV Data'!$A:$A=$Z109)*('ANL-DOE-MHDV Data'!$B:$B=AA$70)*('ANL-DOE-MHDV Data'!$E:$E="DayCab 8")))</f>
        <v>206614.29778163359</v>
      </c>
      <c r="AB109" s="235" cm="1">
        <f t="array" ref="AB109">AVERAGE(_xlfn._xlws.FILTER('ANL-DOE-MHDV Data'!$AS:$AS,('ANL-DOE-MHDV Data'!$A:$A=$Z109)*('ANL-DOE-MHDV Data'!$B:$B=AB$70)*('ANL-DOE-MHDV Data'!$E:$E="DayCab 8")))</f>
        <v>192879.00942261089</v>
      </c>
      <c r="AC109" s="235" cm="1">
        <f t="array" ref="AC109">AVERAGE(_xlfn._xlws.FILTER('ANL-DOE-MHDV Data'!$AS:$AS,('ANL-DOE-MHDV Data'!$A:$A=$Z109)*('ANL-DOE-MHDV Data'!$B:$B=AC$70)*('ANL-DOE-MHDV Data'!$E:$E="DayCab 8")))</f>
        <v>174502.363087501</v>
      </c>
      <c r="AD109" s="235" cm="1">
        <f t="array" ref="AD109">AVERAGE(_xlfn._xlws.FILTER('ANL-DOE-MHDV Data'!$AS:$AS,('ANL-DOE-MHDV Data'!$A:$A=$Z109)*('ANL-DOE-MHDV Data'!$B:$B=AD$70)*('ANL-DOE-MHDV Data'!$E:$E="DayCab 8")))</f>
        <v>164230.99034363657</v>
      </c>
      <c r="AE109" s="235">
        <f t="shared" ref="AE109:AF109" si="174">($AG109-$AD109)/3 + AD109</f>
        <v>160241.85550002841</v>
      </c>
      <c r="AF109" s="235">
        <f t="shared" si="174"/>
        <v>156252.72065642025</v>
      </c>
      <c r="AG109" s="235" cm="1">
        <f t="array" ref="AG109">AVERAGE(_xlfn._xlws.FILTER('ANL-DOE-MHDV Data'!$AS:$AS,('ANL-DOE-MHDV Data'!$A:$A=$Z109)*('ANL-DOE-MHDV Data'!$B:$B=AG$70)*('ANL-DOE-MHDV Data'!$E:$E="DayCab 8")))</f>
        <v>152263.58581281209</v>
      </c>
      <c r="AH109" s="102">
        <f t="shared" si="172"/>
        <v>-0.26305397328438351</v>
      </c>
    </row>
    <row r="110" spans="26:34" x14ac:dyDescent="0.35">
      <c r="Z110" s="17" t="s">
        <v>246</v>
      </c>
      <c r="AA110" s="235" cm="1">
        <f t="array" ref="AA110">AVERAGE(_xlfn._xlws.FILTER('ANL-DOE-MHDV Data'!$AS:$AS,('ANL-DOE-MHDV Data'!$A:$A=$Z110)*('ANL-DOE-MHDV Data'!$B:$B=AA$70)*('ANL-DOE-MHDV Data'!$E:$E="DayCab 8")))</f>
        <v>229501.8569543866</v>
      </c>
      <c r="AB110" s="235" cm="1">
        <f t="array" ref="AB110">AVERAGE(_xlfn._xlws.FILTER('ANL-DOE-MHDV Data'!$AS:$AS,('ANL-DOE-MHDV Data'!$A:$A=$Z110)*('ANL-DOE-MHDV Data'!$B:$B=AB$70)*('ANL-DOE-MHDV Data'!$E:$E="DayCab 8")))</f>
        <v>209390.01330351745</v>
      </c>
      <c r="AC110" s="235" cm="1">
        <f t="array" ref="AC110">AVERAGE(_xlfn._xlws.FILTER('ANL-DOE-MHDV Data'!$AS:$AS,('ANL-DOE-MHDV Data'!$A:$A=$Z110)*('ANL-DOE-MHDV Data'!$B:$B=AC$70)*('ANL-DOE-MHDV Data'!$E:$E="DayCab 8")))</f>
        <v>181618.30105004809</v>
      </c>
      <c r="AD110" s="235" cm="1">
        <f t="array" ref="AD110">AVERAGE(_xlfn._xlws.FILTER('ANL-DOE-MHDV Data'!$AS:$AS,('ANL-DOE-MHDV Data'!$A:$A=$Z110)*('ANL-DOE-MHDV Data'!$B:$B=AD$70)*('ANL-DOE-MHDV Data'!$E:$E="DayCab 8")))</f>
        <v>166943.38006948112</v>
      </c>
      <c r="AE110" s="235">
        <f t="shared" ref="AE110:AF110" si="175">($AG110-$AD110)/3 + AD110</f>
        <v>160605.51547035278</v>
      </c>
      <c r="AF110" s="235">
        <f t="shared" si="175"/>
        <v>154267.65087122444</v>
      </c>
      <c r="AG110" s="235" cm="1">
        <f t="array" ref="AG110">AVERAGE(_xlfn._xlws.FILTER('ANL-DOE-MHDV Data'!$AS:$AS,('ANL-DOE-MHDV Data'!$A:$A=$Z110)*('ANL-DOE-MHDV Data'!$B:$B=AG$70)*('ANL-DOE-MHDV Data'!$E:$E="DayCab 8")))</f>
        <v>147929.78627209607</v>
      </c>
      <c r="AH110" s="102">
        <f t="shared" si="172"/>
        <v>-0.35543098328177342</v>
      </c>
    </row>
    <row r="111" spans="26:34" x14ac:dyDescent="0.35">
      <c r="Z111" s="17" t="s">
        <v>627</v>
      </c>
      <c r="AA111" s="235" cm="1">
        <f t="array" ref="AA111">AVERAGE(_xlfn._xlws.FILTER('ANL-DOE-MHDV Data'!$AS:$AS,('ANL-DOE-MHDV Data'!$A:$A=$Z111)*('ANL-DOE-MHDV Data'!$B:$B=AA$70)*('ANL-DOE-MHDV Data'!$E:$E="DayCab 8")))</f>
        <v>229914.49139406331</v>
      </c>
      <c r="AB111" s="235" cm="1">
        <f t="array" ref="AB111">AVERAGE(_xlfn._xlws.FILTER('ANL-DOE-MHDV Data'!$AS:$AS,('ANL-DOE-MHDV Data'!$A:$A=$Z111)*('ANL-DOE-MHDV Data'!$B:$B=AB$70)*('ANL-DOE-MHDV Data'!$E:$E="DayCab 8")))</f>
        <v>208702.96947954237</v>
      </c>
      <c r="AC111" s="235" cm="1">
        <f t="array" ref="AC111">AVERAGE(_xlfn._xlws.FILTER('ANL-DOE-MHDV Data'!$AS:$AS,('ANL-DOE-MHDV Data'!$A:$A=$Z111)*('ANL-DOE-MHDV Data'!$B:$B=AC$70)*('ANL-DOE-MHDV Data'!$E:$E="DayCab 8")))</f>
        <v>190496.24731734605</v>
      </c>
      <c r="AD111" s="235" cm="1">
        <f t="array" ref="AD111">AVERAGE(_xlfn._xlws.FILTER('ANL-DOE-MHDV Data'!$AS:$AS,('ANL-DOE-MHDV Data'!$A:$A=$Z111)*('ANL-DOE-MHDV Data'!$B:$B=AD$70)*('ANL-DOE-MHDV Data'!$E:$E="DayCab 8")))</f>
        <v>180158.68733356139</v>
      </c>
      <c r="AE111" s="235">
        <f t="shared" ref="AE111:AF111" si="176">($AG111-$AD111)/3 + AD111</f>
        <v>176491.74910299323</v>
      </c>
      <c r="AF111" s="235">
        <f t="shared" si="176"/>
        <v>172824.81087242506</v>
      </c>
      <c r="AG111" s="235" cm="1">
        <f t="array" ref="AG111">AVERAGE(_xlfn._xlws.FILTER('ANL-DOE-MHDV Data'!$AS:$AS,('ANL-DOE-MHDV Data'!$A:$A=$Z111)*('ANL-DOE-MHDV Data'!$B:$B=AG$70)*('ANL-DOE-MHDV Data'!$E:$E="DayCab 8")))</f>
        <v>169157.87264185693</v>
      </c>
      <c r="AH111" s="102">
        <f t="shared" si="172"/>
        <v>-0.26425745669102785</v>
      </c>
    </row>
    <row r="112" spans="26:34" x14ac:dyDescent="0.35">
      <c r="Z112" s="17" t="s">
        <v>1065</v>
      </c>
      <c r="AA112" s="235" cm="1">
        <f t="array" ref="AA112">AVERAGE(_xlfn._xlws.FILTER('ANL-DOE-MHDV Data'!$AS:$AS,('ANL-DOE-MHDV Data'!$A:$A=$Z112)*('ANL-DOE-MHDV Data'!$B:$B=AA$70)*('ANL-DOE-MHDV Data'!$E:$E="DayCab 8")))</f>
        <v>195364.90572227226</v>
      </c>
      <c r="AB112" s="235" cm="1">
        <f t="array" ref="AB112">AVERAGE(_xlfn._xlws.FILTER('ANL-DOE-MHDV Data'!$AS:$AS,('ANL-DOE-MHDV Data'!$A:$A=$Z112)*('ANL-DOE-MHDV Data'!$B:$B=AB$70)*('ANL-DOE-MHDV Data'!$E:$E="DayCab 8")))</f>
        <v>177796.47716214231</v>
      </c>
      <c r="AC112" s="235" cm="1">
        <f t="array" ref="AC112">AVERAGE(_xlfn._xlws.FILTER('ANL-DOE-MHDV Data'!$AS:$AS,('ANL-DOE-MHDV Data'!$A:$A=$Z112)*('ANL-DOE-MHDV Data'!$B:$B=AC$70)*('ANL-DOE-MHDV Data'!$E:$E="DayCab 8")))</f>
        <v>162998.76970271903</v>
      </c>
      <c r="AD112" s="235" cm="1">
        <f t="array" ref="AD112">AVERAGE(_xlfn._xlws.FILTER('ANL-DOE-MHDV Data'!$AS:$AS,('ANL-DOE-MHDV Data'!$A:$A=$Z112)*('ANL-DOE-MHDV Data'!$B:$B=AD$70)*('ANL-DOE-MHDV Data'!$E:$E="DayCab 8")))</f>
        <v>153671.19326760748</v>
      </c>
      <c r="AE112" s="235">
        <f t="shared" ref="AE112:AF112" si="177">($AG112-$AD112)/3 + AD112</f>
        <v>150300.90869652538</v>
      </c>
      <c r="AF112" s="235">
        <f t="shared" si="177"/>
        <v>146930.62412544328</v>
      </c>
      <c r="AG112" s="235" cm="1">
        <f t="array" ref="AG112">AVERAGE(_xlfn._xlws.FILTER('ANL-DOE-MHDV Data'!$AS:$AS,('ANL-DOE-MHDV Data'!$A:$A=$Z112)*('ANL-DOE-MHDV Data'!$B:$B=AG$70)*('ANL-DOE-MHDV Data'!$E:$E="DayCab 8")))</f>
        <v>143560.33955436121</v>
      </c>
      <c r="AH112" s="102">
        <f t="shared" si="172"/>
        <v>-0.26516822955682545</v>
      </c>
    </row>
    <row r="113" spans="26:34" x14ac:dyDescent="0.35">
      <c r="Z113" s="33" t="s">
        <v>2162</v>
      </c>
      <c r="AH113" s="102"/>
    </row>
    <row r="114" spans="26:34" x14ac:dyDescent="0.35">
      <c r="Z114" s="17" t="s">
        <v>1017</v>
      </c>
      <c r="AA114" s="235" cm="1">
        <f t="array" ref="AA114">AVERAGE(_xlfn._xlws.FILTER('ANL-DOE-MHDV Data'!$AS:$AS,('ANL-DOE-MHDV Data'!$A:$A=$Z114)*('ANL-DOE-MHDV Data'!$B:$B=AA$70)*('ANL-DOE-MHDV Data'!$E:$E="Sleeper 8")))</f>
        <v>178288.033</v>
      </c>
      <c r="AB114" s="235" cm="1">
        <f t="array" ref="AB114">AVERAGE(_xlfn._xlws.FILTER('ANL-DOE-MHDV Data'!$AS:$AS,('ANL-DOE-MHDV Data'!$A:$A=$Z114)*('ANL-DOE-MHDV Data'!$B:$B=AB$70)*('ANL-DOE-MHDV Data'!$E:$E="Sleeper 8")))</f>
        <v>179663.9348621277</v>
      </c>
      <c r="AC114" s="235" cm="1">
        <f t="array" ref="AC114">AVERAGE(_xlfn._xlws.FILTER('ANL-DOE-MHDV Data'!$AS:$AS,('ANL-DOE-MHDV Data'!$A:$A=$Z114)*('ANL-DOE-MHDV Data'!$B:$B=AC$70)*('ANL-DOE-MHDV Data'!$E:$E="Sleeper 8")))</f>
        <v>181295.64617031356</v>
      </c>
      <c r="AD114" s="235" cm="1">
        <f t="array" ref="AD114">AVERAGE(_xlfn._xlws.FILTER('ANL-DOE-MHDV Data'!$AS:$AS,('ANL-DOE-MHDV Data'!$A:$A=$Z114)*('ANL-DOE-MHDV Data'!$B:$B=AD$70)*('ANL-DOE-MHDV Data'!$E:$E="Sleeper 8")))</f>
        <v>181663.88792031354</v>
      </c>
      <c r="AE114" s="235">
        <f t="shared" ref="AE114:AF114" si="178">($AG114-$AD114)/3 + AD114</f>
        <v>183172.72860580962</v>
      </c>
      <c r="AF114" s="235">
        <f t="shared" si="178"/>
        <v>184681.5692913057</v>
      </c>
      <c r="AG114" s="235" cm="1">
        <f t="array" ref="AG114">AVERAGE(_xlfn._xlws.FILTER('ANL-DOE-MHDV Data'!$AS:$AS,('ANL-DOE-MHDV Data'!$A:$A=$Z114)*('ANL-DOE-MHDV Data'!$B:$B=AG$70)*('ANL-DOE-MHDV Data'!$E:$E="Sleeper 8")))</f>
        <v>186190.40997680181</v>
      </c>
      <c r="AH114" s="102">
        <f t="shared" ref="AH114:AH119" si="179">(AG114-AA114)/AA114</f>
        <v>4.4323653381726467E-2</v>
      </c>
    </row>
    <row r="115" spans="26:34" x14ac:dyDescent="0.35">
      <c r="Z115" s="17" t="s">
        <v>1020</v>
      </c>
      <c r="AA115" s="235" cm="1">
        <f t="array" ref="AA115">AVERAGE(_xlfn._xlws.FILTER('ANL-DOE-MHDV Data'!$AS:$AS,('ANL-DOE-MHDV Data'!$A:$A=$Z115)*('ANL-DOE-MHDV Data'!$B:$B=AA$70)*('ANL-DOE-MHDV Data'!$E:$E="Sleeper 8")))</f>
        <v>192859.52154594383</v>
      </c>
      <c r="AB115" s="235" cm="1">
        <f t="array" ref="AB115">AVERAGE(_xlfn._xlws.FILTER('ANL-DOE-MHDV Data'!$AS:$AS,('ANL-DOE-MHDV Data'!$A:$A=$Z115)*('ANL-DOE-MHDV Data'!$B:$B=AB$70)*('ANL-DOE-MHDV Data'!$E:$E="Sleeper 8")))</f>
        <v>193267.61788591236</v>
      </c>
      <c r="AC115" s="235" cm="1">
        <f t="array" ref="AC115">AVERAGE(_xlfn._xlws.FILTER('ANL-DOE-MHDV Data'!$AS:$AS,('ANL-DOE-MHDV Data'!$A:$A=$Z115)*('ANL-DOE-MHDV Data'!$B:$B=AC$70)*('ANL-DOE-MHDV Data'!$E:$E="Sleeper 8")))</f>
        <v>193753.71289465477</v>
      </c>
      <c r="AD115" s="235" cm="1">
        <f t="array" ref="AD115">AVERAGE(_xlfn._xlws.FILTER('ANL-DOE-MHDV Data'!$AS:$AS,('ANL-DOE-MHDV Data'!$A:$A=$Z115)*('ANL-DOE-MHDV Data'!$B:$B=AD$70)*('ANL-DOE-MHDV Data'!$E:$E="Sleeper 8")))</f>
        <v>193817.53362432512</v>
      </c>
      <c r="AE115" s="235">
        <f t="shared" ref="AE115:AF115" si="180">($AG115-$AD115)/3 + AD115</f>
        <v>195178.47739272082</v>
      </c>
      <c r="AF115" s="235">
        <f t="shared" si="180"/>
        <v>196539.42116111651</v>
      </c>
      <c r="AG115" s="235" cm="1">
        <f t="array" ref="AG115">AVERAGE(_xlfn._xlws.FILTER('ANL-DOE-MHDV Data'!$AS:$AS,('ANL-DOE-MHDV Data'!$A:$A=$Z115)*('ANL-DOE-MHDV Data'!$B:$B=AG$70)*('ANL-DOE-MHDV Data'!$E:$E="Sleeper 8")))</f>
        <v>197900.36492951217</v>
      </c>
      <c r="AH115" s="102">
        <f t="shared" si="179"/>
        <v>2.6137384056340134E-2</v>
      </c>
    </row>
    <row r="116" spans="26:34" x14ac:dyDescent="0.35">
      <c r="Z116" s="17" t="s">
        <v>1021</v>
      </c>
      <c r="AA116" s="235" cm="1">
        <f t="array" ref="AA116">AVERAGE(_xlfn._xlws.FILTER('ANL-DOE-MHDV Data'!$AS:$AS,('ANL-DOE-MHDV Data'!$A:$A=$Z116)*('ANL-DOE-MHDV Data'!$B:$B=AA$70)*('ANL-DOE-MHDV Data'!$E:$E="Sleeper 8")))</f>
        <v>304065.4691848876</v>
      </c>
      <c r="AB116" s="235" cm="1">
        <f t="array" ref="AB116">AVERAGE(_xlfn._xlws.FILTER('ANL-DOE-MHDV Data'!$AS:$AS,('ANL-DOE-MHDV Data'!$A:$A=$Z116)*('ANL-DOE-MHDV Data'!$B:$B=AB$70)*('ANL-DOE-MHDV Data'!$E:$E="Sleeper 8")))</f>
        <v>278750.59773531544</v>
      </c>
      <c r="AC116" s="235" cm="1">
        <f t="array" ref="AC116">AVERAGE(_xlfn._xlws.FILTER('ANL-DOE-MHDV Data'!$AS:$AS,('ANL-DOE-MHDV Data'!$A:$A=$Z116)*('ANL-DOE-MHDV Data'!$B:$B=AC$70)*('ANL-DOE-MHDV Data'!$E:$E="Sleeper 8")))</f>
        <v>242377.21977891843</v>
      </c>
      <c r="AD116" s="235" cm="1">
        <f t="array" ref="AD116">AVERAGE(_xlfn._xlws.FILTER('ANL-DOE-MHDV Data'!$AS:$AS,('ANL-DOE-MHDV Data'!$A:$A=$Z116)*('ANL-DOE-MHDV Data'!$B:$B=AD$70)*('ANL-DOE-MHDV Data'!$E:$E="Sleeper 8")))</f>
        <v>223765.56212038457</v>
      </c>
      <c r="AE116" s="235">
        <f t="shared" ref="AE116:AF116" si="181">($AG116-$AD116)/3 + AD116</f>
        <v>216663.44472461467</v>
      </c>
      <c r="AF116" s="235">
        <f t="shared" si="181"/>
        <v>209561.32732884478</v>
      </c>
      <c r="AG116" s="235" cm="1">
        <f t="array" ref="AG116">AVERAGE(_xlfn._xlws.FILTER('ANL-DOE-MHDV Data'!$AS:$AS,('ANL-DOE-MHDV Data'!$A:$A=$Z116)*('ANL-DOE-MHDV Data'!$B:$B=AG$70)*('ANL-DOE-MHDV Data'!$E:$E="Sleeper 8")))</f>
        <v>202459.20993307492</v>
      </c>
      <c r="AH116" s="102">
        <f t="shared" si="179"/>
        <v>-0.33415915172541605</v>
      </c>
    </row>
    <row r="117" spans="26:34" x14ac:dyDescent="0.35">
      <c r="Z117" s="17" t="s">
        <v>246</v>
      </c>
      <c r="AA117" s="235" cm="1">
        <f t="array" ref="AA117">AVERAGE(_xlfn._xlws.FILTER('ANL-DOE-MHDV Data'!$AS:$AS,('ANL-DOE-MHDV Data'!$A:$A=$Z117)*('ANL-DOE-MHDV Data'!$B:$B=AA$70)*('ANL-DOE-MHDV Data'!$E:$E="Sleeper 8")))</f>
        <v>399414.08129496296</v>
      </c>
      <c r="AB117" s="235" cm="1">
        <f t="array" ref="AB117">AVERAGE(_xlfn._xlws.FILTER('ANL-DOE-MHDV Data'!$AS:$AS,('ANL-DOE-MHDV Data'!$A:$A=$Z117)*('ANL-DOE-MHDV Data'!$B:$B=AB$70)*('ANL-DOE-MHDV Data'!$E:$E="Sleeper 8")))</f>
        <v>355878.46062472864</v>
      </c>
      <c r="AC117" s="235" cm="1">
        <f t="array" ref="AC117">AVERAGE(_xlfn._xlws.FILTER('ANL-DOE-MHDV Data'!$AS:$AS,('ANL-DOE-MHDV Data'!$A:$A=$Z117)*('ANL-DOE-MHDV Data'!$B:$B=AC$70)*('ANL-DOE-MHDV Data'!$E:$E="Sleeper 8")))</f>
        <v>292450.79177676921</v>
      </c>
      <c r="AD117" s="235" cm="1">
        <f t="array" ref="AD117">AVERAGE(_xlfn._xlws.FILTER('ANL-DOE-MHDV Data'!$AS:$AS,('ANL-DOE-MHDV Data'!$A:$A=$Z117)*('ANL-DOE-MHDV Data'!$B:$B=AD$70)*('ANL-DOE-MHDV Data'!$E:$E="Sleeper 8")))</f>
        <v>259936.42288111435</v>
      </c>
      <c r="AE117" s="235">
        <f t="shared" ref="AE117:AF117" si="182">($AG117-$AD117)/3 + AD117</f>
        <v>245910.28047330148</v>
      </c>
      <c r="AF117" s="235">
        <f t="shared" si="182"/>
        <v>231884.1380654886</v>
      </c>
      <c r="AG117" s="235" cm="1">
        <f t="array" ref="AG117">AVERAGE(_xlfn._xlws.FILTER('ANL-DOE-MHDV Data'!$AS:$AS,('ANL-DOE-MHDV Data'!$A:$A=$Z117)*('ANL-DOE-MHDV Data'!$B:$B=AG$70)*('ANL-DOE-MHDV Data'!$E:$E="Sleeper 8")))</f>
        <v>217857.99565767572</v>
      </c>
      <c r="AH117" s="102">
        <f t="shared" si="179"/>
        <v>-0.454556046318282</v>
      </c>
    </row>
    <row r="118" spans="26:34" x14ac:dyDescent="0.35">
      <c r="Z118" s="17" t="s">
        <v>627</v>
      </c>
      <c r="AA118" s="235" cm="1">
        <f t="array" ref="AA118">AVERAGE(_xlfn._xlws.FILTER('ANL-DOE-MHDV Data'!$AS:$AS,('ANL-DOE-MHDV Data'!$A:$A=$Z118)*('ANL-DOE-MHDV Data'!$B:$B=AA$70)*('ANL-DOE-MHDV Data'!$E:$E="Sleeper 8")))</f>
        <v>287375.29721034918</v>
      </c>
      <c r="AB118" s="235" cm="1">
        <f t="array" ref="AB118">AVERAGE(_xlfn._xlws.FILTER('ANL-DOE-MHDV Data'!$AS:$AS,('ANL-DOE-MHDV Data'!$A:$A=$Z118)*('ANL-DOE-MHDV Data'!$B:$B=AB$70)*('ANL-DOE-MHDV Data'!$E:$E="Sleeper 8")))</f>
        <v>260155.02396144648</v>
      </c>
      <c r="AC118" s="235" cm="1">
        <f t="array" ref="AC118">AVERAGE(_xlfn._xlws.FILTER('ANL-DOE-MHDV Data'!$AS:$AS,('ANL-DOE-MHDV Data'!$A:$A=$Z118)*('ANL-DOE-MHDV Data'!$B:$B=AC$70)*('ANL-DOE-MHDV Data'!$E:$E="Sleeper 8")))</f>
        <v>235623.52495913571</v>
      </c>
      <c r="AD118" s="235" cm="1">
        <f t="array" ref="AD118">AVERAGE(_xlfn._xlws.FILTER('ANL-DOE-MHDV Data'!$AS:$AS,('ANL-DOE-MHDV Data'!$A:$A=$Z118)*('ANL-DOE-MHDV Data'!$B:$B=AD$70)*('ANL-DOE-MHDV Data'!$E:$E="Sleeper 8")))</f>
        <v>221953.47430184964</v>
      </c>
      <c r="AE118" s="235">
        <f t="shared" ref="AE118:AF118" si="183">($AG118-$AD118)/3 + AD118</f>
        <v>216890.69191557128</v>
      </c>
      <c r="AF118" s="235">
        <f t="shared" si="183"/>
        <v>211827.90952929293</v>
      </c>
      <c r="AG118" s="235" cm="1">
        <f t="array" ref="AG118">AVERAGE(_xlfn._xlws.FILTER('ANL-DOE-MHDV Data'!$AS:$AS,('ANL-DOE-MHDV Data'!$A:$A=$Z118)*('ANL-DOE-MHDV Data'!$B:$B=AG$70)*('ANL-DOE-MHDV Data'!$E:$E="Sleeper 8")))</f>
        <v>206765.1271430146</v>
      </c>
      <c r="AH118" s="102">
        <f t="shared" si="179"/>
        <v>-0.28050486889390014</v>
      </c>
    </row>
    <row r="119" spans="26:34" x14ac:dyDescent="0.35">
      <c r="Z119" s="17" t="s">
        <v>1065</v>
      </c>
      <c r="AA119" s="235" cm="1">
        <f t="array" ref="AA119">AVERAGE(_xlfn._xlws.FILTER('ANL-DOE-MHDV Data'!$AS:$AS,('ANL-DOE-MHDV Data'!$A:$A=$Z119)*('ANL-DOE-MHDV Data'!$B:$B=AA$70)*('ANL-DOE-MHDV Data'!$E:$E="Sleeper 8")))</f>
        <v>236426.82486572076</v>
      </c>
      <c r="AB119" s="235" cm="1">
        <f t="array" ref="AB119">AVERAGE(_xlfn._xlws.FILTER('ANL-DOE-MHDV Data'!$AS:$AS,('ANL-DOE-MHDV Data'!$A:$A=$Z119)*('ANL-DOE-MHDV Data'!$B:$B=AB$70)*('ANL-DOE-MHDV Data'!$E:$E="Sleeper 8")))</f>
        <v>216584.8087295093</v>
      </c>
      <c r="AC119" s="235" cm="1">
        <f t="array" ref="AC119">AVERAGE(_xlfn._xlws.FILTER('ANL-DOE-MHDV Data'!$AS:$AS,('ANL-DOE-MHDV Data'!$A:$A=$Z119)*('ANL-DOE-MHDV Data'!$B:$B=AC$70)*('ANL-DOE-MHDV Data'!$E:$E="Sleeper 8")))</f>
        <v>197244.79116159628</v>
      </c>
      <c r="AD119" s="235" cm="1">
        <f t="array" ref="AD119">AVERAGE(_xlfn._xlws.FILTER('ANL-DOE-MHDV Data'!$AS:$AS,('ANL-DOE-MHDV Data'!$A:$A=$Z119)*('ANL-DOE-MHDV Data'!$B:$B=AD$70)*('ANL-DOE-MHDV Data'!$E:$E="Sleeper 8")))</f>
        <v>186041.42501355216</v>
      </c>
      <c r="AE119" s="235">
        <f t="shared" ref="AE119:AF119" si="184">($AG119-$AD119)/3 + AD119</f>
        <v>181574.43482232065</v>
      </c>
      <c r="AF119" s="235">
        <f t="shared" si="184"/>
        <v>177107.44463108914</v>
      </c>
      <c r="AG119" s="235" cm="1">
        <f t="array" ref="AG119">AVERAGE(_xlfn._xlws.FILTER('ANL-DOE-MHDV Data'!$AS:$AS,('ANL-DOE-MHDV Data'!$A:$A=$Z119)*('ANL-DOE-MHDV Data'!$B:$B=AG$70)*('ANL-DOE-MHDV Data'!$E:$E="Sleeper 8")))</f>
        <v>172640.4544398576</v>
      </c>
      <c r="AH119" s="102">
        <f t="shared" si="179"/>
        <v>-0.26979328788977647</v>
      </c>
    </row>
  </sheetData>
  <mergeCells count="5">
    <mergeCell ref="AJ1:AQ1"/>
    <mergeCell ref="AJ31:AQ31"/>
    <mergeCell ref="BE6:BG9"/>
    <mergeCell ref="J1:P1"/>
    <mergeCell ref="R1:V1"/>
  </mergeCells>
  <conditionalFormatting sqref="AH4:AH28">
    <cfRule type="colorScale" priority="6">
      <colorScale>
        <cfvo type="min"/>
        <cfvo type="num" val="0"/>
        <cfvo type="max"/>
        <color rgb="FF00B050"/>
        <color theme="0"/>
        <color rgb="FFFF0000"/>
      </colorScale>
    </cfRule>
  </conditionalFormatting>
  <conditionalFormatting sqref="AH30:AH67">
    <cfRule type="colorScale" priority="5">
      <colorScale>
        <cfvo type="min"/>
        <cfvo type="num" val="0"/>
        <cfvo type="max"/>
        <color rgb="FF00B050"/>
        <color theme="0"/>
        <color rgb="FFFF0000"/>
      </colorScale>
    </cfRule>
  </conditionalFormatting>
  <conditionalFormatting sqref="AH72:AH119">
    <cfRule type="colorScale" priority="4">
      <colorScale>
        <cfvo type="min"/>
        <cfvo type="num" val="0"/>
        <cfvo type="max"/>
        <color rgb="FF00B050"/>
        <color theme="0"/>
        <color rgb="FFFF0000"/>
      </colorScale>
    </cfRule>
  </conditionalFormatting>
  <conditionalFormatting sqref="AR4:AR28">
    <cfRule type="colorScale" priority="14">
      <colorScale>
        <cfvo type="min"/>
        <cfvo type="num" val="0"/>
        <cfvo type="max"/>
        <color rgb="FF00B050"/>
        <color theme="0"/>
        <color rgb="FFFF0000"/>
      </colorScale>
    </cfRule>
  </conditionalFormatting>
  <conditionalFormatting sqref="AR34:AR60">
    <cfRule type="colorScale" priority="13">
      <colorScale>
        <cfvo type="min"/>
        <cfvo type="num" val="0"/>
        <cfvo type="max"/>
        <color rgb="FF00B050"/>
        <color theme="0"/>
        <color rgb="FFFF0000"/>
      </colorScale>
    </cfRule>
  </conditionalFormatting>
  <conditionalFormatting sqref="AR41:AR46">
    <cfRule type="colorScale" priority="12">
      <colorScale>
        <cfvo type="min"/>
        <cfvo type="num" val="0"/>
        <cfvo type="max"/>
        <color rgb="FF00B050"/>
        <color theme="0"/>
        <color rgb="FFFF0000"/>
      </colorScale>
    </cfRule>
  </conditionalFormatting>
  <conditionalFormatting sqref="AR48:AR53">
    <cfRule type="colorScale" priority="11">
      <colorScale>
        <cfvo type="min"/>
        <cfvo type="num" val="0"/>
        <cfvo type="max"/>
        <color rgb="FF00B050"/>
        <color theme="0"/>
        <color rgb="FFFF0000"/>
      </colorScale>
    </cfRule>
  </conditionalFormatting>
  <conditionalFormatting sqref="AR55:AR60">
    <cfRule type="colorScale" priority="10">
      <colorScale>
        <cfvo type="min"/>
        <cfvo type="num" val="0"/>
        <cfvo type="max"/>
        <color rgb="FF00B050"/>
        <color theme="0"/>
        <color rgb="FFFF0000"/>
      </colorScale>
    </cfRule>
  </conditionalFormatting>
  <conditionalFormatting sqref="AY34:AY60">
    <cfRule type="colorScale" priority="9">
      <colorScale>
        <cfvo type="min"/>
        <cfvo type="num" val="0"/>
        <cfvo type="max"/>
        <color rgb="FF00B050"/>
        <color theme="0"/>
        <color rgb="FFFF0000"/>
      </colorScale>
    </cfRule>
  </conditionalFormatting>
  <hyperlinks>
    <hyperlink ref="BA26"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C95:C1048576 C3:C90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tabColor theme="9" tint="0.59999389629810485"/>
  </sheetPr>
  <dimension ref="A1:BP700"/>
  <sheetViews>
    <sheetView zoomScaleNormal="100" workbookViewId="0">
      <pane xSplit="10" ySplit="2" topLeftCell="BD636" activePane="bottomRight" state="frozen"/>
      <selection pane="topRight" activeCell="K1" sqref="K1"/>
      <selection pane="bottomLeft" activeCell="A3" sqref="A3"/>
      <selection pane="bottomRight" activeCell="BH619" sqref="BH619"/>
    </sheetView>
  </sheetViews>
  <sheetFormatPr defaultRowHeight="14.5" x14ac:dyDescent="0.35"/>
  <cols>
    <col min="1" max="1" width="24" bestFit="1" customWidth="1"/>
    <col min="2" max="2" width="6.81640625" bestFit="1" customWidth="1"/>
    <col min="3" max="3" width="23.26953125" customWidth="1"/>
    <col min="4" max="8" width="9.1796875" customWidth="1"/>
    <col min="9" max="9" width="9.1796875" bestFit="1" customWidth="1"/>
    <col min="10" max="10" width="6.54296875" style="66" bestFit="1" customWidth="1"/>
    <col min="11" max="14" width="8.7265625" customWidth="1"/>
    <col min="15" max="15" width="8.7265625" style="63" customWidth="1"/>
    <col min="22" max="22" width="8.7265625" style="63"/>
    <col min="23" max="23" width="99.453125" style="66" customWidth="1"/>
    <col min="24" max="24" width="9.54296875" bestFit="1" customWidth="1"/>
    <col min="25" max="25" width="18" bestFit="1" customWidth="1"/>
    <col min="26" max="26" width="9" bestFit="1" customWidth="1"/>
    <col min="27" max="27" width="12.1796875" bestFit="1" customWidth="1"/>
    <col min="28" max="28" width="12.54296875" bestFit="1" customWidth="1"/>
    <col min="30" max="30" width="1.81640625" style="62" customWidth="1"/>
    <col min="32" max="32" width="4.54296875" bestFit="1" customWidth="1"/>
    <col min="33" max="33" width="23.54296875" customWidth="1"/>
    <col min="34" max="34" width="18.26953125" bestFit="1" customWidth="1"/>
    <col min="35" max="35" width="20.453125" bestFit="1" customWidth="1"/>
    <col min="36" max="36" width="31.54296875" customWidth="1"/>
    <col min="37" max="37" width="18.54296875" bestFit="1" customWidth="1"/>
    <col min="38" max="38" width="21.26953125" bestFit="1" customWidth="1"/>
    <col min="39" max="39" width="21.54296875" bestFit="1" customWidth="1"/>
    <col min="40" max="40" width="23.54296875" customWidth="1"/>
    <col min="41" max="41" width="11.26953125" bestFit="1" customWidth="1"/>
    <col min="42" max="42" width="14.1796875" bestFit="1" customWidth="1"/>
    <col min="43" max="43" width="20.81640625" bestFit="1" customWidth="1"/>
    <col min="44" max="44" width="10.1796875" bestFit="1" customWidth="1"/>
    <col min="45" max="45" width="4.7265625" bestFit="1" customWidth="1"/>
    <col min="46" max="46" width="20.1796875" bestFit="1" customWidth="1"/>
    <col min="47" max="49" width="9.1796875" bestFit="1" customWidth="1"/>
    <col min="50" max="50" width="14.453125" bestFit="1" customWidth="1"/>
    <col min="51" max="51" width="16.7265625" bestFit="1" customWidth="1"/>
    <col min="52" max="52" width="14.26953125" bestFit="1" customWidth="1"/>
    <col min="53" max="53" width="12.1796875" bestFit="1" customWidth="1"/>
    <col min="54" max="55" width="10.1796875" bestFit="1" customWidth="1"/>
    <col min="56" max="56" width="9.1796875" bestFit="1" customWidth="1"/>
    <col min="57" max="57" width="11.54296875" bestFit="1" customWidth="1"/>
    <col min="59" max="59" width="8.81640625" customWidth="1"/>
    <col min="60" max="60" width="21.453125" customWidth="1"/>
    <col min="61" max="61" width="6.81640625" bestFit="1" customWidth="1"/>
    <col min="62" max="62" width="20.453125" bestFit="1" customWidth="1"/>
    <col min="63" max="63" width="10.1796875" bestFit="1" customWidth="1"/>
    <col min="64" max="64" width="10.54296875" bestFit="1" customWidth="1"/>
    <col min="65" max="67" width="10.1796875" bestFit="1" customWidth="1"/>
  </cols>
  <sheetData>
    <row r="1" spans="1:67" ht="15.5" x14ac:dyDescent="0.35">
      <c r="A1" s="1"/>
      <c r="B1" s="1"/>
      <c r="C1" s="1"/>
      <c r="D1" s="1"/>
      <c r="E1" s="1"/>
      <c r="F1" s="1"/>
      <c r="K1" s="472" t="s">
        <v>1674</v>
      </c>
      <c r="L1" s="472"/>
      <c r="M1" s="472"/>
      <c r="N1" s="472"/>
      <c r="O1" s="473"/>
      <c r="P1" s="471" t="s">
        <v>1168</v>
      </c>
      <c r="Q1" s="472"/>
      <c r="R1" s="472"/>
      <c r="S1" s="472"/>
      <c r="T1" s="472"/>
      <c r="U1" s="472"/>
      <c r="V1" s="473"/>
      <c r="X1" s="475" t="s">
        <v>146</v>
      </c>
      <c r="Y1" s="474"/>
      <c r="Z1" s="474"/>
      <c r="AA1" s="474"/>
      <c r="AB1" s="474"/>
      <c r="AF1" s="470" t="s">
        <v>1644</v>
      </c>
      <c r="AG1" s="470"/>
      <c r="AH1" s="470"/>
      <c r="AI1" s="470"/>
      <c r="AJ1" s="470"/>
      <c r="AK1" s="470"/>
      <c r="AL1" s="470"/>
      <c r="AM1" s="470"/>
      <c r="AN1" s="470"/>
      <c r="AQ1" s="318" t="s">
        <v>1649</v>
      </c>
      <c r="AR1" s="318"/>
      <c r="AS1" s="318"/>
      <c r="AT1" s="318"/>
      <c r="AU1" s="318"/>
      <c r="AV1" s="318"/>
      <c r="AW1" s="318"/>
      <c r="AX1" s="318"/>
      <c r="AY1" s="318"/>
      <c r="AZ1" s="318"/>
      <c r="BA1" s="318"/>
      <c r="BB1" s="318"/>
      <c r="BC1" s="318"/>
      <c r="BD1" s="318"/>
      <c r="BE1" s="318"/>
      <c r="BG1" s="189" t="s">
        <v>1652</v>
      </c>
      <c r="BH1" s="189"/>
      <c r="BI1" s="189"/>
    </row>
    <row r="2" spans="1:67" ht="15" thickBot="1" x14ac:dyDescent="0.4">
      <c r="A2" s="12" t="s">
        <v>94</v>
      </c>
      <c r="B2" s="12" t="s">
        <v>95</v>
      </c>
      <c r="C2" s="12" t="s">
        <v>179</v>
      </c>
      <c r="D2" s="12" t="s">
        <v>140</v>
      </c>
      <c r="E2" s="12" t="s">
        <v>1952</v>
      </c>
      <c r="F2" s="12" t="s">
        <v>1673</v>
      </c>
      <c r="G2" s="12" t="s">
        <v>1954</v>
      </c>
      <c r="H2" s="12" t="s">
        <v>1259</v>
      </c>
      <c r="I2" s="12" t="s">
        <v>96</v>
      </c>
      <c r="J2" s="65" t="s">
        <v>1632</v>
      </c>
      <c r="K2" s="12">
        <v>2000</v>
      </c>
      <c r="L2" s="12">
        <v>2005</v>
      </c>
      <c r="M2" s="12">
        <v>2010</v>
      </c>
      <c r="N2" s="12">
        <v>2015</v>
      </c>
      <c r="O2" s="13">
        <v>2020</v>
      </c>
      <c r="P2" s="12">
        <v>2021</v>
      </c>
      <c r="Q2" s="12">
        <v>2025</v>
      </c>
      <c r="R2" s="12">
        <v>2030</v>
      </c>
      <c r="S2" s="12">
        <v>2035</v>
      </c>
      <c r="T2" s="12">
        <v>2040</v>
      </c>
      <c r="U2" s="12">
        <v>2045</v>
      </c>
      <c r="V2" s="13">
        <v>2050</v>
      </c>
      <c r="W2" s="65" t="s">
        <v>93</v>
      </c>
      <c r="X2" s="15" t="s">
        <v>147</v>
      </c>
      <c r="Y2" s="15" t="s">
        <v>151</v>
      </c>
      <c r="Z2" s="12" t="s">
        <v>148</v>
      </c>
      <c r="AA2" s="12" t="s">
        <v>149</v>
      </c>
      <c r="AB2" s="12" t="s">
        <v>150</v>
      </c>
      <c r="AF2" s="105" t="s">
        <v>1270</v>
      </c>
      <c r="AG2" s="105" t="s">
        <v>1633</v>
      </c>
      <c r="AH2" s="105" t="s">
        <v>1634</v>
      </c>
      <c r="AI2" s="105" t="s">
        <v>1635</v>
      </c>
      <c r="AJ2" s="105" t="s">
        <v>1636</v>
      </c>
      <c r="AK2" s="105" t="s">
        <v>1637</v>
      </c>
      <c r="AL2" s="105" t="s">
        <v>1638</v>
      </c>
      <c r="AM2" s="105" t="s">
        <v>1639</v>
      </c>
      <c r="AN2" s="105" t="s">
        <v>1640</v>
      </c>
      <c r="AQ2" s="105" t="s">
        <v>1643</v>
      </c>
      <c r="AR2" s="105" t="s">
        <v>1645</v>
      </c>
      <c r="AS2" s="105" t="s">
        <v>1270</v>
      </c>
      <c r="AT2" s="105" t="s">
        <v>975</v>
      </c>
      <c r="AU2" s="105" t="s">
        <v>979</v>
      </c>
      <c r="AV2" s="105" t="s">
        <v>980</v>
      </c>
      <c r="AW2" s="105" t="s">
        <v>981</v>
      </c>
      <c r="AX2" s="105" t="s">
        <v>982</v>
      </c>
      <c r="AY2" s="105" t="s">
        <v>984</v>
      </c>
      <c r="AZ2" s="105" t="s">
        <v>985</v>
      </c>
      <c r="BA2" s="105" t="s">
        <v>987</v>
      </c>
      <c r="BB2" s="105" t="s">
        <v>988</v>
      </c>
      <c r="BC2" s="105" t="s">
        <v>990</v>
      </c>
      <c r="BD2" s="105" t="s">
        <v>991</v>
      </c>
      <c r="BE2" s="105" t="s">
        <v>992</v>
      </c>
      <c r="BG2" s="105" t="s">
        <v>1643</v>
      </c>
      <c r="BH2" s="105" t="s">
        <v>1645</v>
      </c>
      <c r="BI2" s="105" t="s">
        <v>1270</v>
      </c>
      <c r="BJ2" s="105" t="s">
        <v>1017</v>
      </c>
      <c r="BK2" s="105" t="s">
        <v>1020</v>
      </c>
      <c r="BL2" s="105" t="s">
        <v>1021</v>
      </c>
      <c r="BM2" s="105" t="s">
        <v>627</v>
      </c>
      <c r="BN2" s="105" t="s">
        <v>1065</v>
      </c>
      <c r="BO2" s="105" t="s">
        <v>246</v>
      </c>
    </row>
    <row r="3" spans="1:67" ht="15" thickTop="1" x14ac:dyDescent="0.35">
      <c r="A3" t="s">
        <v>1083</v>
      </c>
      <c r="B3" t="s">
        <v>2261</v>
      </c>
      <c r="C3" t="s">
        <v>851</v>
      </c>
      <c r="D3">
        <v>2022</v>
      </c>
      <c r="E3">
        <v>2019</v>
      </c>
      <c r="F3" t="s">
        <v>1951</v>
      </c>
      <c r="G3">
        <v>2020</v>
      </c>
      <c r="H3" t="s">
        <v>1953</v>
      </c>
      <c r="I3" t="s">
        <v>1672</v>
      </c>
      <c r="J3" s="66">
        <v>2021</v>
      </c>
      <c r="M3" s="95">
        <f>$AZ$116/$AR$116 * 1000/$AK$89</f>
        <v>55.676114604552225</v>
      </c>
      <c r="N3" s="95">
        <f>$AZ$115/$AR$115 * 1000/$AK$89</f>
        <v>62.686414379874186</v>
      </c>
      <c r="O3" s="406">
        <f>$AZ$114/$AR$114 * 1000/$AK$89</f>
        <v>27.604411558099486</v>
      </c>
      <c r="W3" s="66" t="s">
        <v>1973</v>
      </c>
      <c r="X3">
        <v>3</v>
      </c>
      <c r="Y3">
        <v>1</v>
      </c>
      <c r="Z3">
        <v>1</v>
      </c>
      <c r="AA3">
        <v>3</v>
      </c>
      <c r="AB3">
        <v>1</v>
      </c>
      <c r="AF3">
        <v>0</v>
      </c>
      <c r="AG3" s="10">
        <v>15922</v>
      </c>
      <c r="AH3" s="10">
        <v>16234</v>
      </c>
      <c r="AI3" s="10">
        <v>18964</v>
      </c>
      <c r="AJ3" s="10">
        <v>13843</v>
      </c>
      <c r="AK3" s="10">
        <v>15962</v>
      </c>
      <c r="AL3" s="10">
        <v>17071</v>
      </c>
      <c r="AM3" s="10">
        <v>17276</v>
      </c>
      <c r="AN3" s="10">
        <v>18872</v>
      </c>
      <c r="AQ3" s="33" t="s">
        <v>1646</v>
      </c>
      <c r="BG3" s="33" t="s">
        <v>1663</v>
      </c>
    </row>
    <row r="4" spans="1:67" x14ac:dyDescent="0.35">
      <c r="A4" t="s">
        <v>1083</v>
      </c>
      <c r="B4" t="s">
        <v>2261</v>
      </c>
      <c r="C4" t="s">
        <v>851</v>
      </c>
      <c r="D4">
        <v>2022</v>
      </c>
      <c r="E4">
        <v>2019</v>
      </c>
      <c r="F4" t="s">
        <v>1951</v>
      </c>
      <c r="G4">
        <v>2020</v>
      </c>
      <c r="H4" t="s">
        <v>1953</v>
      </c>
      <c r="I4" t="s">
        <v>1672</v>
      </c>
      <c r="J4" s="66">
        <v>2025</v>
      </c>
      <c r="N4" s="95">
        <f>$AZ$116/$AR$116 * 1000/$AK$89</f>
        <v>55.676114604552225</v>
      </c>
      <c r="O4" s="406">
        <f>$AZ$115/$AR$115 * 1000/$AK$89</f>
        <v>62.686414379874186</v>
      </c>
      <c r="W4" s="66" t="s">
        <v>1973</v>
      </c>
      <c r="X4">
        <v>3</v>
      </c>
      <c r="Y4">
        <v>1</v>
      </c>
      <c r="Z4">
        <v>1</v>
      </c>
      <c r="AA4">
        <v>3</v>
      </c>
      <c r="AB4">
        <v>1</v>
      </c>
      <c r="AF4">
        <v>1</v>
      </c>
      <c r="AG4" s="10">
        <v>15379</v>
      </c>
      <c r="AH4" s="10">
        <v>15805</v>
      </c>
      <c r="AI4" s="10">
        <v>17986</v>
      </c>
      <c r="AJ4" s="10">
        <v>13580</v>
      </c>
      <c r="AK4" s="10">
        <v>15670</v>
      </c>
      <c r="AL4" s="10">
        <v>14729</v>
      </c>
      <c r="AM4" s="10">
        <v>15499</v>
      </c>
      <c r="AN4" s="10">
        <v>15950</v>
      </c>
      <c r="AQ4" s="10">
        <v>15612</v>
      </c>
      <c r="AR4" s="10">
        <v>15612</v>
      </c>
      <c r="AS4" s="33">
        <v>0</v>
      </c>
      <c r="AT4" s="198">
        <v>145</v>
      </c>
      <c r="AU4" s="198">
        <v>145</v>
      </c>
      <c r="AV4" s="198">
        <v>145</v>
      </c>
      <c r="AW4" s="198">
        <v>145</v>
      </c>
      <c r="AX4" s="198">
        <v>315</v>
      </c>
      <c r="AY4" s="198">
        <v>315</v>
      </c>
      <c r="AZ4" s="198">
        <v>315</v>
      </c>
      <c r="BA4" s="198">
        <v>230</v>
      </c>
      <c r="BB4" s="198">
        <v>145</v>
      </c>
      <c r="BC4" s="198">
        <v>145</v>
      </c>
      <c r="BD4" s="198">
        <v>315</v>
      </c>
      <c r="BE4" s="198">
        <v>230</v>
      </c>
      <c r="BG4" s="10">
        <v>16815.0800702536</v>
      </c>
      <c r="BH4" s="10">
        <v>16815.0800702536</v>
      </c>
      <c r="BI4" s="33">
        <v>0</v>
      </c>
      <c r="BJ4" s="198">
        <v>4402.1879623923924</v>
      </c>
      <c r="BK4" s="198">
        <v>3829.9035272813812</v>
      </c>
      <c r="BL4" s="198">
        <v>3697.8378884096096</v>
      </c>
      <c r="BM4" s="198">
        <v>2641.3127774354352</v>
      </c>
      <c r="BN4" s="198">
        <v>2641.3127774354352</v>
      </c>
      <c r="BO4" s="198">
        <v>2641.3127774354352</v>
      </c>
    </row>
    <row r="5" spans="1:67" x14ac:dyDescent="0.35">
      <c r="A5" t="s">
        <v>1083</v>
      </c>
      <c r="B5" t="s">
        <v>2261</v>
      </c>
      <c r="C5" t="s">
        <v>851</v>
      </c>
      <c r="D5">
        <v>2022</v>
      </c>
      <c r="E5">
        <v>2019</v>
      </c>
      <c r="F5" t="s">
        <v>1951</v>
      </c>
      <c r="G5">
        <v>2020</v>
      </c>
      <c r="H5" t="s">
        <v>1953</v>
      </c>
      <c r="I5" t="s">
        <v>1672</v>
      </c>
      <c r="J5" s="66">
        <v>2030</v>
      </c>
      <c r="O5" s="406">
        <f>$AZ$116/$AR$116 * 1000/$AK$89</f>
        <v>55.676114604552225</v>
      </c>
      <c r="W5" s="66" t="s">
        <v>1973</v>
      </c>
      <c r="X5">
        <v>3</v>
      </c>
      <c r="Y5">
        <v>1</v>
      </c>
      <c r="Z5">
        <v>1</v>
      </c>
      <c r="AA5">
        <v>3</v>
      </c>
      <c r="AB5">
        <v>1</v>
      </c>
      <c r="AF5">
        <v>2</v>
      </c>
      <c r="AG5" s="10">
        <v>14864</v>
      </c>
      <c r="AH5" s="10">
        <v>15383</v>
      </c>
      <c r="AI5" s="10">
        <v>17076</v>
      </c>
      <c r="AJ5" s="10">
        <v>13296</v>
      </c>
      <c r="AK5" s="10">
        <v>15320</v>
      </c>
      <c r="AL5" s="10">
        <v>14611</v>
      </c>
      <c r="AM5" s="10">
        <v>15237</v>
      </c>
      <c r="AN5" s="10">
        <v>15464</v>
      </c>
      <c r="AQ5" s="10">
        <v>14562.666666666666</v>
      </c>
      <c r="AR5" s="10">
        <v>30174.666666666664</v>
      </c>
      <c r="AS5" s="33">
        <v>1</v>
      </c>
      <c r="AT5" s="198">
        <v>261.90476190476187</v>
      </c>
      <c r="AU5" s="198">
        <v>261.90476190476187</v>
      </c>
      <c r="AV5" s="198">
        <v>261.90476190476187</v>
      </c>
      <c r="AW5" s="198">
        <v>261.90476190476187</v>
      </c>
      <c r="AX5" s="198">
        <v>490.47619047619042</v>
      </c>
      <c r="AY5" s="198">
        <v>490.47619047619042</v>
      </c>
      <c r="AZ5" s="198">
        <v>490.47619047619042</v>
      </c>
      <c r="BA5" s="198">
        <v>452.38095238095235</v>
      </c>
      <c r="BB5" s="198">
        <v>290.47619047619048</v>
      </c>
      <c r="BC5" s="198">
        <v>290.47619047619048</v>
      </c>
      <c r="BD5" s="198">
        <v>452.38095238095235</v>
      </c>
      <c r="BE5" s="198">
        <v>452.38095238095235</v>
      </c>
      <c r="BG5" s="10">
        <v>19038.0332724162</v>
      </c>
      <c r="BH5" s="10">
        <v>35853.1133426698</v>
      </c>
      <c r="BI5" s="33">
        <v>1</v>
      </c>
      <c r="BJ5" s="198">
        <v>6378.6477192723987</v>
      </c>
      <c r="BK5" s="198">
        <v>5549.4235157669873</v>
      </c>
      <c r="BL5" s="198">
        <v>5358.0640841888144</v>
      </c>
      <c r="BM5" s="198">
        <v>3827.1886315634392</v>
      </c>
      <c r="BN5" s="198">
        <v>3827.1886315634392</v>
      </c>
      <c r="BO5" s="198">
        <v>3827.1886315634392</v>
      </c>
    </row>
    <row r="6" spans="1:67" x14ac:dyDescent="0.35">
      <c r="A6" t="s">
        <v>28</v>
      </c>
      <c r="B6" t="s">
        <v>2261</v>
      </c>
      <c r="C6" t="s">
        <v>851</v>
      </c>
      <c r="D6">
        <v>2022</v>
      </c>
      <c r="E6">
        <v>2019</v>
      </c>
      <c r="F6" t="s">
        <v>1951</v>
      </c>
      <c r="G6">
        <v>2020</v>
      </c>
      <c r="H6" t="s">
        <v>1953</v>
      </c>
      <c r="I6" t="s">
        <v>1672</v>
      </c>
      <c r="J6" s="66">
        <v>2021</v>
      </c>
      <c r="M6" s="95">
        <f>$AX$116/$AR$116 * 1000/$AK$89</f>
        <v>58.34381571750302</v>
      </c>
      <c r="N6" s="95">
        <f>$AX$115/$AR$115 * 1000/$AK$89</f>
        <v>64.783334272418159</v>
      </c>
      <c r="O6" s="406">
        <f>$AX$114/$AR$114 * 1000/$AK$89</f>
        <v>28.152139392205267</v>
      </c>
      <c r="W6" s="66" t="s">
        <v>1973</v>
      </c>
      <c r="X6">
        <v>3</v>
      </c>
      <c r="Y6">
        <v>1</v>
      </c>
      <c r="Z6">
        <v>1</v>
      </c>
      <c r="AA6">
        <v>3</v>
      </c>
      <c r="AB6">
        <v>1</v>
      </c>
      <c r="AF6">
        <v>3</v>
      </c>
      <c r="AG6" s="10">
        <v>14378</v>
      </c>
      <c r="AH6" s="10">
        <v>14966</v>
      </c>
      <c r="AI6" s="10">
        <v>16231</v>
      </c>
      <c r="AJ6" s="10">
        <v>12992</v>
      </c>
      <c r="AK6" s="10">
        <v>15098</v>
      </c>
      <c r="AL6" s="10">
        <v>14284</v>
      </c>
      <c r="AM6" s="10">
        <v>15091</v>
      </c>
      <c r="AN6" s="10">
        <v>14745</v>
      </c>
      <c r="AQ6" s="10">
        <v>14257</v>
      </c>
      <c r="AR6" s="10">
        <v>44431.666666666664</v>
      </c>
      <c r="AS6" s="33">
        <v>2</v>
      </c>
      <c r="AT6" s="198">
        <v>347.33399289790589</v>
      </c>
      <c r="AU6" s="198">
        <v>352.995166227266</v>
      </c>
      <c r="AV6" s="198">
        <v>361.52998394867029</v>
      </c>
      <c r="AW6" s="198">
        <v>373.75654525190475</v>
      </c>
      <c r="AX6" s="198">
        <v>480.61525388725988</v>
      </c>
      <c r="AY6" s="198">
        <v>484.28681237498847</v>
      </c>
      <c r="AZ6" s="198">
        <v>472.17386696069957</v>
      </c>
      <c r="BA6" s="198">
        <v>472.92670816638935</v>
      </c>
      <c r="BB6" s="198">
        <v>377.52424437567191</v>
      </c>
      <c r="BC6" s="198">
        <v>378.36207804633045</v>
      </c>
      <c r="BD6" s="198">
        <v>470.13471316403741</v>
      </c>
      <c r="BE6" s="198">
        <v>468.42808521699772</v>
      </c>
      <c r="BG6" s="10">
        <v>19418.793937864524</v>
      </c>
      <c r="BH6" s="10">
        <v>55271.907280534324</v>
      </c>
      <c r="BI6" s="33">
        <v>2</v>
      </c>
      <c r="BJ6" s="198">
        <v>7781.6083099760053</v>
      </c>
      <c r="BK6" s="198">
        <v>6769.9992296791243</v>
      </c>
      <c r="BL6" s="198">
        <v>6536.550980379845</v>
      </c>
      <c r="BM6" s="198">
        <v>4668.9649859856027</v>
      </c>
      <c r="BN6" s="198">
        <v>4668.9649859856027</v>
      </c>
      <c r="BO6" s="198">
        <v>4668.9649859856027</v>
      </c>
    </row>
    <row r="7" spans="1:67" x14ac:dyDescent="0.35">
      <c r="A7" t="s">
        <v>28</v>
      </c>
      <c r="B7" t="s">
        <v>2261</v>
      </c>
      <c r="C7" t="s">
        <v>851</v>
      </c>
      <c r="D7">
        <v>2022</v>
      </c>
      <c r="E7">
        <v>2019</v>
      </c>
      <c r="F7" t="s">
        <v>1951</v>
      </c>
      <c r="G7">
        <v>2020</v>
      </c>
      <c r="H7" t="s">
        <v>1953</v>
      </c>
      <c r="I7" t="s">
        <v>1672</v>
      </c>
      <c r="J7" s="66">
        <v>2025</v>
      </c>
      <c r="N7" s="95">
        <f>$AX$116/$AR$116 * 1000/$AK$89</f>
        <v>58.34381571750302</v>
      </c>
      <c r="O7" s="406">
        <f>$AX$115/$AR$115 * 1000/$AK$89</f>
        <v>64.783334272418159</v>
      </c>
      <c r="W7" s="66" t="s">
        <v>1973</v>
      </c>
      <c r="X7">
        <v>3</v>
      </c>
      <c r="Y7">
        <v>1</v>
      </c>
      <c r="Z7">
        <v>1</v>
      </c>
      <c r="AA7">
        <v>3</v>
      </c>
      <c r="AB7">
        <v>1</v>
      </c>
      <c r="AF7">
        <v>4</v>
      </c>
      <c r="AG7" s="10">
        <v>13917</v>
      </c>
      <c r="AH7" s="10">
        <v>14557</v>
      </c>
      <c r="AI7" s="10">
        <v>15449</v>
      </c>
      <c r="AJ7" s="10">
        <v>12672</v>
      </c>
      <c r="AK7" s="10">
        <v>14528</v>
      </c>
      <c r="AL7" s="10">
        <v>13973</v>
      </c>
      <c r="AM7" s="10">
        <v>14859</v>
      </c>
      <c r="AN7" s="10">
        <v>13734</v>
      </c>
      <c r="AQ7" s="10">
        <v>13884.666666666666</v>
      </c>
      <c r="AR7" s="10">
        <v>58316.333333333328</v>
      </c>
      <c r="AS7" s="33">
        <v>3</v>
      </c>
      <c r="AT7" s="198">
        <v>863.53036421951322</v>
      </c>
      <c r="AU7" s="198">
        <v>879.28115247223764</v>
      </c>
      <c r="AV7" s="198">
        <v>903.02713212777212</v>
      </c>
      <c r="AW7" s="198">
        <v>937.04445803218289</v>
      </c>
      <c r="AX7" s="198">
        <v>1393.3356281638362</v>
      </c>
      <c r="AY7" s="198">
        <v>1403.550814474735</v>
      </c>
      <c r="AZ7" s="198">
        <v>1369.849596151706</v>
      </c>
      <c r="BA7" s="198">
        <v>1069.6010276151042</v>
      </c>
      <c r="BB7" s="198">
        <v>871.81970248341395</v>
      </c>
      <c r="BC7" s="198">
        <v>874.15076354969585</v>
      </c>
      <c r="BD7" s="198">
        <v>1061.8330050646127</v>
      </c>
      <c r="BE7" s="198">
        <v>1057.0847428482634</v>
      </c>
      <c r="BG7" s="10">
        <v>18846.462632348834</v>
      </c>
      <c r="BH7" s="10">
        <v>74118.36991288315</v>
      </c>
      <c r="BI7" s="33">
        <v>3</v>
      </c>
      <c r="BJ7" s="198">
        <v>8657.8545106430065</v>
      </c>
      <c r="BK7" s="198">
        <v>7532.3334242594156</v>
      </c>
      <c r="BL7" s="198">
        <v>7272.5977889401256</v>
      </c>
      <c r="BM7" s="198">
        <v>5194.7127063858034</v>
      </c>
      <c r="BN7" s="198">
        <v>5194.7127063858034</v>
      </c>
      <c r="BO7" s="198">
        <v>5194.7127063858034</v>
      </c>
    </row>
    <row r="8" spans="1:67" x14ac:dyDescent="0.35">
      <c r="A8" t="s">
        <v>28</v>
      </c>
      <c r="B8" t="s">
        <v>2261</v>
      </c>
      <c r="C8" t="s">
        <v>851</v>
      </c>
      <c r="D8">
        <v>2022</v>
      </c>
      <c r="E8">
        <v>2019</v>
      </c>
      <c r="F8" t="s">
        <v>1951</v>
      </c>
      <c r="G8">
        <v>2020</v>
      </c>
      <c r="H8" t="s">
        <v>1953</v>
      </c>
      <c r="I8" t="s">
        <v>1672</v>
      </c>
      <c r="J8" s="66">
        <v>2030</v>
      </c>
      <c r="O8" s="406">
        <f>$AX$116/$AR$116 * 1000/$AK$89</f>
        <v>58.34381571750302</v>
      </c>
      <c r="W8" s="66" t="s">
        <v>1973</v>
      </c>
      <c r="X8">
        <v>3</v>
      </c>
      <c r="Y8">
        <v>1</v>
      </c>
      <c r="Z8">
        <v>1</v>
      </c>
      <c r="AA8">
        <v>3</v>
      </c>
      <c r="AB8">
        <v>1</v>
      </c>
      <c r="AF8">
        <v>5</v>
      </c>
      <c r="AG8" s="10">
        <v>13481</v>
      </c>
      <c r="AH8" s="10">
        <v>14153</v>
      </c>
      <c r="AI8" s="10">
        <v>14726</v>
      </c>
      <c r="AJ8" s="10">
        <v>12337</v>
      </c>
      <c r="AK8" s="10">
        <v>14081</v>
      </c>
      <c r="AL8" s="10">
        <v>13549</v>
      </c>
      <c r="AM8" s="10">
        <v>14425</v>
      </c>
      <c r="AN8" s="10">
        <v>12545</v>
      </c>
      <c r="AQ8" s="10">
        <v>13520.666666666666</v>
      </c>
      <c r="AR8" s="10">
        <v>71837</v>
      </c>
      <c r="AS8" s="33">
        <v>4</v>
      </c>
      <c r="AT8" s="198">
        <v>432.72391662307712</v>
      </c>
      <c r="AU8" s="198">
        <v>457.06924890752708</v>
      </c>
      <c r="AV8" s="198">
        <v>493.77241295608087</v>
      </c>
      <c r="AW8" s="198">
        <v>546.35156577581745</v>
      </c>
      <c r="AX8" s="198">
        <v>939.8756168515913</v>
      </c>
      <c r="AY8" s="198">
        <v>770.55674473570571</v>
      </c>
      <c r="AZ8" s="198">
        <v>903.57424296450074</v>
      </c>
      <c r="BA8" s="198">
        <v>618.86589810026351</v>
      </c>
      <c r="BB8" s="198">
        <v>470.21747308771302</v>
      </c>
      <c r="BC8" s="198">
        <v>473.82049633476618</v>
      </c>
      <c r="BD8" s="198">
        <v>997.64286722223073</v>
      </c>
      <c r="BE8" s="198">
        <v>599.52000209008554</v>
      </c>
      <c r="BG8" s="10">
        <v>17852.950034085701</v>
      </c>
      <c r="BH8" s="10">
        <v>91971.319946968855</v>
      </c>
      <c r="BI8" s="33">
        <v>4</v>
      </c>
      <c r="BJ8" s="198">
        <v>9132.7908278501145</v>
      </c>
      <c r="BK8" s="198">
        <v>7945.528020229599</v>
      </c>
      <c r="BL8" s="198">
        <v>7671.5442953940956</v>
      </c>
      <c r="BM8" s="198">
        <v>5479.6744967100676</v>
      </c>
      <c r="BN8" s="198">
        <v>5479.6744967100676</v>
      </c>
      <c r="BO8" s="198">
        <v>5479.6744967100676</v>
      </c>
    </row>
    <row r="9" spans="1:67" x14ac:dyDescent="0.35">
      <c r="A9" t="s">
        <v>2197</v>
      </c>
      <c r="B9" t="s">
        <v>2261</v>
      </c>
      <c r="C9" t="s">
        <v>851</v>
      </c>
      <c r="D9">
        <v>2022</v>
      </c>
      <c r="E9">
        <v>2019</v>
      </c>
      <c r="F9" t="s">
        <v>1951</v>
      </c>
      <c r="G9">
        <v>2020</v>
      </c>
      <c r="H9" t="s">
        <v>1953</v>
      </c>
      <c r="I9" t="s">
        <v>1672</v>
      </c>
      <c r="J9" s="66">
        <v>2021</v>
      </c>
      <c r="M9" s="95">
        <f>$AT$116/$AR$116 * 1000/$AK$89</f>
        <v>36.486486324841252</v>
      </c>
      <c r="N9" s="95">
        <f>$AT$115/$AR$115 * 1000/$AK$89</f>
        <v>37.014818372616844</v>
      </c>
      <c r="O9" s="406">
        <f>$AT$114/$AR$114 * 1000/$AK$89</f>
        <v>15.984052580532298</v>
      </c>
      <c r="W9" s="66" t="s">
        <v>1973</v>
      </c>
      <c r="X9">
        <v>3</v>
      </c>
      <c r="Y9">
        <v>1</v>
      </c>
      <c r="Z9">
        <v>1</v>
      </c>
      <c r="AA9">
        <v>3</v>
      </c>
      <c r="AB9">
        <v>1</v>
      </c>
      <c r="AF9">
        <v>6</v>
      </c>
      <c r="AG9" s="10">
        <v>13068</v>
      </c>
      <c r="AH9" s="10">
        <v>13756</v>
      </c>
      <c r="AI9" s="10">
        <v>14060</v>
      </c>
      <c r="AJ9" s="10">
        <v>11989</v>
      </c>
      <c r="AK9" s="10">
        <v>13548</v>
      </c>
      <c r="AL9" s="10">
        <v>12370</v>
      </c>
      <c r="AM9" s="10">
        <v>13611</v>
      </c>
      <c r="AN9" s="10">
        <v>11267</v>
      </c>
      <c r="AQ9" s="10">
        <v>13122.333333333334</v>
      </c>
      <c r="AR9" s="10">
        <v>84959.333333333328</v>
      </c>
      <c r="AS9" s="33">
        <v>5</v>
      </c>
      <c r="AT9" s="198">
        <v>906.52862559483492</v>
      </c>
      <c r="AU9" s="198">
        <v>933.50299862320321</v>
      </c>
      <c r="AV9" s="198">
        <v>974.16971973423324</v>
      </c>
      <c r="AW9" s="198">
        <v>1032.4268700209454</v>
      </c>
      <c r="AX9" s="198">
        <v>1201.2838679042902</v>
      </c>
      <c r="AY9" s="198">
        <v>1218.7781190924368</v>
      </c>
      <c r="AZ9" s="198">
        <v>1161.0623260813393</v>
      </c>
      <c r="BA9" s="198">
        <v>1470.2246706890371</v>
      </c>
      <c r="BB9" s="198">
        <v>1218.4646648768123</v>
      </c>
      <c r="BC9" s="198">
        <v>1222.4567768743132</v>
      </c>
      <c r="BD9" s="198">
        <v>1151.3461609026281</v>
      </c>
      <c r="BE9" s="198">
        <v>1448.7896206577063</v>
      </c>
      <c r="BG9" s="10">
        <v>16323.665388756834</v>
      </c>
      <c r="BH9" s="10">
        <v>108294.98533572569</v>
      </c>
      <c r="BI9" s="33">
        <v>5</v>
      </c>
      <c r="BJ9" s="198">
        <v>9103.935499120802</v>
      </c>
      <c r="BK9" s="198">
        <v>7920.4238842350978</v>
      </c>
      <c r="BL9" s="198">
        <v>7647.3058192614735</v>
      </c>
      <c r="BM9" s="198">
        <v>5462.3612994724808</v>
      </c>
      <c r="BN9" s="198">
        <v>5462.3612994724808</v>
      </c>
      <c r="BO9" s="198">
        <v>5462.3612994724808</v>
      </c>
    </row>
    <row r="10" spans="1:67" x14ac:dyDescent="0.35">
      <c r="A10" t="s">
        <v>2197</v>
      </c>
      <c r="B10" t="s">
        <v>2261</v>
      </c>
      <c r="C10" t="s">
        <v>851</v>
      </c>
      <c r="D10">
        <v>2022</v>
      </c>
      <c r="E10">
        <v>2019</v>
      </c>
      <c r="F10" t="s">
        <v>1951</v>
      </c>
      <c r="G10">
        <v>2020</v>
      </c>
      <c r="H10" t="s">
        <v>1953</v>
      </c>
      <c r="I10" t="s">
        <v>1672</v>
      </c>
      <c r="J10" s="66">
        <v>2025</v>
      </c>
      <c r="N10" s="95">
        <f>$AT$116/$AR$116 * 1000/$AK$89</f>
        <v>36.486486324841252</v>
      </c>
      <c r="O10" s="406">
        <f>$AT$115/$AR$115 * 1000/$AK$89</f>
        <v>37.014818372616844</v>
      </c>
      <c r="W10" s="66" t="s">
        <v>1973</v>
      </c>
      <c r="X10">
        <v>3</v>
      </c>
      <c r="Y10">
        <v>1</v>
      </c>
      <c r="Z10">
        <v>1</v>
      </c>
      <c r="AA10">
        <v>3</v>
      </c>
      <c r="AB10">
        <v>1</v>
      </c>
      <c r="AF10">
        <v>7</v>
      </c>
      <c r="AG10" s="10">
        <v>12677</v>
      </c>
      <c r="AH10" s="10">
        <v>13366</v>
      </c>
      <c r="AI10" s="10">
        <v>13448</v>
      </c>
      <c r="AJ10" s="10">
        <v>11630</v>
      </c>
      <c r="AK10" s="10">
        <v>13112</v>
      </c>
      <c r="AL10" s="10">
        <v>10999</v>
      </c>
      <c r="AM10" s="10">
        <v>12561</v>
      </c>
      <c r="AN10" s="10">
        <v>9879</v>
      </c>
      <c r="AQ10" s="10">
        <v>12475.666666666666</v>
      </c>
      <c r="AR10" s="10">
        <v>97435</v>
      </c>
      <c r="AS10" s="33">
        <v>6</v>
      </c>
      <c r="AT10" s="198">
        <v>312.56193046649616</v>
      </c>
      <c r="AU10" s="198">
        <v>341.0564636579378</v>
      </c>
      <c r="AV10" s="198">
        <v>384.01498704110196</v>
      </c>
      <c r="AW10" s="198">
        <v>445.55526086832839</v>
      </c>
      <c r="AX10" s="198">
        <v>1383.6989387073752</v>
      </c>
      <c r="AY10" s="198">
        <v>1402.179090984346</v>
      </c>
      <c r="AZ10" s="198">
        <v>1341.2106830107657</v>
      </c>
      <c r="BA10" s="198">
        <v>483.12119541343412</v>
      </c>
      <c r="BB10" s="198">
        <v>327.55805767650742</v>
      </c>
      <c r="BC10" s="198">
        <v>331.77514801247582</v>
      </c>
      <c r="BD10" s="198">
        <v>469.06817325065055</v>
      </c>
      <c r="BE10" s="198">
        <v>460.47815774447218</v>
      </c>
      <c r="BG10" s="10">
        <v>14925.379347130629</v>
      </c>
      <c r="BH10" s="10">
        <v>123220.36468285632</v>
      </c>
      <c r="BI10" s="33">
        <v>6</v>
      </c>
      <c r="BJ10" s="198">
        <v>8930.0858817420194</v>
      </c>
      <c r="BK10" s="198">
        <v>7769.1747171155557</v>
      </c>
      <c r="BL10" s="198">
        <v>7501.2721406632963</v>
      </c>
      <c r="BM10" s="198">
        <v>5358.0515290452113</v>
      </c>
      <c r="BN10" s="198">
        <v>5358.0515290452113</v>
      </c>
      <c r="BO10" s="198">
        <v>5358.0515290452113</v>
      </c>
    </row>
    <row r="11" spans="1:67" x14ac:dyDescent="0.35">
      <c r="A11" t="s">
        <v>2197</v>
      </c>
      <c r="B11" t="s">
        <v>2261</v>
      </c>
      <c r="C11" t="s">
        <v>851</v>
      </c>
      <c r="D11">
        <v>2022</v>
      </c>
      <c r="E11">
        <v>2019</v>
      </c>
      <c r="F11" t="s">
        <v>1951</v>
      </c>
      <c r="G11">
        <v>2020</v>
      </c>
      <c r="H11" t="s">
        <v>1953</v>
      </c>
      <c r="I11" t="s">
        <v>1672</v>
      </c>
      <c r="J11" s="66">
        <v>2030</v>
      </c>
      <c r="O11" s="406">
        <f>$AT$116/$AR$116 * 1000/$AK$89</f>
        <v>36.486486324841252</v>
      </c>
      <c r="W11" s="66" t="s">
        <v>1973</v>
      </c>
      <c r="X11">
        <v>3</v>
      </c>
      <c r="Y11">
        <v>1</v>
      </c>
      <c r="Z11">
        <v>1</v>
      </c>
      <c r="AA11">
        <v>3</v>
      </c>
      <c r="AB11">
        <v>1</v>
      </c>
      <c r="AF11">
        <v>8</v>
      </c>
      <c r="AG11" s="10">
        <v>12305</v>
      </c>
      <c r="AH11" s="10">
        <v>12982</v>
      </c>
      <c r="AI11" s="10">
        <v>12886</v>
      </c>
      <c r="AJ11" s="10">
        <v>11262</v>
      </c>
      <c r="AK11" s="10">
        <v>12544</v>
      </c>
      <c r="AL11" s="10">
        <v>9514</v>
      </c>
      <c r="AM11" s="10">
        <v>11403</v>
      </c>
      <c r="AN11" s="10">
        <v>8579</v>
      </c>
      <c r="AQ11" s="10">
        <v>11768.666666666666</v>
      </c>
      <c r="AR11" s="10">
        <v>109203.66666666667</v>
      </c>
      <c r="AS11" s="33">
        <v>7</v>
      </c>
      <c r="AT11" s="198">
        <v>1687.2666935701134</v>
      </c>
      <c r="AU11" s="198">
        <v>1716.5235522672208</v>
      </c>
      <c r="AV11" s="198">
        <v>1760.6313620008827</v>
      </c>
      <c r="AW11" s="198">
        <v>1823.818047090542</v>
      </c>
      <c r="AX11" s="198">
        <v>2583.2134519945016</v>
      </c>
      <c r="AY11" s="198">
        <v>2602.1880110874981</v>
      </c>
      <c r="AZ11" s="198">
        <v>2539.5884912046322</v>
      </c>
      <c r="BA11" s="198">
        <v>1939.4000326322789</v>
      </c>
      <c r="BB11" s="198">
        <v>1723.9844580007764</v>
      </c>
      <c r="BC11" s="198">
        <v>1728.3143698208241</v>
      </c>
      <c r="BD11" s="198">
        <v>1924.9710444147292</v>
      </c>
      <c r="BE11" s="198">
        <v>1916.1512168294962</v>
      </c>
      <c r="BG11" s="10">
        <v>13646.870561876842</v>
      </c>
      <c r="BH11" s="10">
        <v>136867.23524473317</v>
      </c>
      <c r="BI11" s="33">
        <v>7</v>
      </c>
      <c r="BJ11" s="198">
        <v>8649.1901865165764</v>
      </c>
      <c r="BK11" s="198">
        <v>7524.7954622694215</v>
      </c>
      <c r="BL11" s="198">
        <v>7265.3197566739245</v>
      </c>
      <c r="BM11" s="198">
        <v>5189.5141119099453</v>
      </c>
      <c r="BN11" s="198">
        <v>5189.5141119099453</v>
      </c>
      <c r="BO11" s="198">
        <v>5189.5141119099453</v>
      </c>
    </row>
    <row r="12" spans="1:67" x14ac:dyDescent="0.35">
      <c r="A12" t="s">
        <v>1084</v>
      </c>
      <c r="B12" t="s">
        <v>2261</v>
      </c>
      <c r="C12" t="s">
        <v>851</v>
      </c>
      <c r="D12">
        <v>2022</v>
      </c>
      <c r="E12">
        <v>2019</v>
      </c>
      <c r="F12" t="s">
        <v>1951</v>
      </c>
      <c r="G12">
        <v>2020</v>
      </c>
      <c r="H12" t="s">
        <v>1953</v>
      </c>
      <c r="I12" t="s">
        <v>1672</v>
      </c>
      <c r="J12" s="66">
        <v>2021</v>
      </c>
      <c r="M12" s="95">
        <f>$BD$116/$AR$116 * 1000/$AK$89</f>
        <v>45.980842811190328</v>
      </c>
      <c r="N12" s="95">
        <f>$BD$115/$AR$115 * 1000/$AK$89</f>
        <v>59.701109683254096</v>
      </c>
      <c r="O12" s="406">
        <f>$BD$114/$AR$114 * 1000/$AK$89</f>
        <v>25.682172092107674</v>
      </c>
      <c r="W12" s="66" t="s">
        <v>1973</v>
      </c>
      <c r="X12">
        <v>3</v>
      </c>
      <c r="Y12">
        <v>1</v>
      </c>
      <c r="Z12">
        <v>1</v>
      </c>
      <c r="AA12">
        <v>3</v>
      </c>
      <c r="AB12">
        <v>1</v>
      </c>
      <c r="AF12">
        <v>9</v>
      </c>
      <c r="AG12" s="10">
        <v>11952</v>
      </c>
      <c r="AH12" s="10">
        <v>12605</v>
      </c>
      <c r="AI12" s="10">
        <v>12372</v>
      </c>
      <c r="AJ12" s="10">
        <v>10887</v>
      </c>
      <c r="AK12" s="10">
        <v>12078</v>
      </c>
      <c r="AL12" s="10">
        <v>8047</v>
      </c>
      <c r="AM12" s="10">
        <v>10162</v>
      </c>
      <c r="AN12" s="10">
        <v>7409</v>
      </c>
      <c r="AQ12" s="10">
        <v>11027</v>
      </c>
      <c r="AR12" s="10">
        <v>120230.66666666667</v>
      </c>
      <c r="AS12" s="33">
        <v>8</v>
      </c>
      <c r="AT12" s="198">
        <v>536.76311604667387</v>
      </c>
      <c r="AU12" s="198">
        <v>566.13427137111319</v>
      </c>
      <c r="AV12" s="198">
        <v>610.41439536256166</v>
      </c>
      <c r="AW12" s="198">
        <v>673.8479294072913</v>
      </c>
      <c r="AX12" s="198">
        <v>1001.8097308415548</v>
      </c>
      <c r="AY12" s="198">
        <v>868.56956064711005</v>
      </c>
      <c r="AZ12" s="198">
        <v>958.0143421210114</v>
      </c>
      <c r="BA12" s="198">
        <v>1631.9911821041746</v>
      </c>
      <c r="BB12" s="198">
        <v>572.52577356072572</v>
      </c>
      <c r="BC12" s="198">
        <v>576.8726008781889</v>
      </c>
      <c r="BD12" s="198">
        <v>1675.0371704942756</v>
      </c>
      <c r="BE12" s="198">
        <v>1608.6515410606091</v>
      </c>
      <c r="BG12" s="10">
        <v>12477.878906871765</v>
      </c>
      <c r="BH12" s="10">
        <v>149345.11415160494</v>
      </c>
      <c r="BI12" s="33">
        <v>8</v>
      </c>
      <c r="BJ12" s="198">
        <v>8291.8111421001704</v>
      </c>
      <c r="BK12" s="198">
        <v>7213.8756936271475</v>
      </c>
      <c r="BL12" s="198">
        <v>6965.1213593641423</v>
      </c>
      <c r="BM12" s="198">
        <v>4975.0866852601021</v>
      </c>
      <c r="BN12" s="198">
        <v>4975.0866852601021</v>
      </c>
      <c r="BO12" s="198">
        <v>4975.0866852601021</v>
      </c>
    </row>
    <row r="13" spans="1:67" x14ac:dyDescent="0.35">
      <c r="A13" t="s">
        <v>1084</v>
      </c>
      <c r="B13" t="s">
        <v>2261</v>
      </c>
      <c r="C13" t="s">
        <v>851</v>
      </c>
      <c r="D13">
        <v>2022</v>
      </c>
      <c r="E13">
        <v>2019</v>
      </c>
      <c r="F13" t="s">
        <v>1951</v>
      </c>
      <c r="G13">
        <v>2020</v>
      </c>
      <c r="H13" t="s">
        <v>1953</v>
      </c>
      <c r="I13" t="s">
        <v>1672</v>
      </c>
      <c r="J13" s="66">
        <v>2025</v>
      </c>
      <c r="N13" s="95">
        <f>$BD$116/$AR$116 * 1000/$AK$89</f>
        <v>45.980842811190328</v>
      </c>
      <c r="O13" s="406">
        <f>$BD$115/$AR$115 * 1000/$AK$89</f>
        <v>59.701109683254096</v>
      </c>
      <c r="W13" s="66" t="s">
        <v>1973</v>
      </c>
      <c r="X13">
        <v>3</v>
      </c>
      <c r="Y13">
        <v>1</v>
      </c>
      <c r="Z13">
        <v>1</v>
      </c>
      <c r="AA13">
        <v>3</v>
      </c>
      <c r="AB13">
        <v>1</v>
      </c>
      <c r="AF13">
        <v>10</v>
      </c>
      <c r="AG13" s="10">
        <v>11615</v>
      </c>
      <c r="AH13" s="10">
        <v>12234</v>
      </c>
      <c r="AI13" s="10">
        <v>11903</v>
      </c>
      <c r="AJ13" s="10">
        <v>10509</v>
      </c>
      <c r="AK13" s="10">
        <v>11595</v>
      </c>
      <c r="AL13" s="10">
        <v>6728</v>
      </c>
      <c r="AM13" s="10">
        <v>8841</v>
      </c>
      <c r="AN13" s="10">
        <v>6394</v>
      </c>
      <c r="AQ13" s="10">
        <v>10295.333333333334</v>
      </c>
      <c r="AR13" s="10">
        <v>130526</v>
      </c>
      <c r="AS13" s="33">
        <v>9</v>
      </c>
      <c r="AT13" s="198">
        <v>413.71218989443167</v>
      </c>
      <c r="AU13" s="198">
        <v>442.73050947366653</v>
      </c>
      <c r="AV13" s="198">
        <v>486.47869625073957</v>
      </c>
      <c r="AW13" s="198">
        <v>549.1502031294151</v>
      </c>
      <c r="AX13" s="198">
        <v>604.12233076257041</v>
      </c>
      <c r="AY13" s="198">
        <v>622.94218512000657</v>
      </c>
      <c r="AZ13" s="198">
        <v>560.85305613066384</v>
      </c>
      <c r="BA13" s="198">
        <v>700.07987886845103</v>
      </c>
      <c r="BB13" s="198">
        <v>428.98397585096274</v>
      </c>
      <c r="BC13" s="198">
        <v>433.27858472353023</v>
      </c>
      <c r="BD13" s="198">
        <v>1008.0729922210083</v>
      </c>
      <c r="BE13" s="198">
        <v>677.02061697747376</v>
      </c>
      <c r="BG13" s="10">
        <v>11409.023138938777</v>
      </c>
      <c r="BH13" s="10">
        <v>160754.1372905437</v>
      </c>
      <c r="BI13" s="33">
        <v>9</v>
      </c>
      <c r="BJ13" s="198">
        <v>7882.4009480170034</v>
      </c>
      <c r="BK13" s="198">
        <v>6857.6888247747929</v>
      </c>
      <c r="BL13" s="198">
        <v>6621.2167963342827</v>
      </c>
      <c r="BM13" s="198">
        <v>4729.4405688102024</v>
      </c>
      <c r="BN13" s="198">
        <v>4729.4405688102024</v>
      </c>
      <c r="BO13" s="198">
        <v>4729.4405688102024</v>
      </c>
    </row>
    <row r="14" spans="1:67" x14ac:dyDescent="0.35">
      <c r="A14" t="s">
        <v>1084</v>
      </c>
      <c r="B14" t="s">
        <v>2261</v>
      </c>
      <c r="C14" t="s">
        <v>851</v>
      </c>
      <c r="D14">
        <v>2022</v>
      </c>
      <c r="E14">
        <v>2019</v>
      </c>
      <c r="F14" t="s">
        <v>1951</v>
      </c>
      <c r="G14">
        <v>2020</v>
      </c>
      <c r="H14" t="s">
        <v>1953</v>
      </c>
      <c r="I14" t="s">
        <v>1672</v>
      </c>
      <c r="J14" s="66">
        <v>2030</v>
      </c>
      <c r="O14" s="406">
        <f>$BD$116/$AR$116 * 1000/$AK$89</f>
        <v>45.980842811190328</v>
      </c>
      <c r="W14" s="66" t="s">
        <v>1973</v>
      </c>
      <c r="X14">
        <v>3</v>
      </c>
      <c r="Y14">
        <v>1</v>
      </c>
      <c r="Z14">
        <v>1</v>
      </c>
      <c r="AA14">
        <v>3</v>
      </c>
      <c r="AB14">
        <v>1</v>
      </c>
      <c r="AF14">
        <v>11</v>
      </c>
      <c r="AG14" s="10">
        <v>11294</v>
      </c>
      <c r="AH14" s="10">
        <v>11870</v>
      </c>
      <c r="AI14" s="10">
        <v>11476</v>
      </c>
      <c r="AJ14" s="10">
        <v>10129</v>
      </c>
      <c r="AK14" s="10">
        <v>11131</v>
      </c>
      <c r="AL14" s="10">
        <v>5650</v>
      </c>
      <c r="AM14" s="10">
        <v>7534</v>
      </c>
      <c r="AN14" s="10">
        <v>6382</v>
      </c>
      <c r="AQ14" s="10">
        <v>9617.3333333333339</v>
      </c>
      <c r="AR14" s="10">
        <v>140143.33333333334</v>
      </c>
      <c r="AS14" s="33">
        <v>10</v>
      </c>
      <c r="AT14" s="198">
        <v>378.98441087905331</v>
      </c>
      <c r="AU14" s="198">
        <v>407.38255126474485</v>
      </c>
      <c r="AV14" s="198">
        <v>450.19575229530341</v>
      </c>
      <c r="AW14" s="198">
        <v>511.52784444708425</v>
      </c>
      <c r="AX14" s="198">
        <v>594.92103033551643</v>
      </c>
      <c r="AY14" s="198">
        <v>613.33866698127133</v>
      </c>
      <c r="AZ14" s="198">
        <v>552.5765061452455</v>
      </c>
      <c r="BA14" s="198">
        <v>556.352983035016</v>
      </c>
      <c r="BB14" s="198">
        <v>412.34720600733471</v>
      </c>
      <c r="BC14" s="198">
        <v>416.55003054828717</v>
      </c>
      <c r="BD14" s="198">
        <v>781.77366905571807</v>
      </c>
      <c r="BE14" s="198">
        <v>533.7865434249502</v>
      </c>
      <c r="BG14" s="10">
        <v>10431.725612688553</v>
      </c>
      <c r="BH14" s="10">
        <v>171185.86290323225</v>
      </c>
      <c r="BI14" s="33">
        <v>10</v>
      </c>
      <c r="BJ14" s="198">
        <v>7440.3700629785908</v>
      </c>
      <c r="BK14" s="198">
        <v>6473.1219547913743</v>
      </c>
      <c r="BL14" s="198">
        <v>6249.9108529020159</v>
      </c>
      <c r="BM14" s="198">
        <v>4464.2220377871545</v>
      </c>
      <c r="BN14" s="198">
        <v>4464.2220377871545</v>
      </c>
      <c r="BO14" s="198">
        <v>4464.2220377871545</v>
      </c>
    </row>
    <row r="15" spans="1:67" x14ac:dyDescent="0.35">
      <c r="A15" t="s">
        <v>1095</v>
      </c>
      <c r="B15" t="s">
        <v>2261</v>
      </c>
      <c r="C15" t="s">
        <v>851</v>
      </c>
      <c r="D15">
        <v>2022</v>
      </c>
      <c r="E15">
        <v>2019</v>
      </c>
      <c r="F15" t="s">
        <v>1951</v>
      </c>
      <c r="G15">
        <v>2020</v>
      </c>
      <c r="H15" t="s">
        <v>1953</v>
      </c>
      <c r="I15" t="s">
        <v>1672</v>
      </c>
      <c r="J15" s="66">
        <v>2021</v>
      </c>
      <c r="M15" s="95">
        <f>$BE$116/$AR$116 * 1000/$AK$89</f>
        <v>48.291470419756877</v>
      </c>
      <c r="N15" s="95">
        <f>$BE$115/$AR$115 * 1000/$AK$89</f>
        <v>58.532471298464145</v>
      </c>
      <c r="O15" s="406">
        <f>$BE$114/$AR$114 * 1000/$AK$89</f>
        <v>21.884152238885321</v>
      </c>
      <c r="W15" s="66" t="s">
        <v>1973</v>
      </c>
      <c r="X15">
        <v>3</v>
      </c>
      <c r="Y15">
        <v>1</v>
      </c>
      <c r="Z15">
        <v>1</v>
      </c>
      <c r="AA15">
        <v>3</v>
      </c>
      <c r="AB15">
        <v>1</v>
      </c>
      <c r="AF15">
        <v>12</v>
      </c>
      <c r="AG15" s="10">
        <v>10986</v>
      </c>
      <c r="AH15" s="10">
        <v>11512</v>
      </c>
      <c r="AI15" s="10">
        <v>11088</v>
      </c>
      <c r="AJ15" s="10">
        <v>9748</v>
      </c>
      <c r="AK15" s="10">
        <v>10641</v>
      </c>
      <c r="AL15" s="10">
        <v>5271</v>
      </c>
      <c r="AM15" s="10">
        <v>6319</v>
      </c>
      <c r="AN15" s="10">
        <v>6072</v>
      </c>
      <c r="AQ15" s="10">
        <v>9024.3333333333339</v>
      </c>
      <c r="AR15" s="10">
        <v>149167.66666666669</v>
      </c>
      <c r="AS15" s="33">
        <v>11</v>
      </c>
      <c r="AT15" s="198">
        <v>264.042271075271</v>
      </c>
      <c r="AU15" s="198">
        <v>291.7275959004632</v>
      </c>
      <c r="AV15" s="198">
        <v>333.46615206079815</v>
      </c>
      <c r="AW15" s="198">
        <v>393.2587606742203</v>
      </c>
      <c r="AX15" s="198">
        <v>455.42854360082845</v>
      </c>
      <c r="AY15" s="198">
        <v>473.38388314506835</v>
      </c>
      <c r="AZ15" s="198">
        <v>414.14690012509806</v>
      </c>
      <c r="BA15" s="198">
        <v>417.8285844878111</v>
      </c>
      <c r="BB15" s="198">
        <v>278.61252741671422</v>
      </c>
      <c r="BC15" s="198">
        <v>282.70985777071803</v>
      </c>
      <c r="BD15" s="198">
        <v>404.17465021423089</v>
      </c>
      <c r="BE15" s="198">
        <v>395.82858018233401</v>
      </c>
      <c r="BG15" s="10">
        <v>9538.1434442900481</v>
      </c>
      <c r="BH15" s="10">
        <v>180724.00634752229</v>
      </c>
      <c r="BI15" s="33">
        <v>11</v>
      </c>
      <c r="BJ15" s="198">
        <v>6980.9818191357426</v>
      </c>
      <c r="BK15" s="198">
        <v>6073.4541826480963</v>
      </c>
      <c r="BL15" s="198">
        <v>5864.0247280740241</v>
      </c>
      <c r="BM15" s="198">
        <v>4188.5890914814454</v>
      </c>
      <c r="BN15" s="198">
        <v>4188.5890914814454</v>
      </c>
      <c r="BO15" s="198">
        <v>4188.5890914814454</v>
      </c>
    </row>
    <row r="16" spans="1:67" x14ac:dyDescent="0.35">
      <c r="A16" t="s">
        <v>1095</v>
      </c>
      <c r="B16" t="s">
        <v>2261</v>
      </c>
      <c r="C16" t="s">
        <v>851</v>
      </c>
      <c r="D16">
        <v>2022</v>
      </c>
      <c r="E16">
        <v>2019</v>
      </c>
      <c r="F16" t="s">
        <v>1951</v>
      </c>
      <c r="G16">
        <v>2020</v>
      </c>
      <c r="H16" t="s">
        <v>1953</v>
      </c>
      <c r="I16" t="s">
        <v>1672</v>
      </c>
      <c r="J16" s="66">
        <v>2025</v>
      </c>
      <c r="N16" s="95">
        <f>$BE$116/$AR$116 * 1000/$AK$89</f>
        <v>48.291470419756877</v>
      </c>
      <c r="O16" s="406">
        <f>$BE$115/$AR$115 * 1000/$AK$89</f>
        <v>58.532471298464145</v>
      </c>
      <c r="W16" s="66" t="s">
        <v>1973</v>
      </c>
      <c r="X16">
        <v>3</v>
      </c>
      <c r="Y16">
        <v>1</v>
      </c>
      <c r="Z16">
        <v>1</v>
      </c>
      <c r="AA16">
        <v>3</v>
      </c>
      <c r="AB16">
        <v>1</v>
      </c>
      <c r="AF16">
        <v>13</v>
      </c>
      <c r="AG16" s="10">
        <v>10690</v>
      </c>
      <c r="AH16" s="10">
        <v>11161</v>
      </c>
      <c r="AI16" s="10">
        <v>10737</v>
      </c>
      <c r="AJ16" s="10">
        <v>9370</v>
      </c>
      <c r="AK16" s="10">
        <v>10153</v>
      </c>
      <c r="AL16" s="10">
        <v>4987</v>
      </c>
      <c r="AM16" s="10">
        <v>5184</v>
      </c>
      <c r="AN16" s="10">
        <v>5839</v>
      </c>
      <c r="AQ16" s="10">
        <v>8668.3333333333339</v>
      </c>
      <c r="AR16" s="10">
        <v>157836.00000000003</v>
      </c>
      <c r="AS16" s="33">
        <v>12</v>
      </c>
      <c r="AT16" s="198">
        <v>1260.0705850804</v>
      </c>
      <c r="AU16" s="198">
        <v>1287.5079819627522</v>
      </c>
      <c r="AV16" s="198">
        <v>1328.8727605195631</v>
      </c>
      <c r="AW16" s="198">
        <v>1388.1299136689747</v>
      </c>
      <c r="AX16" s="198">
        <v>1857.096950141145</v>
      </c>
      <c r="AY16" s="198">
        <v>1874.8914958198875</v>
      </c>
      <c r="AZ16" s="198">
        <v>1816.1849925191518</v>
      </c>
      <c r="BA16" s="198">
        <v>1410.5582042587378</v>
      </c>
      <c r="BB16" s="198">
        <v>1274.51036169281</v>
      </c>
      <c r="BC16" s="198">
        <v>1278.5709995863781</v>
      </c>
      <c r="BD16" s="198">
        <v>971.04591895031922</v>
      </c>
      <c r="BE16" s="198">
        <v>1388.7552146476653</v>
      </c>
      <c r="BG16" s="10">
        <v>8721.1055717565087</v>
      </c>
      <c r="BH16" s="10">
        <v>189445.1119192788</v>
      </c>
      <c r="BI16" s="33">
        <v>12</v>
      </c>
      <c r="BJ16" s="198">
        <v>6516.1000279477184</v>
      </c>
      <c r="BK16" s="198">
        <v>5669.0070243145155</v>
      </c>
      <c r="BL16" s="198">
        <v>5473.5240234760831</v>
      </c>
      <c r="BM16" s="198">
        <v>3909.6600167686311</v>
      </c>
      <c r="BN16" s="198">
        <v>3909.6600167686311</v>
      </c>
      <c r="BO16" s="198">
        <v>3909.6600167686311</v>
      </c>
    </row>
    <row r="17" spans="1:67" x14ac:dyDescent="0.35">
      <c r="A17" t="s">
        <v>1095</v>
      </c>
      <c r="B17" t="s">
        <v>2261</v>
      </c>
      <c r="C17" t="s">
        <v>851</v>
      </c>
      <c r="D17">
        <v>2022</v>
      </c>
      <c r="E17">
        <v>2019</v>
      </c>
      <c r="F17" t="s">
        <v>1951</v>
      </c>
      <c r="G17">
        <v>2020</v>
      </c>
      <c r="H17" t="s">
        <v>1953</v>
      </c>
      <c r="I17" t="s">
        <v>1672</v>
      </c>
      <c r="J17" s="66">
        <v>2030</v>
      </c>
      <c r="O17" s="406">
        <f>$BE$116/$AR$116 * 1000/$AK$89</f>
        <v>48.291470419756877</v>
      </c>
      <c r="W17" s="66" t="s">
        <v>1973</v>
      </c>
      <c r="X17">
        <v>3</v>
      </c>
      <c r="Y17">
        <v>1</v>
      </c>
      <c r="Z17">
        <v>1</v>
      </c>
      <c r="AA17">
        <v>3</v>
      </c>
      <c r="AB17">
        <v>1</v>
      </c>
      <c r="AF17">
        <v>14</v>
      </c>
      <c r="AG17" s="10">
        <v>10405</v>
      </c>
      <c r="AH17" s="10">
        <v>10816</v>
      </c>
      <c r="AI17" s="10">
        <v>10418</v>
      </c>
      <c r="AJ17" s="10">
        <v>8997</v>
      </c>
      <c r="AK17" s="10">
        <v>9691</v>
      </c>
      <c r="AL17" s="10">
        <v>4940</v>
      </c>
      <c r="AM17" s="10">
        <v>4880</v>
      </c>
      <c r="AN17" s="10">
        <v>5835</v>
      </c>
      <c r="AQ17" s="10">
        <v>8349</v>
      </c>
      <c r="AR17" s="10">
        <v>166185.00000000003</v>
      </c>
      <c r="AS17" s="33">
        <v>13</v>
      </c>
      <c r="AT17" s="198">
        <v>396.93111538968361</v>
      </c>
      <c r="AU17" s="198">
        <v>424.03534996833065</v>
      </c>
      <c r="AV17" s="198">
        <v>464.89785110519074</v>
      </c>
      <c r="AW17" s="198">
        <v>523.4354662554648</v>
      </c>
      <c r="AX17" s="198">
        <v>782.24516060665906</v>
      </c>
      <c r="AY17" s="198">
        <v>799.8236336070371</v>
      </c>
      <c r="AZ17" s="198">
        <v>741.82998196515268</v>
      </c>
      <c r="BA17" s="198">
        <v>745.4343910606425</v>
      </c>
      <c r="BB17" s="198">
        <v>612.71766830620277</v>
      </c>
      <c r="BC17" s="198">
        <v>616.72899935477608</v>
      </c>
      <c r="BD17" s="198">
        <v>732.06704067522128</v>
      </c>
      <c r="BE17" s="198">
        <v>723.89614720069324</v>
      </c>
      <c r="BG17" s="10">
        <v>7974.0552066507098</v>
      </c>
      <c r="BH17" s="10">
        <v>197419.16712592953</v>
      </c>
      <c r="BI17" s="33">
        <v>13</v>
      </c>
      <c r="BJ17" s="198">
        <v>6054.8126311641017</v>
      </c>
      <c r="BK17" s="198">
        <v>5267.6869891127681</v>
      </c>
      <c r="BL17" s="198">
        <v>5086.0426101778448</v>
      </c>
      <c r="BM17" s="198">
        <v>3632.8875786984609</v>
      </c>
      <c r="BN17" s="198">
        <v>3632.8875786984609</v>
      </c>
      <c r="BO17" s="198">
        <v>3632.8875786984609</v>
      </c>
    </row>
    <row r="18" spans="1:67" x14ac:dyDescent="0.35">
      <c r="A18" t="s">
        <v>1085</v>
      </c>
      <c r="B18" t="s">
        <v>2261</v>
      </c>
      <c r="C18" t="s">
        <v>851</v>
      </c>
      <c r="D18">
        <v>2022</v>
      </c>
      <c r="E18">
        <v>2019</v>
      </c>
      <c r="F18" t="s">
        <v>1951</v>
      </c>
      <c r="G18">
        <v>2020</v>
      </c>
      <c r="H18" t="s">
        <v>1953</v>
      </c>
      <c r="I18" t="s">
        <v>1672</v>
      </c>
      <c r="J18" s="66">
        <v>2021</v>
      </c>
      <c r="L18" s="95"/>
      <c r="M18" s="95">
        <f>$AZ$120/$AR$120 * 1000/$AK$90</f>
        <v>55.328166647435594</v>
      </c>
      <c r="N18" s="95">
        <f>$AZ$119/$AR$119 * 1000/$AK$90</f>
        <v>54.974065645320344</v>
      </c>
      <c r="O18" s="406">
        <f>$AZ$118/$AR$118 * 1000/$AK$90</f>
        <v>26.462584783797794</v>
      </c>
      <c r="W18" s="66" t="s">
        <v>1973</v>
      </c>
      <c r="X18">
        <v>3</v>
      </c>
      <c r="Y18">
        <v>1</v>
      </c>
      <c r="Z18">
        <v>1</v>
      </c>
      <c r="AA18">
        <v>3</v>
      </c>
      <c r="AB18">
        <v>1</v>
      </c>
      <c r="AF18">
        <v>15</v>
      </c>
      <c r="AG18" s="10">
        <v>10129</v>
      </c>
      <c r="AH18" s="10">
        <v>10477</v>
      </c>
      <c r="AI18" s="10">
        <v>10131</v>
      </c>
      <c r="AJ18" s="10">
        <v>8629</v>
      </c>
      <c r="AK18" s="10">
        <v>9239</v>
      </c>
      <c r="AL18" s="10">
        <v>4812</v>
      </c>
      <c r="AM18" s="10">
        <v>4733</v>
      </c>
      <c r="AN18" s="10">
        <v>5687</v>
      </c>
      <c r="AQ18" s="33" t="s">
        <v>1647</v>
      </c>
      <c r="AS18" s="33"/>
      <c r="BG18" s="10">
        <v>7290.9972153801846</v>
      </c>
      <c r="BH18" s="10">
        <v>204710.16434130972</v>
      </c>
      <c r="BI18" s="33">
        <v>14</v>
      </c>
      <c r="BJ18" s="198">
        <v>5603.9509473494718</v>
      </c>
      <c r="BK18" s="198">
        <v>4875.4373241940402</v>
      </c>
      <c r="BL18" s="198">
        <v>4707.3187957735563</v>
      </c>
      <c r="BM18" s="198">
        <v>3362.3705684096831</v>
      </c>
      <c r="BN18" s="198">
        <v>3362.3705684096831</v>
      </c>
      <c r="BO18" s="198">
        <v>3362.3705684096831</v>
      </c>
    </row>
    <row r="19" spans="1:67" x14ac:dyDescent="0.35">
      <c r="A19" t="s">
        <v>1085</v>
      </c>
      <c r="B19" t="s">
        <v>2261</v>
      </c>
      <c r="C19" t="s">
        <v>851</v>
      </c>
      <c r="D19">
        <v>2022</v>
      </c>
      <c r="E19">
        <v>2019</v>
      </c>
      <c r="F19" t="s">
        <v>1951</v>
      </c>
      <c r="G19">
        <v>2020</v>
      </c>
      <c r="H19" t="s">
        <v>1953</v>
      </c>
      <c r="I19" t="s">
        <v>1672</v>
      </c>
      <c r="J19" s="66">
        <v>2025</v>
      </c>
      <c r="M19" s="95">
        <f>$AZ$121/$AR$121 * 1000/$AK$90</f>
        <v>30.444236637467629</v>
      </c>
      <c r="N19" s="95">
        <f>$AZ$120/$AR$120 * 1000/$AK$90</f>
        <v>55.328166647435594</v>
      </c>
      <c r="O19" s="406">
        <f>$AZ$119/$AR$119 * 1000/$AK$90</f>
        <v>54.974065645320344</v>
      </c>
      <c r="W19" s="66" t="s">
        <v>1973</v>
      </c>
      <c r="X19">
        <v>3</v>
      </c>
      <c r="Y19">
        <v>1</v>
      </c>
      <c r="Z19">
        <v>1</v>
      </c>
      <c r="AA19">
        <v>3</v>
      </c>
      <c r="AB19">
        <v>1</v>
      </c>
      <c r="AQ19" s="10">
        <v>15612</v>
      </c>
      <c r="AR19" s="10">
        <v>15612</v>
      </c>
      <c r="AS19" s="33">
        <v>0</v>
      </c>
      <c r="AT19" s="198">
        <v>145</v>
      </c>
      <c r="AU19" s="198">
        <v>145</v>
      </c>
      <c r="AV19" s="198">
        <v>145</v>
      </c>
      <c r="AW19" s="198">
        <v>145</v>
      </c>
      <c r="AX19" s="198">
        <v>315</v>
      </c>
      <c r="AY19" s="198">
        <v>315</v>
      </c>
      <c r="AZ19" s="198">
        <v>315</v>
      </c>
      <c r="BA19" s="198">
        <v>230</v>
      </c>
      <c r="BB19" s="198">
        <v>145</v>
      </c>
      <c r="BC19" s="198">
        <v>145</v>
      </c>
      <c r="BD19" s="198">
        <v>315</v>
      </c>
      <c r="BE19" s="198">
        <v>230</v>
      </c>
      <c r="BG19" s="10">
        <v>6095.4015471200173</v>
      </c>
      <c r="BH19" s="10">
        <v>210805.56588842973</v>
      </c>
      <c r="BI19" s="33">
        <v>15</v>
      </c>
      <c r="BJ19" s="198">
        <v>4725.7852921257681</v>
      </c>
      <c r="BK19" s="198">
        <v>4111.433204149419</v>
      </c>
      <c r="BL19" s="198">
        <v>3969.659645385645</v>
      </c>
      <c r="BM19" s="198">
        <v>2835.4711752754611</v>
      </c>
      <c r="BN19" s="198">
        <v>2835.4711752754611</v>
      </c>
      <c r="BO19" s="198">
        <v>2835.4711752754611</v>
      </c>
    </row>
    <row r="20" spans="1:67" x14ac:dyDescent="0.35">
      <c r="A20" t="s">
        <v>1085</v>
      </c>
      <c r="B20" t="s">
        <v>2261</v>
      </c>
      <c r="C20" t="s">
        <v>851</v>
      </c>
      <c r="D20">
        <v>2022</v>
      </c>
      <c r="E20">
        <v>2019</v>
      </c>
      <c r="F20" t="s">
        <v>1951</v>
      </c>
      <c r="G20">
        <v>2020</v>
      </c>
      <c r="H20" t="s">
        <v>1953</v>
      </c>
      <c r="I20" t="s">
        <v>1672</v>
      </c>
      <c r="J20" s="66">
        <v>2030</v>
      </c>
      <c r="N20" s="95">
        <f>$AZ$121/$AR$121 * 1000/$AK$90</f>
        <v>30.444236637467629</v>
      </c>
      <c r="O20" s="406">
        <f>$AZ$120/$AR$120 * 1000/$AK$90</f>
        <v>55.328166647435594</v>
      </c>
      <c r="W20" s="66" t="s">
        <v>1973</v>
      </c>
      <c r="X20">
        <v>3</v>
      </c>
      <c r="Y20">
        <v>1</v>
      </c>
      <c r="Z20">
        <v>1</v>
      </c>
      <c r="AA20">
        <v>3</v>
      </c>
      <c r="AB20">
        <v>1</v>
      </c>
      <c r="AF20" s="33" t="s">
        <v>1641</v>
      </c>
      <c r="AQ20" s="10">
        <v>14562.666666666666</v>
      </c>
      <c r="AR20" s="10">
        <v>30174.666666666664</v>
      </c>
      <c r="AS20" s="33">
        <v>1</v>
      </c>
      <c r="AT20" s="198">
        <v>261.90476190476187</v>
      </c>
      <c r="AU20" s="198">
        <v>261.90476190476187</v>
      </c>
      <c r="AV20" s="198">
        <v>261.90476190476187</v>
      </c>
      <c r="AW20" s="198">
        <v>261.90476190476187</v>
      </c>
      <c r="AX20" s="198">
        <v>490.47619047619042</v>
      </c>
      <c r="AY20" s="198">
        <v>490.47619047619042</v>
      </c>
      <c r="AZ20" s="198">
        <v>490.47619047619042</v>
      </c>
      <c r="BA20" s="198">
        <v>452.38095238095235</v>
      </c>
      <c r="BB20" s="198">
        <v>290.47619047619048</v>
      </c>
      <c r="BC20" s="198">
        <v>290.47619047619048</v>
      </c>
      <c r="BD20" s="198">
        <v>452.38095238095235</v>
      </c>
      <c r="BE20" s="198">
        <v>452.38095238095235</v>
      </c>
      <c r="BG20" s="10">
        <v>5573.269127809639</v>
      </c>
      <c r="BH20" s="10">
        <v>216378.83501623938</v>
      </c>
      <c r="BI20" s="33">
        <v>16</v>
      </c>
      <c r="BJ20" s="198">
        <v>4344.9996862792432</v>
      </c>
      <c r="BK20" s="198">
        <v>3780.1497270629416</v>
      </c>
      <c r="BL20" s="198">
        <v>3649.7997364745638</v>
      </c>
      <c r="BM20" s="198">
        <v>2606.9998117675459</v>
      </c>
      <c r="BN20" s="198">
        <v>2606.9998117675459</v>
      </c>
      <c r="BO20" s="198">
        <v>2606.9998117675459</v>
      </c>
    </row>
    <row r="21" spans="1:67" ht="15" thickBot="1" x14ac:dyDescent="0.4">
      <c r="A21" t="s">
        <v>1085</v>
      </c>
      <c r="B21" t="s">
        <v>2261</v>
      </c>
      <c r="C21" t="s">
        <v>851</v>
      </c>
      <c r="D21">
        <v>2022</v>
      </c>
      <c r="E21">
        <v>2019</v>
      </c>
      <c r="F21" t="s">
        <v>1951</v>
      </c>
      <c r="G21">
        <v>2020</v>
      </c>
      <c r="H21" t="s">
        <v>1953</v>
      </c>
      <c r="I21" t="s">
        <v>1672</v>
      </c>
      <c r="J21" s="66">
        <v>2035</v>
      </c>
      <c r="O21" s="406">
        <f>$AZ$121/$AR$121 * 1000/$AK$90</f>
        <v>30.444236637467629</v>
      </c>
      <c r="W21" s="66" t="s">
        <v>1973</v>
      </c>
      <c r="X21">
        <v>3</v>
      </c>
      <c r="Y21">
        <v>1</v>
      </c>
      <c r="Z21">
        <v>1</v>
      </c>
      <c r="AA21">
        <v>3</v>
      </c>
      <c r="AB21">
        <v>1</v>
      </c>
      <c r="AF21" s="105" t="s">
        <v>1270</v>
      </c>
      <c r="AG21" s="105" t="s">
        <v>32</v>
      </c>
      <c r="AH21" s="105" t="s">
        <v>1642</v>
      </c>
      <c r="AQ21" s="10">
        <v>14257</v>
      </c>
      <c r="AR21" s="10">
        <v>44431.666666666664</v>
      </c>
      <c r="AS21" s="33">
        <v>2</v>
      </c>
      <c r="AT21" s="198">
        <v>352.28185104017615</v>
      </c>
      <c r="AU21" s="198">
        <v>358.59614197038064</v>
      </c>
      <c r="AV21" s="198">
        <v>368.93913170240143</v>
      </c>
      <c r="AW21" s="198">
        <v>383.7108788728757</v>
      </c>
      <c r="AX21" s="198">
        <v>487.19715496770948</v>
      </c>
      <c r="AY21" s="198">
        <v>491.18051710015015</v>
      </c>
      <c r="AZ21" s="198">
        <v>478.03266193127433</v>
      </c>
      <c r="BA21" s="198">
        <v>480.21175630671968</v>
      </c>
      <c r="BB21" s="198">
        <v>384.78887620435432</v>
      </c>
      <c r="BC21" s="198">
        <v>386.12510242264455</v>
      </c>
      <c r="BD21" s="198">
        <v>477.43526011140733</v>
      </c>
      <c r="BE21" s="198">
        <v>475.19299885192356</v>
      </c>
      <c r="BG21" s="10">
        <v>5095.8625991870895</v>
      </c>
      <c r="BH21" s="10">
        <v>221474.69761542647</v>
      </c>
      <c r="BI21" s="33">
        <v>17</v>
      </c>
      <c r="BJ21" s="198">
        <v>3983.7232252068134</v>
      </c>
      <c r="BK21" s="198">
        <v>3465.8392059299276</v>
      </c>
      <c r="BL21" s="198">
        <v>3346.3275091737228</v>
      </c>
      <c r="BM21" s="198">
        <v>2390.233935124088</v>
      </c>
      <c r="BN21" s="198">
        <v>2390.233935124088</v>
      </c>
      <c r="BO21" s="198">
        <v>2390.233935124088</v>
      </c>
    </row>
    <row r="22" spans="1:67" ht="15" thickTop="1" x14ac:dyDescent="0.35">
      <c r="A22" t="s">
        <v>408</v>
      </c>
      <c r="B22" t="s">
        <v>2261</v>
      </c>
      <c r="C22" t="s">
        <v>851</v>
      </c>
      <c r="D22">
        <v>2022</v>
      </c>
      <c r="E22">
        <v>2019</v>
      </c>
      <c r="F22" t="s">
        <v>1951</v>
      </c>
      <c r="G22">
        <v>2020</v>
      </c>
      <c r="H22" t="s">
        <v>1953</v>
      </c>
      <c r="I22" t="s">
        <v>1672</v>
      </c>
      <c r="J22" s="66">
        <v>2021</v>
      </c>
      <c r="L22" s="95"/>
      <c r="M22" s="95">
        <f>$AX$120/$AR$120 * 1000/$AK$90</f>
        <v>57.549715741958792</v>
      </c>
      <c r="N22" s="95">
        <f>$AX$119/$AR$119 * 1000/$AK$90</f>
        <v>56.69677035419943</v>
      </c>
      <c r="O22" s="406">
        <f>$AX$118/$AR$118 * 1000/$AK$90</f>
        <v>26.911055422269889</v>
      </c>
      <c r="W22" s="66" t="s">
        <v>1973</v>
      </c>
      <c r="X22">
        <v>3</v>
      </c>
      <c r="Y22">
        <v>1</v>
      </c>
      <c r="Z22">
        <v>1</v>
      </c>
      <c r="AA22">
        <v>3</v>
      </c>
      <c r="AB22">
        <v>1</v>
      </c>
      <c r="AF22" s="33">
        <v>0</v>
      </c>
      <c r="AG22" s="351">
        <f t="shared" ref="AG22:AG35" si="0">AVERAGE(AG3,AJ3,AL3)*km_mile</f>
        <v>25125.016080000001</v>
      </c>
      <c r="AH22" s="351">
        <f t="shared" ref="AH22:AH37" si="1">AVERAGE(AH3,AI3,AM3,AN3)*km_mile</f>
        <v>28704.992910000001</v>
      </c>
      <c r="AQ22" s="10">
        <v>13884.666666666666</v>
      </c>
      <c r="AR22" s="10">
        <v>58316.333333333328</v>
      </c>
      <c r="AS22" s="33">
        <v>3</v>
      </c>
      <c r="AT22" s="198">
        <v>877.29653270957533</v>
      </c>
      <c r="AU22" s="198">
        <v>894.86445611018087</v>
      </c>
      <c r="AV22" s="198">
        <v>923.64121875128831</v>
      </c>
      <c r="AW22" s="198">
        <v>964.73988298017878</v>
      </c>
      <c r="AX22" s="198">
        <v>1411.6481093734969</v>
      </c>
      <c r="AY22" s="198">
        <v>1422.7308107556653</v>
      </c>
      <c r="AZ22" s="198">
        <v>1386.1502168232305</v>
      </c>
      <c r="BA22" s="198">
        <v>1089.8698383356932</v>
      </c>
      <c r="BB22" s="198">
        <v>892.0317099614665</v>
      </c>
      <c r="BC22" s="198">
        <v>895.74942270360714</v>
      </c>
      <c r="BD22" s="198">
        <v>1082.1449373103076</v>
      </c>
      <c r="BE22" s="198">
        <v>1075.9064103741593</v>
      </c>
      <c r="BG22" s="10">
        <v>4659.3507390875739</v>
      </c>
      <c r="BH22" s="10">
        <v>226134.04835451403</v>
      </c>
      <c r="BI22" s="33">
        <v>18</v>
      </c>
      <c r="BJ22" s="198">
        <v>3643.2710659290187</v>
      </c>
      <c r="BK22" s="198">
        <v>3169.6458273582462</v>
      </c>
      <c r="BL22" s="198">
        <v>3060.3476953803756</v>
      </c>
      <c r="BM22" s="198">
        <v>2185.962639557411</v>
      </c>
      <c r="BN22" s="198">
        <v>2185.962639557411</v>
      </c>
      <c r="BO22" s="198">
        <v>2185.962639557411</v>
      </c>
    </row>
    <row r="23" spans="1:67" x14ac:dyDescent="0.35">
      <c r="A23" t="s">
        <v>408</v>
      </c>
      <c r="B23" t="s">
        <v>2261</v>
      </c>
      <c r="C23" t="s">
        <v>851</v>
      </c>
      <c r="D23">
        <v>2022</v>
      </c>
      <c r="E23">
        <v>2019</v>
      </c>
      <c r="F23" t="s">
        <v>1951</v>
      </c>
      <c r="G23">
        <v>2020</v>
      </c>
      <c r="H23" t="s">
        <v>1953</v>
      </c>
      <c r="I23" t="s">
        <v>1672</v>
      </c>
      <c r="J23" s="66">
        <v>2025</v>
      </c>
      <c r="M23" s="95">
        <f>$AX$121/$AR$121 * 1000/$AK$90</f>
        <v>32.83451395570264</v>
      </c>
      <c r="N23" s="95">
        <f>$AX$120/$AR$120 * 1000/$AK$90</f>
        <v>57.549715741958792</v>
      </c>
      <c r="O23" s="406">
        <f>$AX$119/$AR$119 * 1000/$AK$90</f>
        <v>56.69677035419943</v>
      </c>
      <c r="W23" s="66" t="s">
        <v>1973</v>
      </c>
      <c r="X23">
        <v>3</v>
      </c>
      <c r="Y23">
        <v>1</v>
      </c>
      <c r="Z23">
        <v>1</v>
      </c>
      <c r="AA23">
        <v>3</v>
      </c>
      <c r="AB23">
        <v>1</v>
      </c>
      <c r="AF23" s="33">
        <v>1</v>
      </c>
      <c r="AG23" s="351">
        <f t="shared" si="0"/>
        <v>23436.281973333331</v>
      </c>
      <c r="AH23" s="351">
        <f t="shared" si="1"/>
        <v>26248.3354</v>
      </c>
      <c r="AQ23" s="10">
        <v>13520.666666666666</v>
      </c>
      <c r="AR23" s="10">
        <v>71837</v>
      </c>
      <c r="AS23" s="33">
        <v>4</v>
      </c>
      <c r="AT23" s="198">
        <v>454.00170544207913</v>
      </c>
      <c r="AU23" s="198">
        <v>481.15570725284755</v>
      </c>
      <c r="AV23" s="198">
        <v>525.63474140196865</v>
      </c>
      <c r="AW23" s="198">
        <v>589.15922164036658</v>
      </c>
      <c r="AX23" s="198">
        <v>968.18045041602079</v>
      </c>
      <c r="AY23" s="198">
        <v>800.20245993303854</v>
      </c>
      <c r="AZ23" s="198">
        <v>928.76942814022675</v>
      </c>
      <c r="BA23" s="198">
        <v>650.1945480754805</v>
      </c>
      <c r="BB23" s="198">
        <v>501.45832467517988</v>
      </c>
      <c r="BC23" s="198">
        <v>507.20463721480093</v>
      </c>
      <c r="BD23" s="198">
        <v>1029.0381683288372</v>
      </c>
      <c r="BE23" s="198">
        <v>628.61186357112103</v>
      </c>
      <c r="BG23" s="33" t="s">
        <v>1664</v>
      </c>
      <c r="BI23" s="33"/>
    </row>
    <row r="24" spans="1:67" x14ac:dyDescent="0.35">
      <c r="A24" t="s">
        <v>408</v>
      </c>
      <c r="B24" t="s">
        <v>2261</v>
      </c>
      <c r="C24" t="s">
        <v>851</v>
      </c>
      <c r="D24">
        <v>2022</v>
      </c>
      <c r="E24">
        <v>2019</v>
      </c>
      <c r="F24" t="s">
        <v>1951</v>
      </c>
      <c r="G24">
        <v>2020</v>
      </c>
      <c r="H24" t="s">
        <v>1953</v>
      </c>
      <c r="I24" t="s">
        <v>1672</v>
      </c>
      <c r="J24" s="66">
        <v>2030</v>
      </c>
      <c r="N24" s="95">
        <f>$AX$121/$AR$121 * 1000/$AK$90</f>
        <v>32.83451395570264</v>
      </c>
      <c r="O24" s="406">
        <f>$AX$120/$AR$120 * 1000/$AK$90</f>
        <v>57.549715741958792</v>
      </c>
      <c r="W24" s="66" t="s">
        <v>1973</v>
      </c>
      <c r="X24">
        <v>3</v>
      </c>
      <c r="Y24">
        <v>1</v>
      </c>
      <c r="Z24">
        <v>1</v>
      </c>
      <c r="AA24">
        <v>3</v>
      </c>
      <c r="AB24">
        <v>1</v>
      </c>
      <c r="AF24" s="33">
        <v>2</v>
      </c>
      <c r="AG24" s="351">
        <f t="shared" si="0"/>
        <v>22944.360379999998</v>
      </c>
      <c r="AH24" s="351">
        <f t="shared" si="1"/>
        <v>25411.478599999999</v>
      </c>
      <c r="AQ24" s="10">
        <v>13122.333333333334</v>
      </c>
      <c r="AR24" s="10">
        <v>84959.333333333328</v>
      </c>
      <c r="AS24" s="33">
        <v>5</v>
      </c>
      <c r="AT24" s="198">
        <v>930.10419261181119</v>
      </c>
      <c r="AU24" s="198">
        <v>960.19054204005431</v>
      </c>
      <c r="AV24" s="198">
        <v>1009.4728457302062</v>
      </c>
      <c r="AW24" s="198">
        <v>1079.8573040880913</v>
      </c>
      <c r="AX24" s="198">
        <v>1232.6453268546975</v>
      </c>
      <c r="AY24" s="198">
        <v>1251.6252608394564</v>
      </c>
      <c r="AZ24" s="198">
        <v>1188.9783272066531</v>
      </c>
      <c r="BA24" s="198">
        <v>1504.9364865325388</v>
      </c>
      <c r="BB24" s="198">
        <v>1253.0792010268271</v>
      </c>
      <c r="BC24" s="198">
        <v>1259.4460550984941</v>
      </c>
      <c r="BD24" s="198">
        <v>1186.131825501195</v>
      </c>
      <c r="BE24" s="198">
        <v>1481.02309829154</v>
      </c>
      <c r="BG24" s="10">
        <v>23123.292830144601</v>
      </c>
      <c r="BH24" s="10">
        <v>23123.292830144601</v>
      </c>
      <c r="BI24" s="33">
        <v>0</v>
      </c>
      <c r="BJ24" s="198">
        <v>2858.0389938058729</v>
      </c>
      <c r="BK24" s="198">
        <v>2486.4939246111094</v>
      </c>
      <c r="BL24" s="198">
        <v>2400.752754796933</v>
      </c>
      <c r="BM24" s="198">
        <v>1714.8233962835236</v>
      </c>
      <c r="BN24" s="198">
        <v>1714.8233962835236</v>
      </c>
      <c r="BO24" s="198">
        <v>1714.8233962835236</v>
      </c>
    </row>
    <row r="25" spans="1:67" x14ac:dyDescent="0.35">
      <c r="A25" t="s">
        <v>408</v>
      </c>
      <c r="B25" t="s">
        <v>2261</v>
      </c>
      <c r="C25" t="s">
        <v>851</v>
      </c>
      <c r="D25">
        <v>2022</v>
      </c>
      <c r="E25">
        <v>2019</v>
      </c>
      <c r="F25" t="s">
        <v>1951</v>
      </c>
      <c r="G25">
        <v>2020</v>
      </c>
      <c r="H25" t="s">
        <v>1953</v>
      </c>
      <c r="I25" t="s">
        <v>1672</v>
      </c>
      <c r="J25" s="66">
        <v>2035</v>
      </c>
      <c r="O25" s="406">
        <f>$AX$121/$AR$121 * 1000/$AK$90</f>
        <v>32.83451395570264</v>
      </c>
      <c r="W25" s="66" t="s">
        <v>1973</v>
      </c>
      <c r="X25">
        <v>3</v>
      </c>
      <c r="Y25">
        <v>1</v>
      </c>
      <c r="Z25">
        <v>1</v>
      </c>
      <c r="AA25">
        <v>3</v>
      </c>
      <c r="AB25">
        <v>1</v>
      </c>
      <c r="AF25" s="33">
        <v>3</v>
      </c>
      <c r="AG25" s="351">
        <f t="shared" si="0"/>
        <v>22345.149453333332</v>
      </c>
      <c r="AH25" s="351">
        <f t="shared" si="1"/>
        <v>24555.712055</v>
      </c>
      <c r="AQ25" s="10">
        <v>12475.666666666666</v>
      </c>
      <c r="AR25" s="10">
        <v>97435</v>
      </c>
      <c r="AS25" s="33">
        <v>6</v>
      </c>
      <c r="AT25" s="198">
        <v>337.46611549299502</v>
      </c>
      <c r="AU25" s="198">
        <v>369.24800274912491</v>
      </c>
      <c r="AV25" s="198">
        <v>421.30764605475059</v>
      </c>
      <c r="AW25" s="198">
        <v>495.65867110846369</v>
      </c>
      <c r="AX25" s="198">
        <v>1416.8277951984828</v>
      </c>
      <c r="AY25" s="198">
        <v>1436.8773569929799</v>
      </c>
      <c r="AZ25" s="198">
        <v>1370.6999104267661</v>
      </c>
      <c r="BA25" s="198">
        <v>519.78922056633246</v>
      </c>
      <c r="BB25" s="198">
        <v>364.12332086893332</v>
      </c>
      <c r="BC25" s="198">
        <v>370.8489835740267</v>
      </c>
      <c r="BD25" s="198">
        <v>505.81420895823862</v>
      </c>
      <c r="BE25" s="198">
        <v>494.52817615813206</v>
      </c>
      <c r="BG25" s="10">
        <v>27374.876591055399</v>
      </c>
      <c r="BH25" s="10">
        <v>50498.1694212</v>
      </c>
      <c r="BI25" s="33">
        <v>1</v>
      </c>
      <c r="BJ25" s="198">
        <v>4158.3741107365104</v>
      </c>
      <c r="BK25" s="198">
        <v>3617.785476340764</v>
      </c>
      <c r="BL25" s="198">
        <v>3493.0342530186686</v>
      </c>
      <c r="BM25" s="198">
        <v>2495.024466441906</v>
      </c>
      <c r="BN25" s="198">
        <v>2495.024466441906</v>
      </c>
      <c r="BO25" s="198">
        <v>2495.024466441906</v>
      </c>
    </row>
    <row r="26" spans="1:67" x14ac:dyDescent="0.35">
      <c r="A26" t="s">
        <v>2198</v>
      </c>
      <c r="B26" t="s">
        <v>2261</v>
      </c>
      <c r="C26" t="s">
        <v>851</v>
      </c>
      <c r="D26">
        <v>2022</v>
      </c>
      <c r="E26">
        <v>2019</v>
      </c>
      <c r="F26" t="s">
        <v>1951</v>
      </c>
      <c r="G26">
        <v>2020</v>
      </c>
      <c r="H26" t="s">
        <v>1953</v>
      </c>
      <c r="I26" t="s">
        <v>1672</v>
      </c>
      <c r="J26" s="66">
        <v>2021</v>
      </c>
      <c r="L26" s="95"/>
      <c r="M26" s="95">
        <f>$AT$120/$AR$120 * 1000/$AK$90</f>
        <v>31.894807903026908</v>
      </c>
      <c r="N26" s="95">
        <f>$AT$119/$AR$119 * 1000/$AK$90</f>
        <v>30.983260963680458</v>
      </c>
      <c r="O26" s="406">
        <f>$AT$118/$AR$118 * 1000/$AK$90</f>
        <v>17.489798937008015</v>
      </c>
      <c r="W26" s="66" t="s">
        <v>1973</v>
      </c>
      <c r="X26">
        <v>3</v>
      </c>
      <c r="Y26">
        <v>1</v>
      </c>
      <c r="Z26">
        <v>1</v>
      </c>
      <c r="AA26">
        <v>3</v>
      </c>
      <c r="AB26">
        <v>1</v>
      </c>
      <c r="AF26" s="33">
        <v>4</v>
      </c>
      <c r="AG26" s="351">
        <f t="shared" si="0"/>
        <v>21759.349693333334</v>
      </c>
      <c r="AH26" s="351">
        <f t="shared" si="1"/>
        <v>23576.428664999999</v>
      </c>
      <c r="AQ26" s="10">
        <v>11768.666666666666</v>
      </c>
      <c r="AR26" s="10">
        <v>109203.66666666667</v>
      </c>
      <c r="AS26" s="33">
        <v>7</v>
      </c>
      <c r="AT26" s="198">
        <v>1712.8371500991482</v>
      </c>
      <c r="AU26" s="198">
        <v>1745.469310743186</v>
      </c>
      <c r="AV26" s="198">
        <v>1798.9217262567684</v>
      </c>
      <c r="AW26" s="198">
        <v>1875.261893662456</v>
      </c>
      <c r="AX26" s="198">
        <v>2617.2286178736954</v>
      </c>
      <c r="AY26" s="198">
        <v>2637.8145735171697</v>
      </c>
      <c r="AZ26" s="198">
        <v>2569.8666555739269</v>
      </c>
      <c r="BA26" s="198">
        <v>1977.0490519509224</v>
      </c>
      <c r="BB26" s="198">
        <v>1761.5279661276145</v>
      </c>
      <c r="BC26" s="198">
        <v>1768.433563144604</v>
      </c>
      <c r="BD26" s="198">
        <v>1962.7001613352577</v>
      </c>
      <c r="BE26" s="198">
        <v>1951.1121888401401</v>
      </c>
      <c r="BG26" s="10">
        <v>26190.500258584765</v>
      </c>
      <c r="BH26" s="10">
        <v>76688.669679784769</v>
      </c>
      <c r="BI26" s="33">
        <v>2</v>
      </c>
      <c r="BJ26" s="198">
        <v>4641.8356013854545</v>
      </c>
      <c r="BK26" s="198">
        <v>4038.3969732053456</v>
      </c>
      <c r="BL26" s="198">
        <v>3899.1419051637818</v>
      </c>
      <c r="BM26" s="198">
        <v>2785.1013608312728</v>
      </c>
      <c r="BN26" s="198">
        <v>2785.1013608312728</v>
      </c>
      <c r="BO26" s="198">
        <v>2785.1013608312728</v>
      </c>
    </row>
    <row r="27" spans="1:67" x14ac:dyDescent="0.35">
      <c r="A27" t="s">
        <v>2198</v>
      </c>
      <c r="B27" t="s">
        <v>2261</v>
      </c>
      <c r="C27" t="s">
        <v>851</v>
      </c>
      <c r="D27">
        <v>2022</v>
      </c>
      <c r="E27">
        <v>2019</v>
      </c>
      <c r="F27" t="s">
        <v>1951</v>
      </c>
      <c r="G27">
        <v>2020</v>
      </c>
      <c r="H27" t="s">
        <v>1953</v>
      </c>
      <c r="I27" t="s">
        <v>1672</v>
      </c>
      <c r="J27" s="66">
        <v>2025</v>
      </c>
      <c r="M27" s="95">
        <f>$AT$121/$AR$121 * 1000/$AK$90</f>
        <v>22.512760269793521</v>
      </c>
      <c r="N27" s="95">
        <f>$AT$120/$AR$120 * 1000/$AK$90</f>
        <v>31.894807903026908</v>
      </c>
      <c r="O27" s="406">
        <f>$AT$119/$AR$119 * 1000/$AK$90</f>
        <v>30.983260963680458</v>
      </c>
      <c r="W27" s="66" t="s">
        <v>1973</v>
      </c>
      <c r="X27">
        <v>3</v>
      </c>
      <c r="Y27">
        <v>1</v>
      </c>
      <c r="Z27">
        <v>1</v>
      </c>
      <c r="AA27">
        <v>3</v>
      </c>
      <c r="AB27">
        <v>1</v>
      </c>
      <c r="AF27" s="33">
        <v>5</v>
      </c>
      <c r="AG27" s="351">
        <f t="shared" si="0"/>
        <v>21118.295926666666</v>
      </c>
      <c r="AH27" s="351">
        <f t="shared" si="1"/>
        <v>22470.007415</v>
      </c>
      <c r="AQ27" s="10">
        <v>11027</v>
      </c>
      <c r="AR27" s="10">
        <v>120230.66666666667</v>
      </c>
      <c r="AS27" s="33">
        <v>8</v>
      </c>
      <c r="AT27" s="198">
        <v>562.43346767965204</v>
      </c>
      <c r="AU27" s="198">
        <v>595.19311111132549</v>
      </c>
      <c r="AV27" s="198">
        <v>648.85434708916887</v>
      </c>
      <c r="AW27" s="198">
        <v>725.49274964562085</v>
      </c>
      <c r="AX27" s="198">
        <v>1035.9577824409271</v>
      </c>
      <c r="AY27" s="198">
        <v>904.33530397693573</v>
      </c>
      <c r="AZ27" s="198">
        <v>988.41079301262334</v>
      </c>
      <c r="BA27" s="198">
        <v>1669.7872833763197</v>
      </c>
      <c r="BB27" s="198">
        <v>610.21595144461241</v>
      </c>
      <c r="BC27" s="198">
        <v>617.14852628779033</v>
      </c>
      <c r="BD27" s="198">
        <v>1712.9136822824782</v>
      </c>
      <c r="BE27" s="198">
        <v>1643.7490937353098</v>
      </c>
      <c r="BG27" s="10">
        <v>23751.73662993047</v>
      </c>
      <c r="BH27" s="10">
        <v>100440.40630971524</v>
      </c>
      <c r="BI27" s="33">
        <v>3</v>
      </c>
      <c r="BJ27" s="198">
        <v>4745.7308562815397</v>
      </c>
      <c r="BK27" s="198">
        <v>4128.7858449649393</v>
      </c>
      <c r="BL27" s="198">
        <v>3986.4139192764928</v>
      </c>
      <c r="BM27" s="198">
        <v>2847.4385137689237</v>
      </c>
      <c r="BN27" s="198">
        <v>2847.4385137689237</v>
      </c>
      <c r="BO27" s="198">
        <v>2847.4385137689237</v>
      </c>
    </row>
    <row r="28" spans="1:67" x14ac:dyDescent="0.35">
      <c r="A28" t="s">
        <v>2198</v>
      </c>
      <c r="B28" t="s">
        <v>2261</v>
      </c>
      <c r="C28" t="s">
        <v>851</v>
      </c>
      <c r="D28">
        <v>2022</v>
      </c>
      <c r="E28">
        <v>2019</v>
      </c>
      <c r="F28" t="s">
        <v>1951</v>
      </c>
      <c r="G28">
        <v>2020</v>
      </c>
      <c r="H28" t="s">
        <v>1953</v>
      </c>
      <c r="I28" t="s">
        <v>1672</v>
      </c>
      <c r="J28" s="66">
        <v>2030</v>
      </c>
      <c r="N28" s="95">
        <f>$AT$121/$AR$121 * 1000/$AK$90</f>
        <v>22.512760269793521</v>
      </c>
      <c r="O28" s="406">
        <f>$AT$120/$AR$120 * 1000/$AK$90</f>
        <v>31.894807903026908</v>
      </c>
      <c r="W28" s="66" t="s">
        <v>1973</v>
      </c>
      <c r="X28">
        <v>3</v>
      </c>
      <c r="Y28">
        <v>1</v>
      </c>
      <c r="Z28">
        <v>1</v>
      </c>
      <c r="AA28">
        <v>3</v>
      </c>
      <c r="AB28">
        <v>1</v>
      </c>
      <c r="AF28" s="33">
        <v>6</v>
      </c>
      <c r="AG28" s="351">
        <f t="shared" si="0"/>
        <v>20077.589393333332</v>
      </c>
      <c r="AH28" s="351">
        <f t="shared" si="1"/>
        <v>21200.640490000002</v>
      </c>
      <c r="AQ28" s="10">
        <v>10295.333333333334</v>
      </c>
      <c r="AR28" s="10">
        <v>130526</v>
      </c>
      <c r="AS28" s="33">
        <v>9</v>
      </c>
      <c r="AT28" s="198">
        <v>439.07416354404376</v>
      </c>
      <c r="AU28" s="198">
        <v>471.44026531638622</v>
      </c>
      <c r="AV28" s="198">
        <v>524.45686876358229</v>
      </c>
      <c r="AW28" s="198">
        <v>600.17461404324058</v>
      </c>
      <c r="AX28" s="198">
        <v>637.86016175263228</v>
      </c>
      <c r="AY28" s="198">
        <v>658.27827450666348</v>
      </c>
      <c r="AZ28" s="198">
        <v>590.88435439945783</v>
      </c>
      <c r="BA28" s="198">
        <v>737.42193550357456</v>
      </c>
      <c r="BB28" s="198">
        <v>466.22138155569428</v>
      </c>
      <c r="BC28" s="198">
        <v>473.07067536399427</v>
      </c>
      <c r="BD28" s="198">
        <v>1045.4944934005061</v>
      </c>
      <c r="BE28" s="198">
        <v>711.69654268462602</v>
      </c>
      <c r="BG28" s="10">
        <v>21540.061753981372</v>
      </c>
      <c r="BH28" s="10">
        <v>121980.46806369661</v>
      </c>
      <c r="BI28" s="33">
        <v>4</v>
      </c>
      <c r="BJ28" s="198">
        <v>4735.0677963719418</v>
      </c>
      <c r="BK28" s="198">
        <v>4119.5089828435894</v>
      </c>
      <c r="BL28" s="198">
        <v>3977.456948952431</v>
      </c>
      <c r="BM28" s="198">
        <v>2841.0406778231654</v>
      </c>
      <c r="BN28" s="198">
        <v>2841.0406778231654</v>
      </c>
      <c r="BO28" s="198">
        <v>2841.0406778231654</v>
      </c>
    </row>
    <row r="29" spans="1:67" x14ac:dyDescent="0.35">
      <c r="A29" t="s">
        <v>2198</v>
      </c>
      <c r="B29" t="s">
        <v>2261</v>
      </c>
      <c r="C29" t="s">
        <v>851</v>
      </c>
      <c r="D29">
        <v>2022</v>
      </c>
      <c r="E29">
        <v>2019</v>
      </c>
      <c r="F29" t="s">
        <v>1951</v>
      </c>
      <c r="G29">
        <v>2020</v>
      </c>
      <c r="H29" t="s">
        <v>1953</v>
      </c>
      <c r="I29" t="s">
        <v>1672</v>
      </c>
      <c r="J29" s="66">
        <v>2035</v>
      </c>
      <c r="O29" s="406">
        <f>$AT$121/$AR$121 * 1000/$AK$90</f>
        <v>22.512760269793521</v>
      </c>
      <c r="W29" s="66" t="s">
        <v>1973</v>
      </c>
      <c r="X29">
        <v>3</v>
      </c>
      <c r="Y29">
        <v>1</v>
      </c>
      <c r="Z29">
        <v>1</v>
      </c>
      <c r="AA29">
        <v>3</v>
      </c>
      <c r="AB29">
        <v>1</v>
      </c>
      <c r="AF29" s="33">
        <v>7</v>
      </c>
      <c r="AG29" s="351">
        <f t="shared" si="0"/>
        <v>18939.786013333331</v>
      </c>
      <c r="AH29" s="351">
        <f t="shared" si="1"/>
        <v>19816.608090000002</v>
      </c>
      <c r="AQ29" s="10">
        <v>9617.3333333333339</v>
      </c>
      <c r="AR29" s="10">
        <v>140143.33333333334</v>
      </c>
      <c r="AS29" s="33">
        <v>10</v>
      </c>
      <c r="AT29" s="198">
        <v>403.80434871843408</v>
      </c>
      <c r="AU29" s="198">
        <v>435.47872253456245</v>
      </c>
      <c r="AV29" s="198">
        <v>487.36225574037144</v>
      </c>
      <c r="AW29" s="198">
        <v>561.46176223551868</v>
      </c>
      <c r="AX29" s="198">
        <v>627.93781678824109</v>
      </c>
      <c r="AY29" s="198">
        <v>647.91955387045232</v>
      </c>
      <c r="AZ29" s="198">
        <v>581.96597585155018</v>
      </c>
      <c r="BA29" s="198">
        <v>592.89696566361488</v>
      </c>
      <c r="BB29" s="198">
        <v>448.78877430402656</v>
      </c>
      <c r="BC29" s="198">
        <v>455.49168508353773</v>
      </c>
      <c r="BD29" s="198">
        <v>818.39539834079903</v>
      </c>
      <c r="BE29" s="198">
        <v>567.72137564522063</v>
      </c>
      <c r="BG29" s="10">
        <v>19534.329956347668</v>
      </c>
      <c r="BH29" s="10">
        <v>141514.79802004428</v>
      </c>
      <c r="BI29" s="33">
        <v>5</v>
      </c>
      <c r="BJ29" s="198">
        <v>4639.1451414303237</v>
      </c>
      <c r="BK29" s="198">
        <v>4036.0562730443817</v>
      </c>
      <c r="BL29" s="198">
        <v>3896.8819188014718</v>
      </c>
      <c r="BM29" s="198">
        <v>2783.4870848581945</v>
      </c>
      <c r="BN29" s="198">
        <v>2783.4870848581945</v>
      </c>
      <c r="BO29" s="198">
        <v>2783.4870848581945</v>
      </c>
    </row>
    <row r="30" spans="1:67" x14ac:dyDescent="0.35">
      <c r="A30" t="s">
        <v>1086</v>
      </c>
      <c r="B30" t="s">
        <v>2261</v>
      </c>
      <c r="C30" t="s">
        <v>851</v>
      </c>
      <c r="D30">
        <v>2022</v>
      </c>
      <c r="E30">
        <v>2019</v>
      </c>
      <c r="F30" t="s">
        <v>1951</v>
      </c>
      <c r="G30">
        <v>2020</v>
      </c>
      <c r="H30" t="s">
        <v>1953</v>
      </c>
      <c r="I30" t="s">
        <v>1672</v>
      </c>
      <c r="J30" s="66">
        <v>2021</v>
      </c>
      <c r="L30" s="95"/>
      <c r="M30" s="95">
        <f>$BD$120/$AR$120 * 1000/$AK$90</f>
        <v>37.052812288296948</v>
      </c>
      <c r="N30" s="95">
        <f>$BD$119/$AR$119 * 1000/$AK$90</f>
        <v>54.745647212700383</v>
      </c>
      <c r="O30" s="406">
        <f>$BD$118/$AR$118 * 1000/$AK$90</f>
        <v>24.887045105970916</v>
      </c>
      <c r="W30" s="66" t="s">
        <v>1973</v>
      </c>
      <c r="X30">
        <v>3</v>
      </c>
      <c r="Y30">
        <v>1</v>
      </c>
      <c r="Z30">
        <v>1</v>
      </c>
      <c r="AA30">
        <v>3</v>
      </c>
      <c r="AB30">
        <v>1</v>
      </c>
      <c r="AF30" s="33">
        <v>8</v>
      </c>
      <c r="AG30" s="351">
        <f t="shared" si="0"/>
        <v>17746.192179999998</v>
      </c>
      <c r="AH30" s="351">
        <f t="shared" si="1"/>
        <v>18447.05975</v>
      </c>
      <c r="AQ30" s="10">
        <v>9024.3333333333339</v>
      </c>
      <c r="AR30" s="10">
        <v>149167.66666666669</v>
      </c>
      <c r="AS30" s="33">
        <v>11</v>
      </c>
      <c r="AT30" s="198">
        <v>288.2392090399328</v>
      </c>
      <c r="AU30" s="198">
        <v>319.11853127104303</v>
      </c>
      <c r="AV30" s="198">
        <v>369.69974716661642</v>
      </c>
      <c r="AW30" s="198">
        <v>441.93929802601781</v>
      </c>
      <c r="AX30" s="198">
        <v>487.61658286019644</v>
      </c>
      <c r="AY30" s="198">
        <v>507.09676269518792</v>
      </c>
      <c r="AZ30" s="198">
        <v>442.7986711287075</v>
      </c>
      <c r="BA30" s="198">
        <v>453.45528453711069</v>
      </c>
      <c r="BB30" s="198">
        <v>314.1393838140321</v>
      </c>
      <c r="BC30" s="198">
        <v>320.67404628434468</v>
      </c>
      <c r="BD30" s="198">
        <v>439.87714541805633</v>
      </c>
      <c r="BE30" s="198">
        <v>428.91162154161788</v>
      </c>
      <c r="BG30" s="10">
        <v>17715.364570527774</v>
      </c>
      <c r="BH30" s="10">
        <v>159230.16259057206</v>
      </c>
      <c r="BI30" s="33">
        <v>6</v>
      </c>
      <c r="BJ30" s="198">
        <v>4481.4029740504484</v>
      </c>
      <c r="BK30" s="198">
        <v>3898.8205874238902</v>
      </c>
      <c r="BL30" s="198">
        <v>3764.3784982023762</v>
      </c>
      <c r="BM30" s="198">
        <v>2688.8417844302689</v>
      </c>
      <c r="BN30" s="198">
        <v>2688.8417844302689</v>
      </c>
      <c r="BO30" s="198">
        <v>2688.8417844302689</v>
      </c>
    </row>
    <row r="31" spans="1:67" x14ac:dyDescent="0.35">
      <c r="A31" t="s">
        <v>1086</v>
      </c>
      <c r="B31" t="s">
        <v>2261</v>
      </c>
      <c r="C31" t="s">
        <v>851</v>
      </c>
      <c r="D31">
        <v>2022</v>
      </c>
      <c r="E31">
        <v>2019</v>
      </c>
      <c r="F31" t="s">
        <v>1951</v>
      </c>
      <c r="G31">
        <v>2020</v>
      </c>
      <c r="H31" t="s">
        <v>1953</v>
      </c>
      <c r="I31" t="s">
        <v>1672</v>
      </c>
      <c r="J31" s="66">
        <v>2025</v>
      </c>
      <c r="M31" s="95">
        <f>$BD$121/$AR$121 * 1000/$AK$90</f>
        <v>62.680365735690025</v>
      </c>
      <c r="N31" s="95">
        <f>$BD$120/$AR$120 * 1000/$AK$90</f>
        <v>37.052812288296948</v>
      </c>
      <c r="O31" s="406">
        <f>$BD$119/$AR$119 * 1000/$AK$90</f>
        <v>54.745647212700383</v>
      </c>
      <c r="W31" s="66" t="s">
        <v>1973</v>
      </c>
      <c r="X31">
        <v>3</v>
      </c>
      <c r="Y31">
        <v>1</v>
      </c>
      <c r="Z31">
        <v>1</v>
      </c>
      <c r="AA31">
        <v>3</v>
      </c>
      <c r="AB31">
        <v>1</v>
      </c>
      <c r="AF31" s="33">
        <v>9</v>
      </c>
      <c r="AG31" s="351">
        <f t="shared" si="0"/>
        <v>16568.691746666667</v>
      </c>
      <c r="AH31" s="351">
        <f t="shared" si="1"/>
        <v>17118.549579999999</v>
      </c>
      <c r="AQ31" s="10">
        <v>8668.3333333333339</v>
      </c>
      <c r="AR31" s="10">
        <v>157836.00000000003</v>
      </c>
      <c r="AS31" s="33">
        <v>12</v>
      </c>
      <c r="AT31" s="198">
        <v>1284.0508343448032</v>
      </c>
      <c r="AU31" s="198">
        <v>1314.6536257103596</v>
      </c>
      <c r="AV31" s="198">
        <v>1364.7818761131127</v>
      </c>
      <c r="AW31" s="198">
        <v>1436.3745065065507</v>
      </c>
      <c r="AX31" s="198">
        <v>1888.9967386970079</v>
      </c>
      <c r="AY31" s="198">
        <v>1908.3024693989971</v>
      </c>
      <c r="AZ31" s="198">
        <v>1844.580180849865</v>
      </c>
      <c r="BA31" s="198">
        <v>1445.8658596694365</v>
      </c>
      <c r="BB31" s="198">
        <v>1309.7190675725603</v>
      </c>
      <c r="BC31" s="198">
        <v>1316.1952107575244</v>
      </c>
      <c r="BD31" s="198">
        <v>1006.4286907538944</v>
      </c>
      <c r="BE31" s="198">
        <v>1421.5419903702305</v>
      </c>
      <c r="BG31" s="10">
        <v>16065.774591092666</v>
      </c>
      <c r="BH31" s="10">
        <v>175295.93718166472</v>
      </c>
      <c r="BI31" s="33">
        <v>7</v>
      </c>
      <c r="BJ31" s="198">
        <v>4280.4755063825696</v>
      </c>
      <c r="BK31" s="198">
        <v>3724.0136905528357</v>
      </c>
      <c r="BL31" s="198">
        <v>3595.5994253613585</v>
      </c>
      <c r="BM31" s="198">
        <v>2568.285303829542</v>
      </c>
      <c r="BN31" s="198">
        <v>2568.285303829542</v>
      </c>
      <c r="BO31" s="198">
        <v>2568.285303829542</v>
      </c>
    </row>
    <row r="32" spans="1:67" x14ac:dyDescent="0.35">
      <c r="A32" t="s">
        <v>1086</v>
      </c>
      <c r="B32" t="s">
        <v>2261</v>
      </c>
      <c r="C32" t="s">
        <v>851</v>
      </c>
      <c r="D32">
        <v>2022</v>
      </c>
      <c r="E32">
        <v>2019</v>
      </c>
      <c r="F32" t="s">
        <v>1951</v>
      </c>
      <c r="G32">
        <v>2020</v>
      </c>
      <c r="H32" t="s">
        <v>1953</v>
      </c>
      <c r="I32" t="s">
        <v>1672</v>
      </c>
      <c r="J32" s="66">
        <v>2030</v>
      </c>
      <c r="N32" s="95">
        <f>$BD$121/$AR$121 * 1000/$AK$90</f>
        <v>62.680365735690025</v>
      </c>
      <c r="O32" s="406">
        <f>$BD$120/$AR$120 * 1000/$AK$90</f>
        <v>37.052812288296948</v>
      </c>
      <c r="W32" s="66" t="s">
        <v>1973</v>
      </c>
      <c r="X32">
        <v>3</v>
      </c>
      <c r="Y32">
        <v>1</v>
      </c>
      <c r="Z32">
        <v>1</v>
      </c>
      <c r="AA32">
        <v>3</v>
      </c>
      <c r="AB32">
        <v>1</v>
      </c>
      <c r="AF32" s="33">
        <v>10</v>
      </c>
      <c r="AG32" s="351">
        <f t="shared" si="0"/>
        <v>15477.559226666668</v>
      </c>
      <c r="AH32" s="351">
        <f t="shared" si="1"/>
        <v>15840.733619999999</v>
      </c>
      <c r="AQ32" s="10">
        <v>8349</v>
      </c>
      <c r="AR32" s="10">
        <v>166185.00000000003</v>
      </c>
      <c r="AS32" s="33">
        <v>13</v>
      </c>
      <c r="AT32" s="198">
        <v>420.62018123305722</v>
      </c>
      <c r="AU32" s="198">
        <v>450.8513740641435</v>
      </c>
      <c r="AV32" s="198">
        <v>500.37093540442828</v>
      </c>
      <c r="AW32" s="198">
        <v>571.09424259740172</v>
      </c>
      <c r="AX32" s="198">
        <v>813.75760166419514</v>
      </c>
      <c r="AY32" s="198">
        <v>832.82890991922409</v>
      </c>
      <c r="AZ32" s="198">
        <v>769.88037787991766</v>
      </c>
      <c r="BA32" s="198">
        <v>780.31331848867239</v>
      </c>
      <c r="BB32" s="198">
        <v>647.49884771135089</v>
      </c>
      <c r="BC32" s="198">
        <v>653.89635345152089</v>
      </c>
      <c r="BD32" s="198">
        <v>767.02017238516464</v>
      </c>
      <c r="BE32" s="198">
        <v>756.28480506325775</v>
      </c>
      <c r="BG32" s="10">
        <v>14569.788399455398</v>
      </c>
      <c r="BH32" s="10">
        <v>189865.72558112012</v>
      </c>
      <c r="BI32" s="33">
        <v>8</v>
      </c>
      <c r="BJ32" s="198">
        <v>4051.0657019520918</v>
      </c>
      <c r="BK32" s="198">
        <v>3524.4271606983198</v>
      </c>
      <c r="BL32" s="198">
        <v>3402.8951896397566</v>
      </c>
      <c r="BM32" s="198">
        <v>2430.639421171255</v>
      </c>
      <c r="BN32" s="198">
        <v>2430.639421171255</v>
      </c>
      <c r="BO32" s="198">
        <v>2430.639421171255</v>
      </c>
    </row>
    <row r="33" spans="1:67" x14ac:dyDescent="0.35">
      <c r="A33" t="s">
        <v>1086</v>
      </c>
      <c r="B33" t="s">
        <v>2261</v>
      </c>
      <c r="C33" t="s">
        <v>851</v>
      </c>
      <c r="D33">
        <v>2022</v>
      </c>
      <c r="E33">
        <v>2019</v>
      </c>
      <c r="F33" t="s">
        <v>1951</v>
      </c>
      <c r="G33">
        <v>2020</v>
      </c>
      <c r="H33" t="s">
        <v>1953</v>
      </c>
      <c r="I33" t="s">
        <v>1672</v>
      </c>
      <c r="J33" s="66">
        <v>2035</v>
      </c>
      <c r="O33" s="406">
        <f>$BD$121/$AR$121 * 1000/$AK$90</f>
        <v>62.680365735690025</v>
      </c>
      <c r="W33" s="66" t="s">
        <v>1973</v>
      </c>
      <c r="X33">
        <v>3</v>
      </c>
      <c r="Y33">
        <v>1</v>
      </c>
      <c r="Z33">
        <v>1</v>
      </c>
      <c r="AA33">
        <v>3</v>
      </c>
      <c r="AB33">
        <v>1</v>
      </c>
      <c r="AF33" s="33">
        <v>11</v>
      </c>
      <c r="AG33" s="351">
        <f t="shared" si="0"/>
        <v>14523.220606666668</v>
      </c>
      <c r="AH33" s="351">
        <f t="shared" si="1"/>
        <v>14991.806769999999</v>
      </c>
      <c r="AQ33" s="33" t="s">
        <v>1648</v>
      </c>
      <c r="AS33" s="33"/>
      <c r="BG33" s="10">
        <v>13213.102972489021</v>
      </c>
      <c r="BH33" s="10">
        <v>203078.82855360914</v>
      </c>
      <c r="BI33" s="33">
        <v>9</v>
      </c>
      <c r="BJ33" s="198">
        <v>3804.670756979634</v>
      </c>
      <c r="BK33" s="198">
        <v>3310.0635585722816</v>
      </c>
      <c r="BL33" s="198">
        <v>3195.9234358628923</v>
      </c>
      <c r="BM33" s="198">
        <v>2282.8024541877803</v>
      </c>
      <c r="BN33" s="198">
        <v>2282.8024541877803</v>
      </c>
      <c r="BO33" s="198">
        <v>2282.8024541877803</v>
      </c>
    </row>
    <row r="34" spans="1:67" x14ac:dyDescent="0.35">
      <c r="A34" t="s">
        <v>1096</v>
      </c>
      <c r="B34" t="s">
        <v>2261</v>
      </c>
      <c r="C34" t="s">
        <v>851</v>
      </c>
      <c r="D34">
        <v>2022</v>
      </c>
      <c r="E34">
        <v>2019</v>
      </c>
      <c r="F34" t="s">
        <v>1951</v>
      </c>
      <c r="G34">
        <v>2020</v>
      </c>
      <c r="H34" t="s">
        <v>1953</v>
      </c>
      <c r="I34" t="s">
        <v>1672</v>
      </c>
      <c r="J34" s="66">
        <v>2021</v>
      </c>
      <c r="L34" s="95"/>
      <c r="M34" s="95">
        <f>$BE$120/$AR$120 * 1000/$AK$90</f>
        <v>42.234641577550555</v>
      </c>
      <c r="N34" s="95">
        <f>$BE$119/$AR$119 * 1000/$AK$90</f>
        <v>49.207563669664907</v>
      </c>
      <c r="O34" s="406">
        <f>$BE$118/$AR$118 * 1000/$AK$90</f>
        <v>23.663508189807668</v>
      </c>
      <c r="W34" s="66" t="s">
        <v>1973</v>
      </c>
      <c r="X34">
        <v>3</v>
      </c>
      <c r="Y34">
        <v>1</v>
      </c>
      <c r="Z34">
        <v>1</v>
      </c>
      <c r="AA34">
        <v>3</v>
      </c>
      <c r="AB34">
        <v>1</v>
      </c>
      <c r="AF34" s="33">
        <v>12</v>
      </c>
      <c r="AG34" s="351">
        <f t="shared" si="0"/>
        <v>13950.295566666668</v>
      </c>
      <c r="AH34" s="351">
        <f t="shared" si="1"/>
        <v>14078.103985</v>
      </c>
      <c r="AQ34" s="10">
        <v>16755</v>
      </c>
      <c r="AR34" s="10">
        <v>16755</v>
      </c>
      <c r="AS34" s="33">
        <v>0</v>
      </c>
      <c r="AT34" s="198">
        <v>145</v>
      </c>
      <c r="AU34" s="198">
        <v>145</v>
      </c>
      <c r="AV34" s="198">
        <v>145</v>
      </c>
      <c r="AW34" s="198">
        <v>145</v>
      </c>
      <c r="AX34" s="198">
        <v>315</v>
      </c>
      <c r="AY34" s="198">
        <v>315</v>
      </c>
      <c r="AZ34" s="198">
        <v>315</v>
      </c>
      <c r="BA34" s="198">
        <v>230</v>
      </c>
      <c r="BB34" s="198">
        <v>145</v>
      </c>
      <c r="BC34" s="198">
        <v>145</v>
      </c>
      <c r="BD34" s="198">
        <v>315</v>
      </c>
      <c r="BE34" s="198">
        <v>230</v>
      </c>
      <c r="BG34" s="10">
        <v>11982.7471322867</v>
      </c>
      <c r="BH34" s="10">
        <v>215061.57568589583</v>
      </c>
      <c r="BI34" s="33">
        <v>10</v>
      </c>
      <c r="BJ34" s="198">
        <v>3550.1828485260785</v>
      </c>
      <c r="BK34" s="198">
        <v>3088.6590782176881</v>
      </c>
      <c r="BL34" s="198">
        <v>2982.1535927619057</v>
      </c>
      <c r="BM34" s="198">
        <v>2130.1097091156471</v>
      </c>
      <c r="BN34" s="198">
        <v>2130.1097091156471</v>
      </c>
      <c r="BO34" s="198">
        <v>2130.1097091156471</v>
      </c>
    </row>
    <row r="35" spans="1:67" x14ac:dyDescent="0.35">
      <c r="A35" t="s">
        <v>1096</v>
      </c>
      <c r="B35" t="s">
        <v>2261</v>
      </c>
      <c r="C35" t="s">
        <v>851</v>
      </c>
      <c r="D35">
        <v>2022</v>
      </c>
      <c r="E35">
        <v>2019</v>
      </c>
      <c r="F35" t="s">
        <v>1951</v>
      </c>
      <c r="G35">
        <v>2020</v>
      </c>
      <c r="H35" t="s">
        <v>1953</v>
      </c>
      <c r="I35" t="s">
        <v>1672</v>
      </c>
      <c r="J35" s="66">
        <v>2025</v>
      </c>
      <c r="M35" s="95">
        <f>$BE$121/$AR$121 * 1000/$AK$90</f>
        <v>62.217406357147318</v>
      </c>
      <c r="N35" s="95">
        <f>$BE$120/$AR$120 * 1000/$AK$90</f>
        <v>42.234641577550555</v>
      </c>
      <c r="O35" s="406">
        <f>$BE$119/$AR$119 * 1000/$AK$90</f>
        <v>49.207563669664907</v>
      </c>
      <c r="W35" s="66" t="s">
        <v>1973</v>
      </c>
      <c r="X35">
        <v>3</v>
      </c>
      <c r="Y35">
        <v>1</v>
      </c>
      <c r="Z35">
        <v>1</v>
      </c>
      <c r="AA35">
        <v>3</v>
      </c>
      <c r="AB35">
        <v>1</v>
      </c>
      <c r="AF35" s="33">
        <v>13</v>
      </c>
      <c r="AG35" s="351">
        <f t="shared" si="0"/>
        <v>13436.379660000001</v>
      </c>
      <c r="AH35" s="351">
        <f t="shared" si="1"/>
        <v>13245.270535</v>
      </c>
      <c r="AQ35" s="10">
        <v>15652</v>
      </c>
      <c r="AR35" s="10">
        <v>32407</v>
      </c>
      <c r="AS35" s="33">
        <v>1</v>
      </c>
      <c r="AT35" s="198">
        <v>261.90476190476187</v>
      </c>
      <c r="AU35" s="198">
        <v>261.90476190476187</v>
      </c>
      <c r="AV35" s="198">
        <v>261.90476190476187</v>
      </c>
      <c r="AW35" s="198">
        <v>261.90476190476187</v>
      </c>
      <c r="AX35" s="198">
        <v>490.47619047619042</v>
      </c>
      <c r="AY35" s="198">
        <v>490.47619047619042</v>
      </c>
      <c r="AZ35" s="198">
        <v>490.47619047619042</v>
      </c>
      <c r="BA35" s="198">
        <v>452.38095238095235</v>
      </c>
      <c r="BB35" s="198">
        <v>290.47619047619048</v>
      </c>
      <c r="BC35" s="198">
        <v>290.47619047619048</v>
      </c>
      <c r="BD35" s="198">
        <v>452.38095238095235</v>
      </c>
      <c r="BE35" s="198">
        <v>452.38095238095235</v>
      </c>
      <c r="BG35" s="10">
        <v>10866.957529604195</v>
      </c>
      <c r="BH35" s="10">
        <v>225928.53321550004</v>
      </c>
      <c r="BI35" s="33">
        <v>11</v>
      </c>
      <c r="BJ35" s="198">
        <v>3294.3856740251626</v>
      </c>
      <c r="BK35" s="198">
        <v>2866.1155364018919</v>
      </c>
      <c r="BL35" s="198">
        <v>2767.2839661811367</v>
      </c>
      <c r="BM35" s="198">
        <v>1976.6314044150977</v>
      </c>
      <c r="BN35" s="198">
        <v>1976.6314044150977</v>
      </c>
      <c r="BO35" s="198">
        <v>1976.6314044150977</v>
      </c>
    </row>
    <row r="36" spans="1:67" x14ac:dyDescent="0.35">
      <c r="A36" t="s">
        <v>1096</v>
      </c>
      <c r="B36" t="s">
        <v>2261</v>
      </c>
      <c r="C36" t="s">
        <v>851</v>
      </c>
      <c r="D36">
        <v>2022</v>
      </c>
      <c r="E36">
        <v>2019</v>
      </c>
      <c r="F36" t="s">
        <v>1951</v>
      </c>
      <c r="G36">
        <v>2020</v>
      </c>
      <c r="H36" t="s">
        <v>1953</v>
      </c>
      <c r="I36" t="s">
        <v>1672</v>
      </c>
      <c r="J36" s="66">
        <v>2030</v>
      </c>
      <c r="N36" s="95">
        <f>$BE$121/$AR$121 * 1000/$AK$90</f>
        <v>62.217406357147318</v>
      </c>
      <c r="O36" s="406">
        <f>$BE$120/$AR$120 * 1000/$AK$90</f>
        <v>42.234641577550555</v>
      </c>
      <c r="W36" s="66" t="s">
        <v>1973</v>
      </c>
      <c r="X36">
        <v>3</v>
      </c>
      <c r="Y36">
        <v>1</v>
      </c>
      <c r="Z36">
        <v>1</v>
      </c>
      <c r="AA36">
        <v>3</v>
      </c>
      <c r="AB36">
        <v>1</v>
      </c>
      <c r="AF36" s="33">
        <v>14</v>
      </c>
      <c r="AG36" s="351"/>
      <c r="AH36" s="351">
        <f t="shared" si="1"/>
        <v>12854.200914999999</v>
      </c>
      <c r="AQ36" s="10">
        <v>15310</v>
      </c>
      <c r="AR36" s="10">
        <v>47717</v>
      </c>
      <c r="AS36" s="33">
        <v>2</v>
      </c>
      <c r="AT36" s="198">
        <v>443.29896560187751</v>
      </c>
      <c r="AU36" s="198">
        <v>451.87795849448048</v>
      </c>
      <c r="AV36" s="198">
        <v>466.12905123436866</v>
      </c>
      <c r="AW36" s="198">
        <v>487.07677212190589</v>
      </c>
      <c r="AX36" s="198">
        <v>653.6636032946252</v>
      </c>
      <c r="AY36" s="198">
        <v>659.66244653506783</v>
      </c>
      <c r="AZ36" s="198">
        <v>645.73341063013595</v>
      </c>
      <c r="BA36" s="198">
        <v>649.02609716175084</v>
      </c>
      <c r="BB36" s="198">
        <v>476.86370960389723</v>
      </c>
      <c r="BC36" s="198">
        <v>478.51561016809381</v>
      </c>
      <c r="BD36" s="198">
        <v>644.77117144358556</v>
      </c>
      <c r="BE36" s="198">
        <v>642.89016193774739</v>
      </c>
      <c r="BG36" s="10">
        <v>9855.0661752707565</v>
      </c>
      <c r="BH36" s="10">
        <v>235783.5993907708</v>
      </c>
      <c r="BI36" s="33">
        <v>12</v>
      </c>
      <c r="BJ36" s="198">
        <v>3042.36402901575</v>
      </c>
      <c r="BK36" s="198">
        <v>2646.8567052437024</v>
      </c>
      <c r="BL36" s="198">
        <v>2555.5857843732297</v>
      </c>
      <c r="BM36" s="198">
        <v>1825.4184174094501</v>
      </c>
      <c r="BN36" s="198">
        <v>1825.4184174094501</v>
      </c>
      <c r="BO36" s="198">
        <v>1825.4184174094501</v>
      </c>
    </row>
    <row r="37" spans="1:67" x14ac:dyDescent="0.35">
      <c r="A37" t="s">
        <v>1096</v>
      </c>
      <c r="B37" t="s">
        <v>2261</v>
      </c>
      <c r="C37" t="s">
        <v>851</v>
      </c>
      <c r="D37">
        <v>2022</v>
      </c>
      <c r="E37">
        <v>2019</v>
      </c>
      <c r="F37" t="s">
        <v>1951</v>
      </c>
      <c r="G37">
        <v>2020</v>
      </c>
      <c r="H37" t="s">
        <v>1953</v>
      </c>
      <c r="I37" t="s">
        <v>1672</v>
      </c>
      <c r="J37" s="66">
        <v>2035</v>
      </c>
      <c r="O37" s="406">
        <f>$BE$121/$AR$121 * 1000/$AK$90</f>
        <v>62.217406357147318</v>
      </c>
      <c r="W37" s="66" t="s">
        <v>1973</v>
      </c>
      <c r="X37">
        <v>3</v>
      </c>
      <c r="Y37">
        <v>1</v>
      </c>
      <c r="Z37">
        <v>1</v>
      </c>
      <c r="AA37">
        <v>3</v>
      </c>
      <c r="AB37">
        <v>1</v>
      </c>
      <c r="AF37" s="256">
        <v>15</v>
      </c>
      <c r="AG37" s="371"/>
      <c r="AH37" s="371">
        <f t="shared" si="1"/>
        <v>12483.650379999999</v>
      </c>
      <c r="AQ37" s="10">
        <v>15028.5</v>
      </c>
      <c r="AR37" s="10">
        <v>62745.5</v>
      </c>
      <c r="AS37" s="33">
        <v>3</v>
      </c>
      <c r="AT37" s="198">
        <v>1004.3639540378828</v>
      </c>
      <c r="AU37" s="198">
        <v>1028.422273404326</v>
      </c>
      <c r="AV37" s="198">
        <v>1068.3870273969137</v>
      </c>
      <c r="AW37" s="198">
        <v>1127.1313305360411</v>
      </c>
      <c r="AX37" s="198">
        <v>1789.6014395621462</v>
      </c>
      <c r="AY37" s="198">
        <v>1612.0607105224306</v>
      </c>
      <c r="AZ37" s="198">
        <v>1767.3625695516332</v>
      </c>
      <c r="BA37" s="198">
        <v>1171.9100272178209</v>
      </c>
      <c r="BB37" s="198">
        <v>1048.0973954650549</v>
      </c>
      <c r="BC37" s="198">
        <v>1052.7298682777221</v>
      </c>
      <c r="BD37" s="198">
        <v>1233.4040111084898</v>
      </c>
      <c r="BE37" s="198">
        <v>1154.7028455498923</v>
      </c>
      <c r="BG37" s="10">
        <v>8937.3984442638412</v>
      </c>
      <c r="BH37" s="10">
        <v>244720.99783503465</v>
      </c>
      <c r="BI37" s="33">
        <v>13</v>
      </c>
      <c r="BJ37" s="198">
        <v>2797.8409043523866</v>
      </c>
      <c r="BK37" s="198">
        <v>2434.1215867865762</v>
      </c>
      <c r="BL37" s="198">
        <v>2350.1863596560047</v>
      </c>
      <c r="BM37" s="198">
        <v>1678.7045426114321</v>
      </c>
      <c r="BN37" s="198">
        <v>1678.7045426114321</v>
      </c>
      <c r="BO37" s="198">
        <v>1678.7045426114321</v>
      </c>
    </row>
    <row r="38" spans="1:67" x14ac:dyDescent="0.35">
      <c r="A38" t="s">
        <v>1087</v>
      </c>
      <c r="B38" t="s">
        <v>2261</v>
      </c>
      <c r="C38" t="s">
        <v>851</v>
      </c>
      <c r="D38">
        <v>2022</v>
      </c>
      <c r="E38">
        <v>2019</v>
      </c>
      <c r="F38" t="s">
        <v>1951</v>
      </c>
      <c r="G38">
        <v>2020</v>
      </c>
      <c r="H38" t="s">
        <v>1953</v>
      </c>
      <c r="I38" t="s">
        <v>1683</v>
      </c>
      <c r="J38" s="66">
        <v>2021</v>
      </c>
      <c r="L38" s="95"/>
      <c r="M38" s="95">
        <f>$AZ$120/$AR$120 * 1000/$AK$91</f>
        <v>171.73000807432393</v>
      </c>
      <c r="N38" s="95">
        <f>$AZ$119/$AR$119 * 1000/$AK$91</f>
        <v>170.63093373954845</v>
      </c>
      <c r="O38" s="406">
        <f>$AZ$118/$AR$118 * 1000/$AK$91</f>
        <v>82.135739785979453</v>
      </c>
      <c r="W38" s="66" t="s">
        <v>1973</v>
      </c>
      <c r="X38">
        <v>3</v>
      </c>
      <c r="Y38">
        <v>1</v>
      </c>
      <c r="Z38">
        <v>1</v>
      </c>
      <c r="AA38">
        <v>3</v>
      </c>
      <c r="AB38">
        <v>1</v>
      </c>
      <c r="AF38" s="33" t="s">
        <v>443</v>
      </c>
      <c r="AG38" s="56">
        <f>AVERAGE(AG22:AG35)</f>
        <v>19103.440564285713</v>
      </c>
      <c r="AH38" s="56">
        <f>AVERAGE(AH22:AH37)</f>
        <v>19440.223697500001</v>
      </c>
      <c r="AQ38" s="10">
        <v>14708</v>
      </c>
      <c r="AR38" s="10">
        <v>77453.5</v>
      </c>
      <c r="AS38" s="33">
        <v>4</v>
      </c>
      <c r="AT38" s="198">
        <v>782.48703050558981</v>
      </c>
      <c r="AU38" s="198">
        <v>819.85969281271434</v>
      </c>
      <c r="AV38" s="198">
        <v>881.94172075501353</v>
      </c>
      <c r="AW38" s="198">
        <v>973.19626643820766</v>
      </c>
      <c r="AX38" s="198">
        <v>760.55353786585067</v>
      </c>
      <c r="AY38" s="198">
        <v>786.68629557587792</v>
      </c>
      <c r="AZ38" s="198">
        <v>726.00724365736153</v>
      </c>
      <c r="BA38" s="198">
        <v>1028.2970384715713</v>
      </c>
      <c r="BB38" s="198">
        <v>810.16634600971065</v>
      </c>
      <c r="BC38" s="198">
        <v>817.3625195843382</v>
      </c>
      <c r="BD38" s="198">
        <v>1042.6694067548085</v>
      </c>
      <c r="BE38" s="198">
        <v>1001.5670670243636</v>
      </c>
      <c r="BG38" s="10">
        <v>8182.7487712365501</v>
      </c>
      <c r="BH38" s="10">
        <v>252903.74660627119</v>
      </c>
      <c r="BI38" s="33">
        <v>14</v>
      </c>
      <c r="BJ38" s="198">
        <v>2587.9870203592695</v>
      </c>
      <c r="BK38" s="198">
        <v>2251.5487077125645</v>
      </c>
      <c r="BL38" s="198">
        <v>2173.9090971017863</v>
      </c>
      <c r="BM38" s="198">
        <v>1552.7922122155617</v>
      </c>
      <c r="BN38" s="198">
        <v>1552.7922122155617</v>
      </c>
      <c r="BO38" s="198">
        <v>1552.7922122155617</v>
      </c>
    </row>
    <row r="39" spans="1:67" x14ac:dyDescent="0.35">
      <c r="A39" t="s">
        <v>1087</v>
      </c>
      <c r="B39" t="s">
        <v>2261</v>
      </c>
      <c r="C39" t="s">
        <v>851</v>
      </c>
      <c r="D39">
        <v>2022</v>
      </c>
      <c r="E39">
        <v>2019</v>
      </c>
      <c r="F39" t="s">
        <v>1951</v>
      </c>
      <c r="G39">
        <v>2020</v>
      </c>
      <c r="H39" t="s">
        <v>1953</v>
      </c>
      <c r="I39" t="s">
        <v>1683</v>
      </c>
      <c r="J39" s="66">
        <v>2025</v>
      </c>
      <c r="M39" s="95">
        <f>$AZ$121/$AR$121 * 1000/$AK$91</f>
        <v>94.494166721341486</v>
      </c>
      <c r="N39" s="95">
        <f>$AZ$120/$AR$120 * 1000/$AK$91</f>
        <v>171.73000807432393</v>
      </c>
      <c r="O39" s="406">
        <f>$AZ$119/$AR$119 * 1000/$AK$91</f>
        <v>170.63093373954845</v>
      </c>
      <c r="W39" s="66" t="s">
        <v>1973</v>
      </c>
      <c r="X39">
        <v>3</v>
      </c>
      <c r="Y39">
        <v>1</v>
      </c>
      <c r="Z39">
        <v>1</v>
      </c>
      <c r="AA39">
        <v>3</v>
      </c>
      <c r="AB39">
        <v>1</v>
      </c>
      <c r="AG39" s="351"/>
      <c r="AQ39" s="10">
        <v>14289</v>
      </c>
      <c r="AR39" s="10">
        <v>91742.5</v>
      </c>
      <c r="AS39" s="33">
        <v>5</v>
      </c>
      <c r="AT39" s="198">
        <v>565.30728867149242</v>
      </c>
      <c r="AU39" s="198">
        <v>606.75732778975839</v>
      </c>
      <c r="AV39" s="198">
        <v>675.61253712974178</v>
      </c>
      <c r="AW39" s="198">
        <v>776.82300100314069</v>
      </c>
      <c r="AX39" s="198">
        <v>2041.1357078042913</v>
      </c>
      <c r="AY39" s="198">
        <v>2070.1195629133317</v>
      </c>
      <c r="AZ39" s="198">
        <v>2002.8203950078569</v>
      </c>
      <c r="BA39" s="198">
        <v>1145.0975780748824</v>
      </c>
      <c r="BB39" s="198">
        <v>893.74637508886144</v>
      </c>
      <c r="BC39" s="198">
        <v>901.72765492701967</v>
      </c>
      <c r="BD39" s="198">
        <v>1093.1985428886867</v>
      </c>
      <c r="BE39" s="198">
        <v>1115.4513529006679</v>
      </c>
      <c r="BG39" s="10">
        <v>6729.8032534516669</v>
      </c>
      <c r="BH39" s="10">
        <v>259633.54985972284</v>
      </c>
      <c r="BI39" s="33">
        <v>15</v>
      </c>
      <c r="BJ39" s="198">
        <v>2143.3173008275708</v>
      </c>
      <c r="BK39" s="198">
        <v>1864.6860517199866</v>
      </c>
      <c r="BL39" s="198">
        <v>1800.3865326951595</v>
      </c>
      <c r="BM39" s="198">
        <v>1285.9903804965425</v>
      </c>
      <c r="BN39" s="198">
        <v>1285.9903804965425</v>
      </c>
      <c r="BO39" s="198">
        <v>1285.9903804965425</v>
      </c>
    </row>
    <row r="40" spans="1:67" ht="15.5" x14ac:dyDescent="0.35">
      <c r="A40" t="s">
        <v>1087</v>
      </c>
      <c r="B40" t="s">
        <v>2261</v>
      </c>
      <c r="C40" t="s">
        <v>851</v>
      </c>
      <c r="D40">
        <v>2022</v>
      </c>
      <c r="E40">
        <v>2019</v>
      </c>
      <c r="F40" t="s">
        <v>1951</v>
      </c>
      <c r="G40">
        <v>2020</v>
      </c>
      <c r="H40" t="s">
        <v>1953</v>
      </c>
      <c r="I40" t="s">
        <v>1683</v>
      </c>
      <c r="J40" s="66">
        <v>2030</v>
      </c>
      <c r="N40" s="95">
        <f>$AZ$121/$AR$121 * 1000/$AK$91</f>
        <v>94.494166721341486</v>
      </c>
      <c r="O40" s="406">
        <f>$AZ$120/$AR$120 * 1000/$AK$91</f>
        <v>171.73000807432393</v>
      </c>
      <c r="W40" s="66" t="s">
        <v>1973</v>
      </c>
      <c r="X40">
        <v>3</v>
      </c>
      <c r="Y40">
        <v>1</v>
      </c>
      <c r="Z40">
        <v>1</v>
      </c>
      <c r="AA40">
        <v>3</v>
      </c>
      <c r="AB40">
        <v>1</v>
      </c>
      <c r="AF40" s="470" t="s">
        <v>1662</v>
      </c>
      <c r="AG40" s="470"/>
      <c r="AH40" s="470"/>
      <c r="AI40" s="470"/>
      <c r="AJ40" s="470"/>
      <c r="AK40" s="470"/>
      <c r="AL40" s="470"/>
      <c r="AM40" s="470"/>
      <c r="AN40" s="470"/>
      <c r="AO40" s="470"/>
      <c r="AQ40" s="10">
        <v>13683.5</v>
      </c>
      <c r="AR40" s="10">
        <v>105426</v>
      </c>
      <c r="AS40" s="33">
        <v>6</v>
      </c>
      <c r="AT40" s="198">
        <v>1808.2905914867654</v>
      </c>
      <c r="AU40" s="198">
        <v>1852.3945728146548</v>
      </c>
      <c r="AV40" s="198">
        <v>1925.6584087882213</v>
      </c>
      <c r="AW40" s="198">
        <v>2033.3491252221256</v>
      </c>
      <c r="AX40" s="198">
        <v>2740.6915539232441</v>
      </c>
      <c r="AY40" s="198">
        <v>2771.5311726963914</v>
      </c>
      <c r="AZ40" s="198">
        <v>2699.923007593899</v>
      </c>
      <c r="BA40" s="198">
        <v>2019.1390748018462</v>
      </c>
      <c r="BB40" s="198">
        <v>1863.3417858079317</v>
      </c>
      <c r="BC40" s="198">
        <v>1871.8340870081895</v>
      </c>
      <c r="BD40" s="198">
        <v>2060.6931184623863</v>
      </c>
      <c r="BE40" s="198">
        <v>1987.5946760668935</v>
      </c>
      <c r="BG40" s="10">
        <v>6103.1485794105492</v>
      </c>
      <c r="BH40" s="10">
        <v>265736.69843913341</v>
      </c>
      <c r="BI40" s="33">
        <v>16</v>
      </c>
      <c r="BJ40" s="198">
        <v>1951.5540338880865</v>
      </c>
      <c r="BK40" s="198">
        <v>1697.8520094826354</v>
      </c>
      <c r="BL40" s="198">
        <v>1639.3053884659926</v>
      </c>
      <c r="BM40" s="198">
        <v>1170.932420332852</v>
      </c>
      <c r="BN40" s="198">
        <v>1170.932420332852</v>
      </c>
      <c r="BO40" s="198">
        <v>1170.932420332852</v>
      </c>
    </row>
    <row r="41" spans="1:67" ht="15" thickBot="1" x14ac:dyDescent="0.4">
      <c r="A41" t="s">
        <v>1087</v>
      </c>
      <c r="B41" t="s">
        <v>2261</v>
      </c>
      <c r="C41" t="s">
        <v>851</v>
      </c>
      <c r="D41">
        <v>2022</v>
      </c>
      <c r="E41">
        <v>2019</v>
      </c>
      <c r="F41" t="s">
        <v>1951</v>
      </c>
      <c r="G41">
        <v>2020</v>
      </c>
      <c r="H41" t="s">
        <v>1953</v>
      </c>
      <c r="I41" t="s">
        <v>1683</v>
      </c>
      <c r="J41" s="66">
        <v>2035</v>
      </c>
      <c r="O41" s="406">
        <f>$AZ$121/$AR$121 * 1000/$AK$91</f>
        <v>94.494166721341486</v>
      </c>
      <c r="W41" s="66" t="s">
        <v>1973</v>
      </c>
      <c r="X41">
        <v>3</v>
      </c>
      <c r="Y41">
        <v>1</v>
      </c>
      <c r="Z41">
        <v>1</v>
      </c>
      <c r="AA41">
        <v>3</v>
      </c>
      <c r="AB41">
        <v>1</v>
      </c>
      <c r="AF41" s="105" t="s">
        <v>1270</v>
      </c>
      <c r="AG41" s="105" t="s">
        <v>1653</v>
      </c>
      <c r="AH41" s="105" t="s">
        <v>1654</v>
      </c>
      <c r="AI41" s="105" t="s">
        <v>1655</v>
      </c>
      <c r="AJ41" s="105" t="s">
        <v>1656</v>
      </c>
      <c r="AK41" s="105" t="s">
        <v>1657</v>
      </c>
      <c r="AL41" s="105" t="s">
        <v>1658</v>
      </c>
      <c r="AM41" s="105" t="s">
        <v>1659</v>
      </c>
      <c r="AN41" s="105" t="s">
        <v>1660</v>
      </c>
      <c r="AO41" s="105" t="s">
        <v>1661</v>
      </c>
      <c r="AQ41" s="10">
        <v>12963.5</v>
      </c>
      <c r="AR41" s="10">
        <v>118389.5</v>
      </c>
      <c r="AS41" s="33">
        <v>7</v>
      </c>
      <c r="AT41" s="198">
        <v>448.60274416697933</v>
      </c>
      <c r="AU41" s="198">
        <v>494.0811799667149</v>
      </c>
      <c r="AV41" s="198">
        <v>569.62820679849051</v>
      </c>
      <c r="AW41" s="198">
        <v>680.67499183034022</v>
      </c>
      <c r="AX41" s="198">
        <v>662.52498057890853</v>
      </c>
      <c r="AY41" s="198">
        <v>694.32568383142893</v>
      </c>
      <c r="AZ41" s="198">
        <v>620.48592512258801</v>
      </c>
      <c r="BA41" s="198">
        <v>1490.7585110323473</v>
      </c>
      <c r="BB41" s="198">
        <v>482.28543882731697</v>
      </c>
      <c r="BC41" s="198">
        <v>491.04239371664153</v>
      </c>
      <c r="BD41" s="198">
        <v>1407.7946443146436</v>
      </c>
      <c r="BE41" s="198">
        <v>1458.2310640872884</v>
      </c>
      <c r="BG41" s="10">
        <v>5534.8456974959199</v>
      </c>
      <c r="BH41" s="10">
        <v>271271.54413662932</v>
      </c>
      <c r="BI41" s="33">
        <v>17</v>
      </c>
      <c r="BJ41" s="198">
        <v>1772.2472921985061</v>
      </c>
      <c r="BK41" s="198">
        <v>1541.8551442127002</v>
      </c>
      <c r="BL41" s="198">
        <v>1488.6877254467449</v>
      </c>
      <c r="BM41" s="198">
        <v>1063.3483753191035</v>
      </c>
      <c r="BN41" s="198">
        <v>1063.3483753191035</v>
      </c>
      <c r="BO41" s="198">
        <v>1063.3483753191035</v>
      </c>
    </row>
    <row r="42" spans="1:67" ht="15" thickTop="1" x14ac:dyDescent="0.35">
      <c r="A42" t="s">
        <v>409</v>
      </c>
      <c r="B42" t="s">
        <v>2261</v>
      </c>
      <c r="C42" t="s">
        <v>851</v>
      </c>
      <c r="D42">
        <v>2022</v>
      </c>
      <c r="E42">
        <v>2019</v>
      </c>
      <c r="F42" t="s">
        <v>1951</v>
      </c>
      <c r="G42">
        <v>2020</v>
      </c>
      <c r="H42" t="s">
        <v>1953</v>
      </c>
      <c r="I42" t="s">
        <v>1683</v>
      </c>
      <c r="J42" s="66">
        <v>2021</v>
      </c>
      <c r="L42" s="95"/>
      <c r="M42" s="95">
        <f>$AX$120/$AR$120 * 1000/$AK$91</f>
        <v>178.62535030337386</v>
      </c>
      <c r="N42" s="95">
        <f>$AX$119/$AR$119 * 1000/$AK$91</f>
        <v>175.97794072517016</v>
      </c>
      <c r="O42" s="406">
        <f>$AX$118/$AR$118 * 1000/$AK$91</f>
        <v>83.5277227673906</v>
      </c>
      <c r="W42" s="66" t="s">
        <v>1973</v>
      </c>
      <c r="X42">
        <v>3</v>
      </c>
      <c r="Y42">
        <v>1</v>
      </c>
      <c r="Z42">
        <v>1</v>
      </c>
      <c r="AA42">
        <v>3</v>
      </c>
      <c r="AB42">
        <v>1</v>
      </c>
      <c r="AF42" s="33">
        <v>0</v>
      </c>
      <c r="AG42" s="10">
        <v>27211.219206523601</v>
      </c>
      <c r="AH42" s="10">
        <v>23123.292830144601</v>
      </c>
      <c r="AI42" s="10">
        <v>16815.0800702536</v>
      </c>
      <c r="AJ42" s="10">
        <v>107925.638134771</v>
      </c>
      <c r="AK42" s="10">
        <v>74039.267379713696</v>
      </c>
      <c r="AL42" s="10">
        <v>114403.41737547633</v>
      </c>
      <c r="AM42" s="10">
        <v>86744.216886003298</v>
      </c>
      <c r="AN42" s="10">
        <v>56793.762826566803</v>
      </c>
      <c r="AO42" s="10">
        <v>21944.493863732499</v>
      </c>
      <c r="AQ42" s="10">
        <v>12192.5</v>
      </c>
      <c r="AR42" s="10">
        <v>130582</v>
      </c>
      <c r="AS42" s="33">
        <v>8</v>
      </c>
      <c r="AT42" s="198">
        <v>637.09510782464918</v>
      </c>
      <c r="AU42" s="198">
        <v>682.92398686042623</v>
      </c>
      <c r="AV42" s="198">
        <v>759.05315650539853</v>
      </c>
      <c r="AW42" s="198">
        <v>870.95563487881179</v>
      </c>
      <c r="AX42" s="198">
        <v>1092.9858827796431</v>
      </c>
      <c r="AY42" s="198">
        <v>972.74277629203152</v>
      </c>
      <c r="AZ42" s="198">
        <v>1050.6228869244244</v>
      </c>
      <c r="BA42" s="198">
        <v>1125.7437253854773</v>
      </c>
      <c r="BB42" s="198">
        <v>691.34253212556689</v>
      </c>
      <c r="BC42" s="198">
        <v>700.166965492445</v>
      </c>
      <c r="BD42" s="198">
        <v>1498.9649890770893</v>
      </c>
      <c r="BE42" s="198">
        <v>1092.9656316543726</v>
      </c>
      <c r="BG42" s="10">
        <v>5019.4611021656992</v>
      </c>
      <c r="BH42" s="10">
        <v>276291.00523879501</v>
      </c>
      <c r="BI42" s="33">
        <v>18</v>
      </c>
      <c r="BJ42" s="198">
        <v>1605.5639805225369</v>
      </c>
      <c r="BK42" s="198">
        <v>1396.8406630546071</v>
      </c>
      <c r="BL42" s="198">
        <v>1348.673743638931</v>
      </c>
      <c r="BM42" s="198">
        <v>963.33838831352205</v>
      </c>
      <c r="BN42" s="198">
        <v>963.33838831352205</v>
      </c>
      <c r="BO42" s="198">
        <v>963.33838831352205</v>
      </c>
    </row>
    <row r="43" spans="1:67" x14ac:dyDescent="0.35">
      <c r="A43" t="s">
        <v>409</v>
      </c>
      <c r="B43" t="s">
        <v>2261</v>
      </c>
      <c r="C43" t="s">
        <v>851</v>
      </c>
      <c r="D43">
        <v>2022</v>
      </c>
      <c r="E43">
        <v>2019</v>
      </c>
      <c r="F43" t="s">
        <v>1951</v>
      </c>
      <c r="G43">
        <v>2020</v>
      </c>
      <c r="H43" t="s">
        <v>1953</v>
      </c>
      <c r="I43" t="s">
        <v>1683</v>
      </c>
      <c r="J43" s="66">
        <v>2025</v>
      </c>
      <c r="M43" s="95">
        <f>$AX$121/$AR$121 * 1000/$AK$91</f>
        <v>101.91321506566968</v>
      </c>
      <c r="N43" s="95">
        <f>$AX$120/$AR$120 * 1000/$AK$91</f>
        <v>178.62535030337386</v>
      </c>
      <c r="O43" s="406">
        <f>$AX$119/$AR$119 * 1000/$AK$91</f>
        <v>175.97794072517016</v>
      </c>
      <c r="W43" s="66" t="s">
        <v>1973</v>
      </c>
      <c r="X43">
        <v>3</v>
      </c>
      <c r="Y43">
        <v>1</v>
      </c>
      <c r="Z43">
        <v>1</v>
      </c>
      <c r="AA43">
        <v>3</v>
      </c>
      <c r="AB43">
        <v>1</v>
      </c>
      <c r="AF43" s="33">
        <v>1</v>
      </c>
      <c r="AG43" s="10">
        <v>29775.804874050998</v>
      </c>
      <c r="AH43" s="10">
        <v>27374.876591055399</v>
      </c>
      <c r="AI43" s="10">
        <v>19038.0332724162</v>
      </c>
      <c r="AJ43" s="10">
        <v>120273.069917211</v>
      </c>
      <c r="AK43" s="10">
        <v>73479.035499691905</v>
      </c>
      <c r="AL43" s="10">
        <v>124973.24643408001</v>
      </c>
      <c r="AM43" s="10">
        <v>86840.132953792694</v>
      </c>
      <c r="AN43" s="10">
        <v>68293.762554837798</v>
      </c>
      <c r="AO43" s="10">
        <v>38431.698757434904</v>
      </c>
      <c r="AQ43" s="10">
        <v>11383.5</v>
      </c>
      <c r="AR43" s="10">
        <v>141965.5</v>
      </c>
      <c r="AS43" s="33">
        <v>9</v>
      </c>
      <c r="AT43" s="198">
        <v>450.15507871377326</v>
      </c>
      <c r="AU43" s="198">
        <v>495.43341635986866</v>
      </c>
      <c r="AV43" s="198">
        <v>570.64804784171179</v>
      </c>
      <c r="AW43" s="198">
        <v>681.20624402344367</v>
      </c>
      <c r="AX43" s="198">
        <v>677.12398791380292</v>
      </c>
      <c r="AY43" s="198">
        <v>708.78477294149013</v>
      </c>
      <c r="AZ43" s="198">
        <v>635.26989786426611</v>
      </c>
      <c r="BA43" s="198">
        <v>652.64808833575648</v>
      </c>
      <c r="BB43" s="198">
        <v>503.02784216179691</v>
      </c>
      <c r="BC43" s="198">
        <v>511.7462677905159</v>
      </c>
      <c r="BD43" s="198">
        <v>881.58885474626618</v>
      </c>
      <c r="BE43" s="198">
        <v>620.26375717649523</v>
      </c>
      <c r="BG43" s="33" t="s">
        <v>1665</v>
      </c>
      <c r="BI43" s="33"/>
    </row>
    <row r="44" spans="1:67" x14ac:dyDescent="0.35">
      <c r="A44" t="s">
        <v>409</v>
      </c>
      <c r="B44" t="s">
        <v>2261</v>
      </c>
      <c r="C44" t="s">
        <v>851</v>
      </c>
      <c r="D44">
        <v>2022</v>
      </c>
      <c r="E44">
        <v>2019</v>
      </c>
      <c r="F44" t="s">
        <v>1951</v>
      </c>
      <c r="G44">
        <v>2020</v>
      </c>
      <c r="H44" t="s">
        <v>1953</v>
      </c>
      <c r="I44" t="s">
        <v>1683</v>
      </c>
      <c r="J44" s="66">
        <v>2030</v>
      </c>
      <c r="N44" s="95">
        <f>$AX$121/$AR$121 * 1000/$AK$91</f>
        <v>101.91321506566968</v>
      </c>
      <c r="O44" s="406">
        <f>$AX$120/$AR$120 * 1000/$AK$91</f>
        <v>178.62535030337386</v>
      </c>
      <c r="W44" s="66" t="s">
        <v>1973</v>
      </c>
      <c r="X44">
        <v>3</v>
      </c>
      <c r="Y44">
        <v>1</v>
      </c>
      <c r="Z44">
        <v>1</v>
      </c>
      <c r="AA44">
        <v>3</v>
      </c>
      <c r="AB44">
        <v>1</v>
      </c>
      <c r="AF44" s="33">
        <v>2</v>
      </c>
      <c r="AG44" s="10">
        <v>31987.4603930085</v>
      </c>
      <c r="AH44" s="10">
        <v>26190.500258584765</v>
      </c>
      <c r="AI44" s="10">
        <v>19418.793937864524</v>
      </c>
      <c r="AJ44" s="10">
        <v>114372.41264205</v>
      </c>
      <c r="AK44" s="10">
        <v>71555.711405605296</v>
      </c>
      <c r="AL44" s="10">
        <v>116907.59879320901</v>
      </c>
      <c r="AM44" s="10">
        <v>85635.623205222</v>
      </c>
      <c r="AN44" s="10">
        <v>70621.145078532529</v>
      </c>
      <c r="AO44" s="10">
        <v>42893.596981949398</v>
      </c>
      <c r="AQ44" s="10">
        <v>10537.5</v>
      </c>
      <c r="AR44" s="10">
        <v>152503</v>
      </c>
      <c r="AS44" s="33">
        <v>10</v>
      </c>
      <c r="AT44" s="198">
        <v>1428.5618647284684</v>
      </c>
      <c r="AU44" s="198">
        <v>1472.4710759502495</v>
      </c>
      <c r="AV44" s="198">
        <v>1545.4113673213374</v>
      </c>
      <c r="AW44" s="198">
        <v>1652.6265046434432</v>
      </c>
      <c r="AX44" s="198">
        <v>2080.1880741267655</v>
      </c>
      <c r="AY44" s="198">
        <v>2110.8915003014235</v>
      </c>
      <c r="AZ44" s="198">
        <v>2039.5995680988935</v>
      </c>
      <c r="BA44" s="198">
        <v>1605.226035475039</v>
      </c>
      <c r="BB44" s="198">
        <v>1461.0823445636199</v>
      </c>
      <c r="BC44" s="198">
        <v>1469.5371424284401</v>
      </c>
      <c r="BD44" s="198">
        <v>1113.8047316516397</v>
      </c>
      <c r="BE44" s="198">
        <v>1573.820941757542</v>
      </c>
      <c r="BG44" s="10">
        <v>86744.216886003298</v>
      </c>
      <c r="BH44" s="10">
        <v>86744.216886003298</v>
      </c>
      <c r="BI44" s="33">
        <v>0</v>
      </c>
      <c r="BJ44" s="198">
        <v>9645.9569177235662</v>
      </c>
      <c r="BK44" s="198">
        <v>8391.9825184195033</v>
      </c>
      <c r="BL44" s="198">
        <v>8102.6038108877956</v>
      </c>
      <c r="BM44" s="198">
        <v>5787.5741506341392</v>
      </c>
      <c r="BN44" s="198">
        <v>5787.5741506341392</v>
      </c>
      <c r="BO44" s="198">
        <v>5787.5741506341392</v>
      </c>
    </row>
    <row r="45" spans="1:67" x14ac:dyDescent="0.35">
      <c r="A45" t="s">
        <v>409</v>
      </c>
      <c r="B45" t="s">
        <v>2261</v>
      </c>
      <c r="C45" t="s">
        <v>851</v>
      </c>
      <c r="D45">
        <v>2022</v>
      </c>
      <c r="E45">
        <v>2019</v>
      </c>
      <c r="F45" t="s">
        <v>1951</v>
      </c>
      <c r="G45">
        <v>2020</v>
      </c>
      <c r="H45" t="s">
        <v>1953</v>
      </c>
      <c r="I45" t="s">
        <v>1683</v>
      </c>
      <c r="J45" s="66">
        <v>2035</v>
      </c>
      <c r="O45" s="406">
        <f>$AX$121/$AR$121 * 1000/$AK$91</f>
        <v>101.91321506566968</v>
      </c>
      <c r="W45" s="66" t="s">
        <v>1973</v>
      </c>
      <c r="X45">
        <v>3</v>
      </c>
      <c r="Y45">
        <v>1</v>
      </c>
      <c r="Z45">
        <v>1</v>
      </c>
      <c r="AA45">
        <v>3</v>
      </c>
      <c r="AB45">
        <v>1</v>
      </c>
      <c r="AF45" s="33">
        <v>3</v>
      </c>
      <c r="AG45" s="10">
        <v>30741.522097913199</v>
      </c>
      <c r="AH45" s="10">
        <v>23751.73662993047</v>
      </c>
      <c r="AI45" s="10">
        <v>18846.462632348834</v>
      </c>
      <c r="AJ45" s="10">
        <v>104613.83132325399</v>
      </c>
      <c r="AK45" s="10">
        <v>68475.466297734398</v>
      </c>
      <c r="AL45" s="10">
        <v>107566.865229282</v>
      </c>
      <c r="AM45" s="10">
        <v>81072.853723113207</v>
      </c>
      <c r="AN45" s="10">
        <v>65396.578000056499</v>
      </c>
      <c r="AO45" s="10">
        <v>43151.690749756599</v>
      </c>
      <c r="AQ45" s="10">
        <v>9702</v>
      </c>
      <c r="AR45" s="10">
        <v>162205</v>
      </c>
      <c r="AS45" s="33">
        <v>11</v>
      </c>
      <c r="AT45" s="198">
        <v>440.90876723847094</v>
      </c>
      <c r="AU45" s="198">
        <v>482.9115998947513</v>
      </c>
      <c r="AV45" s="198">
        <v>552.68508857997665</v>
      </c>
      <c r="AW45" s="198">
        <v>655.2453338190586</v>
      </c>
      <c r="AX45" s="198">
        <v>854.5669192039569</v>
      </c>
      <c r="AY45" s="198">
        <v>883.93731406427025</v>
      </c>
      <c r="AZ45" s="198">
        <v>815.74061877587167</v>
      </c>
      <c r="BA45" s="198">
        <v>881.55938363735993</v>
      </c>
      <c r="BB45" s="198">
        <v>694.19545573789617</v>
      </c>
      <c r="BC45" s="198">
        <v>702.2831769694393</v>
      </c>
      <c r="BD45" s="198">
        <v>811.02948635812186</v>
      </c>
      <c r="BE45" s="198">
        <v>851.517785091939</v>
      </c>
      <c r="BG45" s="10">
        <v>86840.132953792694</v>
      </c>
      <c r="BH45" s="10">
        <v>173584.34983979599</v>
      </c>
      <c r="BI45" s="33">
        <v>1</v>
      </c>
      <c r="BJ45" s="198">
        <v>11495.979505311601</v>
      </c>
      <c r="BK45" s="198">
        <v>10001.502169621095</v>
      </c>
      <c r="BL45" s="198">
        <v>9656.6227844617442</v>
      </c>
      <c r="BM45" s="198">
        <v>6897.5877031869613</v>
      </c>
      <c r="BN45" s="198">
        <v>6897.5877031869613</v>
      </c>
      <c r="BO45" s="198">
        <v>6897.5877031869613</v>
      </c>
    </row>
    <row r="46" spans="1:67" x14ac:dyDescent="0.35">
      <c r="A46" t="s">
        <v>1088</v>
      </c>
      <c r="B46" t="s">
        <v>2261</v>
      </c>
      <c r="C46" t="s">
        <v>851</v>
      </c>
      <c r="D46">
        <v>2022</v>
      </c>
      <c r="E46">
        <v>2019</v>
      </c>
      <c r="F46" t="s">
        <v>1951</v>
      </c>
      <c r="G46">
        <v>2020</v>
      </c>
      <c r="H46" t="s">
        <v>1953</v>
      </c>
      <c r="I46" t="s">
        <v>1683</v>
      </c>
      <c r="J46" s="66">
        <v>2021</v>
      </c>
      <c r="L46" s="95"/>
      <c r="M46" s="95">
        <f>$BD$120/$AR$120 * 1000/$AK$91</f>
        <v>115.00615579751127</v>
      </c>
      <c r="N46" s="95">
        <f>$BD$119/$AR$119 * 1000/$AK$91</f>
        <v>169.92195851670922</v>
      </c>
      <c r="O46" s="406">
        <f>$BD$118/$AR$118 * 1000/$AK$91</f>
        <v>77.245510125583351</v>
      </c>
      <c r="W46" s="66" t="s">
        <v>1973</v>
      </c>
      <c r="X46">
        <v>3</v>
      </c>
      <c r="Y46">
        <v>1</v>
      </c>
      <c r="Z46">
        <v>1</v>
      </c>
      <c r="AA46">
        <v>3</v>
      </c>
      <c r="AB46">
        <v>1</v>
      </c>
      <c r="AF46" s="33">
        <v>4</v>
      </c>
      <c r="AG46" s="10">
        <v>28290.033916625202</v>
      </c>
      <c r="AH46" s="10">
        <v>21540.061753981372</v>
      </c>
      <c r="AI46" s="10">
        <v>17852.950034085701</v>
      </c>
      <c r="AJ46" s="10">
        <v>91621.608274783503</v>
      </c>
      <c r="AK46" s="10">
        <v>61424.867928947846</v>
      </c>
      <c r="AL46" s="10">
        <v>99409.351473932489</v>
      </c>
      <c r="AM46" s="10">
        <v>73692.979047949993</v>
      </c>
      <c r="AN46" s="10">
        <v>55385.703214606401</v>
      </c>
      <c r="AO46" s="10">
        <v>41594.976131889802</v>
      </c>
      <c r="AQ46" s="10">
        <v>8915.5</v>
      </c>
      <c r="AR46" s="10">
        <v>171120.5</v>
      </c>
      <c r="AS46" s="33">
        <v>12</v>
      </c>
      <c r="AT46" s="198">
        <v>321.25677200489361</v>
      </c>
      <c r="AU46" s="198">
        <v>361.07994141450541</v>
      </c>
      <c r="AV46" s="198">
        <v>427.232657421765</v>
      </c>
      <c r="AW46" s="198">
        <v>524.47071882276452</v>
      </c>
      <c r="AX46" s="198">
        <v>503.01269249759736</v>
      </c>
      <c r="AY46" s="198">
        <v>530.85896228898878</v>
      </c>
      <c r="AZ46" s="198">
        <v>466.20121475396633</v>
      </c>
      <c r="BA46" s="198">
        <v>503.7591644702199</v>
      </c>
      <c r="BB46" s="198">
        <v>350.75100662495612</v>
      </c>
      <c r="BC46" s="198">
        <v>358.41902976465991</v>
      </c>
      <c r="BD46" s="198">
        <v>461.73455828061731</v>
      </c>
      <c r="BE46" s="198">
        <v>475.27652193037295</v>
      </c>
      <c r="BG46" s="10">
        <v>85635.623205222</v>
      </c>
      <c r="BH46" s="10">
        <v>259219.97304501798</v>
      </c>
      <c r="BI46" s="33">
        <v>2</v>
      </c>
      <c r="BJ46" s="198">
        <v>12956.028980164197</v>
      </c>
      <c r="BK46" s="198">
        <v>11271.745212742851</v>
      </c>
      <c r="BL46" s="198">
        <v>10883.064343337926</v>
      </c>
      <c r="BM46" s="198">
        <v>7773.6173880985179</v>
      </c>
      <c r="BN46" s="198">
        <v>7773.6173880985179</v>
      </c>
      <c r="BO46" s="198">
        <v>7773.6173880985179</v>
      </c>
    </row>
    <row r="47" spans="1:67" x14ac:dyDescent="0.35">
      <c r="A47" t="s">
        <v>1088</v>
      </c>
      <c r="B47" t="s">
        <v>2261</v>
      </c>
      <c r="C47" t="s">
        <v>851</v>
      </c>
      <c r="D47">
        <v>2022</v>
      </c>
      <c r="E47">
        <v>2019</v>
      </c>
      <c r="F47" t="s">
        <v>1951</v>
      </c>
      <c r="G47">
        <v>2020</v>
      </c>
      <c r="H47" t="s">
        <v>1953</v>
      </c>
      <c r="I47" t="s">
        <v>1683</v>
      </c>
      <c r="J47" s="66">
        <v>2025</v>
      </c>
      <c r="M47" s="95">
        <f>$BD$121/$AR$121 * 1000/$AK$91</f>
        <v>194.55008842933583</v>
      </c>
      <c r="N47" s="95">
        <f>$BD$120/$AR$120 * 1000/$AK$91</f>
        <v>115.00615579751127</v>
      </c>
      <c r="O47" s="406">
        <f>$BD$119/$AR$119 * 1000/$AK$91</f>
        <v>169.92195851670922</v>
      </c>
      <c r="W47" s="66" t="s">
        <v>1973</v>
      </c>
      <c r="X47">
        <v>3</v>
      </c>
      <c r="Y47">
        <v>1</v>
      </c>
      <c r="Z47">
        <v>1</v>
      </c>
      <c r="AA47">
        <v>3</v>
      </c>
      <c r="AB47">
        <v>1</v>
      </c>
      <c r="AF47" s="33">
        <v>5</v>
      </c>
      <c r="AG47" s="10">
        <v>25969.830920919099</v>
      </c>
      <c r="AH47" s="10">
        <v>19534.329956347668</v>
      </c>
      <c r="AI47" s="10">
        <v>16323.665388756834</v>
      </c>
      <c r="AJ47" s="10">
        <v>81274.571711010605</v>
      </c>
      <c r="AK47" s="10">
        <v>55100.23668452946</v>
      </c>
      <c r="AL47" s="10">
        <v>91870.476465067535</v>
      </c>
      <c r="AM47" s="10">
        <v>67627.418392855194</v>
      </c>
      <c r="AN47" s="10">
        <v>48112.04160749101</v>
      </c>
      <c r="AO47" s="10">
        <v>39980.875829615958</v>
      </c>
      <c r="AQ47" s="10">
        <v>8172.5</v>
      </c>
      <c r="AR47" s="10">
        <v>179293</v>
      </c>
      <c r="AS47" s="33">
        <v>13</v>
      </c>
      <c r="AT47" s="198">
        <v>278.81643847421827</v>
      </c>
      <c r="AU47" s="198">
        <v>316.25683421255962</v>
      </c>
      <c r="AV47" s="198">
        <v>378.4513783233582</v>
      </c>
      <c r="AW47" s="198">
        <v>469.87131183582846</v>
      </c>
      <c r="AX47" s="198">
        <v>450.2753430740641</v>
      </c>
      <c r="AY47" s="198">
        <v>476.45546324738905</v>
      </c>
      <c r="AZ47" s="198">
        <v>415.66643788476398</v>
      </c>
      <c r="BA47" s="198">
        <v>384.95904835310864</v>
      </c>
      <c r="BB47" s="198">
        <v>306.54591939062414</v>
      </c>
      <c r="BC47" s="198">
        <v>313.75513515967276</v>
      </c>
      <c r="BD47" s="198">
        <v>411.46703867900806</v>
      </c>
      <c r="BE47" s="198">
        <v>358.1806320649215</v>
      </c>
      <c r="BG47" s="10">
        <v>81072.853723113207</v>
      </c>
      <c r="BH47" s="10">
        <v>340292.82676813117</v>
      </c>
      <c r="BI47" s="33">
        <v>3</v>
      </c>
      <c r="BJ47" s="198">
        <v>13628.573445215703</v>
      </c>
      <c r="BK47" s="198">
        <v>11856.858897337663</v>
      </c>
      <c r="BL47" s="198">
        <v>11448.001693981192</v>
      </c>
      <c r="BM47" s="198">
        <v>8177.1440671294213</v>
      </c>
      <c r="BN47" s="198">
        <v>8177.1440671294213</v>
      </c>
      <c r="BO47" s="198">
        <v>8177.1440671294213</v>
      </c>
    </row>
    <row r="48" spans="1:67" x14ac:dyDescent="0.35">
      <c r="A48" t="s">
        <v>1088</v>
      </c>
      <c r="B48" t="s">
        <v>2261</v>
      </c>
      <c r="C48" t="s">
        <v>851</v>
      </c>
      <c r="D48">
        <v>2022</v>
      </c>
      <c r="E48">
        <v>2019</v>
      </c>
      <c r="F48" t="s">
        <v>1951</v>
      </c>
      <c r="G48">
        <v>2020</v>
      </c>
      <c r="H48" t="s">
        <v>1953</v>
      </c>
      <c r="I48" t="s">
        <v>1683</v>
      </c>
      <c r="J48" s="66">
        <v>2030</v>
      </c>
      <c r="N48" s="95">
        <f>$BD$121/$AR$121 * 1000/$AK$91</f>
        <v>194.55008842933583</v>
      </c>
      <c r="O48" s="406">
        <f>$BD$120/$AR$120 * 1000/$AK$91</f>
        <v>115.00615579751127</v>
      </c>
      <c r="W48" s="66" t="s">
        <v>1973</v>
      </c>
      <c r="X48">
        <v>3</v>
      </c>
      <c r="Y48">
        <v>1</v>
      </c>
      <c r="Z48">
        <v>1</v>
      </c>
      <c r="AA48">
        <v>3</v>
      </c>
      <c r="AB48">
        <v>1</v>
      </c>
      <c r="AF48" s="33">
        <v>6</v>
      </c>
      <c r="AG48" s="10">
        <v>23839.919034695198</v>
      </c>
      <c r="AH48" s="10">
        <v>17715.364570527774</v>
      </c>
      <c r="AI48" s="10">
        <v>14925.379347130629</v>
      </c>
      <c r="AJ48" s="10">
        <v>73692.256902540103</v>
      </c>
      <c r="AK48" s="10">
        <v>49426.823126474577</v>
      </c>
      <c r="AL48" s="10">
        <v>85653.655557176404</v>
      </c>
      <c r="AM48" s="10">
        <v>62061.1051088932</v>
      </c>
      <c r="AN48" s="10">
        <v>41793.611226199828</v>
      </c>
      <c r="AO48" s="10">
        <v>39934.891790826281</v>
      </c>
      <c r="AQ48" s="10">
        <v>7848</v>
      </c>
      <c r="AR48" s="10">
        <v>187141</v>
      </c>
      <c r="AS48" s="33">
        <v>14</v>
      </c>
      <c r="AT48" s="198">
        <v>360.86727778746206</v>
      </c>
      <c r="AU48" s="198">
        <v>397.55480324360269</v>
      </c>
      <c r="AV48" s="198">
        <v>458.49870822378728</v>
      </c>
      <c r="AW48" s="198">
        <v>548.0803237969036</v>
      </c>
      <c r="AX48" s="198">
        <v>1239.7841128271452</v>
      </c>
      <c r="AY48" s="198">
        <v>1151.7975005708893</v>
      </c>
      <c r="AZ48" s="198">
        <v>1205.8711408859504</v>
      </c>
      <c r="BA48" s="198">
        <v>522.95833335054272</v>
      </c>
      <c r="BB48" s="198">
        <v>403.19119896414549</v>
      </c>
      <c r="BC48" s="198">
        <v>410.25544820163225</v>
      </c>
      <c r="BD48" s="198">
        <v>504.76241017478458</v>
      </c>
      <c r="BE48" s="198">
        <v>496.71839090672057</v>
      </c>
      <c r="BG48" s="10">
        <v>73692.979047949993</v>
      </c>
      <c r="BH48" s="10">
        <v>413985.80581608118</v>
      </c>
      <c r="BI48" s="33">
        <v>4</v>
      </c>
      <c r="BJ48" s="198">
        <v>13483.532923227731</v>
      </c>
      <c r="BK48" s="198">
        <v>11730.673643208125</v>
      </c>
      <c r="BL48" s="198">
        <v>11326.167655511294</v>
      </c>
      <c r="BM48" s="198">
        <v>8090.1197539366376</v>
      </c>
      <c r="BN48" s="198">
        <v>8090.1197539366376</v>
      </c>
      <c r="BO48" s="198">
        <v>8090.1197539366376</v>
      </c>
    </row>
    <row r="49" spans="1:67" x14ac:dyDescent="0.35">
      <c r="A49" t="s">
        <v>1088</v>
      </c>
      <c r="B49" t="s">
        <v>2261</v>
      </c>
      <c r="C49" t="s">
        <v>851</v>
      </c>
      <c r="D49">
        <v>2022</v>
      </c>
      <c r="E49">
        <v>2019</v>
      </c>
      <c r="F49" t="s">
        <v>1951</v>
      </c>
      <c r="G49">
        <v>2020</v>
      </c>
      <c r="H49" t="s">
        <v>1953</v>
      </c>
      <c r="I49" t="s">
        <v>1683</v>
      </c>
      <c r="J49" s="66">
        <v>2035</v>
      </c>
      <c r="O49" s="406">
        <f>$BD$121/$AR$121 * 1000/$AK$91</f>
        <v>194.55008842933583</v>
      </c>
      <c r="W49" s="66" t="s">
        <v>1973</v>
      </c>
      <c r="X49">
        <v>3</v>
      </c>
      <c r="Y49">
        <v>1</v>
      </c>
      <c r="Z49">
        <v>1</v>
      </c>
      <c r="AA49">
        <v>3</v>
      </c>
      <c r="AB49">
        <v>1</v>
      </c>
      <c r="AF49" s="33">
        <v>7</v>
      </c>
      <c r="AG49" s="10">
        <v>21884.691560429601</v>
      </c>
      <c r="AH49" s="10">
        <v>16065.774591092666</v>
      </c>
      <c r="AI49" s="10">
        <v>13646.870561876842</v>
      </c>
      <c r="AJ49" s="10">
        <v>66690.816252077697</v>
      </c>
      <c r="AK49" s="10">
        <v>44337.57441665815</v>
      </c>
      <c r="AL49" s="10">
        <v>79157.966834498729</v>
      </c>
      <c r="AM49" s="10">
        <v>56952.946879663934</v>
      </c>
      <c r="AN49" s="10">
        <v>36304.96401663353</v>
      </c>
      <c r="AO49" s="10">
        <v>39859.289083658252</v>
      </c>
      <c r="AQ49" s="10">
        <v>7605</v>
      </c>
      <c r="AR49" s="10">
        <v>194746</v>
      </c>
      <c r="AS49" s="33">
        <v>15</v>
      </c>
      <c r="AT49" s="198">
        <v>339.57817443646388</v>
      </c>
      <c r="AU49" s="198">
        <v>375.69404338702606</v>
      </c>
      <c r="AV49" s="198">
        <v>435.68833458639227</v>
      </c>
      <c r="AW49" s="198">
        <v>523.87411021974981</v>
      </c>
      <c r="AX49" s="198">
        <v>502.37522312951086</v>
      </c>
      <c r="AY49" s="198">
        <v>527.62917065446993</v>
      </c>
      <c r="AZ49" s="198">
        <v>468.99067524506677</v>
      </c>
      <c r="BA49" s="198">
        <v>963.86933456586667</v>
      </c>
      <c r="BB49" s="198">
        <v>366.32667105607777</v>
      </c>
      <c r="BC49" s="198">
        <v>373.28084680173242</v>
      </c>
      <c r="BD49" s="198">
        <v>945.95693604131088</v>
      </c>
      <c r="BE49" s="198">
        <v>938.03825681426667</v>
      </c>
      <c r="BG49" s="10">
        <v>67627.418392855194</v>
      </c>
      <c r="BH49" s="10">
        <v>481613.22420893639</v>
      </c>
      <c r="BI49" s="33">
        <v>5</v>
      </c>
      <c r="BJ49" s="198">
        <v>13257.560540754395</v>
      </c>
      <c r="BK49" s="198">
        <v>11534.077670456323</v>
      </c>
      <c r="BL49" s="198">
        <v>11136.350854233691</v>
      </c>
      <c r="BM49" s="198">
        <v>7954.536324452637</v>
      </c>
      <c r="BN49" s="198">
        <v>7954.536324452637</v>
      </c>
      <c r="BO49" s="198">
        <v>7954.536324452637</v>
      </c>
    </row>
    <row r="50" spans="1:67" x14ac:dyDescent="0.35">
      <c r="A50" t="s">
        <v>1097</v>
      </c>
      <c r="B50" t="s">
        <v>2261</v>
      </c>
      <c r="C50" t="s">
        <v>851</v>
      </c>
      <c r="D50">
        <v>2022</v>
      </c>
      <c r="E50">
        <v>2019</v>
      </c>
      <c r="F50" t="s">
        <v>1951</v>
      </c>
      <c r="G50">
        <v>2020</v>
      </c>
      <c r="H50" t="s">
        <v>1953</v>
      </c>
      <c r="I50" t="s">
        <v>1683</v>
      </c>
      <c r="J50" s="66">
        <v>2021</v>
      </c>
      <c r="L50" s="95"/>
      <c r="M50" s="95">
        <f>$BE$120/$AR$120 * 1000/$AK$91</f>
        <v>131.08974648204978</v>
      </c>
      <c r="N50" s="95">
        <f>$BE$119/$AR$119 * 1000/$AK$91</f>
        <v>152.7326101397403</v>
      </c>
      <c r="O50" s="406">
        <f>$BE$118/$AR$118 * 1000/$AK$91</f>
        <v>73.447842188547398</v>
      </c>
      <c r="W50" s="66" t="s">
        <v>1973</v>
      </c>
      <c r="X50">
        <v>3</v>
      </c>
      <c r="Y50">
        <v>1</v>
      </c>
      <c r="Z50">
        <v>1</v>
      </c>
      <c r="AA50">
        <v>3</v>
      </c>
      <c r="AB50">
        <v>1</v>
      </c>
      <c r="AF50" s="33">
        <v>8</v>
      </c>
      <c r="AG50" s="10">
        <v>20089.821781614199</v>
      </c>
      <c r="AH50" s="10">
        <v>14569.788399455398</v>
      </c>
      <c r="AI50" s="10">
        <v>12477.878906871765</v>
      </c>
      <c r="AJ50" s="10">
        <v>59317.125610050709</v>
      </c>
      <c r="AK50" s="10">
        <v>39772.341833957427</v>
      </c>
      <c r="AL50" s="10">
        <v>73154.889567893188</v>
      </c>
      <c r="AM50" s="10">
        <v>52265.233636856661</v>
      </c>
      <c r="AN50" s="10">
        <v>31537.126694206028</v>
      </c>
      <c r="AO50" s="10">
        <v>39742.575600372533</v>
      </c>
      <c r="AQ50" s="33" t="s">
        <v>1650</v>
      </c>
      <c r="AS50" s="33"/>
      <c r="BG50" s="10">
        <v>62061.1051088932</v>
      </c>
      <c r="BH50" s="10">
        <v>543674.32931782957</v>
      </c>
      <c r="BI50" s="33">
        <v>6</v>
      </c>
      <c r="BJ50" s="198">
        <v>12874.444701742172</v>
      </c>
      <c r="BK50" s="198">
        <v>11200.766890515688</v>
      </c>
      <c r="BL50" s="198">
        <v>10814.533549463424</v>
      </c>
      <c r="BM50" s="198">
        <v>7724.6668210453026</v>
      </c>
      <c r="BN50" s="198">
        <v>7724.6668210453026</v>
      </c>
      <c r="BO50" s="198">
        <v>7724.6668210453026</v>
      </c>
    </row>
    <row r="51" spans="1:67" x14ac:dyDescent="0.35">
      <c r="A51" t="s">
        <v>1097</v>
      </c>
      <c r="B51" t="s">
        <v>2261</v>
      </c>
      <c r="C51" t="s">
        <v>851</v>
      </c>
      <c r="D51">
        <v>2022</v>
      </c>
      <c r="E51">
        <v>2019</v>
      </c>
      <c r="F51" t="s">
        <v>1951</v>
      </c>
      <c r="G51">
        <v>2020</v>
      </c>
      <c r="H51" t="s">
        <v>1953</v>
      </c>
      <c r="I51" t="s">
        <v>1683</v>
      </c>
      <c r="J51" s="66">
        <v>2025</v>
      </c>
      <c r="M51" s="95">
        <f>$BE$121/$AR$121 * 1000/$AK$91</f>
        <v>193.11313465637167</v>
      </c>
      <c r="N51" s="95">
        <f>$BE$120/$AR$120 * 1000/$AK$91</f>
        <v>131.08974648204978</v>
      </c>
      <c r="O51" s="406">
        <f>$BE$119/$AR$119 * 1000/$AK$91</f>
        <v>152.7326101397403</v>
      </c>
      <c r="W51" s="66" t="s">
        <v>1973</v>
      </c>
      <c r="X51">
        <v>3</v>
      </c>
      <c r="Y51">
        <v>1</v>
      </c>
      <c r="Z51">
        <v>1</v>
      </c>
      <c r="AA51">
        <v>3</v>
      </c>
      <c r="AB51">
        <v>1</v>
      </c>
      <c r="AF51" s="33">
        <v>9</v>
      </c>
      <c r="AG51" s="10">
        <v>18442.157985300742</v>
      </c>
      <c r="AH51" s="10">
        <v>13213.102972489021</v>
      </c>
      <c r="AI51" s="10">
        <v>11409.023138938777</v>
      </c>
      <c r="AJ51" s="10">
        <v>52758.709345215386</v>
      </c>
      <c r="AK51" s="10">
        <v>35677.169889628523</v>
      </c>
      <c r="AL51" s="10">
        <v>67607.065740833175</v>
      </c>
      <c r="AM51" s="10">
        <v>47963.359172387252</v>
      </c>
      <c r="AN51" s="10">
        <v>27395.437154839754</v>
      </c>
      <c r="AO51" s="10">
        <v>39571.110111474016</v>
      </c>
      <c r="AQ51" s="10">
        <v>16755</v>
      </c>
      <c r="AR51" s="10">
        <v>16755</v>
      </c>
      <c r="AS51" s="33">
        <v>0</v>
      </c>
      <c r="AT51" s="198">
        <v>145</v>
      </c>
      <c r="AU51" s="198">
        <v>145</v>
      </c>
      <c r="AV51" s="198">
        <v>145</v>
      </c>
      <c r="AW51" s="198">
        <v>145</v>
      </c>
      <c r="AX51" s="198">
        <v>315</v>
      </c>
      <c r="AY51" s="198">
        <v>315</v>
      </c>
      <c r="AZ51" s="198">
        <v>315</v>
      </c>
      <c r="BA51" s="198">
        <v>230</v>
      </c>
      <c r="BB51" s="198">
        <v>145</v>
      </c>
      <c r="BC51" s="198">
        <v>145</v>
      </c>
      <c r="BD51" s="198">
        <v>315</v>
      </c>
      <c r="BE51" s="198">
        <v>230</v>
      </c>
      <c r="BG51" s="10">
        <v>56952.946879663934</v>
      </c>
      <c r="BH51" s="10">
        <v>600627.27619749354</v>
      </c>
      <c r="BI51" s="33">
        <v>7</v>
      </c>
      <c r="BJ51" s="198">
        <v>12377.376110031877</v>
      </c>
      <c r="BK51" s="198">
        <v>10768.317215727733</v>
      </c>
      <c r="BL51" s="198">
        <v>10396.995932426778</v>
      </c>
      <c r="BM51" s="198">
        <v>7426.4256660191268</v>
      </c>
      <c r="BN51" s="198">
        <v>7426.4256660191268</v>
      </c>
      <c r="BO51" s="198">
        <v>7426.4256660191268</v>
      </c>
    </row>
    <row r="52" spans="1:67" x14ac:dyDescent="0.35">
      <c r="A52" t="s">
        <v>1097</v>
      </c>
      <c r="B52" t="s">
        <v>2261</v>
      </c>
      <c r="C52" t="s">
        <v>851</v>
      </c>
      <c r="D52">
        <v>2022</v>
      </c>
      <c r="E52">
        <v>2019</v>
      </c>
      <c r="F52" t="s">
        <v>1951</v>
      </c>
      <c r="G52">
        <v>2020</v>
      </c>
      <c r="H52" t="s">
        <v>1953</v>
      </c>
      <c r="I52" t="s">
        <v>1683</v>
      </c>
      <c r="J52" s="66">
        <v>2030</v>
      </c>
      <c r="N52" s="95">
        <f>$BE$121/$AR$121 * 1000/$AK$91</f>
        <v>193.11313465637167</v>
      </c>
      <c r="O52" s="406">
        <f>$BE$120/$AR$120 * 1000/$AK$91</f>
        <v>131.08974648204978</v>
      </c>
      <c r="W52" s="66" t="s">
        <v>1973</v>
      </c>
      <c r="X52">
        <v>3</v>
      </c>
      <c r="Y52">
        <v>1</v>
      </c>
      <c r="Z52">
        <v>1</v>
      </c>
      <c r="AA52">
        <v>3</v>
      </c>
      <c r="AB52">
        <v>1</v>
      </c>
      <c r="AF52" s="33">
        <v>10</v>
      </c>
      <c r="AG52" s="10">
        <v>16929.627094355601</v>
      </c>
      <c r="AH52" s="10">
        <v>11982.7471322867</v>
      </c>
      <c r="AI52" s="10">
        <v>10431.725612688553</v>
      </c>
      <c r="AJ52" s="10">
        <v>46925.426394924361</v>
      </c>
      <c r="AK52" s="10">
        <v>32003.658639146401</v>
      </c>
      <c r="AL52" s="10">
        <v>62479.97044467376</v>
      </c>
      <c r="AM52" s="10">
        <v>44015.565664230715</v>
      </c>
      <c r="AN52" s="10">
        <v>23797.665024526701</v>
      </c>
      <c r="AO52" s="10">
        <v>39329.163699167933</v>
      </c>
      <c r="AQ52" s="10">
        <v>15652</v>
      </c>
      <c r="AR52" s="10">
        <v>32407</v>
      </c>
      <c r="AS52" s="33">
        <v>1</v>
      </c>
      <c r="AT52" s="198">
        <v>261.90476190476187</v>
      </c>
      <c r="AU52" s="198">
        <v>261.90476190476187</v>
      </c>
      <c r="AV52" s="198">
        <v>261.90476190476187</v>
      </c>
      <c r="AW52" s="198">
        <v>261.90476190476187</v>
      </c>
      <c r="AX52" s="198">
        <v>490.47619047619042</v>
      </c>
      <c r="AY52" s="198">
        <v>490.47619047619042</v>
      </c>
      <c r="AZ52" s="198">
        <v>490.47619047619042</v>
      </c>
      <c r="BA52" s="198">
        <v>452.38095238095235</v>
      </c>
      <c r="BB52" s="198">
        <v>290.47619047619048</v>
      </c>
      <c r="BC52" s="198">
        <v>290.47619047619048</v>
      </c>
      <c r="BD52" s="198">
        <v>452.38095238095235</v>
      </c>
      <c r="BE52" s="198">
        <v>452.38095238095235</v>
      </c>
      <c r="BG52" s="10">
        <v>52265.233636856661</v>
      </c>
      <c r="BH52" s="10">
        <v>652892.5098343502</v>
      </c>
      <c r="BI52" s="33">
        <v>8</v>
      </c>
      <c r="BJ52" s="198">
        <v>11801.155841654396</v>
      </c>
      <c r="BK52" s="198">
        <v>10267.005582239324</v>
      </c>
      <c r="BL52" s="198">
        <v>9912.9709069896926</v>
      </c>
      <c r="BM52" s="198">
        <v>7080.693504992636</v>
      </c>
      <c r="BN52" s="198">
        <v>7080.693504992636</v>
      </c>
      <c r="BO52" s="198">
        <v>7080.693504992636</v>
      </c>
    </row>
    <row r="53" spans="1:67" x14ac:dyDescent="0.35">
      <c r="A53" t="s">
        <v>1097</v>
      </c>
      <c r="B53" t="s">
        <v>2261</v>
      </c>
      <c r="C53" t="s">
        <v>851</v>
      </c>
      <c r="D53">
        <v>2022</v>
      </c>
      <c r="E53">
        <v>2019</v>
      </c>
      <c r="F53" t="s">
        <v>1951</v>
      </c>
      <c r="G53">
        <v>2020</v>
      </c>
      <c r="H53" t="s">
        <v>1953</v>
      </c>
      <c r="I53" t="s">
        <v>1683</v>
      </c>
      <c r="J53" s="66">
        <v>2035</v>
      </c>
      <c r="O53" s="406">
        <f>$BE$121/$AR$121 * 1000/$AK$91</f>
        <v>193.11313465637167</v>
      </c>
      <c r="W53" s="66" t="s">
        <v>1973</v>
      </c>
      <c r="X53">
        <v>3</v>
      </c>
      <c r="Y53">
        <v>1</v>
      </c>
      <c r="Z53">
        <v>1</v>
      </c>
      <c r="AA53">
        <v>3</v>
      </c>
      <c r="AB53">
        <v>1</v>
      </c>
      <c r="AF53" s="33">
        <v>11</v>
      </c>
      <c r="AG53" s="10">
        <v>15541.1462033014</v>
      </c>
      <c r="AH53" s="10">
        <v>10866.957529604195</v>
      </c>
      <c r="AI53" s="10">
        <v>9538.1434442900481</v>
      </c>
      <c r="AJ53" s="10">
        <v>41737.102170888487</v>
      </c>
      <c r="AK53" s="10">
        <v>28944.590398150714</v>
      </c>
      <c r="AL53" s="10">
        <v>57741.697025160633</v>
      </c>
      <c r="AM53" s="10">
        <v>40392.709229956497</v>
      </c>
      <c r="AN53" s="10">
        <v>20672.379032270066</v>
      </c>
      <c r="AO53" s="10">
        <v>38999.098580168575</v>
      </c>
      <c r="AQ53" s="10">
        <v>15310</v>
      </c>
      <c r="AR53" s="10">
        <v>47717</v>
      </c>
      <c r="AS53" s="33">
        <v>2</v>
      </c>
      <c r="AT53" s="198">
        <v>446.70329227624109</v>
      </c>
      <c r="AU53" s="198">
        <v>456.73275716998279</v>
      </c>
      <c r="AV53" s="198">
        <v>473.43731385667127</v>
      </c>
      <c r="AW53" s="198">
        <v>498.44802551733318</v>
      </c>
      <c r="AX53" s="198">
        <v>656.84130052812213</v>
      </c>
      <c r="AY53" s="198">
        <v>661.13605608222008</v>
      </c>
      <c r="AZ53" s="198">
        <v>648.62538161520354</v>
      </c>
      <c r="BA53" s="198">
        <v>652.71761334341772</v>
      </c>
      <c r="BB53" s="198">
        <v>478.64036372771511</v>
      </c>
      <c r="BC53" s="198">
        <v>480.37520121350832</v>
      </c>
      <c r="BD53" s="198">
        <v>647.44107856082553</v>
      </c>
      <c r="BE53" s="198">
        <v>645.91217646261816</v>
      </c>
      <c r="BG53" s="10">
        <v>47963.359172387252</v>
      </c>
      <c r="BH53" s="10">
        <v>700855.86900673748</v>
      </c>
      <c r="BI53" s="33">
        <v>9</v>
      </c>
      <c r="BJ53" s="198">
        <v>11173.623883303882</v>
      </c>
      <c r="BK53" s="198">
        <v>9721.052778474379</v>
      </c>
      <c r="BL53" s="198">
        <v>9385.8440619752619</v>
      </c>
      <c r="BM53" s="198">
        <v>6704.1743299823293</v>
      </c>
      <c r="BN53" s="198">
        <v>6704.1743299823293</v>
      </c>
      <c r="BO53" s="198">
        <v>6704.1743299823293</v>
      </c>
    </row>
    <row r="54" spans="1:67" x14ac:dyDescent="0.35">
      <c r="A54" t="s">
        <v>1089</v>
      </c>
      <c r="B54" t="s">
        <v>2261</v>
      </c>
      <c r="C54" t="s">
        <v>851</v>
      </c>
      <c r="D54">
        <v>2022</v>
      </c>
      <c r="E54">
        <v>2019</v>
      </c>
      <c r="F54" t="s">
        <v>1951</v>
      </c>
      <c r="G54">
        <v>2020</v>
      </c>
      <c r="H54" t="s">
        <v>1953</v>
      </c>
      <c r="I54" t="s">
        <v>1683</v>
      </c>
      <c r="J54" s="66">
        <v>2021</v>
      </c>
      <c r="L54" s="95"/>
      <c r="M54" s="95">
        <f t="shared" ref="M54:O55" si="2">M58*$BP$135</f>
        <v>262.83111175817021</v>
      </c>
      <c r="N54" s="95">
        <f t="shared" si="2"/>
        <v>220.09769173236793</v>
      </c>
      <c r="O54" s="406">
        <f t="shared" si="2"/>
        <v>138.02236908622126</v>
      </c>
      <c r="W54" s="66" t="s">
        <v>1974</v>
      </c>
      <c r="X54">
        <v>3</v>
      </c>
      <c r="Y54">
        <v>1</v>
      </c>
      <c r="Z54">
        <v>1</v>
      </c>
      <c r="AA54">
        <v>3</v>
      </c>
      <c r="AB54">
        <v>2</v>
      </c>
      <c r="AF54" s="33">
        <v>12</v>
      </c>
      <c r="AG54" s="10">
        <v>14266.541369532801</v>
      </c>
      <c r="AH54" s="10">
        <v>9855.0661752707565</v>
      </c>
      <c r="AI54" s="10">
        <v>8721.1055717565087</v>
      </c>
      <c r="AJ54" s="10">
        <v>37122.4266128694</v>
      </c>
      <c r="AK54" s="10">
        <v>26177.923054458126</v>
      </c>
      <c r="AL54" s="10">
        <v>53362.758522714175</v>
      </c>
      <c r="AM54" s="10">
        <v>37068.044777207324</v>
      </c>
      <c r="AN54" s="10">
        <v>17957.528791728102</v>
      </c>
      <c r="AO54" s="10">
        <v>38561.696837338794</v>
      </c>
      <c r="AQ54" s="10">
        <v>15028.5</v>
      </c>
      <c r="AR54" s="10">
        <v>62745.5</v>
      </c>
      <c r="AS54" s="33">
        <v>3</v>
      </c>
      <c r="AT54" s="198">
        <v>1013.9108063764781</v>
      </c>
      <c r="AU54" s="198">
        <v>1042.0367265758316</v>
      </c>
      <c r="AV54" s="198">
        <v>1088.8818008956537</v>
      </c>
      <c r="AW54" s="198">
        <v>1159.020067268744</v>
      </c>
      <c r="AX54" s="198">
        <v>1798.512748366149</v>
      </c>
      <c r="AY54" s="198">
        <v>1616.1931966487914</v>
      </c>
      <c r="AZ54" s="198">
        <v>1775.47260792423</v>
      </c>
      <c r="BA54" s="198">
        <v>1182.2622534472553</v>
      </c>
      <c r="BB54" s="198">
        <v>1053.0797183145555</v>
      </c>
      <c r="BC54" s="198">
        <v>1057.9447735494277</v>
      </c>
      <c r="BD54" s="198">
        <v>1240.8913093157985</v>
      </c>
      <c r="BE54" s="198">
        <v>1163.1775688046532</v>
      </c>
      <c r="BG54" s="10">
        <v>44015.565664230715</v>
      </c>
      <c r="BH54" s="10">
        <v>744871.43467096821</v>
      </c>
      <c r="BI54" s="33">
        <v>10</v>
      </c>
      <c r="BJ54" s="198">
        <v>10516.860866813584</v>
      </c>
      <c r="BK54" s="198">
        <v>9149.6689541278174</v>
      </c>
      <c r="BL54" s="198">
        <v>8834.1631281234095</v>
      </c>
      <c r="BM54" s="198">
        <v>6310.1165200881496</v>
      </c>
      <c r="BN54" s="198">
        <v>6310.1165200881496</v>
      </c>
      <c r="BO54" s="198">
        <v>6310.1165200881496</v>
      </c>
    </row>
    <row r="55" spans="1:67" x14ac:dyDescent="0.35">
      <c r="A55" t="s">
        <v>1089</v>
      </c>
      <c r="B55" t="s">
        <v>2261</v>
      </c>
      <c r="C55" t="s">
        <v>851</v>
      </c>
      <c r="D55">
        <v>2022</v>
      </c>
      <c r="E55">
        <v>2019</v>
      </c>
      <c r="F55" t="s">
        <v>1951</v>
      </c>
      <c r="G55">
        <v>2020</v>
      </c>
      <c r="H55" t="s">
        <v>1953</v>
      </c>
      <c r="I55" t="s">
        <v>1683</v>
      </c>
      <c r="J55" s="66">
        <v>2025</v>
      </c>
      <c r="M55" s="95">
        <f t="shared" si="2"/>
        <v>277.57987832599048</v>
      </c>
      <c r="N55" s="95">
        <f t="shared" si="2"/>
        <v>262.83111175817021</v>
      </c>
      <c r="O55" s="406">
        <f t="shared" si="2"/>
        <v>220.09769173236793</v>
      </c>
      <c r="W55" s="66" t="s">
        <v>1974</v>
      </c>
      <c r="X55">
        <v>3</v>
      </c>
      <c r="Y55">
        <v>1</v>
      </c>
      <c r="Z55">
        <v>1</v>
      </c>
      <c r="AA55">
        <v>3</v>
      </c>
      <c r="AB55">
        <v>2</v>
      </c>
      <c r="AF55" s="33">
        <v>13</v>
      </c>
      <c r="AG55" s="10">
        <v>13096.4730648603</v>
      </c>
      <c r="AH55" s="10">
        <v>8937.3984442638412</v>
      </c>
      <c r="AI55" s="10">
        <v>7974.0552066507098</v>
      </c>
      <c r="AJ55" s="10">
        <v>33017.974079405009</v>
      </c>
      <c r="AK55" s="10">
        <v>23675.707481730798</v>
      </c>
      <c r="AL55" s="10">
        <v>49315.904170822774</v>
      </c>
      <c r="AM55" s="10">
        <v>34017.02856281837</v>
      </c>
      <c r="AN55" s="10">
        <v>16315.335647110578</v>
      </c>
      <c r="AO55" s="10">
        <v>37996.673316165987</v>
      </c>
      <c r="AQ55" s="10">
        <v>14708</v>
      </c>
      <c r="AR55" s="10">
        <v>77453.5</v>
      </c>
      <c r="AS55" s="33">
        <v>4</v>
      </c>
      <c r="AT55" s="198">
        <v>797.31729703883605</v>
      </c>
      <c r="AU55" s="198">
        <v>841.00864977537458</v>
      </c>
      <c r="AV55" s="198">
        <v>913.77870144194208</v>
      </c>
      <c r="AW55" s="198">
        <v>1022.7328517316256</v>
      </c>
      <c r="AX55" s="198">
        <v>774.39653868289997</v>
      </c>
      <c r="AY55" s="198">
        <v>793.1057800850399</v>
      </c>
      <c r="AZ55" s="198">
        <v>738.60553536595171</v>
      </c>
      <c r="BA55" s="198">
        <v>1044.3783885071537</v>
      </c>
      <c r="BB55" s="198">
        <v>817.90598345168348</v>
      </c>
      <c r="BC55" s="198">
        <v>825.4634550950268</v>
      </c>
      <c r="BD55" s="198">
        <v>1054.3003217506741</v>
      </c>
      <c r="BE55" s="198">
        <v>1014.7318673382325</v>
      </c>
      <c r="BG55" s="10">
        <v>40392.709229956497</v>
      </c>
      <c r="BH55" s="10">
        <v>785264.14390092471</v>
      </c>
      <c r="BI55" s="33">
        <v>11</v>
      </c>
      <c r="BJ55" s="198">
        <v>9848.1974755248411</v>
      </c>
      <c r="BK55" s="198">
        <v>8567.9318037066114</v>
      </c>
      <c r="BL55" s="198">
        <v>8272.4858794408665</v>
      </c>
      <c r="BM55" s="198">
        <v>5908.9184853149045</v>
      </c>
      <c r="BN55" s="198">
        <v>5908.9184853149045</v>
      </c>
      <c r="BO55" s="198">
        <v>5908.9184853149045</v>
      </c>
    </row>
    <row r="56" spans="1:67" x14ac:dyDescent="0.35">
      <c r="A56" t="s">
        <v>1089</v>
      </c>
      <c r="B56" t="s">
        <v>2261</v>
      </c>
      <c r="C56" t="s">
        <v>851</v>
      </c>
      <c r="D56">
        <v>2022</v>
      </c>
      <c r="E56">
        <v>2019</v>
      </c>
      <c r="F56" t="s">
        <v>1951</v>
      </c>
      <c r="G56">
        <v>2020</v>
      </c>
      <c r="H56" t="s">
        <v>1953</v>
      </c>
      <c r="I56" t="s">
        <v>1683</v>
      </c>
      <c r="J56" s="66">
        <v>2030</v>
      </c>
      <c r="N56" s="95">
        <f>N60*$BP$135</f>
        <v>277.57987832599048</v>
      </c>
      <c r="O56" s="406">
        <f t="shared" ref="O56:O57" si="3">O60*$BP$135</f>
        <v>262.83111175817021</v>
      </c>
      <c r="W56" s="66" t="s">
        <v>1974</v>
      </c>
      <c r="X56">
        <v>3</v>
      </c>
      <c r="Y56">
        <v>1</v>
      </c>
      <c r="Z56">
        <v>1</v>
      </c>
      <c r="AA56">
        <v>3</v>
      </c>
      <c r="AB56">
        <v>2</v>
      </c>
      <c r="AF56" s="33">
        <v>14</v>
      </c>
      <c r="AG56" s="10">
        <v>12022.367741132952</v>
      </c>
      <c r="AH56" s="10">
        <v>8182.7487712365501</v>
      </c>
      <c r="AI56" s="10">
        <v>7290.9972153801846</v>
      </c>
      <c r="AJ56" s="10">
        <v>29367.331604618783</v>
      </c>
      <c r="AK56" s="10">
        <v>21412.6660695881</v>
      </c>
      <c r="AL56" s="10">
        <v>45575.949810588507</v>
      </c>
      <c r="AM56" s="10">
        <v>31217.137003004886</v>
      </c>
      <c r="AN56" s="10">
        <v>14823.318974740785</v>
      </c>
      <c r="AO56" s="10">
        <v>37283.404693446406</v>
      </c>
      <c r="AQ56" s="10">
        <v>14289</v>
      </c>
      <c r="AR56" s="10">
        <v>91742.5</v>
      </c>
      <c r="AS56" s="33">
        <v>5</v>
      </c>
      <c r="AT56" s="198">
        <v>581.75554496336974</v>
      </c>
      <c r="AU56" s="198">
        <v>630.2136469090326</v>
      </c>
      <c r="AV56" s="198">
        <v>710.92294889639538</v>
      </c>
      <c r="AW56" s="198">
        <v>831.76405340459223</v>
      </c>
      <c r="AX56" s="198">
        <v>2056.4889871790792</v>
      </c>
      <c r="AY56" s="198">
        <v>2077.2394165067735</v>
      </c>
      <c r="AZ56" s="198">
        <v>2016.79316686588</v>
      </c>
      <c r="BA56" s="198">
        <v>1162.9334117270741</v>
      </c>
      <c r="BB56" s="198">
        <v>902.33041098372496</v>
      </c>
      <c r="BC56" s="198">
        <v>910.71240669699387</v>
      </c>
      <c r="BD56" s="198">
        <v>1106.0983967336708</v>
      </c>
      <c r="BE56" s="198">
        <v>1130.052439746172</v>
      </c>
      <c r="BG56" s="10">
        <v>37068.044777207324</v>
      </c>
      <c r="BH56" s="10">
        <v>822332.18867813202</v>
      </c>
      <c r="BI56" s="33">
        <v>12</v>
      </c>
      <c r="BJ56" s="198">
        <v>9181.0609111603553</v>
      </c>
      <c r="BK56" s="198">
        <v>7987.5229927095088</v>
      </c>
      <c r="BL56" s="198">
        <v>7712.0911653746989</v>
      </c>
      <c r="BM56" s="198">
        <v>5508.6365466962134</v>
      </c>
      <c r="BN56" s="198">
        <v>5508.6365466962134</v>
      </c>
      <c r="BO56" s="198">
        <v>5508.6365466962134</v>
      </c>
    </row>
    <row r="57" spans="1:67" x14ac:dyDescent="0.35">
      <c r="A57" t="s">
        <v>1089</v>
      </c>
      <c r="B57" t="s">
        <v>2261</v>
      </c>
      <c r="C57" t="s">
        <v>851</v>
      </c>
      <c r="D57">
        <v>2022</v>
      </c>
      <c r="E57">
        <v>2019</v>
      </c>
      <c r="F57" t="s">
        <v>1951</v>
      </c>
      <c r="G57">
        <v>2020</v>
      </c>
      <c r="H57" t="s">
        <v>1953</v>
      </c>
      <c r="I57" t="s">
        <v>1683</v>
      </c>
      <c r="J57" s="66">
        <v>2035</v>
      </c>
      <c r="O57" s="406">
        <f t="shared" si="3"/>
        <v>277.57987832599048</v>
      </c>
      <c r="W57" s="66" t="s">
        <v>1974</v>
      </c>
      <c r="X57">
        <v>3</v>
      </c>
      <c r="Y57">
        <v>1</v>
      </c>
      <c r="Z57">
        <v>1</v>
      </c>
      <c r="AA57">
        <v>3</v>
      </c>
      <c r="AB57">
        <v>2</v>
      </c>
      <c r="AF57" s="33">
        <v>14</v>
      </c>
      <c r="AG57" s="10">
        <v>11036.3550084983</v>
      </c>
      <c r="AH57" s="10">
        <v>7420.8011227121133</v>
      </c>
      <c r="AI57" s="10">
        <v>6666.4500078134624</v>
      </c>
      <c r="AJ57" s="10">
        <v>26120.323539583522</v>
      </c>
      <c r="AK57" s="10">
        <v>19365.937366876566</v>
      </c>
      <c r="AL57" s="10">
        <v>42119.621166070319</v>
      </c>
      <c r="AM57" s="10">
        <v>28647.700397016601</v>
      </c>
      <c r="AN57" s="10">
        <v>13467.745327435185</v>
      </c>
      <c r="AO57" s="10">
        <v>36401.898729584769</v>
      </c>
      <c r="AQ57" s="10">
        <v>13683.5</v>
      </c>
      <c r="AR57" s="10">
        <v>105426</v>
      </c>
      <c r="AS57" s="33">
        <v>6</v>
      </c>
      <c r="AT57" s="198">
        <v>1825.791988440903</v>
      </c>
      <c r="AU57" s="198">
        <v>1877.3527413101244</v>
      </c>
      <c r="AV57" s="198">
        <v>1963.2296577994271</v>
      </c>
      <c r="AW57" s="198">
        <v>2091.8079156308518</v>
      </c>
      <c r="AX57" s="198">
        <v>2757.0278653302239</v>
      </c>
      <c r="AY57" s="198">
        <v>2779.1068926865828</v>
      </c>
      <c r="AZ57" s="198">
        <v>2714.7904210447473</v>
      </c>
      <c r="BA57" s="198">
        <v>2038.1168922200441</v>
      </c>
      <c r="BB57" s="198">
        <v>1872.4754360258428</v>
      </c>
      <c r="BC57" s="198">
        <v>1881.3941099352617</v>
      </c>
      <c r="BD57" s="198">
        <v>2074.418917646517</v>
      </c>
      <c r="BE57" s="198">
        <v>2003.1306339405073</v>
      </c>
      <c r="BG57" s="10">
        <v>34017.02856281837</v>
      </c>
      <c r="BH57" s="10">
        <v>856349.21724095044</v>
      </c>
      <c r="BI57" s="33">
        <v>13</v>
      </c>
      <c r="BJ57" s="198">
        <v>8525.6834571996715</v>
      </c>
      <c r="BK57" s="198">
        <v>7417.3446077637136</v>
      </c>
      <c r="BL57" s="198">
        <v>7161.5741040477233</v>
      </c>
      <c r="BM57" s="198">
        <v>5115.4100743198023</v>
      </c>
      <c r="BN57" s="198">
        <v>5115.4100743198023</v>
      </c>
      <c r="BO57" s="198">
        <v>5115.4100743198023</v>
      </c>
    </row>
    <row r="58" spans="1:67" x14ac:dyDescent="0.35">
      <c r="A58" t="s">
        <v>29</v>
      </c>
      <c r="B58" t="s">
        <v>2261</v>
      </c>
      <c r="C58" t="s">
        <v>851</v>
      </c>
      <c r="D58">
        <v>2022</v>
      </c>
      <c r="E58">
        <v>2019</v>
      </c>
      <c r="F58" t="s">
        <v>1951</v>
      </c>
      <c r="G58">
        <v>2020</v>
      </c>
      <c r="H58" t="s">
        <v>1953</v>
      </c>
      <c r="I58" t="s">
        <v>1683</v>
      </c>
      <c r="J58" s="66">
        <v>2021</v>
      </c>
      <c r="L58" s="95"/>
      <c r="M58" s="95">
        <f>$BJ$137/$BH$137 * 1000/$AK$92</f>
        <v>399.91113125273307</v>
      </c>
      <c r="N58" s="95">
        <f>$BJ$136/$BH$136 * 1000/$AK$92</f>
        <v>334.89002233416323</v>
      </c>
      <c r="O58" s="406">
        <f>$BJ$135/$BH$135 * 1000/$AK$92</f>
        <v>210.00817365274182</v>
      </c>
      <c r="W58" s="66" t="s">
        <v>1975</v>
      </c>
      <c r="X58">
        <v>3</v>
      </c>
      <c r="Y58">
        <v>1</v>
      </c>
      <c r="Z58">
        <v>1</v>
      </c>
      <c r="AA58">
        <v>3</v>
      </c>
      <c r="AB58">
        <v>1</v>
      </c>
      <c r="AF58" s="33">
        <v>15</v>
      </c>
      <c r="AG58" s="10">
        <v>10131.209965976999</v>
      </c>
      <c r="AH58" s="10">
        <v>6729.8032534516669</v>
      </c>
      <c r="AI58" s="10">
        <v>6095.4015471200173</v>
      </c>
      <c r="AJ58" s="10">
        <v>23232.321921451523</v>
      </c>
      <c r="AK58" s="10">
        <v>17514.845133201128</v>
      </c>
      <c r="AL58" s="10">
        <v>38925.409005104637</v>
      </c>
      <c r="AM58" s="10">
        <v>26289.750336753412</v>
      </c>
      <c r="AN58" s="10">
        <v>12236.137164269856</v>
      </c>
      <c r="AO58" s="10">
        <v>35334.01213744453</v>
      </c>
      <c r="AQ58" s="10">
        <v>12963.5</v>
      </c>
      <c r="AR58" s="10">
        <v>118389.5</v>
      </c>
      <c r="AS58" s="33">
        <v>7</v>
      </c>
      <c r="AT58" s="198">
        <v>466.64955386125757</v>
      </c>
      <c r="AU58" s="198">
        <v>519.81714369211295</v>
      </c>
      <c r="AV58" s="198">
        <v>608.37032450820163</v>
      </c>
      <c r="AW58" s="198">
        <v>740.9555893294206</v>
      </c>
      <c r="AX58" s="198">
        <v>679.37039605293137</v>
      </c>
      <c r="AY58" s="198">
        <v>702.13749321546788</v>
      </c>
      <c r="AZ58" s="198">
        <v>635.81666597126002</v>
      </c>
      <c r="BA58" s="198">
        <v>1510.3277522910009</v>
      </c>
      <c r="BB58" s="198">
        <v>491.70372970596509</v>
      </c>
      <c r="BC58" s="198">
        <v>500.90034476420209</v>
      </c>
      <c r="BD58" s="198">
        <v>1421.9481936814175</v>
      </c>
      <c r="BE58" s="198">
        <v>1474.2511838467653</v>
      </c>
      <c r="BG58" s="10">
        <v>31217.137003004886</v>
      </c>
      <c r="BH58" s="10">
        <v>887566.35424395534</v>
      </c>
      <c r="BI58" s="33">
        <v>14</v>
      </c>
      <c r="BJ58" s="198">
        <v>7889.6944524379669</v>
      </c>
      <c r="BK58" s="198">
        <v>6864.0341736210312</v>
      </c>
      <c r="BL58" s="198">
        <v>6627.3433400478916</v>
      </c>
      <c r="BM58" s="198">
        <v>4733.8166714627796</v>
      </c>
      <c r="BN58" s="198">
        <v>4733.8166714627796</v>
      </c>
      <c r="BO58" s="198">
        <v>4733.8166714627796</v>
      </c>
    </row>
    <row r="59" spans="1:67" x14ac:dyDescent="0.35">
      <c r="A59" t="s">
        <v>29</v>
      </c>
      <c r="B59" t="s">
        <v>2261</v>
      </c>
      <c r="C59" t="s">
        <v>851</v>
      </c>
      <c r="D59">
        <v>2022</v>
      </c>
      <c r="E59">
        <v>2019</v>
      </c>
      <c r="F59" t="s">
        <v>1951</v>
      </c>
      <c r="G59">
        <v>2020</v>
      </c>
      <c r="H59" t="s">
        <v>1953</v>
      </c>
      <c r="I59" t="s">
        <v>1683</v>
      </c>
      <c r="J59" s="66">
        <v>2025</v>
      </c>
      <c r="M59" s="95">
        <f>$BJ$138/$BH$138 * 1000/$AK$92</f>
        <v>422.35214245290791</v>
      </c>
      <c r="N59" s="95">
        <f>$BJ$137/$BH$137 * 1000/$AK$92</f>
        <v>399.91113125273307</v>
      </c>
      <c r="O59" s="406">
        <f>$BJ$136/$BH$136 * 1000/$AK$92</f>
        <v>334.89002233416323</v>
      </c>
      <c r="W59" s="66" t="s">
        <v>1975</v>
      </c>
      <c r="X59">
        <v>3</v>
      </c>
      <c r="Y59">
        <v>1</v>
      </c>
      <c r="Z59">
        <v>1</v>
      </c>
      <c r="AA59">
        <v>3</v>
      </c>
      <c r="AB59">
        <v>1</v>
      </c>
      <c r="AF59" s="33">
        <v>16</v>
      </c>
      <c r="AG59" s="10">
        <v>9300.3002617870297</v>
      </c>
      <c r="AH59" s="10">
        <v>6103.1485794105492</v>
      </c>
      <c r="AI59" s="10">
        <v>5573.269127809639</v>
      </c>
      <c r="AJ59" s="10">
        <v>20406.764208872599</v>
      </c>
      <c r="AK59" s="10">
        <v>15756.981682277861</v>
      </c>
      <c r="AL59" s="10">
        <v>35973.435284248197</v>
      </c>
      <c r="AM59" s="10">
        <v>24125.87967587106</v>
      </c>
      <c r="AN59" s="10">
        <v>11229.055916023841</v>
      </c>
      <c r="AO59" s="10">
        <v>34064.90080070652</v>
      </c>
      <c r="AQ59" s="10">
        <v>12192.5</v>
      </c>
      <c r="AR59" s="10">
        <v>130582</v>
      </c>
      <c r="AS59" s="33">
        <v>8</v>
      </c>
      <c r="AT59" s="198">
        <v>655.28098084153908</v>
      </c>
      <c r="AU59" s="198">
        <v>708.85826423166498</v>
      </c>
      <c r="AV59" s="198">
        <v>798.09380939694995</v>
      </c>
      <c r="AW59" s="198">
        <v>931.70073664868801</v>
      </c>
      <c r="AX59" s="198">
        <v>1109.9611039914264</v>
      </c>
      <c r="AY59" s="198">
        <v>980.61478114479632</v>
      </c>
      <c r="AZ59" s="198">
        <v>1066.0717618808212</v>
      </c>
      <c r="BA59" s="198">
        <v>1145.4637613694324</v>
      </c>
      <c r="BB59" s="198">
        <v>700.83339753927646</v>
      </c>
      <c r="BC59" s="198">
        <v>710.10087896494588</v>
      </c>
      <c r="BD59" s="198">
        <v>1513.2276014658062</v>
      </c>
      <c r="BE59" s="198">
        <v>1109.1091976694554</v>
      </c>
      <c r="BG59" s="10">
        <v>26289.750336753412</v>
      </c>
      <c r="BH59" s="10">
        <v>913856.10458070878</v>
      </c>
      <c r="BI59" s="33">
        <v>15</v>
      </c>
      <c r="BJ59" s="198">
        <v>6679.5218158065154</v>
      </c>
      <c r="BK59" s="198">
        <v>5811.1839797516677</v>
      </c>
      <c r="BL59" s="198">
        <v>5610.7983252774729</v>
      </c>
      <c r="BM59" s="198">
        <v>4007.7130894839092</v>
      </c>
      <c r="BN59" s="198">
        <v>4007.7130894839092</v>
      </c>
      <c r="BO59" s="198">
        <v>4007.7130894839092</v>
      </c>
    </row>
    <row r="60" spans="1:67" x14ac:dyDescent="0.35">
      <c r="A60" t="s">
        <v>29</v>
      </c>
      <c r="B60" t="s">
        <v>2261</v>
      </c>
      <c r="C60" t="s">
        <v>851</v>
      </c>
      <c r="D60">
        <v>2022</v>
      </c>
      <c r="E60">
        <v>2019</v>
      </c>
      <c r="F60" t="s">
        <v>1951</v>
      </c>
      <c r="G60">
        <v>2020</v>
      </c>
      <c r="H60" t="s">
        <v>1953</v>
      </c>
      <c r="I60" t="s">
        <v>1683</v>
      </c>
      <c r="J60" s="66">
        <v>2030</v>
      </c>
      <c r="N60" s="95">
        <f>$BJ$138/$BH$138 * 1000/$AK$92</f>
        <v>422.35214245290791</v>
      </c>
      <c r="O60" s="406">
        <f>$BJ$137/$BH$137 * 1000/$AK$92</f>
        <v>399.91113125273307</v>
      </c>
      <c r="W60" s="66" t="s">
        <v>1975</v>
      </c>
      <c r="X60">
        <v>3</v>
      </c>
      <c r="Y60">
        <v>1</v>
      </c>
      <c r="Z60">
        <v>1</v>
      </c>
      <c r="AA60">
        <v>3</v>
      </c>
      <c r="AB60">
        <v>1</v>
      </c>
      <c r="AF60" s="33">
        <v>17</v>
      </c>
      <c r="AG60" s="10">
        <v>8537.5374955082807</v>
      </c>
      <c r="AH60" s="10">
        <v>5534.8456974959199</v>
      </c>
      <c r="AI60" s="10">
        <v>5095.8625991870895</v>
      </c>
      <c r="AJ60" s="10">
        <v>17924.856021042313</v>
      </c>
      <c r="AK60" s="10">
        <v>14175.544793427604</v>
      </c>
      <c r="AL60" s="10">
        <v>33245.329444843795</v>
      </c>
      <c r="AM60" s="10">
        <v>22140.114024623639</v>
      </c>
      <c r="AN60" s="10">
        <v>10304.861335927502</v>
      </c>
      <c r="AO60" s="10">
        <v>32584.6515685997</v>
      </c>
      <c r="AQ60" s="10">
        <v>11383.5</v>
      </c>
      <c r="AR60" s="10">
        <v>141965.5</v>
      </c>
      <c r="AS60" s="33">
        <v>9</v>
      </c>
      <c r="AT60" s="198">
        <v>468.12248520881178</v>
      </c>
      <c r="AU60" s="198">
        <v>521.05614578569066</v>
      </c>
      <c r="AV60" s="198">
        <v>609.21970616588123</v>
      </c>
      <c r="AW60" s="198">
        <v>741.22161612398565</v>
      </c>
      <c r="AX60" s="198">
        <v>693.89528613919174</v>
      </c>
      <c r="AY60" s="198">
        <v>716.56221156042159</v>
      </c>
      <c r="AZ60" s="198">
        <v>650.53318580072141</v>
      </c>
      <c r="BA60" s="198">
        <v>672.13122792940908</v>
      </c>
      <c r="BB60" s="198">
        <v>512.40469400275333</v>
      </c>
      <c r="BC60" s="198">
        <v>521.56084536296453</v>
      </c>
      <c r="BD60" s="198">
        <v>895.6801306630864</v>
      </c>
      <c r="BE60" s="198">
        <v>636.21339086210912</v>
      </c>
      <c r="BG60" s="10">
        <v>24125.87967587106</v>
      </c>
      <c r="BH60" s="10">
        <v>937981.98425657989</v>
      </c>
      <c r="BI60" s="33">
        <v>16</v>
      </c>
      <c r="BJ60" s="198">
        <v>6145.1029624782414</v>
      </c>
      <c r="BK60" s="198">
        <v>5346.2395773560693</v>
      </c>
      <c r="BL60" s="198">
        <v>5161.8864884817231</v>
      </c>
      <c r="BM60" s="198">
        <v>3687.0617774869443</v>
      </c>
      <c r="BN60" s="198">
        <v>3687.0617774869443</v>
      </c>
      <c r="BO60" s="198">
        <v>3687.0617774869443</v>
      </c>
    </row>
    <row r="61" spans="1:67" x14ac:dyDescent="0.35">
      <c r="A61" t="s">
        <v>29</v>
      </c>
      <c r="B61" t="s">
        <v>2261</v>
      </c>
      <c r="C61" t="s">
        <v>851</v>
      </c>
      <c r="D61">
        <v>2022</v>
      </c>
      <c r="E61">
        <v>2019</v>
      </c>
      <c r="F61" t="s">
        <v>1951</v>
      </c>
      <c r="G61">
        <v>2020</v>
      </c>
      <c r="H61" t="s">
        <v>1953</v>
      </c>
      <c r="I61" t="s">
        <v>1683</v>
      </c>
      <c r="J61" s="66">
        <v>2035</v>
      </c>
      <c r="O61" s="406">
        <f>$BJ$138/$BH$138 * 1000/$AK$92</f>
        <v>422.35214245290791</v>
      </c>
      <c r="W61" s="66" t="s">
        <v>1975</v>
      </c>
      <c r="X61">
        <v>3</v>
      </c>
      <c r="Y61">
        <v>1</v>
      </c>
      <c r="Z61">
        <v>1</v>
      </c>
      <c r="AA61">
        <v>3</v>
      </c>
      <c r="AB61">
        <v>1</v>
      </c>
      <c r="AF61" s="33">
        <v>18</v>
      </c>
      <c r="AG61" s="10">
        <v>7837.3326059909696</v>
      </c>
      <c r="AH61" s="10">
        <v>5019.4611021656992</v>
      </c>
      <c r="AI61" s="10">
        <v>4659.3507390875739</v>
      </c>
      <c r="AJ61" s="10">
        <v>15744.802070844704</v>
      </c>
      <c r="AK61" s="10">
        <v>12752.827555576829</v>
      </c>
      <c r="AL61" s="10">
        <v>30724.114090381525</v>
      </c>
      <c r="AM61" s="10">
        <v>20317.793821776504</v>
      </c>
      <c r="AN61" s="10">
        <v>9456.7315317363755</v>
      </c>
      <c r="AO61" s="10">
        <v>30890.001442701658</v>
      </c>
      <c r="AQ61" s="10">
        <v>10537.5</v>
      </c>
      <c r="AR61" s="10">
        <v>152503</v>
      </c>
      <c r="AS61" s="33">
        <v>10</v>
      </c>
      <c r="AT61" s="198">
        <v>1445.985972765842</v>
      </c>
      <c r="AU61" s="198">
        <v>1497.3190252550755</v>
      </c>
      <c r="AV61" s="198">
        <v>1582.8166957980197</v>
      </c>
      <c r="AW61" s="198">
        <v>1710.8271318553773</v>
      </c>
      <c r="AX61" s="198">
        <v>2096.452241817683</v>
      </c>
      <c r="AY61" s="198">
        <v>2118.4337647227089</v>
      </c>
      <c r="AZ61" s="198">
        <v>2054.4013247176786</v>
      </c>
      <c r="BA61" s="198">
        <v>1624.1200438718981</v>
      </c>
      <c r="BB61" s="198">
        <v>1470.1756591481364</v>
      </c>
      <c r="BC61" s="198">
        <v>1479.0549467932908</v>
      </c>
      <c r="BD61" s="198">
        <v>1127.4699155515484</v>
      </c>
      <c r="BE61" s="198">
        <v>1589.2882904019557</v>
      </c>
      <c r="BG61" s="10">
        <v>22140.114024623639</v>
      </c>
      <c r="BH61" s="10">
        <v>960122.09828120354</v>
      </c>
      <c r="BI61" s="33">
        <v>17</v>
      </c>
      <c r="BJ61" s="198">
        <v>5639.3085810832144</v>
      </c>
      <c r="BK61" s="198">
        <v>4906.1984655423967</v>
      </c>
      <c r="BL61" s="198">
        <v>4737.0192081099003</v>
      </c>
      <c r="BM61" s="198">
        <v>3383.5851486499282</v>
      </c>
      <c r="BN61" s="198">
        <v>3383.5851486499282</v>
      </c>
      <c r="BO61" s="198">
        <v>3383.5851486499282</v>
      </c>
    </row>
    <row r="62" spans="1:67" x14ac:dyDescent="0.35">
      <c r="A62" t="s">
        <v>30</v>
      </c>
      <c r="B62" t="s">
        <v>2261</v>
      </c>
      <c r="C62" t="s">
        <v>851</v>
      </c>
      <c r="D62">
        <v>2022</v>
      </c>
      <c r="E62">
        <v>2019</v>
      </c>
      <c r="F62" t="s">
        <v>1951</v>
      </c>
      <c r="G62">
        <v>2020</v>
      </c>
      <c r="H62" t="s">
        <v>1953</v>
      </c>
      <c r="I62" t="s">
        <v>1683</v>
      </c>
      <c r="J62" s="66">
        <v>2021</v>
      </c>
      <c r="L62" s="95">
        <f>$BJ$143/$BH$143 * 1000/$AK$93</f>
        <v>29.769207707003211</v>
      </c>
      <c r="M62" s="95">
        <f>$BJ$142/$BH$142 * 1000/$AK$93</f>
        <v>28.810028101578236</v>
      </c>
      <c r="N62" s="95">
        <f>$BJ$141/$BH$141 * 1000/$AK$93</f>
        <v>25.096521561516976</v>
      </c>
      <c r="O62" s="406">
        <f>$BJ$140/$BH$140 * 1000/$AK$93</f>
        <v>17.291224343236781</v>
      </c>
      <c r="W62" s="66" t="s">
        <v>1976</v>
      </c>
      <c r="X62">
        <v>3</v>
      </c>
      <c r="Y62">
        <v>1</v>
      </c>
      <c r="Z62">
        <v>1</v>
      </c>
      <c r="AA62">
        <v>3</v>
      </c>
      <c r="AB62">
        <v>1</v>
      </c>
      <c r="AQ62" s="10">
        <v>9702</v>
      </c>
      <c r="AR62" s="10">
        <v>162205</v>
      </c>
      <c r="AS62" s="33">
        <v>11</v>
      </c>
      <c r="AT62" s="198">
        <v>457.57638375251372</v>
      </c>
      <c r="AU62" s="198">
        <v>506.68074143616474</v>
      </c>
      <c r="AV62" s="198">
        <v>588.46641347155037</v>
      </c>
      <c r="AW62" s="198">
        <v>710.91910105951399</v>
      </c>
      <c r="AX62" s="198">
        <v>870.12495577092704</v>
      </c>
      <c r="AY62" s="198">
        <v>891.15212074199815</v>
      </c>
      <c r="AZ62" s="198">
        <v>829.89973685106531</v>
      </c>
      <c r="BA62" s="198">
        <v>899.6330827728608</v>
      </c>
      <c r="BB62" s="198">
        <v>702.89397161091415</v>
      </c>
      <c r="BC62" s="198">
        <v>711.38775281738208</v>
      </c>
      <c r="BD62" s="198">
        <v>824.10137757625512</v>
      </c>
      <c r="BE62" s="198">
        <v>866.31359760303701</v>
      </c>
      <c r="BG62" s="10">
        <v>20317.793821776504</v>
      </c>
      <c r="BH62" s="10">
        <v>980439.89210298005</v>
      </c>
      <c r="BI62" s="33">
        <v>18</v>
      </c>
      <c r="BJ62" s="198">
        <v>5163.4103673059744</v>
      </c>
      <c r="BK62" s="198">
        <v>4492.1670195561983</v>
      </c>
      <c r="BL62" s="198">
        <v>4337.2647085370181</v>
      </c>
      <c r="BM62" s="198">
        <v>3098.0462203835846</v>
      </c>
      <c r="BN62" s="198">
        <v>3098.0462203835846</v>
      </c>
      <c r="BO62" s="198">
        <v>3098.0462203835846</v>
      </c>
    </row>
    <row r="63" spans="1:67" x14ac:dyDescent="0.35">
      <c r="A63" t="s">
        <v>30</v>
      </c>
      <c r="B63" t="s">
        <v>2261</v>
      </c>
      <c r="C63" t="s">
        <v>851</v>
      </c>
      <c r="D63">
        <v>2022</v>
      </c>
      <c r="E63">
        <v>2019</v>
      </c>
      <c r="F63" t="s">
        <v>1951</v>
      </c>
      <c r="G63">
        <v>2020</v>
      </c>
      <c r="H63" t="s">
        <v>1953</v>
      </c>
      <c r="I63" t="s">
        <v>1683</v>
      </c>
      <c r="J63" s="66">
        <v>2025</v>
      </c>
      <c r="M63" s="95">
        <f>$BJ$143/$BH$143 * 1000/$AK$93</f>
        <v>29.769207707003211</v>
      </c>
      <c r="N63" s="95">
        <f>$BJ$142/$BH$142 * 1000/$AK$93</f>
        <v>28.810028101578236</v>
      </c>
      <c r="O63" s="406">
        <f>$BJ$141/$BH$141 * 1000/$AK$93</f>
        <v>25.096521561516976</v>
      </c>
      <c r="W63" s="66" t="s">
        <v>1976</v>
      </c>
      <c r="X63">
        <v>3</v>
      </c>
      <c r="Y63">
        <v>1</v>
      </c>
      <c r="Z63">
        <v>1</v>
      </c>
      <c r="AA63">
        <v>3</v>
      </c>
      <c r="AB63">
        <v>1</v>
      </c>
      <c r="AQ63" s="10">
        <v>8915.5</v>
      </c>
      <c r="AR63" s="10">
        <v>171120.5</v>
      </c>
      <c r="AS63" s="33">
        <v>12</v>
      </c>
      <c r="AT63" s="198">
        <v>337.05945182710605</v>
      </c>
      <c r="AU63" s="198">
        <v>383.61562509257317</v>
      </c>
      <c r="AV63" s="198">
        <v>461.15717328758814</v>
      </c>
      <c r="AW63" s="198">
        <v>577.25539367150805</v>
      </c>
      <c r="AX63" s="198">
        <v>517.76337207574602</v>
      </c>
      <c r="AY63" s="198">
        <v>537.69936924287072</v>
      </c>
      <c r="AZ63" s="198">
        <v>479.62557025906642</v>
      </c>
      <c r="BA63" s="198">
        <v>520.89496072523229</v>
      </c>
      <c r="BB63" s="198">
        <v>358.99812829072783</v>
      </c>
      <c r="BC63" s="198">
        <v>367.05113963597046</v>
      </c>
      <c r="BD63" s="198">
        <v>474.12810665731013</v>
      </c>
      <c r="BE63" s="198">
        <v>489.30453173161675</v>
      </c>
      <c r="BG63" s="33" t="s">
        <v>1666</v>
      </c>
      <c r="BI63" s="33"/>
    </row>
    <row r="64" spans="1:67" x14ac:dyDescent="0.35">
      <c r="A64" t="s">
        <v>30</v>
      </c>
      <c r="B64" t="s">
        <v>2261</v>
      </c>
      <c r="C64" t="s">
        <v>851</v>
      </c>
      <c r="D64">
        <v>2022</v>
      </c>
      <c r="E64">
        <v>2019</v>
      </c>
      <c r="F64" t="s">
        <v>1951</v>
      </c>
      <c r="G64">
        <v>2020</v>
      </c>
      <c r="H64" t="s">
        <v>1953</v>
      </c>
      <c r="I64" t="s">
        <v>1683</v>
      </c>
      <c r="J64" s="66">
        <v>2030</v>
      </c>
      <c r="N64" s="95">
        <f>$BJ$143/$BH$143 * 1000/$AK$93</f>
        <v>29.769207707003211</v>
      </c>
      <c r="O64" s="406">
        <f>$BJ$142/$BH$142 * 1000/$AK$93</f>
        <v>28.810028101578236</v>
      </c>
      <c r="W64" s="66" t="s">
        <v>1976</v>
      </c>
      <c r="X64">
        <v>3</v>
      </c>
      <c r="Y64">
        <v>1</v>
      </c>
      <c r="Z64">
        <v>1</v>
      </c>
      <c r="AA64">
        <v>3</v>
      </c>
      <c r="AB64">
        <v>1</v>
      </c>
      <c r="AQ64" s="10">
        <v>8172.5</v>
      </c>
      <c r="AR64" s="10">
        <v>179293</v>
      </c>
      <c r="AS64" s="33">
        <v>13</v>
      </c>
      <c r="AT64" s="198">
        <v>293.67358307223549</v>
      </c>
      <c r="AU64" s="198">
        <v>337.444121102319</v>
      </c>
      <c r="AV64" s="198">
        <v>410.34605968795825</v>
      </c>
      <c r="AW64" s="198">
        <v>519.4976761999776</v>
      </c>
      <c r="AX64" s="198">
        <v>464.1434326561569</v>
      </c>
      <c r="AY64" s="198">
        <v>482.88658229596041</v>
      </c>
      <c r="AZ64" s="198">
        <v>428.28756247365266</v>
      </c>
      <c r="BA64" s="198">
        <v>401.06954389102526</v>
      </c>
      <c r="BB64" s="198">
        <v>314.29958398956023</v>
      </c>
      <c r="BC64" s="198">
        <v>321.87075263638485</v>
      </c>
      <c r="BD64" s="198">
        <v>423.11903330185839</v>
      </c>
      <c r="BE64" s="198">
        <v>371.36929198743218</v>
      </c>
      <c r="BG64" s="10">
        <v>114403.41737547633</v>
      </c>
      <c r="BH64" s="10">
        <v>114403.41737547633</v>
      </c>
      <c r="BI64" s="33">
        <v>0</v>
      </c>
      <c r="BJ64" s="198">
        <v>12721.660012152968</v>
      </c>
      <c r="BK64" s="198">
        <v>11067.844210573083</v>
      </c>
      <c r="BL64" s="198">
        <v>10686.194410208493</v>
      </c>
      <c r="BM64" s="198">
        <v>7632.9960072917802</v>
      </c>
      <c r="BN64" s="198">
        <v>7632.9960072917802</v>
      </c>
      <c r="BO64" s="198">
        <v>7632.9960072917802</v>
      </c>
    </row>
    <row r="65" spans="1:67" x14ac:dyDescent="0.35">
      <c r="A65" t="s">
        <v>30</v>
      </c>
      <c r="B65" t="s">
        <v>2261</v>
      </c>
      <c r="C65" t="s">
        <v>851</v>
      </c>
      <c r="D65">
        <v>2022</v>
      </c>
      <c r="E65">
        <v>2019</v>
      </c>
      <c r="F65" t="s">
        <v>1951</v>
      </c>
      <c r="G65">
        <v>2020</v>
      </c>
      <c r="H65" t="s">
        <v>1953</v>
      </c>
      <c r="I65" t="s">
        <v>1683</v>
      </c>
      <c r="J65" s="66">
        <v>2035</v>
      </c>
      <c r="O65" s="406">
        <f>$BJ$143/$BH$143 * 1000/$AK$93</f>
        <v>29.769207707003211</v>
      </c>
      <c r="W65" s="66" t="s">
        <v>1976</v>
      </c>
      <c r="X65">
        <v>3</v>
      </c>
      <c r="Y65">
        <v>1</v>
      </c>
      <c r="Z65">
        <v>1</v>
      </c>
      <c r="AA65">
        <v>3</v>
      </c>
      <c r="AB65">
        <v>1</v>
      </c>
      <c r="AQ65" s="10">
        <v>7848</v>
      </c>
      <c r="AR65" s="10">
        <v>187141</v>
      </c>
      <c r="AS65" s="33">
        <v>14</v>
      </c>
      <c r="AT65" s="198">
        <v>375.42566745980014</v>
      </c>
      <c r="AU65" s="198">
        <v>418.31604552712349</v>
      </c>
      <c r="AV65" s="198">
        <v>489.75203531618666</v>
      </c>
      <c r="AW65" s="198">
        <v>596.70877630123834</v>
      </c>
      <c r="AX65" s="198">
        <v>1253.3733358985787</v>
      </c>
      <c r="AY65" s="198">
        <v>1158.0992994475585</v>
      </c>
      <c r="AZ65" s="198">
        <v>1218.2384735625596</v>
      </c>
      <c r="BA65" s="198">
        <v>538.74487095257655</v>
      </c>
      <c r="BB65" s="198">
        <v>410.78894898099526</v>
      </c>
      <c r="BC65" s="198">
        <v>418.20787276599839</v>
      </c>
      <c r="BD65" s="198">
        <v>516.18010063746476</v>
      </c>
      <c r="BE65" s="198">
        <v>509.64184663141498</v>
      </c>
      <c r="BG65" s="10">
        <v>124973.24643408001</v>
      </c>
      <c r="BH65" s="10">
        <v>239376.66380955634</v>
      </c>
      <c r="BI65" s="33">
        <v>1</v>
      </c>
      <c r="BJ65" s="198">
        <v>16544.077385082968</v>
      </c>
      <c r="BK65" s="198">
        <v>14393.347325022183</v>
      </c>
      <c r="BL65" s="198">
        <v>13897.025003469693</v>
      </c>
      <c r="BM65" s="198">
        <v>9926.4464310497806</v>
      </c>
      <c r="BN65" s="198">
        <v>9926.4464310497806</v>
      </c>
      <c r="BO65" s="198">
        <v>9926.4464310497806</v>
      </c>
    </row>
    <row r="66" spans="1:67" x14ac:dyDescent="0.35">
      <c r="A66" t="s">
        <v>1090</v>
      </c>
      <c r="B66" t="s">
        <v>2261</v>
      </c>
      <c r="C66" t="s">
        <v>1828</v>
      </c>
      <c r="D66">
        <v>2015</v>
      </c>
      <c r="E66">
        <v>2005</v>
      </c>
      <c r="F66" t="s">
        <v>1951</v>
      </c>
      <c r="G66">
        <v>2020</v>
      </c>
      <c r="H66" t="s">
        <v>1953</v>
      </c>
      <c r="I66" t="s">
        <v>1672</v>
      </c>
      <c r="J66" s="66">
        <v>2021</v>
      </c>
      <c r="L66" s="420">
        <f>$AK$139*1000</f>
        <v>241.77467718525196</v>
      </c>
      <c r="M66" s="420">
        <f t="shared" ref="M66:O69" si="4">$AK$139*1000</f>
        <v>241.77467718525196</v>
      </c>
      <c r="N66" s="420">
        <f t="shared" si="4"/>
        <v>241.77467718525196</v>
      </c>
      <c r="O66" s="421">
        <f t="shared" si="4"/>
        <v>241.77467718525196</v>
      </c>
      <c r="W66" s="66" t="s">
        <v>1958</v>
      </c>
      <c r="X66" s="87">
        <v>3</v>
      </c>
      <c r="Y66">
        <v>1</v>
      </c>
      <c r="Z66">
        <v>3</v>
      </c>
      <c r="AA66">
        <v>2</v>
      </c>
      <c r="AB66">
        <v>1</v>
      </c>
      <c r="AQ66" s="10">
        <v>7605</v>
      </c>
      <c r="AR66" s="10">
        <v>194746</v>
      </c>
      <c r="AS66" s="33">
        <v>15</v>
      </c>
      <c r="AT66" s="198">
        <v>353.90971866028872</v>
      </c>
      <c r="AU66" s="198">
        <v>396.13178881248115</v>
      </c>
      <c r="AV66" s="198">
        <v>466.45467959070561</v>
      </c>
      <c r="AW66" s="198">
        <v>571.7448454650247</v>
      </c>
      <c r="AX66" s="198">
        <v>515.752702081439</v>
      </c>
      <c r="AY66" s="198">
        <v>533.83277636384582</v>
      </c>
      <c r="AZ66" s="198">
        <v>481.16530301467202</v>
      </c>
      <c r="BA66" s="198">
        <v>979.40989000343029</v>
      </c>
      <c r="BB66" s="198">
        <v>373.80603469579006</v>
      </c>
      <c r="BC66" s="198">
        <v>381.10935853249043</v>
      </c>
      <c r="BD66" s="198">
        <v>957.19671870152911</v>
      </c>
      <c r="BE66" s="198">
        <v>950.76034225171168</v>
      </c>
      <c r="BG66" s="10">
        <v>116907.59879320901</v>
      </c>
      <c r="BH66" s="10">
        <v>356284.26260276535</v>
      </c>
      <c r="BI66" s="33">
        <v>2</v>
      </c>
      <c r="BJ66" s="198">
        <v>17687.244878646041</v>
      </c>
      <c r="BK66" s="198">
        <v>15387.903044422057</v>
      </c>
      <c r="BL66" s="198">
        <v>14857.285698062675</v>
      </c>
      <c r="BM66" s="198">
        <v>10612.346927187626</v>
      </c>
      <c r="BN66" s="198">
        <v>10612.346927187626</v>
      </c>
      <c r="BO66" s="198">
        <v>10612.346927187626</v>
      </c>
    </row>
    <row r="67" spans="1:67" x14ac:dyDescent="0.35">
      <c r="A67" t="s">
        <v>1090</v>
      </c>
      <c r="B67" t="s">
        <v>2261</v>
      </c>
      <c r="C67" t="s">
        <v>1828</v>
      </c>
      <c r="D67">
        <v>2015</v>
      </c>
      <c r="E67">
        <v>2005</v>
      </c>
      <c r="F67" t="s">
        <v>1951</v>
      </c>
      <c r="G67">
        <v>2020</v>
      </c>
      <c r="H67" t="s">
        <v>1953</v>
      </c>
      <c r="I67" t="s">
        <v>1672</v>
      </c>
      <c r="J67" s="66">
        <v>2025</v>
      </c>
      <c r="L67" s="420"/>
      <c r="M67" s="420">
        <f t="shared" si="4"/>
        <v>241.77467718525196</v>
      </c>
      <c r="N67" s="420">
        <f t="shared" si="4"/>
        <v>241.77467718525196</v>
      </c>
      <c r="O67" s="421">
        <f t="shared" si="4"/>
        <v>241.77467718525196</v>
      </c>
      <c r="W67" s="66" t="s">
        <v>1958</v>
      </c>
      <c r="X67" s="87">
        <v>3</v>
      </c>
      <c r="Y67">
        <v>1</v>
      </c>
      <c r="Z67">
        <v>3</v>
      </c>
      <c r="AA67">
        <v>2</v>
      </c>
      <c r="AB67">
        <v>1</v>
      </c>
      <c r="AQ67" s="33" t="s">
        <v>1651</v>
      </c>
      <c r="AS67" s="33"/>
      <c r="BG67" s="10">
        <v>107566.865229282</v>
      </c>
      <c r="BH67" s="10">
        <v>463851.12783204735</v>
      </c>
      <c r="BI67" s="33">
        <v>3</v>
      </c>
      <c r="BJ67" s="198">
        <v>18082.290874521783</v>
      </c>
      <c r="BK67" s="198">
        <v>15731.593060833951</v>
      </c>
      <c r="BL67" s="198">
        <v>15189.124334598295</v>
      </c>
      <c r="BM67" s="198">
        <v>10849.374524713068</v>
      </c>
      <c r="BN67" s="198">
        <v>10849.374524713068</v>
      </c>
      <c r="BO67" s="198">
        <v>10849.374524713068</v>
      </c>
    </row>
    <row r="68" spans="1:67" x14ac:dyDescent="0.35">
      <c r="A68" t="s">
        <v>1090</v>
      </c>
      <c r="B68" t="s">
        <v>2261</v>
      </c>
      <c r="C68" t="s">
        <v>1828</v>
      </c>
      <c r="D68">
        <v>2015</v>
      </c>
      <c r="E68">
        <v>2005</v>
      </c>
      <c r="F68" t="s">
        <v>1951</v>
      </c>
      <c r="G68">
        <v>2020</v>
      </c>
      <c r="H68" t="s">
        <v>1953</v>
      </c>
      <c r="I68" t="s">
        <v>1672</v>
      </c>
      <c r="J68" s="66">
        <v>2030</v>
      </c>
      <c r="L68" s="420"/>
      <c r="M68" s="420"/>
      <c r="N68" s="420">
        <f t="shared" si="4"/>
        <v>241.77467718525196</v>
      </c>
      <c r="O68" s="421">
        <f t="shared" si="4"/>
        <v>241.77467718525196</v>
      </c>
      <c r="W68" s="66" t="s">
        <v>1958</v>
      </c>
      <c r="X68" s="87">
        <v>3</v>
      </c>
      <c r="Y68">
        <v>1</v>
      </c>
      <c r="Z68">
        <v>3</v>
      </c>
      <c r="AA68">
        <v>2</v>
      </c>
      <c r="AB68">
        <v>1</v>
      </c>
      <c r="AQ68" s="10">
        <v>18918</v>
      </c>
      <c r="AR68" s="10">
        <v>18918</v>
      </c>
      <c r="AS68" s="33">
        <v>0</v>
      </c>
      <c r="AT68" s="198">
        <v>145</v>
      </c>
      <c r="AU68" s="198">
        <v>145</v>
      </c>
      <c r="AV68" s="198">
        <v>145</v>
      </c>
      <c r="AW68" s="198">
        <v>145</v>
      </c>
      <c r="AX68" s="198">
        <v>315</v>
      </c>
      <c r="AY68" s="198">
        <v>315</v>
      </c>
      <c r="AZ68" s="198">
        <v>315</v>
      </c>
      <c r="BA68" s="198">
        <v>315</v>
      </c>
      <c r="BB68" s="198">
        <v>145</v>
      </c>
      <c r="BC68" s="198">
        <v>145</v>
      </c>
      <c r="BD68" s="198">
        <v>315</v>
      </c>
      <c r="BE68" s="198">
        <v>315</v>
      </c>
      <c r="BG68" s="10">
        <v>99409.351473932489</v>
      </c>
      <c r="BH68" s="10">
        <v>563260.4793059798</v>
      </c>
      <c r="BI68" s="33">
        <v>4</v>
      </c>
      <c r="BJ68" s="198">
        <v>18188.832651253408</v>
      </c>
      <c r="BK68" s="198">
        <v>15824.284406590465</v>
      </c>
      <c r="BL68" s="198">
        <v>15278.619427052861</v>
      </c>
      <c r="BM68" s="198">
        <v>10913.299590752044</v>
      </c>
      <c r="BN68" s="198">
        <v>10913.299590752044</v>
      </c>
      <c r="BO68" s="198">
        <v>10913.299590752044</v>
      </c>
    </row>
    <row r="69" spans="1:67" x14ac:dyDescent="0.35">
      <c r="A69" t="s">
        <v>1090</v>
      </c>
      <c r="B69" t="s">
        <v>2261</v>
      </c>
      <c r="C69" t="s">
        <v>1828</v>
      </c>
      <c r="D69">
        <v>2015</v>
      </c>
      <c r="E69">
        <v>2005</v>
      </c>
      <c r="F69" t="s">
        <v>1951</v>
      </c>
      <c r="G69">
        <v>2020</v>
      </c>
      <c r="H69" t="s">
        <v>1953</v>
      </c>
      <c r="I69" t="s">
        <v>1672</v>
      </c>
      <c r="J69" s="66">
        <v>2035</v>
      </c>
      <c r="L69" s="420"/>
      <c r="M69" s="420"/>
      <c r="N69" s="420"/>
      <c r="O69" s="421">
        <f t="shared" si="4"/>
        <v>241.77467718525196</v>
      </c>
      <c r="W69" s="66" t="s">
        <v>1958</v>
      </c>
      <c r="X69" s="87">
        <v>3</v>
      </c>
      <c r="Y69">
        <v>1</v>
      </c>
      <c r="Z69">
        <v>3</v>
      </c>
      <c r="AA69">
        <v>2</v>
      </c>
      <c r="AB69">
        <v>1</v>
      </c>
      <c r="AQ69" s="10">
        <v>16968</v>
      </c>
      <c r="AR69" s="10">
        <v>35886</v>
      </c>
      <c r="AS69" s="33">
        <v>1</v>
      </c>
      <c r="AT69" s="198">
        <v>261.90476190476187</v>
      </c>
      <c r="AU69" s="198">
        <v>261.90476190476187</v>
      </c>
      <c r="AV69" s="198">
        <v>261.90476190476187</v>
      </c>
      <c r="AW69" s="198">
        <v>261.90476190476187</v>
      </c>
      <c r="AX69" s="198">
        <v>490.47619047619042</v>
      </c>
      <c r="AY69" s="198">
        <v>490.47619047619042</v>
      </c>
      <c r="AZ69" s="198">
        <v>490.47619047619042</v>
      </c>
      <c r="BA69" s="198">
        <v>371.42857142857139</v>
      </c>
      <c r="BB69" s="198">
        <v>290.47619047619048</v>
      </c>
      <c r="BC69" s="198">
        <v>290.47619047619048</v>
      </c>
      <c r="BD69" s="198">
        <v>452.38095238095235</v>
      </c>
      <c r="BE69" s="198">
        <v>371.42857142857139</v>
      </c>
      <c r="BG69" s="10">
        <v>91870.476465067535</v>
      </c>
      <c r="BH69" s="10">
        <v>655130.95577104739</v>
      </c>
      <c r="BI69" s="33">
        <v>5</v>
      </c>
      <c r="BJ69" s="198">
        <v>18010.127143523547</v>
      </c>
      <c r="BK69" s="198">
        <v>15668.810614865486</v>
      </c>
      <c r="BL69" s="198">
        <v>15128.506800559779</v>
      </c>
      <c r="BM69" s="198">
        <v>10806.076286114128</v>
      </c>
      <c r="BN69" s="198">
        <v>10806.076286114128</v>
      </c>
      <c r="BO69" s="198">
        <v>10806.076286114128</v>
      </c>
    </row>
    <row r="70" spans="1:67" x14ac:dyDescent="0.35">
      <c r="A70" t="s">
        <v>1091</v>
      </c>
      <c r="B70" t="s">
        <v>2261</v>
      </c>
      <c r="C70" t="s">
        <v>851</v>
      </c>
      <c r="D70">
        <v>2022</v>
      </c>
      <c r="E70">
        <v>2019</v>
      </c>
      <c r="F70" t="s">
        <v>1951</v>
      </c>
      <c r="G70">
        <v>2020</v>
      </c>
      <c r="H70" t="s">
        <v>1953</v>
      </c>
      <c r="I70" t="s">
        <v>1672</v>
      </c>
      <c r="J70" s="66">
        <v>2021</v>
      </c>
      <c r="M70" s="95">
        <f>M79*$BI$147</f>
        <v>10.348545264919512</v>
      </c>
      <c r="N70" s="95">
        <f>N79*$BI$147</f>
        <v>9.0563125668101723</v>
      </c>
      <c r="O70" s="406">
        <f>O79*$BI$147</f>
        <v>6.4445523317264435</v>
      </c>
      <c r="W70" s="66" t="s">
        <v>1962</v>
      </c>
      <c r="X70">
        <v>3</v>
      </c>
      <c r="Y70">
        <v>1</v>
      </c>
      <c r="Z70">
        <v>1</v>
      </c>
      <c r="AA70">
        <v>3</v>
      </c>
      <c r="AB70">
        <v>2</v>
      </c>
      <c r="AQ70" s="10">
        <v>16270</v>
      </c>
      <c r="AR70" s="10">
        <v>52156</v>
      </c>
      <c r="AS70" s="33">
        <v>2</v>
      </c>
      <c r="AT70" s="198">
        <v>1076.4248625379339</v>
      </c>
      <c r="AU70" s="198">
        <v>1087.8111158422871</v>
      </c>
      <c r="AV70" s="198">
        <v>1107.6774064791778</v>
      </c>
      <c r="AW70" s="198">
        <v>1139.2304417047701</v>
      </c>
      <c r="AX70" s="198">
        <v>1598.3530348045047</v>
      </c>
      <c r="AY70" s="198">
        <v>1600.4367601076228</v>
      </c>
      <c r="AZ70" s="198">
        <v>1588.2508035095207</v>
      </c>
      <c r="BA70" s="198">
        <v>1282.3704484753573</v>
      </c>
      <c r="BB70" s="198">
        <v>1116.6305974493064</v>
      </c>
      <c r="BC70" s="198">
        <v>1119.2500010785188</v>
      </c>
      <c r="BD70" s="198">
        <v>1276.0674515773824</v>
      </c>
      <c r="BE70" s="198">
        <v>1274.7841140279854</v>
      </c>
      <c r="BG70" s="10">
        <v>85653.655557176404</v>
      </c>
      <c r="BH70" s="10">
        <v>740784.61132822384</v>
      </c>
      <c r="BI70" s="33">
        <v>6</v>
      </c>
      <c r="BJ70" s="198">
        <v>17768.669282283183</v>
      </c>
      <c r="BK70" s="198">
        <v>15458.74227558637</v>
      </c>
      <c r="BL70" s="198">
        <v>14925.682197117874</v>
      </c>
      <c r="BM70" s="198">
        <v>10661.20156936991</v>
      </c>
      <c r="BN70" s="198">
        <v>10661.20156936991</v>
      </c>
      <c r="BO70" s="198">
        <v>10661.20156936991</v>
      </c>
    </row>
    <row r="71" spans="1:67" x14ac:dyDescent="0.35">
      <c r="A71" t="s">
        <v>1091</v>
      </c>
      <c r="B71" t="s">
        <v>2261</v>
      </c>
      <c r="C71" t="s">
        <v>851</v>
      </c>
      <c r="D71">
        <v>2022</v>
      </c>
      <c r="E71">
        <v>2019</v>
      </c>
      <c r="F71" t="s">
        <v>1951</v>
      </c>
      <c r="G71">
        <v>2020</v>
      </c>
      <c r="H71" t="s">
        <v>1953</v>
      </c>
      <c r="I71" t="s">
        <v>1672</v>
      </c>
      <c r="J71" s="66">
        <v>2025</v>
      </c>
      <c r="M71" s="95"/>
      <c r="N71" s="95">
        <f>N80*$BI$147</f>
        <v>10.348545264919512</v>
      </c>
      <c r="O71" s="406">
        <f>O80*$BI$147</f>
        <v>9.0563125668101723</v>
      </c>
      <c r="W71" s="66" t="s">
        <v>1962</v>
      </c>
      <c r="X71">
        <v>3</v>
      </c>
      <c r="Y71">
        <v>1</v>
      </c>
      <c r="Z71">
        <v>1</v>
      </c>
      <c r="AA71">
        <v>3</v>
      </c>
      <c r="AB71">
        <v>2</v>
      </c>
      <c r="AQ71" s="10">
        <v>15488</v>
      </c>
      <c r="AR71" s="10">
        <v>67644</v>
      </c>
      <c r="AS71" s="33">
        <v>3</v>
      </c>
      <c r="AT71" s="198">
        <v>433.08717860937304</v>
      </c>
      <c r="AU71" s="198">
        <v>464.05261186514684</v>
      </c>
      <c r="AV71" s="198">
        <v>518.07989198206246</v>
      </c>
      <c r="AW71" s="198">
        <v>603.88980505694713</v>
      </c>
      <c r="AX71" s="198">
        <v>970.9159035559328</v>
      </c>
      <c r="AY71" s="198">
        <v>782.21922953324986</v>
      </c>
      <c r="AZ71" s="198">
        <v>943.44242650096328</v>
      </c>
      <c r="BA71" s="198">
        <v>672.59150102965555</v>
      </c>
      <c r="BB71" s="198">
        <v>494.3423931464967</v>
      </c>
      <c r="BC71" s="198">
        <v>501.465980342585</v>
      </c>
      <c r="BD71" s="198">
        <v>1065.7730738580935</v>
      </c>
      <c r="BE71" s="198">
        <v>651.96011977483454</v>
      </c>
      <c r="BG71" s="10">
        <v>79157.966834498729</v>
      </c>
      <c r="BH71" s="10">
        <v>819942.57816272252</v>
      </c>
      <c r="BI71" s="33">
        <v>7</v>
      </c>
      <c r="BJ71" s="198">
        <v>17203.112065231235</v>
      </c>
      <c r="BK71" s="198">
        <v>14966.707496751176</v>
      </c>
      <c r="BL71" s="198">
        <v>14450.614134794238</v>
      </c>
      <c r="BM71" s="198">
        <v>10321.867239138743</v>
      </c>
      <c r="BN71" s="198">
        <v>10321.867239138743</v>
      </c>
      <c r="BO71" s="198">
        <v>10321.867239138743</v>
      </c>
    </row>
    <row r="72" spans="1:67" x14ac:dyDescent="0.35">
      <c r="A72" t="s">
        <v>1091</v>
      </c>
      <c r="B72" t="s">
        <v>2261</v>
      </c>
      <c r="C72" t="s">
        <v>851</v>
      </c>
      <c r="D72">
        <v>2022</v>
      </c>
      <c r="E72">
        <v>2019</v>
      </c>
      <c r="F72" t="s">
        <v>1951</v>
      </c>
      <c r="G72">
        <v>2020</v>
      </c>
      <c r="H72" t="s">
        <v>1953</v>
      </c>
      <c r="I72" t="s">
        <v>1672</v>
      </c>
      <c r="J72" s="66">
        <v>2030</v>
      </c>
      <c r="N72" s="95"/>
      <c r="O72" s="406">
        <f>O81*$BI$147</f>
        <v>10.348545264919512</v>
      </c>
      <c r="W72" s="66" t="s">
        <v>1962</v>
      </c>
      <c r="X72">
        <v>3</v>
      </c>
      <c r="Y72">
        <v>1</v>
      </c>
      <c r="Z72">
        <v>1</v>
      </c>
      <c r="AA72">
        <v>3</v>
      </c>
      <c r="AB72">
        <v>2</v>
      </c>
      <c r="AQ72" s="10">
        <v>14591.5</v>
      </c>
      <c r="AR72" s="10">
        <v>82235.5</v>
      </c>
      <c r="AS72" s="33">
        <v>4</v>
      </c>
      <c r="AT72" s="198">
        <v>898.31063671710285</v>
      </c>
      <c r="AU72" s="198">
        <v>944.61613115138186</v>
      </c>
      <c r="AV72" s="198">
        <v>1025.4081516630465</v>
      </c>
      <c r="AW72" s="198">
        <v>1153.7277013839966</v>
      </c>
      <c r="AX72" s="198">
        <v>1086.7095525745167</v>
      </c>
      <c r="AY72" s="198">
        <v>1095.1836245845964</v>
      </c>
      <c r="AZ72" s="198">
        <v>1045.6259052587804</v>
      </c>
      <c r="BA72" s="198">
        <v>1450.5947504339908</v>
      </c>
      <c r="BB72" s="198">
        <v>1263.7848978576985</v>
      </c>
      <c r="BC72" s="198">
        <v>1274.4374608151072</v>
      </c>
      <c r="BD72" s="198">
        <v>1067.0862128211947</v>
      </c>
      <c r="BE72" s="198">
        <v>1419.7427257916918</v>
      </c>
      <c r="BG72" s="10">
        <v>73154.889567893188</v>
      </c>
      <c r="BH72" s="10">
        <v>893097.46773061575</v>
      </c>
      <c r="BI72" s="33">
        <v>8</v>
      </c>
      <c r="BJ72" s="198">
        <v>16517.906690479806</v>
      </c>
      <c r="BK72" s="198">
        <v>14370.57882071743</v>
      </c>
      <c r="BL72" s="198">
        <v>13875.041620003038</v>
      </c>
      <c r="BM72" s="198">
        <v>9910.7440142878841</v>
      </c>
      <c r="BN72" s="198">
        <v>9910.7440142878841</v>
      </c>
      <c r="BO72" s="198">
        <v>9910.7440142878841</v>
      </c>
    </row>
    <row r="73" spans="1:67" x14ac:dyDescent="0.35">
      <c r="A73" t="s">
        <v>403</v>
      </c>
      <c r="B73" t="s">
        <v>2261</v>
      </c>
      <c r="C73" t="s">
        <v>851</v>
      </c>
      <c r="D73">
        <v>2022</v>
      </c>
      <c r="E73">
        <v>2019</v>
      </c>
      <c r="F73" t="s">
        <v>1951</v>
      </c>
      <c r="G73">
        <v>2020</v>
      </c>
      <c r="H73" t="s">
        <v>1953</v>
      </c>
      <c r="I73" t="s">
        <v>1672</v>
      </c>
      <c r="J73" s="66">
        <v>2021</v>
      </c>
      <c r="M73" s="95">
        <f>M82*$BJ$148</f>
        <v>16.842396929779774</v>
      </c>
      <c r="N73" s="95">
        <f>N82*$BJ$148</f>
        <v>14.73927079272006</v>
      </c>
      <c r="O73" s="406">
        <f>O82*$BJ$148</f>
        <v>10.48859580037975</v>
      </c>
      <c r="W73" s="66" t="s">
        <v>1962</v>
      </c>
      <c r="X73">
        <v>3</v>
      </c>
      <c r="Y73">
        <v>1</v>
      </c>
      <c r="Z73">
        <v>1</v>
      </c>
      <c r="AA73">
        <v>3</v>
      </c>
      <c r="AB73">
        <v>2</v>
      </c>
      <c r="AQ73" s="10">
        <v>13635.5</v>
      </c>
      <c r="AR73" s="10">
        <v>95871</v>
      </c>
      <c r="AS73" s="33">
        <v>5</v>
      </c>
      <c r="AT73" s="198">
        <v>356.64304789244835</v>
      </c>
      <c r="AU73" s="198">
        <v>406.04297943397597</v>
      </c>
      <c r="AV73" s="198">
        <v>492.23405310974675</v>
      </c>
      <c r="AW73" s="198">
        <v>629.12875748767885</v>
      </c>
      <c r="AX73" s="198">
        <v>1494.8708883156212</v>
      </c>
      <c r="AY73" s="198">
        <v>1503.9112534448623</v>
      </c>
      <c r="AZ73" s="198">
        <v>1451.0417619955444</v>
      </c>
      <c r="BA73" s="198">
        <v>561.05071222514812</v>
      </c>
      <c r="BB73" s="198">
        <v>413.021973495125</v>
      </c>
      <c r="BC73" s="198">
        <v>424.38641063734548</v>
      </c>
      <c r="BD73" s="198">
        <v>568.96346591288352</v>
      </c>
      <c r="BE73" s="198">
        <v>528.13695277031206</v>
      </c>
      <c r="BG73" s="10">
        <v>67607.065740833175</v>
      </c>
      <c r="BH73" s="10">
        <v>960704.53347144893</v>
      </c>
      <c r="BI73" s="33">
        <v>9</v>
      </c>
      <c r="BJ73" s="198">
        <v>15749.854419637189</v>
      </c>
      <c r="BK73" s="198">
        <v>13702.373345084356</v>
      </c>
      <c r="BL73" s="198">
        <v>13229.877712495238</v>
      </c>
      <c r="BM73" s="198">
        <v>9449.9126517823133</v>
      </c>
      <c r="BN73" s="198">
        <v>9449.9126517823133</v>
      </c>
      <c r="BO73" s="198">
        <v>9449.9126517823133</v>
      </c>
    </row>
    <row r="74" spans="1:67" x14ac:dyDescent="0.35">
      <c r="A74" t="s">
        <v>403</v>
      </c>
      <c r="B74" t="s">
        <v>2261</v>
      </c>
      <c r="C74" t="s">
        <v>851</v>
      </c>
      <c r="D74">
        <v>2022</v>
      </c>
      <c r="E74">
        <v>2019</v>
      </c>
      <c r="F74" t="s">
        <v>1951</v>
      </c>
      <c r="G74">
        <v>2020</v>
      </c>
      <c r="H74" t="s">
        <v>1953</v>
      </c>
      <c r="I74" t="s">
        <v>1672</v>
      </c>
      <c r="J74" s="66">
        <v>2025</v>
      </c>
      <c r="M74" s="95"/>
      <c r="N74" s="95">
        <f>N83*$BJ$148</f>
        <v>16.842396929779774</v>
      </c>
      <c r="O74" s="406">
        <f>O83*$BJ$148</f>
        <v>14.73927079272006</v>
      </c>
      <c r="W74" s="66" t="s">
        <v>1962</v>
      </c>
      <c r="X74">
        <v>3</v>
      </c>
      <c r="Y74">
        <v>1</v>
      </c>
      <c r="Z74">
        <v>1</v>
      </c>
      <c r="AA74">
        <v>3</v>
      </c>
      <c r="AB74">
        <v>2</v>
      </c>
      <c r="AQ74" s="10">
        <v>12663.5</v>
      </c>
      <c r="AR74" s="10">
        <v>108534.5</v>
      </c>
      <c r="AS74" s="33">
        <v>6</v>
      </c>
      <c r="AT74" s="198">
        <v>1761.8721261167932</v>
      </c>
      <c r="AU74" s="198">
        <v>1812.848216556873</v>
      </c>
      <c r="AV74" s="198">
        <v>1901.7893107996888</v>
      </c>
      <c r="AW74" s="198">
        <v>2043.051790592219</v>
      </c>
      <c r="AX74" s="198">
        <v>2648.6463481246483</v>
      </c>
      <c r="AY74" s="198">
        <v>2657.9751560006698</v>
      </c>
      <c r="AZ74" s="198">
        <v>2603.4188055454906</v>
      </c>
      <c r="BA74" s="198">
        <v>2020.9790417654024</v>
      </c>
      <c r="BB74" s="198">
        <v>1842.4363449631985</v>
      </c>
      <c r="BC74" s="198">
        <v>1854.1633769141526</v>
      </c>
      <c r="BD74" s="198">
        <v>1992.7606163249745</v>
      </c>
      <c r="BE74" s="198">
        <v>1987.015132781393</v>
      </c>
      <c r="BG74" s="10">
        <v>62479.97044467376</v>
      </c>
      <c r="BH74" s="10">
        <v>1023184.5039161227</v>
      </c>
      <c r="BI74" s="33">
        <v>10</v>
      </c>
      <c r="BJ74" s="198">
        <v>14928.6541298104</v>
      </c>
      <c r="BK74" s="198">
        <v>12987.92909293505</v>
      </c>
      <c r="BL74" s="198">
        <v>12540.069469040738</v>
      </c>
      <c r="BM74" s="198">
        <v>8957.1924778862394</v>
      </c>
      <c r="BN74" s="198">
        <v>8957.1924778862394</v>
      </c>
      <c r="BO74" s="198">
        <v>8957.1924778862394</v>
      </c>
    </row>
    <row r="75" spans="1:67" x14ac:dyDescent="0.35">
      <c r="A75" t="s">
        <v>403</v>
      </c>
      <c r="B75" t="s">
        <v>2261</v>
      </c>
      <c r="C75" t="s">
        <v>851</v>
      </c>
      <c r="D75">
        <v>2022</v>
      </c>
      <c r="E75">
        <v>2019</v>
      </c>
      <c r="F75" t="s">
        <v>1951</v>
      </c>
      <c r="G75">
        <v>2020</v>
      </c>
      <c r="H75" t="s">
        <v>1953</v>
      </c>
      <c r="I75" t="s">
        <v>1672</v>
      </c>
      <c r="J75" s="66">
        <v>2030</v>
      </c>
      <c r="N75" s="95"/>
      <c r="O75" s="406">
        <f>O84*$BJ$148</f>
        <v>16.842396929779774</v>
      </c>
      <c r="W75" s="66" t="s">
        <v>1962</v>
      </c>
      <c r="X75">
        <v>3</v>
      </c>
      <c r="Y75">
        <v>1</v>
      </c>
      <c r="Z75">
        <v>1</v>
      </c>
      <c r="AA75">
        <v>3</v>
      </c>
      <c r="AB75">
        <v>2</v>
      </c>
      <c r="AQ75" s="10">
        <v>11663.5</v>
      </c>
      <c r="AR75" s="10">
        <v>120198</v>
      </c>
      <c r="AS75" s="33">
        <v>7</v>
      </c>
      <c r="AT75" s="198">
        <v>553.44866064283735</v>
      </c>
      <c r="AU75" s="198">
        <v>604.55141535173959</v>
      </c>
      <c r="AV75" s="198">
        <v>693.71350847017129</v>
      </c>
      <c r="AW75" s="198">
        <v>835.32699416685239</v>
      </c>
      <c r="AX75" s="198">
        <v>987.42008319124841</v>
      </c>
      <c r="AY75" s="198">
        <v>836.86877180471038</v>
      </c>
      <c r="AZ75" s="198">
        <v>942.08016020861203</v>
      </c>
      <c r="BA75" s="198">
        <v>1697.6268195485964</v>
      </c>
      <c r="BB75" s="198">
        <v>633.09141630547936</v>
      </c>
      <c r="BC75" s="198">
        <v>644.8475873276077</v>
      </c>
      <c r="BD75" s="198">
        <v>1729.7461906460728</v>
      </c>
      <c r="BE75" s="198">
        <v>1663.5785177902355</v>
      </c>
      <c r="BG75" s="10">
        <v>57741.697025160633</v>
      </c>
      <c r="BH75" s="10">
        <v>1080926.2009412833</v>
      </c>
      <c r="BI75" s="33">
        <v>11</v>
      </c>
      <c r="BJ75" s="198">
        <v>14078.076111170509</v>
      </c>
      <c r="BK75" s="198">
        <v>12247.926216718344</v>
      </c>
      <c r="BL75" s="198">
        <v>11825.583933383228</v>
      </c>
      <c r="BM75" s="198">
        <v>8446.8456667023056</v>
      </c>
      <c r="BN75" s="198">
        <v>8446.8456667023056</v>
      </c>
      <c r="BO75" s="198">
        <v>8446.8456667023056</v>
      </c>
    </row>
    <row r="76" spans="1:67" x14ac:dyDescent="0.35">
      <c r="A76" t="s">
        <v>404</v>
      </c>
      <c r="B76" t="s">
        <v>2261</v>
      </c>
      <c r="C76" t="s">
        <v>851</v>
      </c>
      <c r="D76">
        <v>2022</v>
      </c>
      <c r="E76">
        <v>2019</v>
      </c>
      <c r="F76" t="s">
        <v>1951</v>
      </c>
      <c r="G76">
        <v>2020</v>
      </c>
      <c r="H76" t="s">
        <v>1953</v>
      </c>
      <c r="I76" t="s">
        <v>1672</v>
      </c>
      <c r="J76" s="66">
        <v>2021</v>
      </c>
      <c r="M76" s="95">
        <f>M85*$BP$129</f>
        <v>16.842396929779774</v>
      </c>
      <c r="N76" s="95">
        <f>N85*$BP$129</f>
        <v>14.73927079272006</v>
      </c>
      <c r="O76" s="406">
        <f>O85*$BP$129</f>
        <v>10.48859580037975</v>
      </c>
      <c r="W76" s="66" t="s">
        <v>1962</v>
      </c>
      <c r="X76">
        <v>3</v>
      </c>
      <c r="Y76">
        <v>1</v>
      </c>
      <c r="Z76">
        <v>1</v>
      </c>
      <c r="AA76">
        <v>3</v>
      </c>
      <c r="AB76">
        <v>2</v>
      </c>
      <c r="AQ76" s="10">
        <v>10732.5</v>
      </c>
      <c r="AR76" s="10">
        <v>130930.5</v>
      </c>
      <c r="AS76" s="33">
        <v>8</v>
      </c>
      <c r="AT76" s="198">
        <v>423.84380826687737</v>
      </c>
      <c r="AU76" s="198">
        <v>474.22628794217326</v>
      </c>
      <c r="AV76" s="198">
        <v>562.1316732767857</v>
      </c>
      <c r="AW76" s="198">
        <v>701.74916758806489</v>
      </c>
      <c r="AX76" s="198">
        <v>569.8841104958201</v>
      </c>
      <c r="AY76" s="198">
        <v>579.10428546708192</v>
      </c>
      <c r="AZ76" s="198">
        <v>525.18323749661499</v>
      </c>
      <c r="BA76" s="198">
        <v>718.55911729035199</v>
      </c>
      <c r="BB76" s="198">
        <v>481.34409186350609</v>
      </c>
      <c r="BC76" s="198">
        <v>492.93456386360941</v>
      </c>
      <c r="BD76" s="198">
        <v>1029.0889732132168</v>
      </c>
      <c r="BE76" s="198">
        <v>684.99071415649678</v>
      </c>
      <c r="BG76" s="10">
        <v>53362.758522714175</v>
      </c>
      <c r="BH76" s="10">
        <v>1134288.9594639975</v>
      </c>
      <c r="BI76" s="33">
        <v>12</v>
      </c>
      <c r="BJ76" s="198">
        <v>13216.956527629696</v>
      </c>
      <c r="BK76" s="198">
        <v>11498.752179037834</v>
      </c>
      <c r="BL76" s="198">
        <v>11102.243483208944</v>
      </c>
      <c r="BM76" s="198">
        <v>7930.1739165778172</v>
      </c>
      <c r="BN76" s="198">
        <v>7930.1739165778172</v>
      </c>
      <c r="BO76" s="198">
        <v>7930.1739165778172</v>
      </c>
    </row>
    <row r="77" spans="1:67" x14ac:dyDescent="0.35">
      <c r="A77" t="s">
        <v>404</v>
      </c>
      <c r="B77" t="s">
        <v>2261</v>
      </c>
      <c r="C77" t="s">
        <v>851</v>
      </c>
      <c r="D77">
        <v>2022</v>
      </c>
      <c r="E77">
        <v>2019</v>
      </c>
      <c r="F77" t="s">
        <v>1951</v>
      </c>
      <c r="G77">
        <v>2020</v>
      </c>
      <c r="H77" t="s">
        <v>1953</v>
      </c>
      <c r="I77" t="s">
        <v>1672</v>
      </c>
      <c r="J77" s="66">
        <v>2025</v>
      </c>
      <c r="M77" s="95"/>
      <c r="N77" s="95">
        <f>N86*$BP$129</f>
        <v>16.842396929779774</v>
      </c>
      <c r="O77" s="406">
        <f>O86*$BP$129</f>
        <v>14.73927079272006</v>
      </c>
      <c r="W77" s="66" t="s">
        <v>1962</v>
      </c>
      <c r="X77">
        <v>3</v>
      </c>
      <c r="Y77">
        <v>1</v>
      </c>
      <c r="Z77">
        <v>1</v>
      </c>
      <c r="AA77">
        <v>3</v>
      </c>
      <c r="AB77">
        <v>2</v>
      </c>
      <c r="AQ77" s="10">
        <v>9890.5</v>
      </c>
      <c r="AR77" s="10">
        <v>140821</v>
      </c>
      <c r="AS77" s="33">
        <v>9</v>
      </c>
      <c r="AT77" s="198">
        <v>386.75097743741111</v>
      </c>
      <c r="AU77" s="198">
        <v>435.88304948071669</v>
      </c>
      <c r="AV77" s="198">
        <v>521.60677235203138</v>
      </c>
      <c r="AW77" s="198">
        <v>657.75919742552549</v>
      </c>
      <c r="AX77" s="198">
        <v>560.39414434193463</v>
      </c>
      <c r="AY77" s="198">
        <v>569.38549021969686</v>
      </c>
      <c r="AZ77" s="198">
        <v>516.80267114033904</v>
      </c>
      <c r="BA77" s="198">
        <v>566.7706046626904</v>
      </c>
      <c r="BB77" s="198">
        <v>462.16246907621513</v>
      </c>
      <c r="BC77" s="198">
        <v>473.46528523363872</v>
      </c>
      <c r="BD77" s="198">
        <v>790.970435017873</v>
      </c>
      <c r="BE77" s="198">
        <v>534.03531231938814</v>
      </c>
      <c r="BG77" s="10">
        <v>49315.904170822774</v>
      </c>
      <c r="BH77" s="10">
        <v>1183604.8636348203</v>
      </c>
      <c r="BI77" s="33">
        <v>13</v>
      </c>
      <c r="BJ77" s="198">
        <v>12360.038666798615</v>
      </c>
      <c r="BK77" s="198">
        <v>10753.233640114795</v>
      </c>
      <c r="BL77" s="198">
        <v>10382.432480110836</v>
      </c>
      <c r="BM77" s="198">
        <v>7416.0232000791684</v>
      </c>
      <c r="BN77" s="198">
        <v>7416.0232000791684</v>
      </c>
      <c r="BO77" s="198">
        <v>7416.0232000791684</v>
      </c>
    </row>
    <row r="78" spans="1:67" x14ac:dyDescent="0.35">
      <c r="A78" t="s">
        <v>404</v>
      </c>
      <c r="B78" t="s">
        <v>2261</v>
      </c>
      <c r="C78" t="s">
        <v>851</v>
      </c>
      <c r="D78">
        <v>2022</v>
      </c>
      <c r="E78">
        <v>2019</v>
      </c>
      <c r="F78" t="s">
        <v>1951</v>
      </c>
      <c r="G78">
        <v>2020</v>
      </c>
      <c r="H78" t="s">
        <v>1953</v>
      </c>
      <c r="I78" t="s">
        <v>1672</v>
      </c>
      <c r="J78" s="66">
        <v>2030</v>
      </c>
      <c r="N78" s="95"/>
      <c r="O78" s="406">
        <f>O87*$BP$129</f>
        <v>16.842396929779774</v>
      </c>
      <c r="W78" s="66" t="s">
        <v>1962</v>
      </c>
      <c r="X78">
        <v>3</v>
      </c>
      <c r="Y78">
        <v>1</v>
      </c>
      <c r="Z78">
        <v>1</v>
      </c>
      <c r="AA78">
        <v>3</v>
      </c>
      <c r="AB78">
        <v>2</v>
      </c>
      <c r="AQ78" s="10">
        <v>9148.5</v>
      </c>
      <c r="AR78" s="10">
        <v>149969.5</v>
      </c>
      <c r="AS78" s="33">
        <v>10</v>
      </c>
      <c r="AT78" s="198">
        <v>264.92257045676769</v>
      </c>
      <c r="AU78" s="198">
        <v>312.53278200628239</v>
      </c>
      <c r="AV78" s="198">
        <v>395.60122204923323</v>
      </c>
      <c r="AW78" s="198">
        <v>527.53634082490748</v>
      </c>
      <c r="AX78" s="198">
        <v>413.53593000175914</v>
      </c>
      <c r="AY78" s="198">
        <v>422.24876993608569</v>
      </c>
      <c r="AZ78" s="198">
        <v>371.2946978580448</v>
      </c>
      <c r="BA78" s="198">
        <v>419.71488016980192</v>
      </c>
      <c r="BB78" s="198">
        <v>319.25893269689203</v>
      </c>
      <c r="BC78" s="198">
        <v>330.21164537479206</v>
      </c>
      <c r="BD78" s="198">
        <v>393.3596773047999</v>
      </c>
      <c r="BE78" s="198">
        <v>387.99355988381586</v>
      </c>
      <c r="BG78" s="10">
        <v>45575.949810588507</v>
      </c>
      <c r="BH78" s="10">
        <v>1229180.8134454088</v>
      </c>
      <c r="BI78" s="33">
        <v>14</v>
      </c>
      <c r="BJ78" s="198">
        <v>11518.683419000885</v>
      </c>
      <c r="BK78" s="198">
        <v>10021.254574530771</v>
      </c>
      <c r="BL78" s="198">
        <v>9675.6940719607428</v>
      </c>
      <c r="BM78" s="198">
        <v>6911.2100514005306</v>
      </c>
      <c r="BN78" s="198">
        <v>6911.2100514005306</v>
      </c>
      <c r="BO78" s="198">
        <v>6911.2100514005306</v>
      </c>
    </row>
    <row r="79" spans="1:67" x14ac:dyDescent="0.35">
      <c r="A79" t="s">
        <v>1092</v>
      </c>
      <c r="B79" t="s">
        <v>2261</v>
      </c>
      <c r="C79" t="s">
        <v>851</v>
      </c>
      <c r="D79">
        <v>2022</v>
      </c>
      <c r="E79">
        <v>2019</v>
      </c>
      <c r="F79" t="s">
        <v>1951</v>
      </c>
      <c r="G79">
        <v>2020</v>
      </c>
      <c r="H79" t="s">
        <v>1953</v>
      </c>
      <c r="I79" t="s">
        <v>1672</v>
      </c>
      <c r="J79" s="66">
        <v>2021</v>
      </c>
      <c r="M79" s="95">
        <f>M82*$BP$127</f>
        <v>11.069224044501155</v>
      </c>
      <c r="N79" s="95">
        <f>N82*$BP$127</f>
        <v>9.6869995011644594</v>
      </c>
      <c r="O79" s="406">
        <f>O82*$BP$127</f>
        <v>6.8933547469917906</v>
      </c>
      <c r="W79" s="66" t="s">
        <v>1977</v>
      </c>
      <c r="X79">
        <v>3</v>
      </c>
      <c r="Y79">
        <v>1</v>
      </c>
      <c r="Z79">
        <v>1</v>
      </c>
      <c r="AA79">
        <v>3</v>
      </c>
      <c r="AB79">
        <v>2</v>
      </c>
      <c r="AQ79" s="10">
        <v>8929</v>
      </c>
      <c r="AR79" s="10">
        <v>158898.5</v>
      </c>
      <c r="AS79" s="33">
        <v>11</v>
      </c>
      <c r="AT79" s="198">
        <v>1316.2471590866187</v>
      </c>
      <c r="AU79" s="198">
        <v>1364.525496269209</v>
      </c>
      <c r="AV79" s="198">
        <v>1448.7596558560558</v>
      </c>
      <c r="AW79" s="198">
        <v>1582.5462521170846</v>
      </c>
      <c r="AX79" s="198">
        <v>1893.4681449696502</v>
      </c>
      <c r="AY79" s="198">
        <v>1902.3032542976123</v>
      </c>
      <c r="AZ79" s="198">
        <v>1850.6341313815906</v>
      </c>
      <c r="BA79" s="198">
        <v>1469.9945283638278</v>
      </c>
      <c r="BB79" s="198">
        <v>1371.3460366619868</v>
      </c>
      <c r="BC79" s="198">
        <v>1382.4524514103809</v>
      </c>
      <c r="BD79" s="198">
        <v>995.98982040089072</v>
      </c>
      <c r="BE79" s="198">
        <v>1437.8280551052276</v>
      </c>
      <c r="BG79" s="10">
        <v>38925.409005104637</v>
      </c>
      <c r="BH79" s="10">
        <v>1268106.2224505134</v>
      </c>
      <c r="BI79" s="33">
        <v>15</v>
      </c>
      <c r="BJ79" s="198">
        <v>9889.9044421620129</v>
      </c>
      <c r="BK79" s="198">
        <v>8604.2168646809496</v>
      </c>
      <c r="BL79" s="198">
        <v>8307.5197314160905</v>
      </c>
      <c r="BM79" s="198">
        <v>5933.942665297207</v>
      </c>
      <c r="BN79" s="198">
        <v>5933.942665297207</v>
      </c>
      <c r="BO79" s="198">
        <v>5933.942665297207</v>
      </c>
    </row>
    <row r="80" spans="1:67" x14ac:dyDescent="0.35">
      <c r="A80" t="s">
        <v>1092</v>
      </c>
      <c r="B80" t="s">
        <v>2261</v>
      </c>
      <c r="C80" t="s">
        <v>851</v>
      </c>
      <c r="D80">
        <v>2022</v>
      </c>
      <c r="E80">
        <v>2019</v>
      </c>
      <c r="F80" t="s">
        <v>1951</v>
      </c>
      <c r="G80">
        <v>2020</v>
      </c>
      <c r="H80" t="s">
        <v>1953</v>
      </c>
      <c r="I80" t="s">
        <v>1672</v>
      </c>
      <c r="J80" s="66">
        <v>2025</v>
      </c>
      <c r="M80" s="95"/>
      <c r="N80" s="95">
        <f>N83*$BP$127</f>
        <v>11.069224044501155</v>
      </c>
      <c r="O80" s="406">
        <f>O83*$BP$127</f>
        <v>9.6869995011644594</v>
      </c>
      <c r="W80" s="66" t="s">
        <v>1977</v>
      </c>
      <c r="X80">
        <v>3</v>
      </c>
      <c r="Y80">
        <v>1</v>
      </c>
      <c r="Z80">
        <v>1</v>
      </c>
      <c r="AA80">
        <v>3</v>
      </c>
      <c r="AB80">
        <v>2</v>
      </c>
      <c r="AQ80" s="10">
        <v>8580</v>
      </c>
      <c r="AR80" s="10">
        <v>167478.5</v>
      </c>
      <c r="AS80" s="33">
        <v>12</v>
      </c>
      <c r="AT80" s="198">
        <v>410.87956958033374</v>
      </c>
      <c r="AU80" s="198">
        <v>458.74363414386676</v>
      </c>
      <c r="AV80" s="198">
        <v>542.25498702396749</v>
      </c>
      <c r="AW80" s="198">
        <v>674.89357101153735</v>
      </c>
      <c r="AX80" s="198">
        <v>766.75386130952165</v>
      </c>
      <c r="AY80" s="198">
        <v>775.51315725834593</v>
      </c>
      <c r="AZ80" s="198">
        <v>724.28740302741085</v>
      </c>
      <c r="BA80" s="198">
        <v>795.23925376555758</v>
      </c>
      <c r="BB80" s="198">
        <v>677.10386692276654</v>
      </c>
      <c r="BC80" s="198">
        <v>688.11497839862329</v>
      </c>
      <c r="BD80" s="198">
        <v>746.47003079696299</v>
      </c>
      <c r="BE80" s="198">
        <v>763.34879848728394</v>
      </c>
      <c r="BG80" s="10">
        <v>35973.435284248197</v>
      </c>
      <c r="BH80" s="10">
        <v>1304079.6577347615</v>
      </c>
      <c r="BI80" s="33">
        <v>16</v>
      </c>
      <c r="BJ80" s="198">
        <v>9162.7939252652995</v>
      </c>
      <c r="BK80" s="198">
        <v>7971.6307149808108</v>
      </c>
      <c r="BL80" s="198">
        <v>7696.7468972228517</v>
      </c>
      <c r="BM80" s="198">
        <v>5497.6763551591794</v>
      </c>
      <c r="BN80" s="198">
        <v>5497.6763551591794</v>
      </c>
      <c r="BO80" s="198">
        <v>5497.6763551591794</v>
      </c>
    </row>
    <row r="81" spans="1:67" x14ac:dyDescent="0.35">
      <c r="A81" t="s">
        <v>1092</v>
      </c>
      <c r="B81" t="s">
        <v>2261</v>
      </c>
      <c r="C81" t="s">
        <v>851</v>
      </c>
      <c r="D81">
        <v>2022</v>
      </c>
      <c r="E81">
        <v>2019</v>
      </c>
      <c r="F81" t="s">
        <v>1951</v>
      </c>
      <c r="G81">
        <v>2020</v>
      </c>
      <c r="H81" t="s">
        <v>1953</v>
      </c>
      <c r="I81" t="s">
        <v>1672</v>
      </c>
      <c r="J81" s="66">
        <v>2030</v>
      </c>
      <c r="N81" s="95"/>
      <c r="O81" s="406">
        <f>O84*$BP$127</f>
        <v>11.069224044501155</v>
      </c>
      <c r="W81" s="66" t="s">
        <v>1977</v>
      </c>
      <c r="X81">
        <v>3</v>
      </c>
      <c r="Y81">
        <v>1</v>
      </c>
      <c r="Z81">
        <v>1</v>
      </c>
      <c r="AA81">
        <v>3</v>
      </c>
      <c r="AB81">
        <v>2</v>
      </c>
      <c r="AQ81" s="10">
        <v>8288</v>
      </c>
      <c r="AR81" s="10">
        <v>175766.5</v>
      </c>
      <c r="AS81" s="33">
        <v>13</v>
      </c>
      <c r="AT81" s="198">
        <v>259.81034621223449</v>
      </c>
      <c r="AU81" s="198">
        <v>307.23098659267345</v>
      </c>
      <c r="AV81" s="198">
        <v>389.96867025417305</v>
      </c>
      <c r="AW81" s="198">
        <v>521.37845856198248</v>
      </c>
      <c r="AX81" s="198">
        <v>400.93443254163759</v>
      </c>
      <c r="AY81" s="198">
        <v>409.61258027026781</v>
      </c>
      <c r="AZ81" s="198">
        <v>358.86139372242377</v>
      </c>
      <c r="BA81" s="198">
        <v>407.08877977747539</v>
      </c>
      <c r="BB81" s="198">
        <v>313.93035554448591</v>
      </c>
      <c r="BC81" s="198">
        <v>324.83945744059503</v>
      </c>
      <c r="BD81" s="198">
        <v>380.83851630374562</v>
      </c>
      <c r="BE81" s="198">
        <v>375.4937653316764</v>
      </c>
      <c r="BG81" s="10">
        <v>33245.329444843795</v>
      </c>
      <c r="BH81" s="10">
        <v>1337324.9871796053</v>
      </c>
      <c r="BI81" s="33">
        <v>17</v>
      </c>
      <c r="BJ81" s="198">
        <v>8467.9180699220924</v>
      </c>
      <c r="BK81" s="198">
        <v>7367.088720832221</v>
      </c>
      <c r="BL81" s="198">
        <v>7113.0511787345586</v>
      </c>
      <c r="BM81" s="198">
        <v>5080.750841953256</v>
      </c>
      <c r="BN81" s="198">
        <v>5080.750841953256</v>
      </c>
      <c r="BO81" s="198">
        <v>5080.750841953256</v>
      </c>
    </row>
    <row r="82" spans="1:67" x14ac:dyDescent="0.35">
      <c r="A82" t="s">
        <v>405</v>
      </c>
      <c r="B82" t="s">
        <v>2261</v>
      </c>
      <c r="C82" t="s">
        <v>851</v>
      </c>
      <c r="D82">
        <v>2022</v>
      </c>
      <c r="E82">
        <v>2019</v>
      </c>
      <c r="F82" t="s">
        <v>1951</v>
      </c>
      <c r="G82">
        <v>2020</v>
      </c>
      <c r="H82" t="s">
        <v>1953</v>
      </c>
      <c r="I82" t="s">
        <v>1672</v>
      </c>
      <c r="J82" s="66">
        <v>2021</v>
      </c>
      <c r="M82" s="95">
        <f>$BJ$129/$BH$129 * 1000/$AK$96</f>
        <v>16.842396929779774</v>
      </c>
      <c r="N82" s="95">
        <f>$BJ$128/$BH$128 * 1000/$AK$96</f>
        <v>14.73927079272006</v>
      </c>
      <c r="O82" s="406">
        <f>$BJ$127/$BH$127 * 1000/$AK$96</f>
        <v>10.48859580037975</v>
      </c>
      <c r="W82" s="66" t="s">
        <v>1978</v>
      </c>
      <c r="X82">
        <v>3</v>
      </c>
      <c r="Y82">
        <v>1</v>
      </c>
      <c r="Z82">
        <v>1</v>
      </c>
      <c r="AA82">
        <v>3</v>
      </c>
      <c r="AB82">
        <v>1</v>
      </c>
      <c r="AQ82" s="10">
        <v>8126.5</v>
      </c>
      <c r="AR82" s="10">
        <v>183893</v>
      </c>
      <c r="AS82" s="33">
        <v>14</v>
      </c>
      <c r="AT82" s="198">
        <v>347.05692765344264</v>
      </c>
      <c r="AU82" s="198">
        <v>394.50243948904927</v>
      </c>
      <c r="AV82" s="198">
        <v>477.28351789539727</v>
      </c>
      <c r="AW82" s="198">
        <v>608.76222877852979</v>
      </c>
      <c r="AX82" s="198">
        <v>1198.2306640794868</v>
      </c>
      <c r="AY82" s="198">
        <v>1093.2730739498663</v>
      </c>
      <c r="AZ82" s="198">
        <v>1156.1355585464885</v>
      </c>
      <c r="BA82" s="198">
        <v>507.39446404958755</v>
      </c>
      <c r="BB82" s="198">
        <v>416.35736075498738</v>
      </c>
      <c r="BC82" s="198">
        <v>427.27218432074403</v>
      </c>
      <c r="BD82" s="198">
        <v>481.13043268394625</v>
      </c>
      <c r="BE82" s="198">
        <v>475.78287846558777</v>
      </c>
      <c r="BG82" s="10">
        <v>30724.114090381525</v>
      </c>
      <c r="BH82" s="10">
        <v>1368049.1012699867</v>
      </c>
      <c r="BI82" s="33">
        <v>18</v>
      </c>
      <c r="BJ82" s="198">
        <v>7807.9938507170364</v>
      </c>
      <c r="BK82" s="198">
        <v>6792.9546501238219</v>
      </c>
      <c r="BL82" s="198">
        <v>6558.7148346023105</v>
      </c>
      <c r="BM82" s="198">
        <v>4684.7963104302216</v>
      </c>
      <c r="BN82" s="198">
        <v>4684.7963104302216</v>
      </c>
      <c r="BO82" s="198">
        <v>4684.7963104302216</v>
      </c>
    </row>
    <row r="83" spans="1:67" x14ac:dyDescent="0.35">
      <c r="A83" t="s">
        <v>405</v>
      </c>
      <c r="B83" t="s">
        <v>2261</v>
      </c>
      <c r="C83" t="s">
        <v>851</v>
      </c>
      <c r="D83">
        <v>2022</v>
      </c>
      <c r="E83">
        <v>2019</v>
      </c>
      <c r="F83" t="s">
        <v>1951</v>
      </c>
      <c r="G83">
        <v>2020</v>
      </c>
      <c r="H83" t="s">
        <v>1953</v>
      </c>
      <c r="I83" t="s">
        <v>1672</v>
      </c>
      <c r="J83" s="66">
        <v>2025</v>
      </c>
      <c r="M83" s="95"/>
      <c r="N83" s="95">
        <f>$BJ$129/$BH$129 * 1000/$AK$96</f>
        <v>16.842396929779774</v>
      </c>
      <c r="O83" s="406">
        <f>$BJ$128/$BH$128 * 1000/$AK$96</f>
        <v>14.73927079272006</v>
      </c>
      <c r="W83" s="66" t="s">
        <v>1978</v>
      </c>
      <c r="X83">
        <v>3</v>
      </c>
      <c r="Y83">
        <v>1</v>
      </c>
      <c r="Z83">
        <v>1</v>
      </c>
      <c r="AA83">
        <v>3</v>
      </c>
      <c r="AB83">
        <v>1</v>
      </c>
      <c r="AQ83" s="10">
        <v>7909</v>
      </c>
      <c r="AR83" s="10">
        <v>191802</v>
      </c>
      <c r="AS83" s="33">
        <v>15</v>
      </c>
      <c r="AT83" s="198">
        <v>326.97869094281486</v>
      </c>
      <c r="AU83" s="198">
        <v>373.88730444205652</v>
      </c>
      <c r="AV83" s="198">
        <v>455.73162357319939</v>
      </c>
      <c r="AW83" s="198">
        <v>585.72250771762685</v>
      </c>
      <c r="AX83" s="198">
        <v>462.87484569220771</v>
      </c>
      <c r="AY83" s="198">
        <v>471.45929066017482</v>
      </c>
      <c r="AZ83" s="198">
        <v>421.25609274252804</v>
      </c>
      <c r="BA83" s="198">
        <v>949.97983912811571</v>
      </c>
      <c r="BB83" s="198">
        <v>380.51433660206555</v>
      </c>
      <c r="BC83" s="198">
        <v>391.30564689148787</v>
      </c>
      <c r="BD83" s="198">
        <v>924.01301426738712</v>
      </c>
      <c r="BE83" s="198">
        <v>918.72597352759328</v>
      </c>
      <c r="BG83" s="33" t="s">
        <v>1667</v>
      </c>
      <c r="BI83" s="33"/>
    </row>
    <row r="84" spans="1:67" x14ac:dyDescent="0.35">
      <c r="A84" t="s">
        <v>405</v>
      </c>
      <c r="B84" t="s">
        <v>2261</v>
      </c>
      <c r="C84" t="s">
        <v>851</v>
      </c>
      <c r="D84">
        <v>2022</v>
      </c>
      <c r="E84">
        <v>2019</v>
      </c>
      <c r="F84" t="s">
        <v>1951</v>
      </c>
      <c r="G84">
        <v>2020</v>
      </c>
      <c r="H84" t="s">
        <v>1953</v>
      </c>
      <c r="I84" t="s">
        <v>1672</v>
      </c>
      <c r="J84" s="66">
        <v>2030</v>
      </c>
      <c r="N84" s="95"/>
      <c r="O84" s="406">
        <f>$BJ$129/$BH$129 * 1000/$AK$96</f>
        <v>16.842396929779774</v>
      </c>
      <c r="W84" s="66" t="s">
        <v>1978</v>
      </c>
      <c r="X84">
        <v>3</v>
      </c>
      <c r="Y84">
        <v>1</v>
      </c>
      <c r="Z84">
        <v>1</v>
      </c>
      <c r="AA84">
        <v>3</v>
      </c>
      <c r="AB84">
        <v>1</v>
      </c>
      <c r="BG84" s="10">
        <v>21944.493863732499</v>
      </c>
      <c r="BH84" s="10">
        <v>21944.493863732499</v>
      </c>
      <c r="BI84" s="33">
        <v>0</v>
      </c>
      <c r="BJ84" s="198">
        <v>2440.2277176470539</v>
      </c>
      <c r="BK84" s="198">
        <v>2122.9981143529367</v>
      </c>
      <c r="BL84" s="198">
        <v>2049.7912828235253</v>
      </c>
      <c r="BM84" s="198">
        <v>1464.1366305882323</v>
      </c>
      <c r="BN84" s="198">
        <v>1464.1366305882323</v>
      </c>
      <c r="BO84" s="198">
        <v>1464.1366305882323</v>
      </c>
    </row>
    <row r="85" spans="1:67" ht="15.5" x14ac:dyDescent="0.35">
      <c r="A85" t="s">
        <v>406</v>
      </c>
      <c r="B85" t="s">
        <v>2261</v>
      </c>
      <c r="C85" t="s">
        <v>851</v>
      </c>
      <c r="D85">
        <v>2022</v>
      </c>
      <c r="E85">
        <v>2019</v>
      </c>
      <c r="F85" t="s">
        <v>1951</v>
      </c>
      <c r="G85">
        <v>2020</v>
      </c>
      <c r="H85" t="s">
        <v>1953</v>
      </c>
      <c r="I85" t="s">
        <v>1672</v>
      </c>
      <c r="J85" s="66">
        <v>2021</v>
      </c>
      <c r="M85" s="95">
        <f>M82*$BP$129</f>
        <v>16.842396929779774</v>
      </c>
      <c r="N85" s="95">
        <f>N82*$BP$129</f>
        <v>14.73927079272006</v>
      </c>
      <c r="O85" s="406">
        <f>O82*$BP$129</f>
        <v>10.48859580037975</v>
      </c>
      <c r="W85" s="66" t="s">
        <v>1979</v>
      </c>
      <c r="X85">
        <v>3</v>
      </c>
      <c r="Y85">
        <v>1</v>
      </c>
      <c r="Z85">
        <v>1</v>
      </c>
      <c r="AA85">
        <v>3</v>
      </c>
      <c r="AB85">
        <v>2</v>
      </c>
      <c r="AR85" s="318" t="s">
        <v>1670</v>
      </c>
      <c r="AT85" s="318"/>
      <c r="AU85" s="318"/>
      <c r="AV85" s="318"/>
      <c r="AW85" s="318"/>
      <c r="AX85" s="318"/>
      <c r="AY85" s="318"/>
      <c r="AZ85" s="318"/>
      <c r="BA85" s="318"/>
      <c r="BB85" s="318"/>
      <c r="BC85" s="318"/>
      <c r="BD85" s="318"/>
      <c r="BE85" s="318"/>
      <c r="BG85" s="10">
        <v>38431.698757434904</v>
      </c>
      <c r="BH85" s="10">
        <v>60376.1926211674</v>
      </c>
      <c r="BI85" s="33">
        <v>1</v>
      </c>
      <c r="BJ85" s="198">
        <v>5087.6248831270959</v>
      </c>
      <c r="BK85" s="198">
        <v>4426.2336483205736</v>
      </c>
      <c r="BL85" s="198">
        <v>4273.6049018267604</v>
      </c>
      <c r="BM85" s="198">
        <v>3052.5749298762571</v>
      </c>
      <c r="BN85" s="198">
        <v>3052.5749298762571</v>
      </c>
      <c r="BO85" s="198">
        <v>3052.5749298762571</v>
      </c>
    </row>
    <row r="86" spans="1:67" ht="15" thickBot="1" x14ac:dyDescent="0.4">
      <c r="A86" t="s">
        <v>406</v>
      </c>
      <c r="B86" t="s">
        <v>2261</v>
      </c>
      <c r="C86" t="s">
        <v>851</v>
      </c>
      <c r="D86">
        <v>2022</v>
      </c>
      <c r="E86">
        <v>2019</v>
      </c>
      <c r="F86" t="s">
        <v>1951</v>
      </c>
      <c r="G86">
        <v>2020</v>
      </c>
      <c r="H86" t="s">
        <v>1953</v>
      </c>
      <c r="I86" t="s">
        <v>1672</v>
      </c>
      <c r="J86" s="66">
        <v>2025</v>
      </c>
      <c r="M86" s="95"/>
      <c r="N86" s="95">
        <f>N83*$BP$129</f>
        <v>16.842396929779774</v>
      </c>
      <c r="O86" s="406">
        <f>O83*$BP$129</f>
        <v>14.73927079272006</v>
      </c>
      <c r="W86" s="66" t="s">
        <v>1979</v>
      </c>
      <c r="X86">
        <v>3</v>
      </c>
      <c r="Y86">
        <v>1</v>
      </c>
      <c r="Z86">
        <v>1</v>
      </c>
      <c r="AA86">
        <v>3</v>
      </c>
      <c r="AB86">
        <v>2</v>
      </c>
      <c r="AR86" s="105" t="s">
        <v>1675</v>
      </c>
      <c r="AS86" s="105" t="s">
        <v>1270</v>
      </c>
      <c r="AT86" s="105" t="s">
        <v>975</v>
      </c>
      <c r="AU86" s="105" t="s">
        <v>979</v>
      </c>
      <c r="AV86" s="105" t="s">
        <v>980</v>
      </c>
      <c r="AW86" s="105" t="s">
        <v>981</v>
      </c>
      <c r="AX86" s="105" t="s">
        <v>982</v>
      </c>
      <c r="AY86" s="105" t="s">
        <v>984</v>
      </c>
      <c r="AZ86" s="105" t="s">
        <v>985</v>
      </c>
      <c r="BA86" s="105" t="s">
        <v>987</v>
      </c>
      <c r="BB86" s="105" t="s">
        <v>988</v>
      </c>
      <c r="BC86" s="105" t="s">
        <v>990</v>
      </c>
      <c r="BD86" s="105" t="s">
        <v>991</v>
      </c>
      <c r="BE86" s="105" t="s">
        <v>992</v>
      </c>
      <c r="BG86" s="10">
        <v>42893.596981949398</v>
      </c>
      <c r="BH86" s="10">
        <v>103269.78960311681</v>
      </c>
      <c r="BI86" s="33">
        <v>2</v>
      </c>
      <c r="BJ86" s="198">
        <v>6489.4802508745206</v>
      </c>
      <c r="BK86" s="198">
        <v>5645.8478182608333</v>
      </c>
      <c r="BL86" s="198">
        <v>5451.1634107345972</v>
      </c>
      <c r="BM86" s="198">
        <v>3893.6881505247129</v>
      </c>
      <c r="BN86" s="198">
        <v>3893.6881505247129</v>
      </c>
      <c r="BO86" s="198">
        <v>3893.6881505247129</v>
      </c>
    </row>
    <row r="87" spans="1:67" ht="16" thickTop="1" x14ac:dyDescent="0.35">
      <c r="A87" t="s">
        <v>406</v>
      </c>
      <c r="B87" t="s">
        <v>2261</v>
      </c>
      <c r="C87" t="s">
        <v>851</v>
      </c>
      <c r="D87">
        <v>2022</v>
      </c>
      <c r="E87">
        <v>2019</v>
      </c>
      <c r="F87" t="s">
        <v>1951</v>
      </c>
      <c r="G87">
        <v>2020</v>
      </c>
      <c r="H87" t="s">
        <v>1953</v>
      </c>
      <c r="I87" t="s">
        <v>1672</v>
      </c>
      <c r="J87" s="66">
        <v>2030</v>
      </c>
      <c r="N87" s="95"/>
      <c r="O87" s="406">
        <f>O84*$BP$129</f>
        <v>16.842396929779774</v>
      </c>
      <c r="W87" s="66" t="s">
        <v>1979</v>
      </c>
      <c r="X87">
        <v>3</v>
      </c>
      <c r="Y87">
        <v>1</v>
      </c>
      <c r="Z87">
        <v>1</v>
      </c>
      <c r="AA87">
        <v>3</v>
      </c>
      <c r="AB87">
        <v>2</v>
      </c>
      <c r="AG87" s="189" t="s">
        <v>1594</v>
      </c>
      <c r="AJ87" s="189" t="s">
        <v>1335</v>
      </c>
      <c r="AK87" s="189"/>
      <c r="AR87" s="33" t="s">
        <v>532</v>
      </c>
      <c r="BG87" s="10">
        <v>43151.690749756599</v>
      </c>
      <c r="BH87" s="10">
        <v>146421.48035287339</v>
      </c>
      <c r="BI87" s="33">
        <v>3</v>
      </c>
      <c r="BJ87" s="198">
        <v>7253.9198962553792</v>
      </c>
      <c r="BK87" s="198">
        <v>6310.9103097421803</v>
      </c>
      <c r="BL87" s="198">
        <v>6093.292712854518</v>
      </c>
      <c r="BM87" s="198">
        <v>4352.3519377532275</v>
      </c>
      <c r="BN87" s="198">
        <v>4352.3519377532275</v>
      </c>
      <c r="BO87" s="198">
        <v>4352.3519377532275</v>
      </c>
    </row>
    <row r="88" spans="1:67" ht="15" thickBot="1" x14ac:dyDescent="0.4">
      <c r="A88" t="s">
        <v>1963</v>
      </c>
      <c r="B88" t="s">
        <v>2261</v>
      </c>
      <c r="C88" t="s">
        <v>851</v>
      </c>
      <c r="D88">
        <v>2022</v>
      </c>
      <c r="E88">
        <v>2019</v>
      </c>
      <c r="F88" t="s">
        <v>1951</v>
      </c>
      <c r="G88">
        <v>2020</v>
      </c>
      <c r="H88" t="s">
        <v>1953</v>
      </c>
      <c r="I88" t="s">
        <v>1672</v>
      </c>
      <c r="J88" s="66">
        <v>2021</v>
      </c>
      <c r="M88" s="95">
        <f>$BO$129/$BH$129 * 1000/$AK$96</f>
        <v>10.105438157867864</v>
      </c>
      <c r="N88" s="95">
        <f>$BO$128/$BH$128 * 1000/$AK$96</f>
        <v>8.8435624756320355</v>
      </c>
      <c r="O88" s="406">
        <f>$BO$127/$BH$127 * 1000/$AK$96</f>
        <v>6.2931574802278512</v>
      </c>
      <c r="W88" s="66" t="s">
        <v>1978</v>
      </c>
      <c r="X88">
        <v>3</v>
      </c>
      <c r="Y88">
        <v>1</v>
      </c>
      <c r="Z88">
        <v>1</v>
      </c>
      <c r="AA88">
        <v>3</v>
      </c>
      <c r="AB88">
        <v>1</v>
      </c>
      <c r="AG88" s="105" t="s">
        <v>1595</v>
      </c>
      <c r="AH88" s="105" t="s">
        <v>1605</v>
      </c>
      <c r="AJ88" s="8" t="s">
        <v>257</v>
      </c>
      <c r="AK88" s="105" t="s">
        <v>672</v>
      </c>
      <c r="AR88" s="372">
        <f>AVERAGE(AQ4:AQ8)*km_mile</f>
        <v>23122.031515999999</v>
      </c>
      <c r="AS88" s="33">
        <v>0</v>
      </c>
      <c r="AT88" s="372">
        <f t="shared" ref="AT88:BE88" si="5">AVERAGE(AT4:AT8)*USD2019_to_CAD2020</f>
        <v>554.76565580762554</v>
      </c>
      <c r="AU88" s="372">
        <f t="shared" si="5"/>
        <v>567.14539799575846</v>
      </c>
      <c r="AV88" s="372">
        <f t="shared" si="5"/>
        <v>585.80916906698201</v>
      </c>
      <c r="AW88" s="372">
        <f t="shared" si="5"/>
        <v>612.5459721951338</v>
      </c>
      <c r="AX88" s="372">
        <f t="shared" si="5"/>
        <v>979.21075328487132</v>
      </c>
      <c r="AY88" s="372">
        <f t="shared" si="5"/>
        <v>937.15823004009087</v>
      </c>
      <c r="AZ88" s="372">
        <f t="shared" si="5"/>
        <v>960.75129483318938</v>
      </c>
      <c r="BA88" s="372">
        <f t="shared" si="5"/>
        <v>769.3898227850533</v>
      </c>
      <c r="BB88" s="372">
        <f t="shared" si="5"/>
        <v>583.05043345840477</v>
      </c>
      <c r="BC88" s="372">
        <f t="shared" si="5"/>
        <v>584.88259160581526</v>
      </c>
      <c r="BD88" s="372">
        <f t="shared" si="5"/>
        <v>892.00872223489068</v>
      </c>
      <c r="BE88" s="372">
        <f t="shared" si="5"/>
        <v>759.55232284025271</v>
      </c>
      <c r="BG88" s="10">
        <v>41594.976131889802</v>
      </c>
      <c r="BH88" s="10">
        <v>188016.45648476318</v>
      </c>
      <c r="BI88" s="33">
        <v>4</v>
      </c>
      <c r="BJ88" s="198">
        <v>7610.5924521015759</v>
      </c>
      <c r="BK88" s="198">
        <v>6621.2154333283706</v>
      </c>
      <c r="BL88" s="198">
        <v>6392.8976597653236</v>
      </c>
      <c r="BM88" s="198">
        <v>4566.3554712609457</v>
      </c>
      <c r="BN88" s="198">
        <v>4566.3554712609457</v>
      </c>
      <c r="BO88" s="198">
        <v>4566.3554712609457</v>
      </c>
    </row>
    <row r="89" spans="1:67" ht="15" thickTop="1" x14ac:dyDescent="0.35">
      <c r="A89" t="s">
        <v>1963</v>
      </c>
      <c r="B89" t="s">
        <v>2261</v>
      </c>
      <c r="C89" t="s">
        <v>851</v>
      </c>
      <c r="D89">
        <v>2022</v>
      </c>
      <c r="E89">
        <v>2019</v>
      </c>
      <c r="F89" t="s">
        <v>1951</v>
      </c>
      <c r="G89">
        <v>2020</v>
      </c>
      <c r="H89" t="s">
        <v>1953</v>
      </c>
      <c r="I89" t="s">
        <v>1672</v>
      </c>
      <c r="J89" s="66">
        <v>2025</v>
      </c>
      <c r="M89" s="95"/>
      <c r="N89" s="95">
        <f>$BO$129/$BH$129 * 1000/$AK$96</f>
        <v>10.105438157867864</v>
      </c>
      <c r="O89" s="406">
        <f>$BO$128/$BH$128 * 1000/$AK$96</f>
        <v>8.8435624756320355</v>
      </c>
      <c r="W89" s="66" t="s">
        <v>1978</v>
      </c>
      <c r="X89">
        <v>3</v>
      </c>
      <c r="Y89">
        <v>1</v>
      </c>
      <c r="Z89">
        <v>1</v>
      </c>
      <c r="AA89">
        <v>3</v>
      </c>
      <c r="AB89">
        <v>1</v>
      </c>
      <c r="AG89" s="33" t="s">
        <v>32</v>
      </c>
      <c r="AJ89" t="s">
        <v>585</v>
      </c>
      <c r="AK89" s="95">
        <v>1.5143756483101987</v>
      </c>
      <c r="AR89" s="372">
        <f>AVERAGE(AQ9:AQ13)*km_mile</f>
        <v>18890.111052</v>
      </c>
      <c r="AS89" s="33">
        <v>5</v>
      </c>
      <c r="AT89" s="372">
        <f t="shared" ref="AT89:BE89" si="6">AVERAGE(AT9:AT13)*USD2019_to_CAD2020</f>
        <v>1043.475010564518</v>
      </c>
      <c r="AU89" s="372">
        <f t="shared" si="6"/>
        <v>1082.1951712746231</v>
      </c>
      <c r="AV89" s="372">
        <f t="shared" si="6"/>
        <v>1140.5699099688695</v>
      </c>
      <c r="AW89" s="372">
        <f t="shared" si="6"/>
        <v>1224.1946978088679</v>
      </c>
      <c r="AX89" s="372">
        <f t="shared" si="6"/>
        <v>1832.7561590102503</v>
      </c>
      <c r="AY89" s="372">
        <f t="shared" si="6"/>
        <v>1816.6660461788499</v>
      </c>
      <c r="AZ89" s="372">
        <f t="shared" si="6"/>
        <v>1775.020449573926</v>
      </c>
      <c r="BA89" s="372">
        <f t="shared" si="6"/>
        <v>1684.1386939155284</v>
      </c>
      <c r="BB89" s="372">
        <f t="shared" si="6"/>
        <v>1155.6688317159483</v>
      </c>
      <c r="BC89" s="372">
        <f t="shared" si="6"/>
        <v>1161.3992788315645</v>
      </c>
      <c r="BD89" s="372">
        <f t="shared" si="6"/>
        <v>1685.1339427093205</v>
      </c>
      <c r="BE89" s="372">
        <f t="shared" si="6"/>
        <v>1653.3699127034711</v>
      </c>
      <c r="BG89" s="10">
        <v>39980.875829615958</v>
      </c>
      <c r="BH89" s="10">
        <v>227997.33231437913</v>
      </c>
      <c r="BI89" s="33">
        <v>5</v>
      </c>
      <c r="BJ89" s="198">
        <v>7837.780805181781</v>
      </c>
      <c r="BK89" s="198">
        <v>6818.8693005081495</v>
      </c>
      <c r="BL89" s="198">
        <v>6583.7358763526954</v>
      </c>
      <c r="BM89" s="198">
        <v>4702.6684831090688</v>
      </c>
      <c r="BN89" s="198">
        <v>4702.6684831090688</v>
      </c>
      <c r="BO89" s="198">
        <v>4702.6684831090688</v>
      </c>
    </row>
    <row r="90" spans="1:67" x14ac:dyDescent="0.35">
      <c r="A90" t="s">
        <v>1963</v>
      </c>
      <c r="B90" t="s">
        <v>2261</v>
      </c>
      <c r="C90" t="s">
        <v>851</v>
      </c>
      <c r="D90">
        <v>2022</v>
      </c>
      <c r="E90">
        <v>2019</v>
      </c>
      <c r="F90" t="s">
        <v>1951</v>
      </c>
      <c r="G90">
        <v>2020</v>
      </c>
      <c r="H90" t="s">
        <v>1953</v>
      </c>
      <c r="I90" t="s">
        <v>1672</v>
      </c>
      <c r="J90" s="66">
        <v>2030</v>
      </c>
      <c r="N90" s="95"/>
      <c r="O90" s="406">
        <f>$BO$129/$BH$129 * 1000/$AK$96</f>
        <v>10.105438157867864</v>
      </c>
      <c r="W90" s="66" t="s">
        <v>1978</v>
      </c>
      <c r="X90">
        <v>3</v>
      </c>
      <c r="Y90">
        <v>1</v>
      </c>
      <c r="Z90">
        <v>1</v>
      </c>
      <c r="AA90">
        <v>3</v>
      </c>
      <c r="AB90">
        <v>1</v>
      </c>
      <c r="AG90" s="17" t="s">
        <v>532</v>
      </c>
      <c r="AH90" s="35">
        <v>0.54500397685625612</v>
      </c>
      <c r="AJ90" t="s">
        <v>630</v>
      </c>
      <c r="AK90" s="95">
        <v>1.6413849711894717</v>
      </c>
      <c r="AR90" s="373">
        <f>AVERAGE(AQ14:AQ17)*km_mile</f>
        <v>14346.863765</v>
      </c>
      <c r="AS90" s="256">
        <v>10</v>
      </c>
      <c r="AT90" s="373">
        <f t="shared" ref="AT90:BE90" si="7">AVERAGE(AT14:AT17)*USD2019_to_CAD2020</f>
        <v>777.84752969808244</v>
      </c>
      <c r="AU90" s="373">
        <f t="shared" si="7"/>
        <v>815.25987592232036</v>
      </c>
      <c r="AV90" s="373">
        <f t="shared" si="7"/>
        <v>871.66294591806536</v>
      </c>
      <c r="AW90" s="373">
        <f t="shared" si="7"/>
        <v>952.46321787514773</v>
      </c>
      <c r="AX90" s="373">
        <f t="shared" si="7"/>
        <v>1247.8183244216755</v>
      </c>
      <c r="AY90" s="373">
        <f t="shared" si="7"/>
        <v>1272.0821314690681</v>
      </c>
      <c r="AZ90" s="373">
        <f t="shared" si="7"/>
        <v>1192.0326997930561</v>
      </c>
      <c r="BA90" s="373">
        <f t="shared" si="7"/>
        <v>1058.5948672185987</v>
      </c>
      <c r="BB90" s="373">
        <f t="shared" si="7"/>
        <v>871.91836335626726</v>
      </c>
      <c r="BC90" s="373">
        <f t="shared" si="7"/>
        <v>877.45525854413188</v>
      </c>
      <c r="BD90" s="373">
        <f t="shared" si="7"/>
        <v>977.05280339474109</v>
      </c>
      <c r="BE90" s="373">
        <f t="shared" si="7"/>
        <v>1028.8653342184193</v>
      </c>
      <c r="BG90" s="10">
        <v>39934.891790826281</v>
      </c>
      <c r="BH90" s="10">
        <v>267932.22410520539</v>
      </c>
      <c r="BI90" s="33">
        <v>6</v>
      </c>
      <c r="BJ90" s="198">
        <v>8284.408650618363</v>
      </c>
      <c r="BK90" s="198">
        <v>7207.4355260379762</v>
      </c>
      <c r="BL90" s="198">
        <v>6958.9032665194245</v>
      </c>
      <c r="BM90" s="198">
        <v>4970.6451903710176</v>
      </c>
      <c r="BN90" s="198">
        <v>4970.6451903710176</v>
      </c>
      <c r="BO90" s="198">
        <v>4970.6451903710176</v>
      </c>
    </row>
    <row r="91" spans="1:67" x14ac:dyDescent="0.35">
      <c r="A91" t="s">
        <v>1093</v>
      </c>
      <c r="B91" t="s">
        <v>2261</v>
      </c>
      <c r="C91" t="s">
        <v>851</v>
      </c>
      <c r="D91">
        <v>2022</v>
      </c>
      <c r="E91">
        <v>2019</v>
      </c>
      <c r="F91" t="s">
        <v>1951</v>
      </c>
      <c r="G91">
        <v>2020</v>
      </c>
      <c r="H91" t="s">
        <v>1953</v>
      </c>
      <c r="I91" t="s">
        <v>1672</v>
      </c>
      <c r="J91" s="66">
        <v>2021</v>
      </c>
      <c r="M91" s="95">
        <f>M79*$BI$148</f>
        <v>11.069224044501155</v>
      </c>
      <c r="N91" s="95">
        <f>N79*$BI$148</f>
        <v>9.6869995011644594</v>
      </c>
      <c r="O91" s="406">
        <f>O79*$BI$148</f>
        <v>6.8933547469917906</v>
      </c>
      <c r="W91" s="66" t="s">
        <v>1965</v>
      </c>
      <c r="X91">
        <v>3</v>
      </c>
      <c r="Y91">
        <v>1</v>
      </c>
      <c r="Z91">
        <v>1</v>
      </c>
      <c r="AA91">
        <v>3</v>
      </c>
      <c r="AB91">
        <v>2</v>
      </c>
      <c r="AG91" s="17" t="s">
        <v>1596</v>
      </c>
      <c r="AH91" s="35">
        <v>0.45499602314374388</v>
      </c>
      <c r="AJ91" t="s">
        <v>631</v>
      </c>
      <c r="AK91" s="95">
        <v>0.52882325131705077</v>
      </c>
      <c r="AR91" s="33" t="s">
        <v>1596</v>
      </c>
      <c r="AS91" s="33"/>
      <c r="BG91" s="10">
        <v>39859.289083658252</v>
      </c>
      <c r="BH91" s="10">
        <v>307791.51318886364</v>
      </c>
      <c r="BI91" s="33">
        <v>7</v>
      </c>
      <c r="BJ91" s="198">
        <v>8662.4738401918712</v>
      </c>
      <c r="BK91" s="198">
        <v>7536.3522409669276</v>
      </c>
      <c r="BL91" s="198">
        <v>7276.478025761171</v>
      </c>
      <c r="BM91" s="198">
        <v>5197.4843041151225</v>
      </c>
      <c r="BN91" s="198">
        <v>5197.4843041151225</v>
      </c>
      <c r="BO91" s="198">
        <v>5197.4843041151225</v>
      </c>
    </row>
    <row r="92" spans="1:67" x14ac:dyDescent="0.35">
      <c r="A92" t="s">
        <v>1093</v>
      </c>
      <c r="B92" t="s">
        <v>2261</v>
      </c>
      <c r="C92" t="s">
        <v>851</v>
      </c>
      <c r="D92">
        <v>2022</v>
      </c>
      <c r="E92">
        <v>2019</v>
      </c>
      <c r="F92" t="s">
        <v>1951</v>
      </c>
      <c r="G92">
        <v>2020</v>
      </c>
      <c r="H92" t="s">
        <v>1953</v>
      </c>
      <c r="I92" t="s">
        <v>1672</v>
      </c>
      <c r="J92" s="66">
        <v>2025</v>
      </c>
      <c r="M92" s="95"/>
      <c r="N92" s="95">
        <f>N80*$BI$148</f>
        <v>11.069224044501155</v>
      </c>
      <c r="O92" s="406">
        <f>O80*$BI$148</f>
        <v>9.6869995011644594</v>
      </c>
      <c r="W92" s="66" t="s">
        <v>1965</v>
      </c>
      <c r="X92">
        <v>3</v>
      </c>
      <c r="Y92">
        <v>1</v>
      </c>
      <c r="Z92">
        <v>1</v>
      </c>
      <c r="AA92">
        <v>3</v>
      </c>
      <c r="AB92">
        <v>2</v>
      </c>
      <c r="AG92" s="33" t="s">
        <v>1597</v>
      </c>
      <c r="AH92" s="35"/>
      <c r="AJ92" t="s">
        <v>633</v>
      </c>
      <c r="AK92" s="95">
        <v>1.2361893653597131</v>
      </c>
      <c r="AR92" s="372">
        <f>AVERAGE(AQ19:AQ23)*km_mile</f>
        <v>23122.031515999999</v>
      </c>
      <c r="AS92" s="33">
        <v>0</v>
      </c>
      <c r="AT92" s="372">
        <f t="shared" ref="AT92:BE92" si="8">AVERAGE(AT19:AT23)*USD2019_to_CAD2020</f>
        <v>565.58553441248773</v>
      </c>
      <c r="AU92" s="372">
        <f t="shared" si="8"/>
        <v>579.39350128949445</v>
      </c>
      <c r="AV92" s="372">
        <f t="shared" si="8"/>
        <v>602.01134725313261</v>
      </c>
      <c r="AW92" s="372">
        <f t="shared" si="8"/>
        <v>634.31391264012507</v>
      </c>
      <c r="AX92" s="372">
        <f t="shared" si="8"/>
        <v>993.60392476068091</v>
      </c>
      <c r="AY92" s="372">
        <f t="shared" si="8"/>
        <v>952.23324757682872</v>
      </c>
      <c r="AZ92" s="372">
        <f t="shared" si="8"/>
        <v>973.56319212887695</v>
      </c>
      <c r="BA92" s="372">
        <f t="shared" si="8"/>
        <v>785.32062238408616</v>
      </c>
      <c r="BB92" s="372">
        <f t="shared" si="8"/>
        <v>598.93658706977237</v>
      </c>
      <c r="BC92" s="372">
        <f t="shared" si="8"/>
        <v>601.85862021114724</v>
      </c>
      <c r="BD92" s="372">
        <f t="shared" si="8"/>
        <v>907.9734143194936</v>
      </c>
      <c r="BE92" s="372">
        <f t="shared" si="8"/>
        <v>774.34570256085431</v>
      </c>
      <c r="BG92" s="10">
        <v>39742.575600372533</v>
      </c>
      <c r="BH92" s="10">
        <v>347534.08878923615</v>
      </c>
      <c r="BI92" s="33">
        <v>8</v>
      </c>
      <c r="BJ92" s="198">
        <v>8973.6196621149338</v>
      </c>
      <c r="BK92" s="198">
        <v>7807.0491060399918</v>
      </c>
      <c r="BL92" s="198">
        <v>7537.840516176544</v>
      </c>
      <c r="BM92" s="198">
        <v>5384.1717972689603</v>
      </c>
      <c r="BN92" s="198">
        <v>5384.1717972689603</v>
      </c>
      <c r="BO92" s="198">
        <v>5384.1717972689603</v>
      </c>
    </row>
    <row r="93" spans="1:67" x14ac:dyDescent="0.35">
      <c r="A93" t="s">
        <v>1093</v>
      </c>
      <c r="B93" t="s">
        <v>2261</v>
      </c>
      <c r="C93" t="s">
        <v>851</v>
      </c>
      <c r="D93">
        <v>2022</v>
      </c>
      <c r="E93">
        <v>2019</v>
      </c>
      <c r="F93" t="s">
        <v>1951</v>
      </c>
      <c r="G93">
        <v>2020</v>
      </c>
      <c r="H93" t="s">
        <v>1953</v>
      </c>
      <c r="I93" t="s">
        <v>1672</v>
      </c>
      <c r="J93" s="66">
        <v>2030</v>
      </c>
      <c r="N93" s="95"/>
      <c r="O93" s="406">
        <f>O81*$BI$148</f>
        <v>11.069224044501155</v>
      </c>
      <c r="W93" s="66" t="s">
        <v>1965</v>
      </c>
      <c r="X93">
        <v>3</v>
      </c>
      <c r="Y93">
        <v>1</v>
      </c>
      <c r="Z93">
        <v>1</v>
      </c>
      <c r="AA93">
        <v>3</v>
      </c>
      <c r="AB93">
        <v>2</v>
      </c>
      <c r="AG93" s="17" t="s">
        <v>1598</v>
      </c>
      <c r="AH93" s="35">
        <v>0.56868624710569682</v>
      </c>
      <c r="AJ93" t="s">
        <v>632</v>
      </c>
      <c r="AK93" s="95">
        <v>7.1833923976802314</v>
      </c>
      <c r="AR93" s="372">
        <f>AVERAGE(AQ24:AQ28)*km_mile</f>
        <v>18890.111052</v>
      </c>
      <c r="AS93" s="33">
        <v>5</v>
      </c>
      <c r="AT93" s="372">
        <f t="shared" ref="AT93:BE93" si="9">AVERAGE(AT24:AT28)*USD2019_to_CAD2020</f>
        <v>1077.3163807705707</v>
      </c>
      <c r="AU93" s="372">
        <f t="shared" si="9"/>
        <v>1120.5036045780273</v>
      </c>
      <c r="AV93" s="372">
        <f t="shared" si="9"/>
        <v>1191.2455164304392</v>
      </c>
      <c r="AW93" s="372">
        <f t="shared" si="9"/>
        <v>1292.2783573511499</v>
      </c>
      <c r="AX93" s="372">
        <f t="shared" si="9"/>
        <v>1877.773729182727</v>
      </c>
      <c r="AY93" s="372">
        <f t="shared" si="9"/>
        <v>1863.8162285380338</v>
      </c>
      <c r="AZ93" s="372">
        <f t="shared" si="9"/>
        <v>1815.0922632475515</v>
      </c>
      <c r="BA93" s="372">
        <f t="shared" si="9"/>
        <v>1733.9655086699054</v>
      </c>
      <c r="BB93" s="372">
        <f t="shared" si="9"/>
        <v>1205.3560070665967</v>
      </c>
      <c r="BC93" s="372">
        <f t="shared" si="9"/>
        <v>1214.4952598163625</v>
      </c>
      <c r="BD93" s="372">
        <f t="shared" si="9"/>
        <v>1735.0667631032491</v>
      </c>
      <c r="BE93" s="372">
        <f t="shared" si="9"/>
        <v>1699.6392155308272</v>
      </c>
      <c r="BG93" s="10">
        <v>39571.110111474016</v>
      </c>
      <c r="BH93" s="10">
        <v>387105.19890071015</v>
      </c>
      <c r="BI93" s="33">
        <v>9</v>
      </c>
      <c r="BJ93" s="198">
        <v>9218.5515914607458</v>
      </c>
      <c r="BK93" s="198">
        <v>8020.1398845708491</v>
      </c>
      <c r="BL93" s="198">
        <v>7743.583336827026</v>
      </c>
      <c r="BM93" s="198">
        <v>5531.1309548764466</v>
      </c>
      <c r="BN93" s="198">
        <v>5531.1309548764466</v>
      </c>
      <c r="BO93" s="198">
        <v>5531.1309548764466</v>
      </c>
    </row>
    <row r="94" spans="1:67" x14ac:dyDescent="0.35">
      <c r="A94" t="s">
        <v>407</v>
      </c>
      <c r="B94" t="s">
        <v>2261</v>
      </c>
      <c r="C94" t="s">
        <v>851</v>
      </c>
      <c r="D94">
        <v>2022</v>
      </c>
      <c r="E94">
        <v>2019</v>
      </c>
      <c r="F94" t="s">
        <v>1951</v>
      </c>
      <c r="G94">
        <v>2020</v>
      </c>
      <c r="H94" t="s">
        <v>1953</v>
      </c>
      <c r="I94" t="s">
        <v>1672</v>
      </c>
      <c r="J94" s="66">
        <v>2021</v>
      </c>
      <c r="M94" s="95">
        <f>M82*$BJ$148</f>
        <v>16.842396929779774</v>
      </c>
      <c r="N94" s="95">
        <f>N82*$BJ$148</f>
        <v>14.73927079272006</v>
      </c>
      <c r="O94" s="406">
        <f>O82*$BJ$148</f>
        <v>10.48859580037975</v>
      </c>
      <c r="W94" s="66" t="s">
        <v>1965</v>
      </c>
      <c r="X94">
        <v>3</v>
      </c>
      <c r="Y94">
        <v>1</v>
      </c>
      <c r="Z94">
        <v>1</v>
      </c>
      <c r="AA94">
        <v>3</v>
      </c>
      <c r="AB94">
        <v>2</v>
      </c>
      <c r="AG94" s="17" t="s">
        <v>1599</v>
      </c>
      <c r="AH94" s="35">
        <v>0.14746865808631804</v>
      </c>
      <c r="AJ94" t="s">
        <v>634</v>
      </c>
      <c r="AK94" s="95">
        <v>1.0945547990449804</v>
      </c>
      <c r="AR94" s="373">
        <f>AVERAGE(AQ29:AQ32)*km_mile</f>
        <v>14346.863765</v>
      </c>
      <c r="AS94" s="256">
        <v>10</v>
      </c>
      <c r="AT94" s="373">
        <f t="shared" ref="AT94:BE94" si="10">AVERAGE(AT29:AT32)*USD2019_to_CAD2020</f>
        <v>810.54587174088874</v>
      </c>
      <c r="AU94" s="373">
        <f t="shared" si="10"/>
        <v>852.27440126960391</v>
      </c>
      <c r="AV94" s="373">
        <f t="shared" si="10"/>
        <v>920.62693003625827</v>
      </c>
      <c r="AW94" s="373">
        <f t="shared" si="10"/>
        <v>1018.2472796221911</v>
      </c>
      <c r="AX94" s="373">
        <f t="shared" si="10"/>
        <v>1291.315378426079</v>
      </c>
      <c r="AY94" s="373">
        <f t="shared" si="10"/>
        <v>1317.6397664222043</v>
      </c>
      <c r="AZ94" s="373">
        <f t="shared" si="10"/>
        <v>1230.7510454687122</v>
      </c>
      <c r="BA94" s="373">
        <f t="shared" si="10"/>
        <v>1106.7387284695462</v>
      </c>
      <c r="BB94" s="373">
        <f t="shared" si="10"/>
        <v>919.92730167241768</v>
      </c>
      <c r="BC94" s="373">
        <f t="shared" si="10"/>
        <v>928.75786646952679</v>
      </c>
      <c r="BD94" s="373">
        <f t="shared" si="10"/>
        <v>1025.2990898323587</v>
      </c>
      <c r="BE94" s="373">
        <f t="shared" si="10"/>
        <v>1073.5718422799775</v>
      </c>
      <c r="BG94" s="10">
        <v>39329.163699167933</v>
      </c>
      <c r="BH94" s="10">
        <v>426434.36259987811</v>
      </c>
      <c r="BI94" s="33">
        <v>10</v>
      </c>
      <c r="BJ94" s="198">
        <v>9397.1152339049167</v>
      </c>
      <c r="BK94" s="198">
        <v>8175.490253497278</v>
      </c>
      <c r="BL94" s="198">
        <v>7893.5767964801298</v>
      </c>
      <c r="BM94" s="198">
        <v>5638.2691403429499</v>
      </c>
      <c r="BN94" s="198">
        <v>5638.2691403429499</v>
      </c>
      <c r="BO94" s="198">
        <v>5638.2691403429499</v>
      </c>
    </row>
    <row r="95" spans="1:67" x14ac:dyDescent="0.35">
      <c r="A95" t="s">
        <v>407</v>
      </c>
      <c r="B95" t="s">
        <v>2261</v>
      </c>
      <c r="C95" t="s">
        <v>851</v>
      </c>
      <c r="D95">
        <v>2022</v>
      </c>
      <c r="E95">
        <v>2019</v>
      </c>
      <c r="F95" t="s">
        <v>1951</v>
      </c>
      <c r="G95">
        <v>2020</v>
      </c>
      <c r="H95" t="s">
        <v>1953</v>
      </c>
      <c r="I95" t="s">
        <v>1672</v>
      </c>
      <c r="J95" s="66">
        <v>2025</v>
      </c>
      <c r="M95" s="95"/>
      <c r="N95" s="95">
        <f>N83*$BJ$148</f>
        <v>16.842396929779774</v>
      </c>
      <c r="O95" s="406">
        <f>O83*$BJ$148</f>
        <v>14.73927079272006</v>
      </c>
      <c r="W95" s="66" t="s">
        <v>1965</v>
      </c>
      <c r="X95">
        <v>3</v>
      </c>
      <c r="Y95">
        <v>1</v>
      </c>
      <c r="Z95">
        <v>1</v>
      </c>
      <c r="AA95">
        <v>3</v>
      </c>
      <c r="AB95">
        <v>2</v>
      </c>
      <c r="AG95" s="17" t="s">
        <v>1066</v>
      </c>
      <c r="AH95" s="35">
        <v>0.28384509480798514</v>
      </c>
      <c r="AJ95" t="s">
        <v>796</v>
      </c>
      <c r="AK95" s="95">
        <v>22.103076923114696</v>
      </c>
      <c r="AR95" s="33" t="s">
        <v>1598</v>
      </c>
      <c r="AS95" s="33"/>
      <c r="BG95" s="10">
        <v>38999.098580168575</v>
      </c>
      <c r="BH95" s="10">
        <v>465433.46118004667</v>
      </c>
      <c r="BI95" s="33">
        <v>11</v>
      </c>
      <c r="BJ95" s="198">
        <v>9508.4195021046417</v>
      </c>
      <c r="BK95" s="198">
        <v>8272.3249668310382</v>
      </c>
      <c r="BL95" s="198">
        <v>7987.0723817678982</v>
      </c>
      <c r="BM95" s="198">
        <v>5705.0517012627852</v>
      </c>
      <c r="BN95" s="198">
        <v>5705.0517012627852</v>
      </c>
      <c r="BO95" s="198">
        <v>5705.0517012627852</v>
      </c>
    </row>
    <row r="96" spans="1:67" x14ac:dyDescent="0.35">
      <c r="A96" t="s">
        <v>407</v>
      </c>
      <c r="B96" t="s">
        <v>2261</v>
      </c>
      <c r="C96" t="s">
        <v>851</v>
      </c>
      <c r="D96">
        <v>2022</v>
      </c>
      <c r="E96">
        <v>2019</v>
      </c>
      <c r="F96" t="s">
        <v>1951</v>
      </c>
      <c r="G96">
        <v>2020</v>
      </c>
      <c r="H96" t="s">
        <v>1953</v>
      </c>
      <c r="I96" t="s">
        <v>1672</v>
      </c>
      <c r="J96" s="66">
        <v>2030</v>
      </c>
      <c r="N96" s="95"/>
      <c r="O96" s="406">
        <f>O84*$BJ$148</f>
        <v>16.842396929779774</v>
      </c>
      <c r="W96" s="66" t="s">
        <v>1965</v>
      </c>
      <c r="X96">
        <v>3</v>
      </c>
      <c r="Y96">
        <v>1</v>
      </c>
      <c r="Z96">
        <v>1</v>
      </c>
      <c r="AA96">
        <v>3</v>
      </c>
      <c r="AB96">
        <v>2</v>
      </c>
      <c r="AG96" s="33" t="s">
        <v>1604</v>
      </c>
      <c r="AH96" s="35"/>
      <c r="AJ96" t="s">
        <v>797</v>
      </c>
      <c r="AK96" s="95">
        <v>12.310769230799458</v>
      </c>
      <c r="AR96" s="372">
        <f>AVERAGE(AQ34:AQ38)*km_mile</f>
        <v>24929.803137999999</v>
      </c>
      <c r="AS96" s="33">
        <v>0</v>
      </c>
      <c r="AT96" s="372">
        <f t="shared" ref="AT96:BE96" si="11">AVERAGE(AT34:AT38)*USD2019_to_CAD2020</f>
        <v>713.46128043331919</v>
      </c>
      <c r="AU96" s="372">
        <f t="shared" si="11"/>
        <v>732.40264174404172</v>
      </c>
      <c r="AV96" s="372">
        <f t="shared" si="11"/>
        <v>763.86730199473197</v>
      </c>
      <c r="AW96" s="372">
        <f t="shared" si="11"/>
        <v>810.11729368188287</v>
      </c>
      <c r="AX96" s="372">
        <f t="shared" si="11"/>
        <v>1084.7240172997058</v>
      </c>
      <c r="AY96" s="372">
        <f t="shared" si="11"/>
        <v>1045.3832397878912</v>
      </c>
      <c r="AZ96" s="372">
        <f t="shared" si="11"/>
        <v>1067.2151271068665</v>
      </c>
      <c r="BA96" s="372">
        <f t="shared" si="11"/>
        <v>955.48640577541164</v>
      </c>
      <c r="BB96" s="372">
        <f t="shared" si="11"/>
        <v>749.59325365691507</v>
      </c>
      <c r="BC96" s="372">
        <f t="shared" si="11"/>
        <v>753.2404469612494</v>
      </c>
      <c r="BD96" s="372">
        <f t="shared" si="11"/>
        <v>997.85799114260897</v>
      </c>
      <c r="BE96" s="372">
        <f t="shared" si="11"/>
        <v>941.93901536350779</v>
      </c>
      <c r="BG96" s="10">
        <v>38561.696837338794</v>
      </c>
      <c r="BH96" s="10">
        <v>503995.15801738546</v>
      </c>
      <c r="BI96" s="33">
        <v>12</v>
      </c>
      <c r="BJ96" s="198">
        <v>9551.0105706735358</v>
      </c>
      <c r="BK96" s="198">
        <v>8309.3791964859756</v>
      </c>
      <c r="BL96" s="198">
        <v>8022.8488793657689</v>
      </c>
      <c r="BM96" s="198">
        <v>5730.6063424041204</v>
      </c>
      <c r="BN96" s="198">
        <v>5730.6063424041204</v>
      </c>
      <c r="BO96" s="198">
        <v>5730.6063424041204</v>
      </c>
    </row>
    <row r="97" spans="1:67" x14ac:dyDescent="0.35">
      <c r="A97" t="s">
        <v>288</v>
      </c>
      <c r="B97" t="s">
        <v>2261</v>
      </c>
      <c r="C97" t="s">
        <v>1779</v>
      </c>
      <c r="D97">
        <v>2022</v>
      </c>
      <c r="E97">
        <v>2018</v>
      </c>
      <c r="F97" t="s">
        <v>1951</v>
      </c>
      <c r="G97">
        <v>2020</v>
      </c>
      <c r="H97" t="s">
        <v>1953</v>
      </c>
      <c r="I97" t="s">
        <v>1672</v>
      </c>
      <c r="J97" s="66">
        <v>2021</v>
      </c>
      <c r="K97" s="95">
        <f>$AK$106</f>
        <v>6.2662358628489647</v>
      </c>
      <c r="L97" s="95">
        <f>$AK$106</f>
        <v>6.2662358628489647</v>
      </c>
      <c r="M97" s="95">
        <f>$AK$106</f>
        <v>6.2662358628489647</v>
      </c>
      <c r="N97" s="95">
        <f t="shared" ref="N97:O101" si="12">$AK$106</f>
        <v>6.2662358628489647</v>
      </c>
      <c r="O97" s="406">
        <f t="shared" si="12"/>
        <v>6.2662358628489647</v>
      </c>
      <c r="W97" s="66" t="s">
        <v>1968</v>
      </c>
      <c r="X97">
        <v>3</v>
      </c>
      <c r="Y97">
        <v>1</v>
      </c>
      <c r="Z97">
        <v>1</v>
      </c>
      <c r="AA97">
        <v>3</v>
      </c>
      <c r="AB97">
        <v>1</v>
      </c>
      <c r="AG97" s="17" t="s">
        <v>1586</v>
      </c>
      <c r="AH97" s="35">
        <v>0.34046005535935858</v>
      </c>
      <c r="AJ97" t="s">
        <v>798</v>
      </c>
      <c r="AK97" s="95">
        <v>16.880000000686017</v>
      </c>
      <c r="AR97" s="372">
        <f>AVERAGE(AQ39:AQ43)*km_mile</f>
        <v>20764.348416000001</v>
      </c>
      <c r="AS97" s="33">
        <v>5</v>
      </c>
      <c r="AT97" s="372">
        <f t="shared" ref="AT97:BE97" si="13">AVERAGE(AT39:AT43)*USD2019_to_CAD2020</f>
        <v>1057.7110018098329</v>
      </c>
      <c r="AU97" s="372">
        <f t="shared" si="13"/>
        <v>1117.8114065370708</v>
      </c>
      <c r="AV97" s="372">
        <f t="shared" si="13"/>
        <v>1217.6478852700443</v>
      </c>
      <c r="AW97" s="372">
        <f t="shared" si="13"/>
        <v>1364.3978032632992</v>
      </c>
      <c r="AX97" s="372">
        <f t="shared" si="13"/>
        <v>1951.8894899139123</v>
      </c>
      <c r="AY97" s="372">
        <f t="shared" si="13"/>
        <v>1952.7124710355047</v>
      </c>
      <c r="AZ97" s="372">
        <f t="shared" si="13"/>
        <v>1896.3342756052807</v>
      </c>
      <c r="BA97" s="372">
        <f t="shared" si="13"/>
        <v>1740.5677969475284</v>
      </c>
      <c r="BB97" s="372">
        <f t="shared" si="13"/>
        <v>1199.5597354718923</v>
      </c>
      <c r="BC97" s="372">
        <f t="shared" si="13"/>
        <v>1211.1321768668452</v>
      </c>
      <c r="BD97" s="372">
        <f t="shared" si="13"/>
        <v>1878.239205086295</v>
      </c>
      <c r="BE97" s="372">
        <f t="shared" si="13"/>
        <v>1697.5823096112827</v>
      </c>
      <c r="BG97" s="10">
        <v>37996.673316165987</v>
      </c>
      <c r="BH97" s="10">
        <v>541991.83133355144</v>
      </c>
      <c r="BI97" s="33">
        <v>13</v>
      </c>
      <c r="BJ97" s="198">
        <v>9523.1013056308202</v>
      </c>
      <c r="BK97" s="198">
        <v>8285.0981358988138</v>
      </c>
      <c r="BL97" s="198">
        <v>7999.405096729889</v>
      </c>
      <c r="BM97" s="198">
        <v>5713.8607833784918</v>
      </c>
      <c r="BN97" s="198">
        <v>5713.8607833784918</v>
      </c>
      <c r="BO97" s="198">
        <v>5713.8607833784918</v>
      </c>
    </row>
    <row r="98" spans="1:67" x14ac:dyDescent="0.35">
      <c r="A98" t="s">
        <v>288</v>
      </c>
      <c r="B98" t="s">
        <v>2261</v>
      </c>
      <c r="C98" t="s">
        <v>1779</v>
      </c>
      <c r="D98">
        <v>2022</v>
      </c>
      <c r="E98">
        <v>2018</v>
      </c>
      <c r="F98" t="s">
        <v>1951</v>
      </c>
      <c r="G98">
        <v>2020</v>
      </c>
      <c r="H98" t="s">
        <v>1953</v>
      </c>
      <c r="I98" t="s">
        <v>1672</v>
      </c>
      <c r="J98" s="66">
        <v>2025</v>
      </c>
      <c r="L98" s="95">
        <f>$AK$106</f>
        <v>6.2662358628489647</v>
      </c>
      <c r="M98" s="95">
        <f>$AK$106</f>
        <v>6.2662358628489647</v>
      </c>
      <c r="N98" s="95">
        <f t="shared" si="12"/>
        <v>6.2662358628489647</v>
      </c>
      <c r="O98" s="406">
        <f t="shared" si="12"/>
        <v>6.2662358628489647</v>
      </c>
      <c r="W98" s="66" t="s">
        <v>1968</v>
      </c>
      <c r="X98">
        <v>3</v>
      </c>
      <c r="Y98">
        <v>1</v>
      </c>
      <c r="Z98">
        <v>1</v>
      </c>
      <c r="AA98">
        <v>3</v>
      </c>
      <c r="AB98">
        <v>1</v>
      </c>
      <c r="AG98" s="17" t="s">
        <v>1587</v>
      </c>
      <c r="AH98" s="35">
        <v>8.5186599217333209E-2</v>
      </c>
      <c r="AI98" s="35">
        <f>AH98/SUM(AH98,AH100)</f>
        <v>0.67536889897843355</v>
      </c>
      <c r="AJ98" s="74" t="s">
        <v>799</v>
      </c>
      <c r="AR98" s="372">
        <f>AVERAGE(AQ44:AQ48)*km_mile</f>
        <v>14540.547834000001</v>
      </c>
      <c r="AS98" s="33">
        <v>10</v>
      </c>
      <c r="AT98" s="372">
        <f t="shared" ref="AT98:BE98" si="14">AVERAGE(AT44:AT48)*USD2019_to_CAD2020</f>
        <v>765.77430599632305</v>
      </c>
      <c r="AU98" s="372">
        <f t="shared" si="14"/>
        <v>819.84774148003305</v>
      </c>
      <c r="AV98" s="372">
        <f t="shared" si="14"/>
        <v>909.67245091733275</v>
      </c>
      <c r="AW98" s="372">
        <f t="shared" si="14"/>
        <v>1041.7060413542329</v>
      </c>
      <c r="AX98" s="372">
        <f t="shared" si="14"/>
        <v>1387.3455494349084</v>
      </c>
      <c r="AY98" s="372">
        <f t="shared" si="14"/>
        <v>1394.4106442587192</v>
      </c>
      <c r="AZ98" s="372">
        <f t="shared" si="14"/>
        <v>1337.361505062242</v>
      </c>
      <c r="BA98" s="372">
        <f t="shared" si="14"/>
        <v>1054.7379441025726</v>
      </c>
      <c r="BB98" s="372">
        <f t="shared" si="14"/>
        <v>870.03294400415655</v>
      </c>
      <c r="BC98" s="372">
        <f t="shared" si="14"/>
        <v>880.44488159424418</v>
      </c>
      <c r="BD98" s="372">
        <f t="shared" si="14"/>
        <v>893.57973498104502</v>
      </c>
      <c r="BE98" s="372">
        <f t="shared" si="14"/>
        <v>1016.0631134294455</v>
      </c>
      <c r="BG98" s="10">
        <v>37283.404693446406</v>
      </c>
      <c r="BH98" s="10">
        <v>579275.23602699779</v>
      </c>
      <c r="BI98" s="33">
        <v>14</v>
      </c>
      <c r="BJ98" s="198">
        <v>9422.8587057669374</v>
      </c>
      <c r="BK98" s="198">
        <v>8197.8870740172351</v>
      </c>
      <c r="BL98" s="198">
        <v>7915.2013128442268</v>
      </c>
      <c r="BM98" s="198">
        <v>5653.7152234601626</v>
      </c>
      <c r="BN98" s="198">
        <v>5653.7152234601626</v>
      </c>
      <c r="BO98" s="198">
        <v>5653.7152234601626</v>
      </c>
    </row>
    <row r="99" spans="1:67" x14ac:dyDescent="0.35">
      <c r="A99" t="s">
        <v>288</v>
      </c>
      <c r="B99" t="s">
        <v>2261</v>
      </c>
      <c r="C99" t="s">
        <v>1779</v>
      </c>
      <c r="D99">
        <v>2022</v>
      </c>
      <c r="E99">
        <v>2018</v>
      </c>
      <c r="F99" t="s">
        <v>1951</v>
      </c>
      <c r="G99">
        <v>2020</v>
      </c>
      <c r="H99" t="s">
        <v>1953</v>
      </c>
      <c r="I99" t="s">
        <v>1672</v>
      </c>
      <c r="J99" s="66">
        <v>2030</v>
      </c>
      <c r="M99" s="95">
        <f>$AK$106</f>
        <v>6.2662358628489647</v>
      </c>
      <c r="N99" s="95">
        <f t="shared" si="12"/>
        <v>6.2662358628489647</v>
      </c>
      <c r="O99" s="406">
        <f t="shared" si="12"/>
        <v>6.2662358628489647</v>
      </c>
      <c r="W99" s="66" t="s">
        <v>1968</v>
      </c>
      <c r="X99">
        <v>3</v>
      </c>
      <c r="Y99">
        <v>1</v>
      </c>
      <c r="Z99">
        <v>1</v>
      </c>
      <c r="AA99">
        <v>3</v>
      </c>
      <c r="AB99">
        <v>1</v>
      </c>
      <c r="AG99" s="17" t="s">
        <v>1588</v>
      </c>
      <c r="AH99" s="35">
        <v>0.29951321943304382</v>
      </c>
      <c r="AI99" s="35"/>
      <c r="AR99" s="373">
        <f>AQ49*km_mile</f>
        <v>12239.030699999999</v>
      </c>
      <c r="AS99" s="256">
        <v>15</v>
      </c>
      <c r="AT99" s="373">
        <f t="shared" ref="AT99:BE99" si="15">AT49*USD2019_to_CAD2020</f>
        <v>459.36832109239259</v>
      </c>
      <c r="AU99" s="373">
        <f t="shared" si="15"/>
        <v>508.22448245242356</v>
      </c>
      <c r="AV99" s="373">
        <f t="shared" si="15"/>
        <v>589.38245695745888</v>
      </c>
      <c r="AW99" s="373">
        <f t="shared" si="15"/>
        <v>708.67678959280136</v>
      </c>
      <c r="AX99" s="373">
        <f t="shared" si="15"/>
        <v>679.59392028181799</v>
      </c>
      <c r="AY99" s="373">
        <f t="shared" si="15"/>
        <v>713.75649122663117</v>
      </c>
      <c r="AZ99" s="373">
        <f t="shared" si="15"/>
        <v>634.4325852297178</v>
      </c>
      <c r="BA99" s="373">
        <f t="shared" si="15"/>
        <v>1303.8854417152997</v>
      </c>
      <c r="BB99" s="373">
        <f t="shared" si="15"/>
        <v>495.55266069045058</v>
      </c>
      <c r="BC99" s="373">
        <f t="shared" si="15"/>
        <v>504.96000273227702</v>
      </c>
      <c r="BD99" s="373">
        <f t="shared" si="15"/>
        <v>1279.654236483638</v>
      </c>
      <c r="BE99" s="373">
        <f t="shared" si="15"/>
        <v>1268.9421511506123</v>
      </c>
      <c r="BG99" s="10">
        <v>35334.01213744453</v>
      </c>
      <c r="BH99" s="10">
        <v>614609.24816444237</v>
      </c>
      <c r="BI99" s="33">
        <v>15</v>
      </c>
      <c r="BJ99" s="198">
        <v>8977.4266354322081</v>
      </c>
      <c r="BK99" s="198">
        <v>7810.3611728260212</v>
      </c>
      <c r="BL99" s="198">
        <v>7541.0383737630546</v>
      </c>
      <c r="BM99" s="198">
        <v>5386.4559812593243</v>
      </c>
      <c r="BN99" s="198">
        <v>5386.4559812593243</v>
      </c>
      <c r="BO99" s="198">
        <v>5386.4559812593243</v>
      </c>
    </row>
    <row r="100" spans="1:67" x14ac:dyDescent="0.35">
      <c r="A100" t="s">
        <v>288</v>
      </c>
      <c r="B100" t="s">
        <v>2261</v>
      </c>
      <c r="C100" t="s">
        <v>1779</v>
      </c>
      <c r="D100">
        <v>2022</v>
      </c>
      <c r="E100">
        <v>2018</v>
      </c>
      <c r="F100" t="s">
        <v>1951</v>
      </c>
      <c r="G100">
        <v>2020</v>
      </c>
      <c r="H100" t="s">
        <v>1953</v>
      </c>
      <c r="I100" t="s">
        <v>1672</v>
      </c>
      <c r="J100" s="66">
        <v>2035</v>
      </c>
      <c r="N100" s="95">
        <f t="shared" si="12"/>
        <v>6.2662358628489647</v>
      </c>
      <c r="O100" s="406">
        <f t="shared" si="12"/>
        <v>6.2662358628489647</v>
      </c>
      <c r="W100" s="66" t="s">
        <v>1968</v>
      </c>
      <c r="X100">
        <v>3</v>
      </c>
      <c r="Y100">
        <v>1</v>
      </c>
      <c r="Z100">
        <v>1</v>
      </c>
      <c r="AA100">
        <v>3</v>
      </c>
      <c r="AB100">
        <v>1</v>
      </c>
      <c r="AG100" s="17" t="s">
        <v>1589</v>
      </c>
      <c r="AH100" s="35">
        <v>4.0946835926314783E-2</v>
      </c>
      <c r="AI100" s="35">
        <f>AH100/SUM(AH98,AH100)</f>
        <v>0.32463110102156639</v>
      </c>
      <c r="AR100" s="33" t="s">
        <v>1599</v>
      </c>
      <c r="AS100" s="33"/>
      <c r="BG100" s="10">
        <v>34064.90080070652</v>
      </c>
      <c r="BH100" s="10">
        <v>648674.14896514884</v>
      </c>
      <c r="BI100" s="33">
        <v>16</v>
      </c>
      <c r="BJ100" s="198">
        <v>8676.6710950775378</v>
      </c>
      <c r="BK100" s="198">
        <v>7548.7038527174591</v>
      </c>
      <c r="BL100" s="198">
        <v>7288.4037198651322</v>
      </c>
      <c r="BM100" s="198">
        <v>5206.0026570465225</v>
      </c>
      <c r="BN100" s="198">
        <v>5206.0026570465225</v>
      </c>
      <c r="BO100" s="198">
        <v>5206.0026570465225</v>
      </c>
    </row>
    <row r="101" spans="1:67" x14ac:dyDescent="0.35">
      <c r="A101" t="s">
        <v>288</v>
      </c>
      <c r="B101" t="s">
        <v>2261</v>
      </c>
      <c r="C101" t="s">
        <v>1779</v>
      </c>
      <c r="D101">
        <v>2022</v>
      </c>
      <c r="E101">
        <v>2018</v>
      </c>
      <c r="F101" t="s">
        <v>1951</v>
      </c>
      <c r="G101">
        <v>2020</v>
      </c>
      <c r="H101" t="s">
        <v>1953</v>
      </c>
      <c r="I101" t="s">
        <v>1672</v>
      </c>
      <c r="J101" s="66">
        <v>2040</v>
      </c>
      <c r="O101" s="406">
        <f t="shared" si="12"/>
        <v>6.2662358628489647</v>
      </c>
      <c r="W101" s="66" t="s">
        <v>1968</v>
      </c>
      <c r="X101">
        <v>3</v>
      </c>
      <c r="Y101">
        <v>1</v>
      </c>
      <c r="Z101">
        <v>1</v>
      </c>
      <c r="AA101">
        <v>3</v>
      </c>
      <c r="AB101">
        <v>1</v>
      </c>
      <c r="AG101" s="17" t="s">
        <v>1590</v>
      </c>
      <c r="AH101" s="35">
        <v>0.2338932900639496</v>
      </c>
      <c r="AR101" s="372">
        <f>AVERAGE(AQ51:AQ55)*km_mile</f>
        <v>24929.803137999999</v>
      </c>
      <c r="AS101" s="33">
        <v>0</v>
      </c>
      <c r="AT101" s="372">
        <f t="shared" ref="AT101:BE101" si="16">AVERAGE(AT51:AT55)*USD2019_to_CAD2020</f>
        <v>720.97761508542624</v>
      </c>
      <c r="AU101" s="372">
        <f t="shared" si="16"/>
        <v>743.12144020379969</v>
      </c>
      <c r="AV101" s="372">
        <f t="shared" si="16"/>
        <v>780.00304713587082</v>
      </c>
      <c r="AW101" s="372">
        <f t="shared" si="16"/>
        <v>835.22362280639834</v>
      </c>
      <c r="AX101" s="372">
        <f t="shared" si="16"/>
        <v>1091.7399820159892</v>
      </c>
      <c r="AY101" s="372">
        <f t="shared" si="16"/>
        <v>1048.6367884518152</v>
      </c>
      <c r="AZ101" s="372">
        <f t="shared" si="16"/>
        <v>1073.60024340362</v>
      </c>
      <c r="BA101" s="372">
        <f t="shared" si="16"/>
        <v>963.63681954269896</v>
      </c>
      <c r="BB101" s="372">
        <f t="shared" si="16"/>
        <v>753.51588747940446</v>
      </c>
      <c r="BC101" s="372">
        <f t="shared" si="16"/>
        <v>757.34619530750956</v>
      </c>
      <c r="BD101" s="372">
        <f t="shared" si="16"/>
        <v>1003.7528177273608</v>
      </c>
      <c r="BE101" s="372">
        <f t="shared" si="16"/>
        <v>948.6112518041258</v>
      </c>
      <c r="BG101" s="10">
        <v>32584.6515685997</v>
      </c>
      <c r="BH101" s="10">
        <v>681258.80053374858</v>
      </c>
      <c r="BI101" s="33">
        <v>17</v>
      </c>
      <c r="BJ101" s="198">
        <v>8299.6368039497738</v>
      </c>
      <c r="BK101" s="198">
        <v>7220.6840194363031</v>
      </c>
      <c r="BL101" s="198">
        <v>6971.6949153178093</v>
      </c>
      <c r="BM101" s="198">
        <v>4979.782082369863</v>
      </c>
      <c r="BN101" s="198">
        <v>4979.782082369863</v>
      </c>
      <c r="BO101" s="198">
        <v>4979.782082369863</v>
      </c>
    </row>
    <row r="102" spans="1:67" x14ac:dyDescent="0.35">
      <c r="A102" t="s">
        <v>289</v>
      </c>
      <c r="B102" t="s">
        <v>2261</v>
      </c>
      <c r="C102" t="s">
        <v>1779</v>
      </c>
      <c r="D102">
        <v>2022</v>
      </c>
      <c r="E102">
        <v>2018</v>
      </c>
      <c r="F102" t="s">
        <v>1951</v>
      </c>
      <c r="G102">
        <v>2020</v>
      </c>
      <c r="H102" t="s">
        <v>1953</v>
      </c>
      <c r="I102" t="s">
        <v>1683</v>
      </c>
      <c r="J102" s="66">
        <v>2021</v>
      </c>
      <c r="K102" s="95">
        <f>$AP$107</f>
        <v>24.345364936995864</v>
      </c>
      <c r="L102" s="95">
        <f t="shared" ref="L102:O106" si="17">$AP$107</f>
        <v>24.345364936995864</v>
      </c>
      <c r="M102" s="95">
        <f t="shared" si="17"/>
        <v>24.345364936995864</v>
      </c>
      <c r="N102" s="95">
        <f t="shared" si="17"/>
        <v>24.345364936995864</v>
      </c>
      <c r="O102" s="406">
        <f t="shared" si="17"/>
        <v>24.345364936995864</v>
      </c>
      <c r="W102" s="66" t="s">
        <v>1969</v>
      </c>
      <c r="X102">
        <v>3</v>
      </c>
      <c r="Y102">
        <v>1</v>
      </c>
      <c r="Z102">
        <v>1</v>
      </c>
      <c r="AA102">
        <v>3</v>
      </c>
      <c r="AB102">
        <v>2</v>
      </c>
      <c r="AG102" s="33"/>
      <c r="AH102" s="35"/>
      <c r="AR102" s="372">
        <f>AVERAGE(AQ56:AQ60)*km_mile</f>
        <v>20764.348416000001</v>
      </c>
      <c r="AS102" s="33">
        <v>5</v>
      </c>
      <c r="AT102" s="372">
        <f t="shared" ref="AT102:BE102" si="18">AVERAGE(AT56:AT60)*USD2019_to_CAD2020</f>
        <v>1081.56011947601</v>
      </c>
      <c r="AU102" s="372">
        <f t="shared" si="18"/>
        <v>1151.8218514598691</v>
      </c>
      <c r="AV102" s="372">
        <f t="shared" si="18"/>
        <v>1268.8461490933009</v>
      </c>
      <c r="AW102" s="372">
        <f t="shared" si="18"/>
        <v>1444.0594768276196</v>
      </c>
      <c r="AX102" s="372">
        <f t="shared" si="18"/>
        <v>1974.1509478990858</v>
      </c>
      <c r="AY102" s="372">
        <f t="shared" si="18"/>
        <v>1963.0358890989626</v>
      </c>
      <c r="AZ102" s="372">
        <f t="shared" si="18"/>
        <v>1916.5940693640391</v>
      </c>
      <c r="BA102" s="372">
        <f t="shared" si="18"/>
        <v>1766.4288297462174</v>
      </c>
      <c r="BB102" s="372">
        <f t="shared" si="18"/>
        <v>1212.0061418553082</v>
      </c>
      <c r="BC102" s="372">
        <f t="shared" si="18"/>
        <v>1224.1596004648911</v>
      </c>
      <c r="BD102" s="372">
        <f t="shared" si="18"/>
        <v>1896.9433234296748</v>
      </c>
      <c r="BE102" s="372">
        <f t="shared" si="18"/>
        <v>1718.7531274811663</v>
      </c>
      <c r="BG102" s="10">
        <v>30890.001442701658</v>
      </c>
      <c r="BH102" s="10">
        <v>712148.80197645025</v>
      </c>
      <c r="BI102" s="33">
        <v>18</v>
      </c>
      <c r="BJ102" s="198">
        <v>7850.151207085948</v>
      </c>
      <c r="BK102" s="198">
        <v>6829.631550164775</v>
      </c>
      <c r="BL102" s="198">
        <v>6594.1270139521966</v>
      </c>
      <c r="BM102" s="198">
        <v>4710.0907242515696</v>
      </c>
      <c r="BN102" s="198">
        <v>4710.0907242515696</v>
      </c>
      <c r="BO102" s="198">
        <v>4710.0907242515696</v>
      </c>
    </row>
    <row r="103" spans="1:67" ht="15" thickBot="1" x14ac:dyDescent="0.4">
      <c r="A103" t="s">
        <v>289</v>
      </c>
      <c r="B103" t="s">
        <v>2261</v>
      </c>
      <c r="C103" t="s">
        <v>1779</v>
      </c>
      <c r="D103">
        <v>2022</v>
      </c>
      <c r="E103">
        <v>2018</v>
      </c>
      <c r="F103" t="s">
        <v>1951</v>
      </c>
      <c r="G103">
        <v>2020</v>
      </c>
      <c r="H103" t="s">
        <v>1953</v>
      </c>
      <c r="I103" t="s">
        <v>1683</v>
      </c>
      <c r="J103" s="66">
        <v>2025</v>
      </c>
      <c r="L103" s="95">
        <f t="shared" si="17"/>
        <v>24.345364936995864</v>
      </c>
      <c r="M103" s="95">
        <f t="shared" si="17"/>
        <v>24.345364936995864</v>
      </c>
      <c r="N103" s="95">
        <f t="shared" si="17"/>
        <v>24.345364936995864</v>
      </c>
      <c r="O103" s="406">
        <f t="shared" si="17"/>
        <v>24.345364936995864</v>
      </c>
      <c r="W103" s="66" t="s">
        <v>1969</v>
      </c>
      <c r="X103">
        <v>3</v>
      </c>
      <c r="Y103">
        <v>1</v>
      </c>
      <c r="Z103">
        <v>1</v>
      </c>
      <c r="AA103">
        <v>3</v>
      </c>
      <c r="AB103">
        <v>2</v>
      </c>
      <c r="AG103" s="375" t="s">
        <v>1681</v>
      </c>
      <c r="AH103" s="35"/>
      <c r="AJ103" s="33" t="s">
        <v>1821</v>
      </c>
      <c r="AN103" s="33" t="s">
        <v>1816</v>
      </c>
      <c r="AR103" s="372">
        <f>AVERAGE(AQ61:AQ65)*km_mile</f>
        <v>14540.547834000001</v>
      </c>
      <c r="AS103" s="33">
        <v>10</v>
      </c>
      <c r="AT103" s="372">
        <f t="shared" ref="AT103:BE103" si="19">AVERAGE(AT61:AT65)*USD2019_to_CAD2020</f>
        <v>787.23179419990856</v>
      </c>
      <c r="AU103" s="372">
        <f t="shared" si="19"/>
        <v>850.44756202453175</v>
      </c>
      <c r="AV103" s="372">
        <f t="shared" si="19"/>
        <v>955.73646709641491</v>
      </c>
      <c r="AW103" s="372">
        <f t="shared" si="19"/>
        <v>1113.3791088743997</v>
      </c>
      <c r="AX103" s="372">
        <f t="shared" si="19"/>
        <v>1407.3745911293495</v>
      </c>
      <c r="AY103" s="372">
        <f t="shared" si="19"/>
        <v>1403.6988126688855</v>
      </c>
      <c r="AZ103" s="372">
        <f t="shared" si="19"/>
        <v>1355.5896127713238</v>
      </c>
      <c r="BA103" s="372">
        <f t="shared" si="19"/>
        <v>1078.0055892195824</v>
      </c>
      <c r="BB103" s="372">
        <f t="shared" si="19"/>
        <v>881.23120390992847</v>
      </c>
      <c r="BC103" s="372">
        <f t="shared" si="19"/>
        <v>892.16589333526235</v>
      </c>
      <c r="BD103" s="372">
        <f t="shared" si="19"/>
        <v>910.40817301088146</v>
      </c>
      <c r="BE103" s="372">
        <f t="shared" si="19"/>
        <v>1035.1108862259855</v>
      </c>
    </row>
    <row r="104" spans="1:67" ht="16" thickBot="1" x14ac:dyDescent="0.4">
      <c r="A104" t="s">
        <v>289</v>
      </c>
      <c r="B104" t="s">
        <v>2261</v>
      </c>
      <c r="C104" t="s">
        <v>1779</v>
      </c>
      <c r="D104">
        <v>2022</v>
      </c>
      <c r="E104">
        <v>2018</v>
      </c>
      <c r="F104" t="s">
        <v>1951</v>
      </c>
      <c r="G104">
        <v>2020</v>
      </c>
      <c r="H104" t="s">
        <v>1953</v>
      </c>
      <c r="I104" t="s">
        <v>1683</v>
      </c>
      <c r="J104" s="66">
        <v>2030</v>
      </c>
      <c r="M104" s="95">
        <f t="shared" si="17"/>
        <v>24.345364936995864</v>
      </c>
      <c r="N104" s="95">
        <f t="shared" si="17"/>
        <v>24.345364936995864</v>
      </c>
      <c r="O104" s="406">
        <f t="shared" si="17"/>
        <v>24.345364936995864</v>
      </c>
      <c r="W104" s="66" t="s">
        <v>1969</v>
      </c>
      <c r="X104">
        <v>3</v>
      </c>
      <c r="Y104">
        <v>1</v>
      </c>
      <c r="Z104">
        <v>1</v>
      </c>
      <c r="AA104">
        <v>3</v>
      </c>
      <c r="AB104">
        <v>2</v>
      </c>
      <c r="AG104" s="105" t="s">
        <v>1595</v>
      </c>
      <c r="AH104" s="105" t="s">
        <v>1682</v>
      </c>
      <c r="AJ104" s="105" t="s">
        <v>638</v>
      </c>
      <c r="AK104" s="121">
        <v>2015</v>
      </c>
      <c r="AL104" s="121">
        <v>2030</v>
      </c>
      <c r="AN104" s="402" t="s">
        <v>1811</v>
      </c>
      <c r="AO104" s="105" t="s">
        <v>1812</v>
      </c>
      <c r="AP104" s="105" t="s">
        <v>1813</v>
      </c>
      <c r="AQ104" s="380" t="s">
        <v>1817</v>
      </c>
      <c r="AR104" s="373">
        <f>AQ66*km_mile</f>
        <v>12239.030699999999</v>
      </c>
      <c r="AS104" s="256">
        <v>15</v>
      </c>
      <c r="AT104" s="373">
        <f t="shared" ref="AT104:BE104" si="20">AT66*USD2019_to_CAD2020</f>
        <v>478.75548406211277</v>
      </c>
      <c r="AU104" s="373">
        <f t="shared" si="20"/>
        <v>535.87188004676352</v>
      </c>
      <c r="AV104" s="373">
        <f t="shared" si="20"/>
        <v>631.00198764206436</v>
      </c>
      <c r="AW104" s="373">
        <f t="shared" si="20"/>
        <v>773.43448291503455</v>
      </c>
      <c r="AX104" s="373">
        <f t="shared" si="20"/>
        <v>697.69046036951386</v>
      </c>
      <c r="AY104" s="373">
        <f t="shared" si="20"/>
        <v>722.14849093086536</v>
      </c>
      <c r="AZ104" s="373">
        <f t="shared" si="20"/>
        <v>650.90195440436946</v>
      </c>
      <c r="BA104" s="373">
        <f t="shared" si="20"/>
        <v>1324.9081086521367</v>
      </c>
      <c r="BB104" s="373">
        <f t="shared" si="20"/>
        <v>505.67045675822163</v>
      </c>
      <c r="BC104" s="373">
        <f t="shared" si="20"/>
        <v>515.5501129370283</v>
      </c>
      <c r="BD104" s="373">
        <f t="shared" si="20"/>
        <v>1294.8589830744229</v>
      </c>
      <c r="BE104" s="373">
        <f t="shared" si="20"/>
        <v>1286.152100046449</v>
      </c>
      <c r="BH104" s="189" t="s">
        <v>1716</v>
      </c>
    </row>
    <row r="105" spans="1:67" ht="15.65" customHeight="1" thickTop="1" thickBot="1" x14ac:dyDescent="0.4">
      <c r="A105" t="s">
        <v>289</v>
      </c>
      <c r="B105" t="s">
        <v>2261</v>
      </c>
      <c r="C105" t="s">
        <v>1779</v>
      </c>
      <c r="D105">
        <v>2022</v>
      </c>
      <c r="E105">
        <v>2018</v>
      </c>
      <c r="F105" t="s">
        <v>1951</v>
      </c>
      <c r="G105">
        <v>2020</v>
      </c>
      <c r="H105" t="s">
        <v>1953</v>
      </c>
      <c r="I105" t="s">
        <v>1683</v>
      </c>
      <c r="J105" s="66">
        <v>2035</v>
      </c>
      <c r="N105" s="95">
        <f t="shared" si="17"/>
        <v>24.345364936995864</v>
      </c>
      <c r="O105" s="406">
        <f t="shared" si="17"/>
        <v>24.345364936995864</v>
      </c>
      <c r="W105" s="66" t="s">
        <v>1969</v>
      </c>
      <c r="X105">
        <v>3</v>
      </c>
      <c r="Y105">
        <v>1</v>
      </c>
      <c r="Z105">
        <v>1</v>
      </c>
      <c r="AA105">
        <v>3</v>
      </c>
      <c r="AB105">
        <v>2</v>
      </c>
      <c r="AG105" s="33" t="s">
        <v>1678</v>
      </c>
      <c r="AJ105" s="33" t="s">
        <v>1776</v>
      </c>
      <c r="AN105" t="s">
        <v>1814</v>
      </c>
      <c r="AO105" s="376">
        <f>'Background Data'!BF109/('Background Data'!B45/1000)</f>
        <v>132.65616258154392</v>
      </c>
      <c r="AP105" s="376">
        <f>'Background Data'!BD109/('Background Data'!B45/1000)</f>
        <v>12.0106782051556</v>
      </c>
      <c r="AQ105" s="269">
        <f>AP106/AP105</f>
        <v>3.8851657470051189</v>
      </c>
      <c r="AR105" s="33" t="s">
        <v>1066</v>
      </c>
      <c r="AS105" s="33"/>
      <c r="BH105" s="105" t="s">
        <v>1675</v>
      </c>
      <c r="BI105" s="105" t="s">
        <v>1270</v>
      </c>
      <c r="BJ105" s="105" t="s">
        <v>1017</v>
      </c>
      <c r="BK105" s="105" t="s">
        <v>1020</v>
      </c>
      <c r="BL105" s="105" t="s">
        <v>1021</v>
      </c>
      <c r="BM105" s="105" t="s">
        <v>627</v>
      </c>
      <c r="BN105" s="105" t="s">
        <v>1065</v>
      </c>
      <c r="BO105" s="105" t="s">
        <v>246</v>
      </c>
    </row>
    <row r="106" spans="1:67" x14ac:dyDescent="0.35">
      <c r="A106" t="s">
        <v>289</v>
      </c>
      <c r="B106" t="s">
        <v>2261</v>
      </c>
      <c r="C106" t="s">
        <v>1779</v>
      </c>
      <c r="D106">
        <v>2022</v>
      </c>
      <c r="E106">
        <v>2018</v>
      </c>
      <c r="F106" t="s">
        <v>1951</v>
      </c>
      <c r="G106">
        <v>2020</v>
      </c>
      <c r="H106" t="s">
        <v>1953</v>
      </c>
      <c r="I106" t="s">
        <v>1683</v>
      </c>
      <c r="J106" s="66">
        <v>2040</v>
      </c>
      <c r="O106" s="406">
        <f t="shared" si="17"/>
        <v>24.345364936995864</v>
      </c>
      <c r="W106" s="66" t="s">
        <v>1969</v>
      </c>
      <c r="X106">
        <v>3</v>
      </c>
      <c r="Y106">
        <v>1</v>
      </c>
      <c r="Z106">
        <v>1</v>
      </c>
      <c r="AA106">
        <v>3</v>
      </c>
      <c r="AB106">
        <v>2</v>
      </c>
      <c r="AG106" s="17" t="s">
        <v>1679</v>
      </c>
      <c r="AH106" s="34">
        <v>0.18272858103533385</v>
      </c>
      <c r="AJ106" s="17" t="s">
        <v>707</v>
      </c>
      <c r="AK106" s="376">
        <f>'OEO &amp; EPAUS9rT-HDV Data'!I6/km_mile*USD2018_to_CAD2020</f>
        <v>6.2662358628489647</v>
      </c>
      <c r="AL106" s="376"/>
      <c r="AN106" s="403" t="s">
        <v>1815</v>
      </c>
      <c r="AO106" s="404">
        <f>'Background Data'!BF121/('Background Data'!B46/1000)</f>
        <v>533.70813070241843</v>
      </c>
      <c r="AP106" s="404">
        <f>'Background Data'!BD121/('Background Data'!B46/1000)</f>
        <v>46.663475560971456</v>
      </c>
      <c r="AR106" s="372">
        <f>AVERAGE(AQ68:AQ72)*km_mile</f>
        <v>26468.975913999999</v>
      </c>
      <c r="AS106" s="33">
        <v>0</v>
      </c>
      <c r="AT106" s="372">
        <f t="shared" ref="AT106:BE106" si="21">AVERAGE(AT68:AT72)*USD2019_to_CAD2020</f>
        <v>761.53104980036153</v>
      </c>
      <c r="AU106" s="372">
        <f t="shared" si="21"/>
        <v>785.51745614333151</v>
      </c>
      <c r="AV106" s="372">
        <f t="shared" si="21"/>
        <v>827.36800232447217</v>
      </c>
      <c r="AW106" s="372">
        <f t="shared" si="21"/>
        <v>893.83797309051397</v>
      </c>
      <c r="AX106" s="372">
        <f t="shared" si="21"/>
        <v>1207.0569317540703</v>
      </c>
      <c r="AY106" s="372">
        <f t="shared" si="21"/>
        <v>1158.8610446944137</v>
      </c>
      <c r="AZ106" s="372">
        <f t="shared" si="21"/>
        <v>1185.7754602871116</v>
      </c>
      <c r="BA106" s="372">
        <f t="shared" si="21"/>
        <v>1107.096124279698</v>
      </c>
      <c r="BB106" s="372">
        <f t="shared" si="21"/>
        <v>895.59152250243767</v>
      </c>
      <c r="BC106" s="372">
        <f t="shared" si="21"/>
        <v>901.10958697431431</v>
      </c>
      <c r="BD106" s="372">
        <f t="shared" si="21"/>
        <v>1129.9097507648582</v>
      </c>
      <c r="BE106" s="372">
        <f t="shared" si="21"/>
        <v>1091.1146687609835</v>
      </c>
      <c r="BH106" s="33" t="s">
        <v>1663</v>
      </c>
    </row>
    <row r="107" spans="1:67" x14ac:dyDescent="0.35">
      <c r="A107" t="s">
        <v>400</v>
      </c>
      <c r="B107" t="s">
        <v>2261</v>
      </c>
      <c r="C107" t="s">
        <v>1779</v>
      </c>
      <c r="D107">
        <v>2022</v>
      </c>
      <c r="E107">
        <v>2018</v>
      </c>
      <c r="F107" t="s">
        <v>1951</v>
      </c>
      <c r="G107">
        <v>2020</v>
      </c>
      <c r="H107" t="s">
        <v>1953</v>
      </c>
      <c r="I107" t="s">
        <v>1672</v>
      </c>
      <c r="J107" s="66">
        <v>2021</v>
      </c>
      <c r="K107" s="95">
        <f>$AK$117</f>
        <v>54.595257151485576</v>
      </c>
      <c r="L107" s="95">
        <f t="shared" ref="L107:O112" si="22">$AK$117</f>
        <v>54.595257151485576</v>
      </c>
      <c r="M107" s="95">
        <f t="shared" si="22"/>
        <v>54.595257151485576</v>
      </c>
      <c r="N107" s="95">
        <f t="shared" si="22"/>
        <v>54.595257151485576</v>
      </c>
      <c r="O107" s="406">
        <f t="shared" si="22"/>
        <v>54.595257151485576</v>
      </c>
      <c r="W107" s="66" t="s">
        <v>1970</v>
      </c>
      <c r="X107">
        <v>3</v>
      </c>
      <c r="Y107">
        <v>1</v>
      </c>
      <c r="Z107">
        <v>1</v>
      </c>
      <c r="AA107">
        <v>3</v>
      </c>
      <c r="AB107">
        <v>1</v>
      </c>
      <c r="AG107" s="17" t="s">
        <v>1680</v>
      </c>
      <c r="AH107" s="34">
        <v>0.81727141896466615</v>
      </c>
      <c r="AJ107" s="17" t="s">
        <v>709</v>
      </c>
      <c r="AK107" s="376">
        <f>'OEO &amp; EPAUS9rT-HDV Data'!I10/km_mile*USD2018_to_CAD2020</f>
        <v>6.3046427873629121</v>
      </c>
      <c r="AL107" s="376"/>
      <c r="AN107" s="405" t="s">
        <v>1818</v>
      </c>
      <c r="AP107" s="258">
        <f>AK106*AQ105</f>
        <v>24.345364936995864</v>
      </c>
      <c r="AR107" s="372">
        <f>AVERAGE(AQ73:AQ77)*km_mile</f>
        <v>18856.797714</v>
      </c>
      <c r="AS107" s="33">
        <v>5</v>
      </c>
      <c r="AT107" s="372">
        <f t="shared" ref="AT107:BE107" si="23">AVERAGE(AT73:AT77)*USD2019_to_CAD2020</f>
        <v>942.21432763975633</v>
      </c>
      <c r="AU107" s="372">
        <f t="shared" si="23"/>
        <v>1010.1211559086961</v>
      </c>
      <c r="AV107" s="372">
        <f t="shared" si="23"/>
        <v>1128.6023411203771</v>
      </c>
      <c r="AW107" s="372">
        <f t="shared" si="23"/>
        <v>1316.7824638661912</v>
      </c>
      <c r="AX107" s="372">
        <f t="shared" si="23"/>
        <v>1693.9864237238467</v>
      </c>
      <c r="AY107" s="372">
        <f t="shared" si="23"/>
        <v>1663.1514083012353</v>
      </c>
      <c r="AZ107" s="372">
        <f t="shared" si="23"/>
        <v>1633.7374140325455</v>
      </c>
      <c r="BA107" s="372">
        <f t="shared" si="23"/>
        <v>1505.6199743724856</v>
      </c>
      <c r="BB107" s="372">
        <f t="shared" si="23"/>
        <v>1036.7717358809368</v>
      </c>
      <c r="BC107" s="372">
        <f t="shared" si="23"/>
        <v>1052.3936782057187</v>
      </c>
      <c r="BD107" s="372">
        <f t="shared" si="23"/>
        <v>1653.4885574310745</v>
      </c>
      <c r="BE107" s="372">
        <f t="shared" si="23"/>
        <v>1460.3755997096207</v>
      </c>
      <c r="BH107" s="95">
        <f>AVERAGE(BG4:BG8)*km_mile</f>
        <v>29602.624808690969</v>
      </c>
      <c r="BI107">
        <v>0</v>
      </c>
      <c r="BJ107" s="95">
        <f t="shared" ref="BJ107:BO107" si="24">AVERAGE(BJ4:BJ8)*USD2019_to_CAD2020</f>
        <v>9835.4127969610781</v>
      </c>
      <c r="BK107" s="95">
        <f t="shared" si="24"/>
        <v>8556.8091333561351</v>
      </c>
      <c r="BL107" s="95">
        <f t="shared" si="24"/>
        <v>8261.746749447304</v>
      </c>
      <c r="BM107" s="95">
        <f t="shared" si="24"/>
        <v>5901.2476781766454</v>
      </c>
      <c r="BN107" s="95">
        <f t="shared" si="24"/>
        <v>5901.2476781766454</v>
      </c>
      <c r="BO107" s="95">
        <f t="shared" si="24"/>
        <v>5901.2476781766454</v>
      </c>
    </row>
    <row r="108" spans="1:67" ht="14.5" customHeight="1" x14ac:dyDescent="0.35">
      <c r="A108" t="s">
        <v>400</v>
      </c>
      <c r="B108" t="s">
        <v>2261</v>
      </c>
      <c r="C108" t="s">
        <v>1779</v>
      </c>
      <c r="D108">
        <v>2022</v>
      </c>
      <c r="E108">
        <v>2018</v>
      </c>
      <c r="F108" t="s">
        <v>1951</v>
      </c>
      <c r="G108">
        <v>2020</v>
      </c>
      <c r="H108" t="s">
        <v>1953</v>
      </c>
      <c r="I108" t="s">
        <v>1672</v>
      </c>
      <c r="J108" s="66">
        <v>2025</v>
      </c>
      <c r="K108" s="95">
        <f>$AK$117</f>
        <v>54.595257151485576</v>
      </c>
      <c r="L108" s="95">
        <f t="shared" si="22"/>
        <v>54.595257151485576</v>
      </c>
      <c r="M108" s="95">
        <f t="shared" si="22"/>
        <v>54.595257151485576</v>
      </c>
      <c r="N108" s="95">
        <f t="shared" si="22"/>
        <v>54.595257151485576</v>
      </c>
      <c r="O108" s="406">
        <f t="shared" si="22"/>
        <v>54.595257151485576</v>
      </c>
      <c r="W108" s="66" t="s">
        <v>1970</v>
      </c>
      <c r="X108">
        <v>3</v>
      </c>
      <c r="Y108">
        <v>1</v>
      </c>
      <c r="Z108">
        <v>1</v>
      </c>
      <c r="AA108">
        <v>3</v>
      </c>
      <c r="AB108">
        <v>1</v>
      </c>
      <c r="AJ108" s="17" t="s">
        <v>712</v>
      </c>
      <c r="AK108" s="376">
        <f>'OEO &amp; EPAUS9rT-HDV Data'!I8/km_mile*USD2018_to_CAD2020</f>
        <v>6.2662358628489647</v>
      </c>
      <c r="AL108" s="376"/>
      <c r="AN108" s="507" t="s">
        <v>1819</v>
      </c>
      <c r="AO108" s="507"/>
      <c r="AP108" s="507"/>
      <c r="AR108" s="372">
        <f>AVERAGE(AQ78:AQ82)*km_mile</f>
        <v>13863.498496</v>
      </c>
      <c r="AS108" s="33">
        <v>10</v>
      </c>
      <c r="AT108" s="372">
        <f t="shared" ref="AT108:BE108" si="25">AVERAGE(AT78:AT82)*USD2019_to_CAD2020</f>
        <v>703.14291828358296</v>
      </c>
      <c r="AU108" s="372">
        <f t="shared" si="25"/>
        <v>767.70177980414303</v>
      </c>
      <c r="AV108" s="372">
        <f t="shared" si="25"/>
        <v>880.34156322296883</v>
      </c>
      <c r="AW108" s="372">
        <f t="shared" si="25"/>
        <v>1059.2439622152335</v>
      </c>
      <c r="AX108" s="372">
        <f t="shared" si="25"/>
        <v>1264.2701856681444</v>
      </c>
      <c r="AY108" s="372">
        <f t="shared" si="25"/>
        <v>1245.3390451143666</v>
      </c>
      <c r="AZ108" s="372">
        <f t="shared" si="25"/>
        <v>1206.9915942132889</v>
      </c>
      <c r="BA108" s="372">
        <f t="shared" si="25"/>
        <v>973.83466669939025</v>
      </c>
      <c r="BB108" s="372">
        <f t="shared" si="25"/>
        <v>838.17016654318513</v>
      </c>
      <c r="BC108" s="372">
        <f t="shared" si="25"/>
        <v>853.02191027701974</v>
      </c>
      <c r="BD108" s="372">
        <f t="shared" si="25"/>
        <v>811.05863896003564</v>
      </c>
      <c r="BE108" s="372">
        <f t="shared" si="25"/>
        <v>930.82094638725744</v>
      </c>
      <c r="BH108" s="95">
        <f>AVERAGE(BG9:BG13)*km_mile</f>
        <v>22138.987852741746</v>
      </c>
      <c r="BI108">
        <v>5</v>
      </c>
      <c r="BJ108" s="95">
        <f t="shared" ref="BJ108:BO108" si="26">AVERAGE(BJ9:BJ13)*USD2019_to_CAD2020</f>
        <v>11595.175564248846</v>
      </c>
      <c r="BK108" s="95">
        <f t="shared" si="26"/>
        <v>10087.802740896495</v>
      </c>
      <c r="BL108" s="95">
        <f t="shared" si="26"/>
        <v>9739.9474739690286</v>
      </c>
      <c r="BM108" s="95">
        <f t="shared" si="26"/>
        <v>6957.1053385493069</v>
      </c>
      <c r="BN108" s="95">
        <f t="shared" si="26"/>
        <v>6957.1053385493069</v>
      </c>
      <c r="BO108" s="95">
        <f t="shared" si="26"/>
        <v>6957.1053385493069</v>
      </c>
    </row>
    <row r="109" spans="1:67" x14ac:dyDescent="0.35">
      <c r="A109" t="s">
        <v>400</v>
      </c>
      <c r="B109" t="s">
        <v>2261</v>
      </c>
      <c r="C109" t="s">
        <v>1779</v>
      </c>
      <c r="D109">
        <v>2022</v>
      </c>
      <c r="E109">
        <v>2018</v>
      </c>
      <c r="F109" t="s">
        <v>1951</v>
      </c>
      <c r="G109">
        <v>2020</v>
      </c>
      <c r="H109" t="s">
        <v>1953</v>
      </c>
      <c r="I109" t="s">
        <v>1672</v>
      </c>
      <c r="J109" s="66">
        <v>2030</v>
      </c>
      <c r="K109" s="95"/>
      <c r="L109" s="95">
        <f t="shared" si="22"/>
        <v>54.595257151485576</v>
      </c>
      <c r="M109" s="95">
        <f t="shared" si="22"/>
        <v>54.595257151485576</v>
      </c>
      <c r="N109" s="95">
        <f t="shared" si="22"/>
        <v>54.595257151485576</v>
      </c>
      <c r="O109" s="406">
        <f t="shared" si="22"/>
        <v>54.595257151485576</v>
      </c>
      <c r="W109" s="66" t="s">
        <v>1970</v>
      </c>
      <c r="X109">
        <v>3</v>
      </c>
      <c r="Y109">
        <v>1</v>
      </c>
      <c r="Z109">
        <v>1</v>
      </c>
      <c r="AA109">
        <v>3</v>
      </c>
      <c r="AB109">
        <v>1</v>
      </c>
      <c r="AJ109" s="17" t="s">
        <v>708</v>
      </c>
      <c r="AK109" s="376"/>
      <c r="AL109" s="376">
        <f>'OEO &amp; EPAUS9rT-HDV Data'!I12/km_mile*USD2018_to_CAD2020</f>
        <v>6.2662358628489647</v>
      </c>
      <c r="AN109" s="507"/>
      <c r="AO109" s="507"/>
      <c r="AP109" s="507"/>
      <c r="AR109" s="372">
        <f>AQ83*km_mile</f>
        <v>12728.270060000001</v>
      </c>
      <c r="AS109" s="33">
        <v>15</v>
      </c>
      <c r="AT109" s="372">
        <f t="shared" ref="AT109:BE109" si="27">AT83*USD2019_to_CAD2020</f>
        <v>442.32422340056121</v>
      </c>
      <c r="AU109" s="372">
        <f t="shared" si="27"/>
        <v>505.7803953517722</v>
      </c>
      <c r="AV109" s="372">
        <f t="shared" si="27"/>
        <v>616.49624902115329</v>
      </c>
      <c r="AW109" s="372">
        <f t="shared" si="27"/>
        <v>792.34292793636132</v>
      </c>
      <c r="AX109" s="372">
        <f t="shared" si="27"/>
        <v>626.15932574109968</v>
      </c>
      <c r="AY109" s="372">
        <f t="shared" si="27"/>
        <v>637.77203341581776</v>
      </c>
      <c r="AZ109" s="372">
        <f t="shared" si="27"/>
        <v>569.85907411220558</v>
      </c>
      <c r="BA109" s="372">
        <f t="shared" si="27"/>
        <v>1285.0962653771901</v>
      </c>
      <c r="BB109" s="372">
        <f t="shared" si="27"/>
        <v>514.74519010697293</v>
      </c>
      <c r="BC109" s="372">
        <f t="shared" si="27"/>
        <v>529.34326048727792</v>
      </c>
      <c r="BD109" s="372">
        <f t="shared" si="27"/>
        <v>1249.9693413333573</v>
      </c>
      <c r="BE109" s="372">
        <f t="shared" si="27"/>
        <v>1242.8172355414681</v>
      </c>
      <c r="BH109" s="95">
        <f>AVERAGE(BG14:BG18)*km_mile</f>
        <v>14148.038514775953</v>
      </c>
      <c r="BI109">
        <v>10</v>
      </c>
      <c r="BJ109" s="95">
        <f t="shared" ref="BJ109:BO109" si="28">AVERAGE(BJ14:BJ18)*USD2019_to_CAD2020</f>
        <v>8818.9818487609828</v>
      </c>
      <c r="BK109" s="95">
        <f t="shared" si="28"/>
        <v>7672.5142084220561</v>
      </c>
      <c r="BL109" s="95">
        <f t="shared" si="28"/>
        <v>7407.9447529592253</v>
      </c>
      <c r="BM109" s="95">
        <f t="shared" si="28"/>
        <v>5291.3891092565891</v>
      </c>
      <c r="BN109" s="95">
        <f t="shared" si="28"/>
        <v>5291.3891092565891</v>
      </c>
      <c r="BO109" s="95">
        <f t="shared" si="28"/>
        <v>5291.3891092565891</v>
      </c>
    </row>
    <row r="110" spans="1:67" x14ac:dyDescent="0.35">
      <c r="A110" t="s">
        <v>400</v>
      </c>
      <c r="B110" t="s">
        <v>2261</v>
      </c>
      <c r="C110" t="s">
        <v>1779</v>
      </c>
      <c r="D110">
        <v>2022</v>
      </c>
      <c r="E110">
        <v>2018</v>
      </c>
      <c r="F110" t="s">
        <v>1951</v>
      </c>
      <c r="G110">
        <v>2020</v>
      </c>
      <c r="H110" t="s">
        <v>1953</v>
      </c>
      <c r="I110" t="s">
        <v>1672</v>
      </c>
      <c r="J110" s="66">
        <v>2035</v>
      </c>
      <c r="K110" s="95"/>
      <c r="L110" s="95"/>
      <c r="M110" s="95">
        <f t="shared" si="22"/>
        <v>54.595257151485576</v>
      </c>
      <c r="N110" s="95">
        <f t="shared" si="22"/>
        <v>54.595257151485576</v>
      </c>
      <c r="O110" s="406">
        <f t="shared" si="22"/>
        <v>54.595257151485576</v>
      </c>
      <c r="W110" s="66" t="s">
        <v>1970</v>
      </c>
      <c r="X110">
        <v>3</v>
      </c>
      <c r="Y110">
        <v>1</v>
      </c>
      <c r="Z110">
        <v>1</v>
      </c>
      <c r="AA110">
        <v>3</v>
      </c>
      <c r="AB110">
        <v>1</v>
      </c>
      <c r="AJ110" s="17" t="s">
        <v>710</v>
      </c>
      <c r="AK110" s="376">
        <f>'OEO &amp; EPAUS9rT-HDV Data'!I14/km_mile*USD2018_to_CAD2020</f>
        <v>7.1515887463765697</v>
      </c>
      <c r="AL110" s="376"/>
      <c r="AN110" s="507"/>
      <c r="AO110" s="507"/>
      <c r="AP110" s="507"/>
      <c r="BH110" s="374">
        <f>AVERAGE(BG19:BG22)*km_mile</f>
        <v>8619.5783744525615</v>
      </c>
      <c r="BI110" s="249">
        <v>15</v>
      </c>
      <c r="BJ110" s="374">
        <f t="shared" ref="BJ110:BO110" si="29">AVERAGE(BJ19:BJ22)*USD2019_to_CAD2020</f>
        <v>5647.0287303870109</v>
      </c>
      <c r="BK110" s="374">
        <f t="shared" si="29"/>
        <v>4912.9149954367003</v>
      </c>
      <c r="BL110" s="374">
        <f t="shared" si="29"/>
        <v>4743.5041335250899</v>
      </c>
      <c r="BM110" s="374">
        <f t="shared" si="29"/>
        <v>3388.2172382322069</v>
      </c>
      <c r="BN110" s="374">
        <f t="shared" si="29"/>
        <v>3388.2172382322069</v>
      </c>
      <c r="BO110" s="374">
        <f t="shared" si="29"/>
        <v>3388.2172382322069</v>
      </c>
    </row>
    <row r="111" spans="1:67" ht="15.5" x14ac:dyDescent="0.35">
      <c r="A111" t="s">
        <v>400</v>
      </c>
      <c r="B111" t="s">
        <v>2261</v>
      </c>
      <c r="C111" t="s">
        <v>1779</v>
      </c>
      <c r="D111">
        <v>2022</v>
      </c>
      <c r="E111">
        <v>2018</v>
      </c>
      <c r="F111" t="s">
        <v>1951</v>
      </c>
      <c r="G111">
        <v>2020</v>
      </c>
      <c r="H111" t="s">
        <v>1953</v>
      </c>
      <c r="I111" t="s">
        <v>1672</v>
      </c>
      <c r="J111" s="66">
        <v>2040</v>
      </c>
      <c r="K111" s="95"/>
      <c r="L111" s="95"/>
      <c r="M111" s="95"/>
      <c r="N111" s="95">
        <f t="shared" si="22"/>
        <v>54.595257151485576</v>
      </c>
      <c r="O111" s="406">
        <f t="shared" si="22"/>
        <v>54.595257151485576</v>
      </c>
      <c r="W111" s="66" t="s">
        <v>1970</v>
      </c>
      <c r="X111">
        <v>3</v>
      </c>
      <c r="Y111">
        <v>1</v>
      </c>
      <c r="Z111">
        <v>1</v>
      </c>
      <c r="AA111">
        <v>3</v>
      </c>
      <c r="AB111">
        <v>1</v>
      </c>
      <c r="AJ111" s="17" t="s">
        <v>711</v>
      </c>
      <c r="AK111" s="376"/>
      <c r="AL111" s="376">
        <f>'OEO &amp; EPAUS9rT-HDV Data'!I11/km_mile*USD2018_to_CAD2020</f>
        <v>6.2662358628489647</v>
      </c>
      <c r="AN111" s="507"/>
      <c r="AO111" s="507"/>
      <c r="AP111" s="507"/>
      <c r="AR111" s="318" t="s">
        <v>1676</v>
      </c>
      <c r="AT111" s="318"/>
      <c r="AU111" s="318"/>
      <c r="AV111" s="318"/>
      <c r="AW111" s="318"/>
      <c r="AX111" s="318"/>
      <c r="AY111" s="318"/>
      <c r="AZ111" s="318"/>
      <c r="BA111" s="318"/>
      <c r="BB111" s="318"/>
      <c r="BC111" s="318"/>
      <c r="BD111" s="318"/>
      <c r="BE111" s="318"/>
      <c r="BH111" s="33" t="s">
        <v>1664</v>
      </c>
    </row>
    <row r="112" spans="1:67" ht="15" thickBot="1" x14ac:dyDescent="0.4">
      <c r="A112" t="s">
        <v>400</v>
      </c>
      <c r="B112" t="s">
        <v>2261</v>
      </c>
      <c r="C112" t="s">
        <v>1779</v>
      </c>
      <c r="D112">
        <v>2022</v>
      </c>
      <c r="E112">
        <v>2018</v>
      </c>
      <c r="F112" t="s">
        <v>1951</v>
      </c>
      <c r="G112">
        <v>2020</v>
      </c>
      <c r="H112" t="s">
        <v>1953</v>
      </c>
      <c r="I112" t="s">
        <v>1672</v>
      </c>
      <c r="J112" s="66">
        <v>2045</v>
      </c>
      <c r="K112" s="95"/>
      <c r="L112" s="95"/>
      <c r="M112" s="95"/>
      <c r="N112" s="95"/>
      <c r="O112" s="406">
        <f t="shared" si="22"/>
        <v>54.595257151485576</v>
      </c>
      <c r="W112" s="66" t="s">
        <v>1970</v>
      </c>
      <c r="X112">
        <v>3</v>
      </c>
      <c r="Y112">
        <v>1</v>
      </c>
      <c r="Z112">
        <v>1</v>
      </c>
      <c r="AA112">
        <v>3</v>
      </c>
      <c r="AB112">
        <v>1</v>
      </c>
      <c r="AJ112" s="92" t="s">
        <v>1772</v>
      </c>
      <c r="AN112" s="401"/>
      <c r="AR112" s="105" t="s">
        <v>1675</v>
      </c>
      <c r="AS112" s="105" t="s">
        <v>1270</v>
      </c>
      <c r="AT112" s="105" t="s">
        <v>975</v>
      </c>
      <c r="AU112" s="105" t="s">
        <v>979</v>
      </c>
      <c r="AV112" s="105" t="s">
        <v>980</v>
      </c>
      <c r="AW112" s="105" t="s">
        <v>981</v>
      </c>
      <c r="AX112" s="105" t="s">
        <v>982</v>
      </c>
      <c r="AY112" s="105" t="s">
        <v>984</v>
      </c>
      <c r="AZ112" s="105" t="s">
        <v>985</v>
      </c>
      <c r="BA112" s="105" t="s">
        <v>987</v>
      </c>
      <c r="BB112" s="105" t="s">
        <v>988</v>
      </c>
      <c r="BC112" s="105" t="s">
        <v>990</v>
      </c>
      <c r="BD112" s="105" t="s">
        <v>991</v>
      </c>
      <c r="BE112" s="105" t="s">
        <v>992</v>
      </c>
      <c r="BH112" s="95">
        <f>AVERAGE(BG24:BG28)*km_mile</f>
        <v>39261.609294725902</v>
      </c>
      <c r="BI112">
        <v>0</v>
      </c>
      <c r="BJ112" s="95">
        <f t="shared" ref="BJ112:BO112" si="30">AVERAGE(BJ24:BJ28)*USD2019_to_CAD2020</f>
        <v>5719.2183865874249</v>
      </c>
      <c r="BK112" s="95">
        <f t="shared" si="30"/>
        <v>4975.7199963310577</v>
      </c>
      <c r="BL112" s="95">
        <f t="shared" si="30"/>
        <v>4804.143444733435</v>
      </c>
      <c r="BM112" s="95">
        <f t="shared" si="30"/>
        <v>3431.5310319524538</v>
      </c>
      <c r="BN112" s="95">
        <f t="shared" si="30"/>
        <v>3431.5310319524538</v>
      </c>
      <c r="BO112" s="95">
        <f t="shared" si="30"/>
        <v>3431.5310319524538</v>
      </c>
    </row>
    <row r="113" spans="1:68" ht="15" thickTop="1" x14ac:dyDescent="0.35">
      <c r="A113" t="s">
        <v>290</v>
      </c>
      <c r="B113" t="s">
        <v>2261</v>
      </c>
      <c r="C113" t="s">
        <v>1779</v>
      </c>
      <c r="D113">
        <v>2022</v>
      </c>
      <c r="E113">
        <v>2018</v>
      </c>
      <c r="F113" t="s">
        <v>1951</v>
      </c>
      <c r="G113">
        <v>2020</v>
      </c>
      <c r="H113" t="s">
        <v>1953</v>
      </c>
      <c r="I113" t="s">
        <v>1683</v>
      </c>
      <c r="J113" s="66">
        <v>2021</v>
      </c>
      <c r="K113" s="95">
        <f>$AK$120</f>
        <v>1.6501885334848621</v>
      </c>
      <c r="L113" s="95">
        <f t="shared" ref="L113:O118" si="31">$AK$120</f>
        <v>1.6501885334848621</v>
      </c>
      <c r="M113" s="95">
        <f t="shared" si="31"/>
        <v>1.6501885334848621</v>
      </c>
      <c r="N113" s="95">
        <f t="shared" si="31"/>
        <v>1.6501885334848621</v>
      </c>
      <c r="O113" s="406">
        <f t="shared" si="31"/>
        <v>1.6501885334848621</v>
      </c>
      <c r="W113" s="66" t="s">
        <v>1971</v>
      </c>
      <c r="X113">
        <v>3</v>
      </c>
      <c r="Y113">
        <v>1</v>
      </c>
      <c r="Z113">
        <v>1</v>
      </c>
      <c r="AA113">
        <v>3</v>
      </c>
      <c r="AB113">
        <v>1</v>
      </c>
      <c r="AR113" s="33" t="s">
        <v>241</v>
      </c>
      <c r="BH113" s="95">
        <f>AVERAGE(BG29:BG33)*km_mile</f>
        <v>26102.967094167168</v>
      </c>
      <c r="BI113">
        <v>5</v>
      </c>
      <c r="BJ113" s="95">
        <f t="shared" ref="BJ113:BO113" si="32">AVERAGE(BJ29:BJ33)*USD2019_to_CAD2020</f>
        <v>5751.0658371276586</v>
      </c>
      <c r="BK113" s="95">
        <f t="shared" si="32"/>
        <v>5003.4272783010638</v>
      </c>
      <c r="BL113" s="95">
        <f t="shared" si="32"/>
        <v>4830.8953031872334</v>
      </c>
      <c r="BM113" s="95">
        <f t="shared" si="32"/>
        <v>3450.6395022765955</v>
      </c>
      <c r="BN113" s="95">
        <f t="shared" si="32"/>
        <v>3450.6395022765955</v>
      </c>
      <c r="BO113" s="95">
        <f t="shared" si="32"/>
        <v>3450.6395022765955</v>
      </c>
    </row>
    <row r="114" spans="1:68" x14ac:dyDescent="0.35">
      <c r="A114" t="s">
        <v>290</v>
      </c>
      <c r="B114" t="s">
        <v>2261</v>
      </c>
      <c r="C114" t="s">
        <v>1779</v>
      </c>
      <c r="D114">
        <v>2022</v>
      </c>
      <c r="E114">
        <v>2018</v>
      </c>
      <c r="F114" t="s">
        <v>1951</v>
      </c>
      <c r="G114">
        <v>2020</v>
      </c>
      <c r="H114" t="s">
        <v>1953</v>
      </c>
      <c r="I114" t="s">
        <v>1683</v>
      </c>
      <c r="J114" s="66">
        <v>2025</v>
      </c>
      <c r="K114" s="95">
        <f>$AK$120</f>
        <v>1.6501885334848621</v>
      </c>
      <c r="L114" s="95">
        <f t="shared" si="31"/>
        <v>1.6501885334848621</v>
      </c>
      <c r="M114" s="95">
        <f t="shared" si="31"/>
        <v>1.6501885334848621</v>
      </c>
      <c r="N114" s="95">
        <f t="shared" si="31"/>
        <v>1.6501885334848621</v>
      </c>
      <c r="O114" s="406">
        <f t="shared" si="31"/>
        <v>1.6501885334848621</v>
      </c>
      <c r="W114" s="66" t="s">
        <v>1971</v>
      </c>
      <c r="X114">
        <v>3</v>
      </c>
      <c r="Y114">
        <v>1</v>
      </c>
      <c r="Z114">
        <v>1</v>
      </c>
      <c r="AA114">
        <v>3</v>
      </c>
      <c r="AB114">
        <v>1</v>
      </c>
      <c r="AJ114" s="33" t="s">
        <v>1822</v>
      </c>
      <c r="AM114" s="33"/>
      <c r="AR114" s="372">
        <v>23122.031515999999</v>
      </c>
      <c r="AS114">
        <v>0</v>
      </c>
      <c r="AT114" s="95">
        <f>AT88*$AH$90 + AT92*$AH$91</f>
        <v>559.68865754373587</v>
      </c>
      <c r="AU114" s="95">
        <f t="shared" ref="AU114:BE114" si="33">AU88*$AH$90 + AU92*$AH$91</f>
        <v>572.71823628546213</v>
      </c>
      <c r="AV114" s="95">
        <f t="shared" si="33"/>
        <v>593.18109570794695</v>
      </c>
      <c r="AW114" s="95">
        <f t="shared" si="33"/>
        <v>622.45029852963467</v>
      </c>
      <c r="AX114" s="95">
        <f t="shared" si="33"/>
        <v>985.75958906679057</v>
      </c>
      <c r="AY114" s="95">
        <f t="shared" si="33"/>
        <v>944.01730306812874</v>
      </c>
      <c r="AZ114" s="95">
        <f t="shared" si="33"/>
        <v>966.58065715165333</v>
      </c>
      <c r="BA114" s="95">
        <f t="shared" si="33"/>
        <v>776.63827324811314</v>
      </c>
      <c r="BB114" s="95">
        <f t="shared" si="33"/>
        <v>590.2785701746277</v>
      </c>
      <c r="BC114" s="95">
        <f t="shared" si="33"/>
        <v>592.6066171100158</v>
      </c>
      <c r="BD114" s="95">
        <f t="shared" si="33"/>
        <v>899.27259364409952</v>
      </c>
      <c r="BE114" s="95">
        <f t="shared" si="33"/>
        <v>766.28325178198179</v>
      </c>
      <c r="BH114" s="95">
        <f>AVERAGE(BG34:BG38)*km_mile</f>
        <v>16037.046723774227</v>
      </c>
      <c r="BI114">
        <v>10</v>
      </c>
      <c r="BJ114" s="95">
        <f t="shared" ref="BJ114:BO114" si="34">AVERAGE(BJ34:BJ38)*USD2019_to_CAD2020</f>
        <v>4132.080838279584</v>
      </c>
      <c r="BK114" s="95">
        <f t="shared" si="34"/>
        <v>3594.9103293032381</v>
      </c>
      <c r="BL114" s="95">
        <f t="shared" si="34"/>
        <v>3470.9479041548507</v>
      </c>
      <c r="BM114" s="95">
        <f t="shared" si="34"/>
        <v>2479.2485029677509</v>
      </c>
      <c r="BN114" s="95">
        <f t="shared" si="34"/>
        <v>2479.2485029677509</v>
      </c>
      <c r="BO114" s="95">
        <f t="shared" si="34"/>
        <v>2479.2485029677509</v>
      </c>
    </row>
    <row r="115" spans="1:68" ht="15" thickBot="1" x14ac:dyDescent="0.4">
      <c r="A115" t="s">
        <v>290</v>
      </c>
      <c r="B115" t="s">
        <v>2261</v>
      </c>
      <c r="C115" t="s">
        <v>1779</v>
      </c>
      <c r="D115">
        <v>2022</v>
      </c>
      <c r="E115">
        <v>2018</v>
      </c>
      <c r="F115" t="s">
        <v>1951</v>
      </c>
      <c r="G115">
        <v>2020</v>
      </c>
      <c r="H115" t="s">
        <v>1953</v>
      </c>
      <c r="I115" t="s">
        <v>1683</v>
      </c>
      <c r="J115" s="66">
        <v>2030</v>
      </c>
      <c r="K115" s="95"/>
      <c r="L115" s="95">
        <f t="shared" si="31"/>
        <v>1.6501885334848621</v>
      </c>
      <c r="M115" s="95">
        <f t="shared" si="31"/>
        <v>1.6501885334848621</v>
      </c>
      <c r="N115" s="95">
        <f t="shared" si="31"/>
        <v>1.6501885334848621</v>
      </c>
      <c r="O115" s="406">
        <f t="shared" si="31"/>
        <v>1.6501885334848621</v>
      </c>
      <c r="W115" s="66" t="s">
        <v>1971</v>
      </c>
      <c r="X115">
        <v>3</v>
      </c>
      <c r="Y115">
        <v>1</v>
      </c>
      <c r="Z115">
        <v>1</v>
      </c>
      <c r="AA115">
        <v>3</v>
      </c>
      <c r="AB115">
        <v>1</v>
      </c>
      <c r="AJ115" s="105" t="s">
        <v>638</v>
      </c>
      <c r="AK115" s="121">
        <v>2021</v>
      </c>
      <c r="AL115" s="121">
        <v>2025</v>
      </c>
      <c r="AM115" s="105">
        <v>2030</v>
      </c>
      <c r="AR115" s="372">
        <v>18890.111052</v>
      </c>
      <c r="AS115">
        <v>5</v>
      </c>
      <c r="AT115" s="95">
        <f>AT89*$AH$90 + AT93*$AH$91</f>
        <v>1058.8726994260071</v>
      </c>
      <c r="AU115" s="95">
        <f t="shared" ref="AU115:BE115" si="35">AU89*$AH$90 + AU93*$AH$91</f>
        <v>1099.6253560805394</v>
      </c>
      <c r="AV115" s="95">
        <f t="shared" si="35"/>
        <v>1163.6271093792811</v>
      </c>
      <c r="AW115" s="95">
        <f t="shared" si="35"/>
        <v>1255.172492141679</v>
      </c>
      <c r="AX115" s="95">
        <f t="shared" si="35"/>
        <v>1853.2389744103216</v>
      </c>
      <c r="AY115" s="95">
        <f t="shared" si="35"/>
        <v>1838.1191916427808</v>
      </c>
      <c r="AZ115" s="95">
        <f t="shared" si="35"/>
        <v>1793.2529654355826</v>
      </c>
      <c r="BA115" s="95">
        <f t="shared" si="35"/>
        <v>1706.8096964746899</v>
      </c>
      <c r="BB115" s="95">
        <f t="shared" si="35"/>
        <v>1178.2762989017392</v>
      </c>
      <c r="BC115" s="95">
        <f t="shared" si="35"/>
        <v>1185.5577390245635</v>
      </c>
      <c r="BD115" s="95">
        <f t="shared" si="35"/>
        <v>1707.8531774129087</v>
      </c>
      <c r="BE115" s="95">
        <f t="shared" si="35"/>
        <v>1674.4222614835517</v>
      </c>
      <c r="BH115" s="374">
        <f>AVERAGE(BG39:BG42)*km_mile</f>
        <v>9409.5127019164775</v>
      </c>
      <c r="BI115" s="249">
        <v>15</v>
      </c>
      <c r="BJ115" s="374">
        <f t="shared" ref="BJ115:BO115" si="36">AVERAGE(BJ39:BJ42)*USD2019_to_CAD2020</f>
        <v>2527.1895559330114</v>
      </c>
      <c r="BK115" s="374">
        <f t="shared" si="36"/>
        <v>2198.65491366172</v>
      </c>
      <c r="BL115" s="374">
        <f t="shared" si="36"/>
        <v>2122.8392269837295</v>
      </c>
      <c r="BM115" s="374">
        <f t="shared" si="36"/>
        <v>1516.3137335598069</v>
      </c>
      <c r="BN115" s="374">
        <f t="shared" si="36"/>
        <v>1516.3137335598069</v>
      </c>
      <c r="BO115" s="374">
        <f t="shared" si="36"/>
        <v>1516.3137335598069</v>
      </c>
    </row>
    <row r="116" spans="1:68" ht="15" thickTop="1" x14ac:dyDescent="0.35">
      <c r="A116" t="s">
        <v>290</v>
      </c>
      <c r="B116" t="s">
        <v>2261</v>
      </c>
      <c r="C116" t="s">
        <v>1779</v>
      </c>
      <c r="D116">
        <v>2022</v>
      </c>
      <c r="E116">
        <v>2018</v>
      </c>
      <c r="F116" t="s">
        <v>1951</v>
      </c>
      <c r="G116">
        <v>2020</v>
      </c>
      <c r="H116" t="s">
        <v>1953</v>
      </c>
      <c r="I116" t="s">
        <v>1683</v>
      </c>
      <c r="J116" s="66">
        <v>2035</v>
      </c>
      <c r="K116" s="95"/>
      <c r="L116" s="95"/>
      <c r="M116" s="95">
        <f t="shared" si="31"/>
        <v>1.6501885334848621</v>
      </c>
      <c r="N116" s="95">
        <f t="shared" si="31"/>
        <v>1.6501885334848621</v>
      </c>
      <c r="O116" s="406">
        <f t="shared" si="31"/>
        <v>1.6501885334848621</v>
      </c>
      <c r="W116" s="66" t="s">
        <v>1971</v>
      </c>
      <c r="X116">
        <v>3</v>
      </c>
      <c r="Y116">
        <v>1</v>
      </c>
      <c r="Z116">
        <v>1</v>
      </c>
      <c r="AA116">
        <v>3</v>
      </c>
      <c r="AB116">
        <v>1</v>
      </c>
      <c r="AJ116" s="33" t="s">
        <v>654</v>
      </c>
      <c r="AR116" s="373">
        <v>14346.863765</v>
      </c>
      <c r="AS116" s="249">
        <v>10</v>
      </c>
      <c r="AT116" s="374">
        <f>AT90*$AH$90 + AT94*$AH$91</f>
        <v>792.72514529095315</v>
      </c>
      <c r="AU116" s="374">
        <f t="shared" ref="AU116:BE116" si="37">AU90*$AH$90 + AU94*$AH$91</f>
        <v>832.10133775388772</v>
      </c>
      <c r="AV116" s="374">
        <f t="shared" si="37"/>
        <v>893.94136396911654</v>
      </c>
      <c r="AW116" s="374">
        <f t="shared" si="37"/>
        <v>982.39470435629482</v>
      </c>
      <c r="AX116" s="374">
        <f t="shared" si="37"/>
        <v>1267.6093110121478</v>
      </c>
      <c r="AY116" s="374">
        <f t="shared" si="37"/>
        <v>1292.8106741965794</v>
      </c>
      <c r="AZ116" s="374">
        <f t="shared" si="37"/>
        <v>1209.6493930981842</v>
      </c>
      <c r="BA116" s="374">
        <f t="shared" si="37"/>
        <v>1080.500132626564</v>
      </c>
      <c r="BB116" s="374">
        <f t="shared" si="37"/>
        <v>893.76223936546899</v>
      </c>
      <c r="BC116" s="374">
        <f t="shared" si="37"/>
        <v>900.79774112708924</v>
      </c>
      <c r="BD116" s="374">
        <f t="shared" si="37"/>
        <v>999.00467185531102</v>
      </c>
      <c r="BE116" s="374">
        <f t="shared" si="37"/>
        <v>1049.206617595072</v>
      </c>
      <c r="BH116" s="33" t="s">
        <v>1665</v>
      </c>
    </row>
    <row r="117" spans="1:68" x14ac:dyDescent="0.35">
      <c r="A117" t="s">
        <v>290</v>
      </c>
      <c r="B117" t="s">
        <v>2261</v>
      </c>
      <c r="C117" t="s">
        <v>1779</v>
      </c>
      <c r="D117">
        <v>2022</v>
      </c>
      <c r="E117">
        <v>2018</v>
      </c>
      <c r="F117" t="s">
        <v>1951</v>
      </c>
      <c r="G117">
        <v>2020</v>
      </c>
      <c r="H117" t="s">
        <v>1953</v>
      </c>
      <c r="I117" t="s">
        <v>1683</v>
      </c>
      <c r="J117" s="66">
        <v>2040</v>
      </c>
      <c r="K117" s="95"/>
      <c r="L117" s="95"/>
      <c r="M117" s="95"/>
      <c r="N117" s="95">
        <f t="shared" si="31"/>
        <v>1.6501885334848621</v>
      </c>
      <c r="O117" s="406">
        <f t="shared" si="31"/>
        <v>1.6501885334848621</v>
      </c>
      <c r="W117" s="66" t="s">
        <v>1971</v>
      </c>
      <c r="X117">
        <v>3</v>
      </c>
      <c r="Y117">
        <v>1</v>
      </c>
      <c r="Z117">
        <v>1</v>
      </c>
      <c r="AA117">
        <v>3</v>
      </c>
      <c r="AB117">
        <v>1</v>
      </c>
      <c r="AJ117" s="17" t="s">
        <v>1727</v>
      </c>
      <c r="AK117" s="393">
        <f>'OEO &amp; EPAUS9rT-HDV Data'!R33/km_mile*USD2018_to_CAD2020</f>
        <v>54.595257151485576</v>
      </c>
      <c r="AL117" s="393"/>
      <c r="AM117" s="393"/>
      <c r="AR117" s="33" t="s">
        <v>1677</v>
      </c>
      <c r="BH117" s="95">
        <f>AVERAGE(BG44:BG48)*km_mile</f>
        <v>133248.78334641043</v>
      </c>
      <c r="BI117">
        <v>0</v>
      </c>
      <c r="BJ117" s="95">
        <f t="shared" ref="BJ117:BO117" si="38">AVERAGE(BJ44:BJ48)*USD2019_to_CAD2020</f>
        <v>16560.527160113681</v>
      </c>
      <c r="BK117" s="95">
        <f t="shared" si="38"/>
        <v>14407.658629298901</v>
      </c>
      <c r="BL117" s="95">
        <f t="shared" si="38"/>
        <v>13910.842814495492</v>
      </c>
      <c r="BM117" s="95">
        <f t="shared" si="38"/>
        <v>9936.3162960682075</v>
      </c>
      <c r="BN117" s="95">
        <f t="shared" si="38"/>
        <v>9936.3162960682075</v>
      </c>
      <c r="BO117" s="95">
        <f t="shared" si="38"/>
        <v>9936.3162960682075</v>
      </c>
    </row>
    <row r="118" spans="1:68" x14ac:dyDescent="0.35">
      <c r="A118" t="s">
        <v>290</v>
      </c>
      <c r="B118" t="s">
        <v>2261</v>
      </c>
      <c r="C118" t="s">
        <v>1779</v>
      </c>
      <c r="D118">
        <v>2022</v>
      </c>
      <c r="E118">
        <v>2018</v>
      </c>
      <c r="F118" t="s">
        <v>1951</v>
      </c>
      <c r="G118">
        <v>2020</v>
      </c>
      <c r="H118" t="s">
        <v>1953</v>
      </c>
      <c r="I118" t="s">
        <v>1683</v>
      </c>
      <c r="J118" s="66">
        <v>2045</v>
      </c>
      <c r="K118" s="95"/>
      <c r="L118" s="95"/>
      <c r="M118" s="95"/>
      <c r="N118" s="95"/>
      <c r="O118" s="406">
        <f t="shared" si="31"/>
        <v>1.6501885334848621</v>
      </c>
      <c r="W118" s="66" t="s">
        <v>1971</v>
      </c>
      <c r="X118">
        <v>3</v>
      </c>
      <c r="Y118">
        <v>1</v>
      </c>
      <c r="Z118">
        <v>1</v>
      </c>
      <c r="AA118">
        <v>3</v>
      </c>
      <c r="AB118">
        <v>1</v>
      </c>
      <c r="AJ118" s="17" t="s">
        <v>989</v>
      </c>
      <c r="AK118" s="393"/>
      <c r="AL118" s="393"/>
      <c r="AM118" s="393">
        <f>'OEO &amp; EPAUS9rT-HDV Data'!T34/km_mile*USD2018_to_CAD2020</f>
        <v>72.429727413691921</v>
      </c>
      <c r="AR118" s="372">
        <f>AR96*$AH$93 + AR101*$AH$94 + AR106*$AH$95</f>
        <v>25366.689780529588</v>
      </c>
      <c r="AS118">
        <v>0</v>
      </c>
      <c r="AT118" s="95">
        <f t="shared" ref="AT118:BE118" si="39">AT96*$AH$93 + AT101*$AH$94 + AT106*$AH$95</f>
        <v>728.21407246157924</v>
      </c>
      <c r="AU118" s="95">
        <f t="shared" si="39"/>
        <v>749.05970809807479</v>
      </c>
      <c r="AV118" s="95">
        <f t="shared" si="39"/>
        <v>784.27118098338701</v>
      </c>
      <c r="AW118" s="95">
        <f t="shared" si="39"/>
        <v>837.58339453148039</v>
      </c>
      <c r="AX118" s="95">
        <f t="shared" si="39"/>
        <v>1120.4822499030333</v>
      </c>
      <c r="AY118" s="95">
        <f t="shared" si="39"/>
        <v>1078.0731545356725</v>
      </c>
      <c r="AZ118" s="95">
        <f t="shared" si="39"/>
        <v>1101.8095006508868</v>
      </c>
      <c r="BA118" s="95">
        <f t="shared" si="39"/>
        <v>999.72201127918288</v>
      </c>
      <c r="BB118" s="95">
        <f t="shared" si="39"/>
        <v>791.61261166514066</v>
      </c>
      <c r="BC118" s="95">
        <f t="shared" si="39"/>
        <v>795.81784622649616</v>
      </c>
      <c r="BD118" s="95">
        <f t="shared" si="39"/>
        <v>1036.2095375382526</v>
      </c>
      <c r="BE118" s="95">
        <f t="shared" si="39"/>
        <v>985.26573859948985</v>
      </c>
      <c r="BH118" s="95">
        <f>AVERAGE(BG49:BG53)*km_mile</f>
        <v>92334.293499050153</v>
      </c>
      <c r="BI118">
        <v>5</v>
      </c>
      <c r="BJ118" s="95">
        <f t="shared" ref="BJ118:BO118" si="40">AVERAGE(BJ49:BJ53)*USD2019_to_CAD2020</f>
        <v>16634.682658748923</v>
      </c>
      <c r="BK118" s="95">
        <f t="shared" si="40"/>
        <v>14472.173913111561</v>
      </c>
      <c r="BL118" s="95">
        <f t="shared" si="40"/>
        <v>13973.133433349092</v>
      </c>
      <c r="BM118" s="95">
        <f t="shared" si="40"/>
        <v>9980.8095952493532</v>
      </c>
      <c r="BN118" s="95">
        <f t="shared" si="40"/>
        <v>9980.8095952493532</v>
      </c>
      <c r="BO118" s="95">
        <f t="shared" si="40"/>
        <v>9980.8095952493532</v>
      </c>
    </row>
    <row r="119" spans="1:68" x14ac:dyDescent="0.35">
      <c r="A119" t="s">
        <v>1170</v>
      </c>
      <c r="B119" t="s">
        <v>2261</v>
      </c>
      <c r="C119" t="s">
        <v>851</v>
      </c>
      <c r="D119">
        <v>2022</v>
      </c>
      <c r="E119">
        <v>2019</v>
      </c>
      <c r="F119" t="s">
        <v>1951</v>
      </c>
      <c r="G119">
        <v>2020</v>
      </c>
      <c r="H119" t="s">
        <v>1953</v>
      </c>
      <c r="I119" t="s">
        <v>1672</v>
      </c>
      <c r="J119" s="66">
        <v>2021</v>
      </c>
      <c r="K119" s="95"/>
      <c r="L119" s="95"/>
      <c r="M119" s="95"/>
      <c r="N119" s="95"/>
      <c r="O119" s="406"/>
      <c r="P119" s="95">
        <f>$AZ$114/$AR$114 * 1000/$AK$89</f>
        <v>27.604411558099486</v>
      </c>
      <c r="Q119" s="95"/>
      <c r="W119" s="66" t="s">
        <v>1973</v>
      </c>
      <c r="X119">
        <v>3</v>
      </c>
      <c r="Y119">
        <v>1</v>
      </c>
      <c r="Z119">
        <v>1</v>
      </c>
      <c r="AA119">
        <v>3</v>
      </c>
      <c r="AB119">
        <v>1</v>
      </c>
      <c r="AJ119" s="33" t="s">
        <v>81</v>
      </c>
      <c r="AK119" s="393"/>
      <c r="AL119" s="393"/>
      <c r="AM119" s="393"/>
      <c r="AR119" s="372">
        <f t="shared" ref="AR119:BE121" si="41">AR97*$AH$93 + AR102*$AH$94 + AR107*$AH$95</f>
        <v>20222.899506139773</v>
      </c>
      <c r="AS119">
        <v>5</v>
      </c>
      <c r="AT119" s="95">
        <f t="shared" si="41"/>
        <v>1028.4448347587943</v>
      </c>
      <c r="AU119" s="95">
        <f t="shared" si="41"/>
        <v>1092.2595318112478</v>
      </c>
      <c r="AV119" s="95">
        <f t="shared" si="41"/>
        <v>1199.9228836110183</v>
      </c>
      <c r="AW119" s="95">
        <f t="shared" si="41"/>
        <v>1362.6300228392533</v>
      </c>
      <c r="AX119" s="95">
        <f t="shared" si="41"/>
        <v>1881.9678369760416</v>
      </c>
      <c r="AY119" s="95">
        <f t="shared" si="41"/>
        <v>1872.0443643396773</v>
      </c>
      <c r="AZ119" s="95">
        <f t="shared" si="41"/>
        <v>1824.7851291345978</v>
      </c>
      <c r="BA119" s="95">
        <f t="shared" si="41"/>
        <v>1677.6927017773346</v>
      </c>
      <c r="BB119" s="95">
        <f t="shared" si="41"/>
        <v>1155.1886151417546</v>
      </c>
      <c r="BC119" s="95">
        <f t="shared" si="41"/>
        <v>1167.9961693410264</v>
      </c>
      <c r="BD119" s="95">
        <f t="shared" si="41"/>
        <v>1817.2031074272288</v>
      </c>
      <c r="BE119" s="95">
        <f t="shared" si="41"/>
        <v>1633.3743806520167</v>
      </c>
      <c r="BH119" s="95">
        <f>AVERAGE(BG54:BG58)*km_mile</f>
        <v>60096.130462332818</v>
      </c>
      <c r="BI119">
        <v>10</v>
      </c>
      <c r="BJ119" s="95">
        <f t="shared" ref="BJ119:BO119" si="42">AVERAGE(BJ54:BJ58)*USD2019_to_CAD2020</f>
        <v>12434.989864563924</v>
      </c>
      <c r="BK119" s="95">
        <f t="shared" si="42"/>
        <v>10818.441182170614</v>
      </c>
      <c r="BL119" s="95">
        <f t="shared" si="42"/>
        <v>10445.391486233695</v>
      </c>
      <c r="BM119" s="95">
        <f t="shared" si="42"/>
        <v>7460.9939187383534</v>
      </c>
      <c r="BN119" s="95">
        <f t="shared" si="42"/>
        <v>7460.9939187383534</v>
      </c>
      <c r="BO119" s="95">
        <f t="shared" si="42"/>
        <v>7460.9939187383534</v>
      </c>
    </row>
    <row r="120" spans="1:68" x14ac:dyDescent="0.35">
      <c r="A120" t="s">
        <v>1170</v>
      </c>
      <c r="B120" t="s">
        <v>2261</v>
      </c>
      <c r="C120" t="s">
        <v>851</v>
      </c>
      <c r="D120">
        <v>2022</v>
      </c>
      <c r="E120">
        <v>2019</v>
      </c>
      <c r="F120" t="s">
        <v>1951</v>
      </c>
      <c r="G120">
        <v>2020</v>
      </c>
      <c r="H120" t="s">
        <v>1953</v>
      </c>
      <c r="I120" t="s">
        <v>1672</v>
      </c>
      <c r="J120" s="66">
        <v>2025</v>
      </c>
      <c r="K120" s="95"/>
      <c r="L120" s="95"/>
      <c r="M120" s="95"/>
      <c r="N120" s="95"/>
      <c r="O120" s="406"/>
      <c r="P120" s="95">
        <f>$AZ$115/$AR$115 * 1000/$AK$89</f>
        <v>62.686414379874186</v>
      </c>
      <c r="Q120" s="95">
        <f>$AZ$114/$AR$114 * 1000/$AK$89</f>
        <v>27.604411558099486</v>
      </c>
      <c r="W120" s="66" t="s">
        <v>1973</v>
      </c>
      <c r="X120">
        <v>3</v>
      </c>
      <c r="Y120">
        <v>1</v>
      </c>
      <c r="Z120">
        <v>1</v>
      </c>
      <c r="AA120">
        <v>3</v>
      </c>
      <c r="AB120">
        <v>1</v>
      </c>
      <c r="AJ120" s="17" t="s">
        <v>1727</v>
      </c>
      <c r="AK120" s="393">
        <f>'OEO &amp; EPAUS9rT-HDV Data'!R36/km_mile*USD2018_to_CAD2020</f>
        <v>1.6501885334848621</v>
      </c>
      <c r="AL120" s="393"/>
      <c r="AM120" s="393"/>
      <c r="AR120" s="372">
        <f t="shared" si="41"/>
        <v>14348.370700465708</v>
      </c>
      <c r="AS120">
        <v>10</v>
      </c>
      <c r="AT120" s="95">
        <f t="shared" si="41"/>
        <v>751.16100080433034</v>
      </c>
      <c r="AU120" s="95">
        <f t="shared" si="41"/>
        <v>809.55888051766578</v>
      </c>
      <c r="AV120" s="95">
        <f t="shared" si="41"/>
        <v>908.14002097091929</v>
      </c>
      <c r="AW120" s="95">
        <f t="shared" si="41"/>
        <v>1057.2536252518876</v>
      </c>
      <c r="AX120" s="95">
        <f t="shared" si="41"/>
        <v>1355.3648670394382</v>
      </c>
      <c r="AY120" s="95">
        <f t="shared" si="41"/>
        <v>1353.4671157979396</v>
      </c>
      <c r="AZ120" s="95">
        <f t="shared" si="41"/>
        <v>1303.0447199405235</v>
      </c>
      <c r="BA120" s="95">
        <f t="shared" si="41"/>
        <v>1035.2051940600236</v>
      </c>
      <c r="BB120" s="95">
        <f t="shared" si="41"/>
        <v>862.64024327610741</v>
      </c>
      <c r="BC120" s="95">
        <f t="shared" si="41"/>
        <v>874.38948757365188</v>
      </c>
      <c r="BD120" s="95">
        <f t="shared" si="41"/>
        <v>872.63819383125156</v>
      </c>
      <c r="BE120" s="95">
        <f t="shared" si="41"/>
        <v>994.67649193755642</v>
      </c>
      <c r="BH120" s="374">
        <f>AVERAGE(BG59:BG62)*km_mile</f>
        <v>37366.274854510666</v>
      </c>
      <c r="BI120" s="249">
        <v>15</v>
      </c>
      <c r="BJ120" s="374">
        <f t="shared" ref="BJ120:BO120" si="43">AVERAGE(BJ59:BJ62)*USD2019_to_CAD2020</f>
        <v>7990.5409392159236</v>
      </c>
      <c r="BK120" s="374">
        <f t="shared" si="43"/>
        <v>6951.7706171178543</v>
      </c>
      <c r="BL120" s="374">
        <f t="shared" si="43"/>
        <v>6712.0543889413775</v>
      </c>
      <c r="BM120" s="374">
        <f t="shared" si="43"/>
        <v>4794.3245635295543</v>
      </c>
      <c r="BN120" s="374">
        <f t="shared" si="43"/>
        <v>4794.3245635295543</v>
      </c>
      <c r="BO120" s="374">
        <f t="shared" si="43"/>
        <v>4794.3245635295543</v>
      </c>
    </row>
    <row r="121" spans="1:68" x14ac:dyDescent="0.35">
      <c r="A121" t="s">
        <v>1170</v>
      </c>
      <c r="B121" t="s">
        <v>2261</v>
      </c>
      <c r="C121" t="s">
        <v>851</v>
      </c>
      <c r="D121">
        <v>2022</v>
      </c>
      <c r="E121">
        <v>2019</v>
      </c>
      <c r="F121" t="s">
        <v>1951</v>
      </c>
      <c r="G121">
        <v>2020</v>
      </c>
      <c r="H121" t="s">
        <v>1953</v>
      </c>
      <c r="I121" t="s">
        <v>1672</v>
      </c>
      <c r="J121" s="66">
        <v>2030</v>
      </c>
      <c r="K121" s="95"/>
      <c r="L121" s="95"/>
      <c r="M121" s="95"/>
      <c r="N121" s="95"/>
      <c r="O121" s="406"/>
      <c r="P121" s="95">
        <f>$AZ$116/$AR$116 * 1000/$AK$89</f>
        <v>55.676114604552225</v>
      </c>
      <c r="Q121" s="95">
        <f>$AZ$115/$AR$115 * 1000/$AK$89</f>
        <v>62.686414379874186</v>
      </c>
      <c r="R121" s="95">
        <f>$AZ$114/$AR$114 * 1000/$AK$89</f>
        <v>27.604411558099486</v>
      </c>
      <c r="W121" s="66" t="s">
        <v>1973</v>
      </c>
      <c r="X121">
        <v>3</v>
      </c>
      <c r="Y121">
        <v>1</v>
      </c>
      <c r="Z121">
        <v>1</v>
      </c>
      <c r="AA121">
        <v>3</v>
      </c>
      <c r="AB121">
        <v>1</v>
      </c>
      <c r="AJ121" s="17" t="s">
        <v>989</v>
      </c>
      <c r="AK121" s="393"/>
      <c r="AL121" s="393"/>
      <c r="AM121" s="393">
        <f>'OEO &amp; EPAUS9rT-HDV Data'!T37/km_mile*USD2018_to_CAD2020</f>
        <v>3.1837637439367943</v>
      </c>
      <c r="AR121" s="372">
        <f t="shared" si="41"/>
        <v>12377.898892522997</v>
      </c>
      <c r="AS121">
        <v>15</v>
      </c>
      <c r="AT121" s="95">
        <f t="shared" si="41"/>
        <v>457.3894364743835</v>
      </c>
      <c r="AU121" s="95">
        <f t="shared" si="41"/>
        <v>511.6078649404364</v>
      </c>
      <c r="AV121" s="95">
        <f t="shared" si="41"/>
        <v>603.21615017662327</v>
      </c>
      <c r="AW121" s="95">
        <f t="shared" si="41"/>
        <v>741.97474269814222</v>
      </c>
      <c r="AX121" s="95">
        <f t="shared" si="41"/>
        <v>667.09544521111934</v>
      </c>
      <c r="AY121" s="95">
        <f t="shared" si="41"/>
        <v>693.42623253043166</v>
      </c>
      <c r="AZ121" s="95">
        <f t="shared" si="41"/>
        <v>618.53242661619709</v>
      </c>
      <c r="BA121" s="95">
        <f t="shared" si="41"/>
        <v>1301.6524106588161</v>
      </c>
      <c r="BB121" s="95">
        <f t="shared" si="41"/>
        <v>502.49242383119366</v>
      </c>
      <c r="BC121" s="95">
        <f t="shared" si="41"/>
        <v>513.44278018235366</v>
      </c>
      <c r="BD121" s="95">
        <f t="shared" si="41"/>
        <v>1273.4705481816272</v>
      </c>
      <c r="BE121" s="95">
        <f t="shared" si="41"/>
        <v>1264.0646500720873</v>
      </c>
      <c r="BH121" s="33" t="s">
        <v>1666</v>
      </c>
    </row>
    <row r="122" spans="1:68" x14ac:dyDescent="0.35">
      <c r="A122" t="s">
        <v>1170</v>
      </c>
      <c r="B122" t="s">
        <v>2261</v>
      </c>
      <c r="C122" t="s">
        <v>851</v>
      </c>
      <c r="D122">
        <v>2022</v>
      </c>
      <c r="E122">
        <v>2019</v>
      </c>
      <c r="F122" t="s">
        <v>1951</v>
      </c>
      <c r="G122">
        <v>2020</v>
      </c>
      <c r="H122" t="s">
        <v>1953</v>
      </c>
      <c r="I122" t="s">
        <v>1672</v>
      </c>
      <c r="J122" s="66">
        <v>2035</v>
      </c>
      <c r="Q122" s="95">
        <f>$AZ$116/$AR$116 * 1000/$AK$89</f>
        <v>55.676114604552225</v>
      </c>
      <c r="R122" s="95">
        <f>$AZ$115/$AR$115 * 1000/$AK$89</f>
        <v>62.686414379874186</v>
      </c>
      <c r="S122" s="95">
        <f>$AZ$114/$AR$114 * 1000/$AK$89</f>
        <v>27.604411558099486</v>
      </c>
      <c r="W122" s="66" t="s">
        <v>1973</v>
      </c>
      <c r="X122">
        <v>3</v>
      </c>
      <c r="Y122">
        <v>1</v>
      </c>
      <c r="Z122">
        <v>1</v>
      </c>
      <c r="AA122">
        <v>3</v>
      </c>
      <c r="AB122">
        <v>1</v>
      </c>
      <c r="AJ122" s="17" t="s">
        <v>232</v>
      </c>
      <c r="AK122" s="393"/>
      <c r="AL122" s="393">
        <f>'OEO &amp; EPAUS9rT-HDV Data'!S38/km_mile*USD2018_to_CAD2020</f>
        <v>2.7282976019358167</v>
      </c>
      <c r="AM122" s="393"/>
      <c r="BH122" s="95">
        <f>AVERAGE(BG64:BG68)*km_mile</f>
        <v>181295.5239532571</v>
      </c>
      <c r="BI122">
        <v>0</v>
      </c>
      <c r="BJ122" s="95">
        <f t="shared" ref="BJ122:BO122" si="44">AVERAGE(BJ64:BJ68)*USD2019_to_CAD2020</f>
        <v>22516.475223984664</v>
      </c>
      <c r="BK122" s="95">
        <f t="shared" si="44"/>
        <v>19589.333444866657</v>
      </c>
      <c r="BL122" s="95">
        <f t="shared" si="44"/>
        <v>18913.839188147118</v>
      </c>
      <c r="BM122" s="95">
        <f t="shared" si="44"/>
        <v>13509.885134390797</v>
      </c>
      <c r="BN122" s="95">
        <f t="shared" si="44"/>
        <v>13509.885134390797</v>
      </c>
      <c r="BO122" s="95">
        <f t="shared" si="44"/>
        <v>13509.885134390797</v>
      </c>
    </row>
    <row r="123" spans="1:68" x14ac:dyDescent="0.35">
      <c r="A123" t="s">
        <v>1170</v>
      </c>
      <c r="B123" t="s">
        <v>2261</v>
      </c>
      <c r="C123" t="s">
        <v>851</v>
      </c>
      <c r="D123">
        <v>2022</v>
      </c>
      <c r="E123">
        <v>2019</v>
      </c>
      <c r="F123" t="s">
        <v>1951</v>
      </c>
      <c r="G123">
        <v>2020</v>
      </c>
      <c r="H123" t="s">
        <v>1953</v>
      </c>
      <c r="I123" t="s">
        <v>1672</v>
      </c>
      <c r="J123" s="66">
        <v>2040</v>
      </c>
      <c r="R123" s="95">
        <f>$AZ$116/$AR$116 * 1000/$AK$89</f>
        <v>55.676114604552225</v>
      </c>
      <c r="S123" s="95">
        <f>$AZ$115/$AR$115 * 1000/$AK$89</f>
        <v>62.686414379874186</v>
      </c>
      <c r="T123" s="95">
        <f>$AZ$114/$AR$114 * 1000/$AK$89</f>
        <v>27.604411558099486</v>
      </c>
      <c r="W123" s="66" t="s">
        <v>1973</v>
      </c>
      <c r="X123">
        <v>3</v>
      </c>
      <c r="Y123">
        <v>1</v>
      </c>
      <c r="Z123">
        <v>1</v>
      </c>
      <c r="AA123">
        <v>3</v>
      </c>
      <c r="AB123">
        <v>1</v>
      </c>
      <c r="BH123" s="95">
        <f>AVERAGE(BG69:BG73)*km_mile</f>
        <v>127924.52282613117</v>
      </c>
      <c r="BI123">
        <v>5</v>
      </c>
      <c r="BJ123" s="95">
        <f t="shared" ref="BJ123:BO123" si="45">AVERAGE(BJ69:BJ73)*USD2019_to_CAD2020</f>
        <v>23064.496217021086</v>
      </c>
      <c r="BK123" s="95">
        <f t="shared" si="45"/>
        <v>20066.111708808345</v>
      </c>
      <c r="BL123" s="95">
        <f t="shared" si="45"/>
        <v>19374.176822297708</v>
      </c>
      <c r="BM123" s="95">
        <f t="shared" si="45"/>
        <v>13838.697730212651</v>
      </c>
      <c r="BN123" s="95">
        <f t="shared" si="45"/>
        <v>13838.697730212651</v>
      </c>
      <c r="BO123" s="95">
        <f t="shared" si="45"/>
        <v>13838.697730212651</v>
      </c>
    </row>
    <row r="124" spans="1:68" x14ac:dyDescent="0.35">
      <c r="A124" t="s">
        <v>1170</v>
      </c>
      <c r="B124" t="s">
        <v>2261</v>
      </c>
      <c r="C124" t="s">
        <v>851</v>
      </c>
      <c r="D124">
        <v>2022</v>
      </c>
      <c r="E124">
        <v>2019</v>
      </c>
      <c r="F124" t="s">
        <v>1951</v>
      </c>
      <c r="G124">
        <v>2020</v>
      </c>
      <c r="H124" t="s">
        <v>1953</v>
      </c>
      <c r="I124" t="s">
        <v>1672</v>
      </c>
      <c r="J124" s="66">
        <v>2045</v>
      </c>
      <c r="S124" s="95">
        <f>$AZ$116/$AR$116 * 1000/$AK$89</f>
        <v>55.676114604552225</v>
      </c>
      <c r="T124" s="95">
        <f>$AZ$115/$AR$115 * 1000/$AK$89</f>
        <v>62.686414379874186</v>
      </c>
      <c r="U124" s="95">
        <f>$AZ$114/$AR$114 * 1000/$AK$89</f>
        <v>27.604411558099486</v>
      </c>
      <c r="W124" s="66" t="s">
        <v>1973</v>
      </c>
      <c r="X124">
        <v>3</v>
      </c>
      <c r="Y124">
        <v>1</v>
      </c>
      <c r="Z124">
        <v>1</v>
      </c>
      <c r="AA124">
        <v>3</v>
      </c>
      <c r="AB124">
        <v>1</v>
      </c>
      <c r="BH124" s="95">
        <f>AVERAGE(BG74:BG78)*km_mile</f>
        <v>86413.923282658507</v>
      </c>
      <c r="BI124">
        <v>10</v>
      </c>
      <c r="BJ124" s="95">
        <f t="shared" ref="BJ124:BO124" si="46">AVERAGE(BJ74:BJ78)*USD2019_to_CAD2020</f>
        <v>17884.160326855595</v>
      </c>
      <c r="BK124" s="95">
        <f t="shared" si="46"/>
        <v>15559.219484364365</v>
      </c>
      <c r="BL124" s="95">
        <f t="shared" si="46"/>
        <v>15022.694674558699</v>
      </c>
      <c r="BM124" s="95">
        <f t="shared" si="46"/>
        <v>10730.496196113354</v>
      </c>
      <c r="BN124" s="95">
        <f t="shared" si="46"/>
        <v>10730.496196113354</v>
      </c>
      <c r="BO124" s="95">
        <f t="shared" si="46"/>
        <v>10730.496196113354</v>
      </c>
    </row>
    <row r="125" spans="1:68" ht="15" thickBot="1" x14ac:dyDescent="0.4">
      <c r="A125" t="s">
        <v>1170</v>
      </c>
      <c r="B125" t="s">
        <v>2261</v>
      </c>
      <c r="C125" t="s">
        <v>851</v>
      </c>
      <c r="D125">
        <v>2022</v>
      </c>
      <c r="E125">
        <v>2019</v>
      </c>
      <c r="F125" t="s">
        <v>1951</v>
      </c>
      <c r="G125">
        <v>2020</v>
      </c>
      <c r="H125" t="s">
        <v>1953</v>
      </c>
      <c r="I125" t="s">
        <v>1672</v>
      </c>
      <c r="J125" s="66">
        <v>2050</v>
      </c>
      <c r="T125" s="95">
        <f>$AZ$116/$AR$116 * 1000/$AK$89</f>
        <v>55.676114604552225</v>
      </c>
      <c r="U125" s="95">
        <f>$AZ$115/$AR$115 * 1000/$AK$89</f>
        <v>62.686414379874186</v>
      </c>
      <c r="V125" s="406">
        <f>$AZ$114/$AR$114 * 1000/$AK$89</f>
        <v>27.604411558099486</v>
      </c>
      <c r="W125" s="66" t="s">
        <v>1973</v>
      </c>
      <c r="X125">
        <v>3</v>
      </c>
      <c r="Y125">
        <v>1</v>
      </c>
      <c r="Z125">
        <v>1</v>
      </c>
      <c r="AA125">
        <v>3</v>
      </c>
      <c r="AB125">
        <v>1</v>
      </c>
      <c r="BH125" s="374">
        <f>AVERAGE(BG79:BG82)*km_mile</f>
        <v>55871.572581901652</v>
      </c>
      <c r="BI125" s="249">
        <v>15</v>
      </c>
      <c r="BJ125" s="374">
        <f t="shared" ref="BJ125:BO125" si="47">AVERAGE(BJ79:BJ82)*USD2019_to_CAD2020</f>
        <v>11947.797014257889</v>
      </c>
      <c r="BK125" s="374">
        <f t="shared" si="47"/>
        <v>10394.583402404362</v>
      </c>
      <c r="BL125" s="374">
        <f t="shared" si="47"/>
        <v>10036.149491976626</v>
      </c>
      <c r="BM125" s="374">
        <f t="shared" si="47"/>
        <v>7168.6782085547329</v>
      </c>
      <c r="BN125" s="374">
        <f t="shared" si="47"/>
        <v>7168.6782085547329</v>
      </c>
      <c r="BO125" s="374">
        <f t="shared" si="47"/>
        <v>7168.6782085547329</v>
      </c>
    </row>
    <row r="126" spans="1:68" x14ac:dyDescent="0.35">
      <c r="A126" t="s">
        <v>1171</v>
      </c>
      <c r="B126" t="s">
        <v>2261</v>
      </c>
      <c r="C126" t="s">
        <v>851</v>
      </c>
      <c r="D126">
        <v>2022</v>
      </c>
      <c r="E126">
        <v>2019</v>
      </c>
      <c r="F126" t="s">
        <v>1951</v>
      </c>
      <c r="G126">
        <v>2020</v>
      </c>
      <c r="H126" t="s">
        <v>1953</v>
      </c>
      <c r="I126" t="s">
        <v>1672</v>
      </c>
      <c r="J126" s="66">
        <v>2021</v>
      </c>
      <c r="P126" s="95">
        <f>$AX$114/$AR$114 * 1000/$AK$89</f>
        <v>28.152139392205267</v>
      </c>
      <c r="Q126" s="95"/>
      <c r="W126" s="66" t="s">
        <v>1973</v>
      </c>
      <c r="X126">
        <v>3</v>
      </c>
      <c r="Y126">
        <v>1</v>
      </c>
      <c r="Z126">
        <v>1</v>
      </c>
      <c r="AA126">
        <v>3</v>
      </c>
      <c r="AB126">
        <v>1</v>
      </c>
      <c r="BH126" s="33" t="s">
        <v>1667</v>
      </c>
      <c r="BP126" s="380" t="s">
        <v>1720</v>
      </c>
    </row>
    <row r="127" spans="1:68" ht="15" thickBot="1" x14ac:dyDescent="0.4">
      <c r="A127" t="s">
        <v>1171</v>
      </c>
      <c r="B127" t="s">
        <v>2261</v>
      </c>
      <c r="C127" t="s">
        <v>851</v>
      </c>
      <c r="D127">
        <v>2022</v>
      </c>
      <c r="E127">
        <v>2019</v>
      </c>
      <c r="F127" t="s">
        <v>1951</v>
      </c>
      <c r="G127">
        <v>2020</v>
      </c>
      <c r="H127" t="s">
        <v>1953</v>
      </c>
      <c r="I127" t="s">
        <v>1672</v>
      </c>
      <c r="J127" s="66">
        <v>2025</v>
      </c>
      <c r="P127" s="95">
        <f>$AX$115/$AR$115 * 1000/$AK$89</f>
        <v>64.783334272418159</v>
      </c>
      <c r="Q127" s="95">
        <f>$AX$114/$AR$114 * 1000/$AK$89</f>
        <v>28.152139392205267</v>
      </c>
      <c r="W127" s="66" t="s">
        <v>1973</v>
      </c>
      <c r="X127">
        <v>3</v>
      </c>
      <c r="Y127">
        <v>1</v>
      </c>
      <c r="Z127">
        <v>1</v>
      </c>
      <c r="AA127">
        <v>3</v>
      </c>
      <c r="AB127">
        <v>1</v>
      </c>
      <c r="BH127" s="95">
        <f>AVERAGE(BG84:BG88)*km_mile</f>
        <v>60516.480815837756</v>
      </c>
      <c r="BI127">
        <v>0</v>
      </c>
      <c r="BJ127" s="95">
        <f t="shared" ref="BJ127:BO127" si="48">AVERAGE(BJ84:BJ88)*USD2019_to_CAD2020</f>
        <v>7814.050335593246</v>
      </c>
      <c r="BK127" s="95">
        <f t="shared" si="48"/>
        <v>6798.2237919661229</v>
      </c>
      <c r="BL127" s="95">
        <f t="shared" si="48"/>
        <v>6563.8022818983263</v>
      </c>
      <c r="BM127" s="95">
        <f t="shared" si="48"/>
        <v>4688.4302013559482</v>
      </c>
      <c r="BN127" s="95">
        <f t="shared" si="48"/>
        <v>4688.4302013559482</v>
      </c>
      <c r="BO127" s="95">
        <f t="shared" si="48"/>
        <v>4688.4302013559482</v>
      </c>
      <c r="BP127" s="118">
        <f>BP135</f>
        <v>0.65722379603399439</v>
      </c>
    </row>
    <row r="128" spans="1:68" x14ac:dyDescent="0.35">
      <c r="A128" t="s">
        <v>1171</v>
      </c>
      <c r="B128" t="s">
        <v>2261</v>
      </c>
      <c r="C128" t="s">
        <v>851</v>
      </c>
      <c r="D128">
        <v>2022</v>
      </c>
      <c r="E128">
        <v>2019</v>
      </c>
      <c r="F128" t="s">
        <v>1951</v>
      </c>
      <c r="G128">
        <v>2020</v>
      </c>
      <c r="H128" t="s">
        <v>1953</v>
      </c>
      <c r="I128" t="s">
        <v>1672</v>
      </c>
      <c r="J128" s="66">
        <v>2030</v>
      </c>
      <c r="P128" s="95">
        <f>$AX$116/$AR$116 * 1000/$AK$89</f>
        <v>58.34381571750302</v>
      </c>
      <c r="Q128" s="95">
        <f>$AX$115/$AR$115 * 1000/$AK$89</f>
        <v>64.783334272418159</v>
      </c>
      <c r="R128" s="95">
        <f>$AX$114/$AR$114 * 1000/$AK$89</f>
        <v>28.152139392205267</v>
      </c>
      <c r="W128" s="66" t="s">
        <v>1973</v>
      </c>
      <c r="X128">
        <v>3</v>
      </c>
      <c r="Y128">
        <v>1</v>
      </c>
      <c r="Z128">
        <v>1</v>
      </c>
      <c r="AA128">
        <v>3</v>
      </c>
      <c r="AB128">
        <v>1</v>
      </c>
      <c r="AJ128" s="410" t="s">
        <v>1847</v>
      </c>
      <c r="BH128" s="95">
        <f>AVERAGE(BG89:BG93)*km_mile</f>
        <v>64080.295343936035</v>
      </c>
      <c r="BI128">
        <v>5</v>
      </c>
      <c r="BJ128" s="95">
        <f t="shared" ref="BJ128:BO128" si="49">AVERAGE(BJ89:BJ93)*USD2019_to_CAD2020</f>
        <v>11627.482458590268</v>
      </c>
      <c r="BK128" s="95">
        <f t="shared" si="49"/>
        <v>10115.909738973529</v>
      </c>
      <c r="BL128" s="95">
        <f t="shared" si="49"/>
        <v>9767.0852652158228</v>
      </c>
      <c r="BM128" s="95">
        <f t="shared" si="49"/>
        <v>6976.4894751541597</v>
      </c>
      <c r="BN128" s="95">
        <f t="shared" si="49"/>
        <v>6976.4894751541597</v>
      </c>
      <c r="BO128" s="95">
        <f t="shared" si="49"/>
        <v>6976.4894751541597</v>
      </c>
      <c r="BP128" s="380" t="s">
        <v>1742</v>
      </c>
    </row>
    <row r="129" spans="1:68" ht="15" thickBot="1" x14ac:dyDescent="0.4">
      <c r="A129" t="s">
        <v>1171</v>
      </c>
      <c r="B129" t="s">
        <v>2261</v>
      </c>
      <c r="C129" t="s">
        <v>851</v>
      </c>
      <c r="D129">
        <v>2022</v>
      </c>
      <c r="E129">
        <v>2019</v>
      </c>
      <c r="F129" t="s">
        <v>1951</v>
      </c>
      <c r="G129">
        <v>2020</v>
      </c>
      <c r="H129" t="s">
        <v>1953</v>
      </c>
      <c r="I129" t="s">
        <v>1672</v>
      </c>
      <c r="J129" s="66">
        <v>2035</v>
      </c>
      <c r="Q129" s="95">
        <f>$AX$116/$AR$116 * 1000/$AK$89</f>
        <v>58.34381571750302</v>
      </c>
      <c r="R129" s="95">
        <f>$AX$115/$AR$115 * 1000/$AK$89</f>
        <v>64.783334272418159</v>
      </c>
      <c r="S129" s="95">
        <f>$AX$114/$AR$114 * 1000/$AK$89</f>
        <v>28.152139392205267</v>
      </c>
      <c r="W129" s="66" t="s">
        <v>1973</v>
      </c>
      <c r="X129">
        <v>3</v>
      </c>
      <c r="Y129">
        <v>1</v>
      </c>
      <c r="Z129">
        <v>1</v>
      </c>
      <c r="AA129">
        <v>3</v>
      </c>
      <c r="AB129">
        <v>1</v>
      </c>
      <c r="AJ129" s="105" t="s">
        <v>1823</v>
      </c>
      <c r="AK129" s="105" t="s">
        <v>94</v>
      </c>
      <c r="AL129" s="105">
        <v>2005</v>
      </c>
      <c r="AM129" s="105">
        <v>2020</v>
      </c>
      <c r="AN129" s="105">
        <v>2035</v>
      </c>
      <c r="AO129" s="105">
        <v>2050</v>
      </c>
      <c r="BH129" s="95">
        <f>AVERAGE(BG94:BG98)*km_mile</f>
        <v>61853.385509763975</v>
      </c>
      <c r="BI129">
        <v>10</v>
      </c>
      <c r="BJ129" s="95">
        <f t="shared" ref="BJ129:BO129" si="50">AVERAGE(BJ94:BJ98)*USD2019_to_CAD2020</f>
        <v>12824.857969553766</v>
      </c>
      <c r="BK129" s="95">
        <f t="shared" si="50"/>
        <v>11157.626433511776</v>
      </c>
      <c r="BL129" s="95">
        <f t="shared" si="50"/>
        <v>10772.880694425163</v>
      </c>
      <c r="BM129" s="95">
        <f t="shared" si="50"/>
        <v>7694.9147817322601</v>
      </c>
      <c r="BN129" s="95">
        <f t="shared" si="50"/>
        <v>7694.9147817322601</v>
      </c>
      <c r="BO129" s="95">
        <f t="shared" si="50"/>
        <v>7694.9147817322601</v>
      </c>
      <c r="BP129" s="118">
        <f>'GREET-AFLEET Summary'!AN35/'GREET-AFLEET Summary'!AC35</f>
        <v>1</v>
      </c>
    </row>
    <row r="130" spans="1:68" ht="15" thickTop="1" x14ac:dyDescent="0.35">
      <c r="A130" t="s">
        <v>1171</v>
      </c>
      <c r="B130" t="s">
        <v>2261</v>
      </c>
      <c r="C130" t="s">
        <v>851</v>
      </c>
      <c r="D130">
        <v>2022</v>
      </c>
      <c r="E130">
        <v>2019</v>
      </c>
      <c r="F130" t="s">
        <v>1951</v>
      </c>
      <c r="G130">
        <v>2020</v>
      </c>
      <c r="H130" t="s">
        <v>1953</v>
      </c>
      <c r="I130" t="s">
        <v>1672</v>
      </c>
      <c r="J130" s="66">
        <v>2040</v>
      </c>
      <c r="R130" s="95">
        <f>$AX$116/$AR$116 * 1000/$AK$89</f>
        <v>58.34381571750302</v>
      </c>
      <c r="S130" s="95">
        <f>$AX$115/$AR$115 * 1000/$AK$89</f>
        <v>64.783334272418159</v>
      </c>
      <c r="T130" s="95">
        <f>$AX$114/$AR$114 * 1000/$AK$89</f>
        <v>28.152139392205267</v>
      </c>
      <c r="W130" s="66" t="s">
        <v>1973</v>
      </c>
      <c r="X130">
        <v>3</v>
      </c>
      <c r="Y130">
        <v>1</v>
      </c>
      <c r="Z130">
        <v>1</v>
      </c>
      <c r="AA130">
        <v>3</v>
      </c>
      <c r="AB130">
        <v>1</v>
      </c>
      <c r="AJ130" t="s">
        <v>1824</v>
      </c>
      <c r="AK130" t="s">
        <v>1825</v>
      </c>
      <c r="AL130" s="411">
        <v>51.057026104403107</v>
      </c>
      <c r="AM130" s="411">
        <v>51.057026104403107</v>
      </c>
      <c r="AN130" s="411">
        <v>51.057026104403107</v>
      </c>
      <c r="AO130" s="411">
        <v>51.057026104403107</v>
      </c>
      <c r="BH130" s="95">
        <f>AVERAGE(BG99:BG102)*km_mile</f>
        <v>53459.686156272932</v>
      </c>
      <c r="BI130">
        <v>15</v>
      </c>
      <c r="BJ130" s="95">
        <f t="shared" ref="BJ130:BO130" si="51">AVERAGE(BJ99:BJ102)*USD2019_to_CAD2020</f>
        <v>11432.149802665122</v>
      </c>
      <c r="BK130" s="95">
        <f t="shared" si="51"/>
        <v>9945.9703283186573</v>
      </c>
      <c r="BL130" s="95">
        <f t="shared" si="51"/>
        <v>9603.0058342387019</v>
      </c>
      <c r="BM130" s="95">
        <f t="shared" si="51"/>
        <v>6859.2898815990729</v>
      </c>
      <c r="BN130" s="95">
        <f t="shared" si="51"/>
        <v>6859.2898815990729</v>
      </c>
      <c r="BO130" s="95">
        <f t="shared" si="51"/>
        <v>6859.2898815990729</v>
      </c>
    </row>
    <row r="131" spans="1:68" x14ac:dyDescent="0.35">
      <c r="A131" t="s">
        <v>1171</v>
      </c>
      <c r="B131" t="s">
        <v>2261</v>
      </c>
      <c r="C131" t="s">
        <v>851</v>
      </c>
      <c r="D131">
        <v>2022</v>
      </c>
      <c r="E131">
        <v>2019</v>
      </c>
      <c r="F131" t="s">
        <v>1951</v>
      </c>
      <c r="G131">
        <v>2020</v>
      </c>
      <c r="H131" t="s">
        <v>1953</v>
      </c>
      <c r="I131" t="s">
        <v>1672</v>
      </c>
      <c r="J131" s="66">
        <v>2045</v>
      </c>
      <c r="S131" s="95">
        <f>$AX$116/$AR$116 * 1000/$AK$89</f>
        <v>58.34381571750302</v>
      </c>
      <c r="T131" s="95">
        <f>$AX$115/$AR$115 * 1000/$AK$89</f>
        <v>64.783334272418159</v>
      </c>
      <c r="U131" s="95">
        <f>$AX$114/$AR$114 * 1000/$AK$89</f>
        <v>28.152139392205267</v>
      </c>
      <c r="W131" s="66" t="s">
        <v>1973</v>
      </c>
      <c r="X131">
        <v>3</v>
      </c>
      <c r="Y131">
        <v>1</v>
      </c>
      <c r="Z131">
        <v>1</v>
      </c>
      <c r="AA131">
        <v>3</v>
      </c>
      <c r="AB131">
        <v>1</v>
      </c>
      <c r="AK131" t="s">
        <v>246</v>
      </c>
      <c r="AL131" s="411">
        <v>40.845620883522486</v>
      </c>
      <c r="AM131" s="411">
        <v>40.845620883522486</v>
      </c>
      <c r="AN131" s="411">
        <v>40.845620883522486</v>
      </c>
      <c r="AO131" s="411">
        <v>40.845620883522486</v>
      </c>
    </row>
    <row r="132" spans="1:68" ht="15.5" x14ac:dyDescent="0.35">
      <c r="A132" t="s">
        <v>1171</v>
      </c>
      <c r="B132" t="s">
        <v>2261</v>
      </c>
      <c r="C132" t="s">
        <v>851</v>
      </c>
      <c r="D132">
        <v>2022</v>
      </c>
      <c r="E132">
        <v>2019</v>
      </c>
      <c r="F132" t="s">
        <v>1951</v>
      </c>
      <c r="G132">
        <v>2020</v>
      </c>
      <c r="H132" t="s">
        <v>1953</v>
      </c>
      <c r="I132" t="s">
        <v>1672</v>
      </c>
      <c r="J132" s="66">
        <v>2050</v>
      </c>
      <c r="T132" s="95">
        <f>$AX$116/$AR$116 * 1000/$AK$89</f>
        <v>58.34381571750302</v>
      </c>
      <c r="U132" s="95">
        <f>$AX$115/$AR$115 * 1000/$AK$89</f>
        <v>64.783334272418159</v>
      </c>
      <c r="V132" s="406">
        <f>$AX$114/$AR$114 * 1000/$AK$89</f>
        <v>28.152139392205267</v>
      </c>
      <c r="W132" s="66" t="s">
        <v>1973</v>
      </c>
      <c r="X132">
        <v>3</v>
      </c>
      <c r="Y132">
        <v>1</v>
      </c>
      <c r="Z132">
        <v>1</v>
      </c>
      <c r="AA132">
        <v>3</v>
      </c>
      <c r="AB132">
        <v>1</v>
      </c>
      <c r="AJ132" t="s">
        <v>1826</v>
      </c>
      <c r="AK132" t="s">
        <v>1825</v>
      </c>
      <c r="AL132" s="411">
        <v>506.42085637422269</v>
      </c>
      <c r="AM132" s="411">
        <v>506.42085637422269</v>
      </c>
      <c r="AN132" s="411">
        <v>506.42085637422269</v>
      </c>
      <c r="AO132" s="411">
        <v>506.42085637422269</v>
      </c>
      <c r="BH132" s="189" t="s">
        <v>1717</v>
      </c>
    </row>
    <row r="133" spans="1:68" ht="15" thickBot="1" x14ac:dyDescent="0.4">
      <c r="A133" t="s">
        <v>1172</v>
      </c>
      <c r="B133" t="s">
        <v>2261</v>
      </c>
      <c r="C133" t="s">
        <v>851</v>
      </c>
      <c r="D133">
        <v>2022</v>
      </c>
      <c r="E133">
        <v>2019</v>
      </c>
      <c r="F133" t="s">
        <v>1951</v>
      </c>
      <c r="G133">
        <v>2020</v>
      </c>
      <c r="H133" t="s">
        <v>1953</v>
      </c>
      <c r="I133" t="s">
        <v>1672</v>
      </c>
      <c r="J133" s="66">
        <v>2021</v>
      </c>
      <c r="P133" s="95">
        <f>$AY$114/$AR$114 * 1000/$AK$89</f>
        <v>26.960028590527838</v>
      </c>
      <c r="Q133" s="95"/>
      <c r="W133" s="66" t="s">
        <v>1973</v>
      </c>
      <c r="X133">
        <v>3</v>
      </c>
      <c r="Y133">
        <v>1</v>
      </c>
      <c r="Z133">
        <v>1</v>
      </c>
      <c r="AA133">
        <v>3</v>
      </c>
      <c r="AB133">
        <v>1</v>
      </c>
      <c r="AK133" t="s">
        <v>246</v>
      </c>
      <c r="AL133" s="411">
        <v>405.13668509937816</v>
      </c>
      <c r="AM133" s="411">
        <v>405.13668509937816</v>
      </c>
      <c r="AN133" s="411">
        <v>405.13668509937816</v>
      </c>
      <c r="AO133" s="411">
        <v>405.13668509937816</v>
      </c>
      <c r="BH133" s="105" t="s">
        <v>1675</v>
      </c>
      <c r="BI133" s="105" t="s">
        <v>1270</v>
      </c>
      <c r="BJ133" s="105" t="s">
        <v>1719</v>
      </c>
      <c r="BK133" s="105" t="s">
        <v>1020</v>
      </c>
      <c r="BL133" s="105" t="s">
        <v>1021</v>
      </c>
      <c r="BM133" s="105" t="s">
        <v>627</v>
      </c>
      <c r="BN133" s="105" t="s">
        <v>1065</v>
      </c>
      <c r="BO133" s="105" t="s">
        <v>246</v>
      </c>
    </row>
    <row r="134" spans="1:68" ht="15" thickTop="1" x14ac:dyDescent="0.35">
      <c r="A134" t="s">
        <v>1172</v>
      </c>
      <c r="B134" t="s">
        <v>2261</v>
      </c>
      <c r="C134" t="s">
        <v>851</v>
      </c>
      <c r="D134">
        <v>2022</v>
      </c>
      <c r="E134">
        <v>2019</v>
      </c>
      <c r="F134" t="s">
        <v>1951</v>
      </c>
      <c r="G134">
        <v>2020</v>
      </c>
      <c r="H134" t="s">
        <v>1953</v>
      </c>
      <c r="I134" t="s">
        <v>1672</v>
      </c>
      <c r="J134" s="66">
        <v>2025</v>
      </c>
      <c r="P134" s="95">
        <f>$AY$115/$AR$115 * 1000/$AK$89</f>
        <v>64.254794804664073</v>
      </c>
      <c r="Q134" s="95">
        <f>$AY$114/$AR$114 * 1000/$AK$89</f>
        <v>26.960028590527838</v>
      </c>
      <c r="W134" s="66" t="s">
        <v>1973</v>
      </c>
      <c r="X134">
        <v>3</v>
      </c>
      <c r="Y134">
        <v>1</v>
      </c>
      <c r="Z134">
        <v>1</v>
      </c>
      <c r="AA134">
        <v>3</v>
      </c>
      <c r="AB134">
        <v>1</v>
      </c>
      <c r="AJ134" t="s">
        <v>1827</v>
      </c>
      <c r="AK134" t="s">
        <v>1825</v>
      </c>
      <c r="AL134" s="411">
        <v>675.22780849896355</v>
      </c>
      <c r="AM134" s="411">
        <v>675.22780849896355</v>
      </c>
      <c r="AN134" s="411">
        <v>675.22780849896355</v>
      </c>
      <c r="AO134" s="411">
        <v>675.22780849896355</v>
      </c>
      <c r="BH134" s="33" t="s">
        <v>1604</v>
      </c>
      <c r="BP134" s="380" t="s">
        <v>1720</v>
      </c>
    </row>
    <row r="135" spans="1:68" ht="15" thickBot="1" x14ac:dyDescent="0.4">
      <c r="A135" t="s">
        <v>1172</v>
      </c>
      <c r="B135" t="s">
        <v>2261</v>
      </c>
      <c r="C135" t="s">
        <v>851</v>
      </c>
      <c r="D135">
        <v>2022</v>
      </c>
      <c r="E135">
        <v>2019</v>
      </c>
      <c r="F135" t="s">
        <v>1951</v>
      </c>
      <c r="G135">
        <v>2020</v>
      </c>
      <c r="H135" t="s">
        <v>1953</v>
      </c>
      <c r="I135" t="s">
        <v>1672</v>
      </c>
      <c r="J135" s="66">
        <v>2030</v>
      </c>
      <c r="P135" s="95">
        <f>$AY$116/$AR$116 * 1000/$AK$89</f>
        <v>59.503750152102832</v>
      </c>
      <c r="Q135" s="95">
        <f>$AY$115/$AR$115 * 1000/$AK$89</f>
        <v>64.254794804664073</v>
      </c>
      <c r="R135" s="95">
        <f>$AY$114/$AR$114 * 1000/$AK$89</f>
        <v>26.960028590527838</v>
      </c>
      <c r="W135" s="66" t="s">
        <v>1973</v>
      </c>
      <c r="X135">
        <v>3</v>
      </c>
      <c r="Y135">
        <v>1</v>
      </c>
      <c r="Z135">
        <v>1</v>
      </c>
      <c r="AA135">
        <v>3</v>
      </c>
      <c r="AB135">
        <v>1</v>
      </c>
      <c r="AK135" t="s">
        <v>246</v>
      </c>
      <c r="AL135" s="411">
        <v>540.18224679917091</v>
      </c>
      <c r="AM135" s="411">
        <v>540.18224679917091</v>
      </c>
      <c r="AN135" s="411">
        <v>540.18224679917091</v>
      </c>
      <c r="AO135" s="411">
        <v>540.18224679917091</v>
      </c>
      <c r="BH135" s="95">
        <f>BH107*$AI$98 + BH112*$AI$100</f>
        <v>32738.231577142717</v>
      </c>
      <c r="BI135">
        <v>0</v>
      </c>
      <c r="BJ135" s="95">
        <f t="shared" ref="BJ135:BO135" si="52">BJ107*$AI$98 + BJ112*$AI$100</f>
        <v>8499.1680735026621</v>
      </c>
      <c r="BK135" s="95">
        <f t="shared" si="52"/>
        <v>7394.2762239473132</v>
      </c>
      <c r="BL135" s="95">
        <f t="shared" si="52"/>
        <v>7139.3011817422339</v>
      </c>
      <c r="BM135" s="95">
        <f t="shared" si="52"/>
        <v>5099.5008441015962</v>
      </c>
      <c r="BN135" s="95">
        <f t="shared" si="52"/>
        <v>5099.5008441015962</v>
      </c>
      <c r="BO135" s="95">
        <f t="shared" si="52"/>
        <v>5099.5008441015962</v>
      </c>
      <c r="BP135" s="118">
        <f>'GREET-AFLEET Summary'!AB27/'GREET-AFLEET Summary'!AC27</f>
        <v>0.65722379603399439</v>
      </c>
    </row>
    <row r="136" spans="1:68" x14ac:dyDescent="0.35">
      <c r="A136" t="s">
        <v>1172</v>
      </c>
      <c r="B136" t="s">
        <v>2261</v>
      </c>
      <c r="C136" t="s">
        <v>851</v>
      </c>
      <c r="D136">
        <v>2022</v>
      </c>
      <c r="E136">
        <v>2019</v>
      </c>
      <c r="F136" t="s">
        <v>1951</v>
      </c>
      <c r="G136">
        <v>2020</v>
      </c>
      <c r="H136" t="s">
        <v>1953</v>
      </c>
      <c r="I136" t="s">
        <v>1672</v>
      </c>
      <c r="J136" s="66">
        <v>2035</v>
      </c>
      <c r="Q136" s="95">
        <f>$AY$116/$AR$116 * 1000/$AK$89</f>
        <v>59.503750152102832</v>
      </c>
      <c r="R136" s="95">
        <f>$AY$115/$AR$115 * 1000/$AK$89</f>
        <v>64.254794804664073</v>
      </c>
      <c r="S136" s="95">
        <f>$AY$114/$AR$114 * 1000/$AK$89</f>
        <v>26.960028590527838</v>
      </c>
      <c r="W136" s="66" t="s">
        <v>1973</v>
      </c>
      <c r="X136">
        <v>3</v>
      </c>
      <c r="Y136">
        <v>1</v>
      </c>
      <c r="Z136">
        <v>1</v>
      </c>
      <c r="AA136">
        <v>3</v>
      </c>
      <c r="AB136">
        <v>1</v>
      </c>
      <c r="BH136" s="95">
        <f t="shared" ref="BH136:BO138" si="53">BH108*$AI$98 + BH113*$AI$100</f>
        <v>23425.818798312313</v>
      </c>
      <c r="BI136">
        <v>5</v>
      </c>
      <c r="BJ136" s="95">
        <f t="shared" si="53"/>
        <v>9697.9957890426485</v>
      </c>
      <c r="BK136" s="95">
        <f t="shared" si="53"/>
        <v>8437.2563364671041</v>
      </c>
      <c r="BL136" s="95">
        <f t="shared" si="53"/>
        <v>8146.3164627958231</v>
      </c>
      <c r="BM136" s="95">
        <f t="shared" si="53"/>
        <v>5818.7974734255895</v>
      </c>
      <c r="BN136" s="95">
        <f t="shared" si="53"/>
        <v>5818.7974734255895</v>
      </c>
      <c r="BO136" s="95">
        <f t="shared" si="53"/>
        <v>5818.7974734255895</v>
      </c>
    </row>
    <row r="137" spans="1:68" x14ac:dyDescent="0.35">
      <c r="A137" t="s">
        <v>1172</v>
      </c>
      <c r="B137" t="s">
        <v>2261</v>
      </c>
      <c r="C137" t="s">
        <v>851</v>
      </c>
      <c r="D137">
        <v>2022</v>
      </c>
      <c r="E137">
        <v>2019</v>
      </c>
      <c r="F137" t="s">
        <v>1951</v>
      </c>
      <c r="G137">
        <v>2020</v>
      </c>
      <c r="H137" t="s">
        <v>1953</v>
      </c>
      <c r="I137" t="s">
        <v>1672</v>
      </c>
      <c r="J137" s="66">
        <v>2040</v>
      </c>
      <c r="R137" s="95">
        <f>$AY$116/$AR$116 * 1000/$AK$89</f>
        <v>59.503750152102832</v>
      </c>
      <c r="S137" s="95">
        <f>$AY$115/$AR$115 * 1000/$AK$89</f>
        <v>64.254794804664073</v>
      </c>
      <c r="T137" s="95">
        <f>$AY$114/$AR$114 * 1000/$AK$89</f>
        <v>26.960028590527838</v>
      </c>
      <c r="W137" s="66" t="s">
        <v>1973</v>
      </c>
      <c r="X137">
        <v>3</v>
      </c>
      <c r="Y137">
        <v>1</v>
      </c>
      <c r="Z137">
        <v>1</v>
      </c>
      <c r="AA137">
        <v>3</v>
      </c>
      <c r="AB137">
        <v>1</v>
      </c>
      <c r="AJ137" s="33" t="s">
        <v>1849</v>
      </c>
      <c r="BH137" s="95">
        <f t="shared" si="53"/>
        <v>14761.26932950184</v>
      </c>
      <c r="BI137">
        <v>10</v>
      </c>
      <c r="BJ137" s="95">
        <f t="shared" si="53"/>
        <v>7297.4680133493139</v>
      </c>
      <c r="BK137" s="95">
        <f t="shared" si="53"/>
        <v>6348.7971716139036</v>
      </c>
      <c r="BL137" s="95">
        <f t="shared" si="53"/>
        <v>6129.8731312134241</v>
      </c>
      <c r="BM137" s="95">
        <f t="shared" si="53"/>
        <v>4378.4808080095881</v>
      </c>
      <c r="BN137" s="95">
        <f t="shared" si="53"/>
        <v>4378.4808080095881</v>
      </c>
      <c r="BO137" s="95">
        <f t="shared" si="53"/>
        <v>4378.4808080095881</v>
      </c>
    </row>
    <row r="138" spans="1:68" ht="15" thickBot="1" x14ac:dyDescent="0.4">
      <c r="A138" t="s">
        <v>1172</v>
      </c>
      <c r="B138" t="s">
        <v>2261</v>
      </c>
      <c r="C138" t="s">
        <v>851</v>
      </c>
      <c r="D138">
        <v>2022</v>
      </c>
      <c r="E138">
        <v>2019</v>
      </c>
      <c r="F138" t="s">
        <v>1951</v>
      </c>
      <c r="G138">
        <v>2020</v>
      </c>
      <c r="H138" t="s">
        <v>1953</v>
      </c>
      <c r="I138" t="s">
        <v>1672</v>
      </c>
      <c r="J138" s="66">
        <v>2045</v>
      </c>
      <c r="S138" s="95">
        <f>$AY$116/$AR$116 * 1000/$AK$89</f>
        <v>59.503750152102832</v>
      </c>
      <c r="T138" s="95">
        <f>$AY$115/$AR$115 * 1000/$AK$89</f>
        <v>64.254794804664073</v>
      </c>
      <c r="U138" s="95">
        <f>$AY$114/$AR$114 * 1000/$AK$89</f>
        <v>26.960028590527838</v>
      </c>
      <c r="W138" s="66" t="s">
        <v>1973</v>
      </c>
      <c r="X138">
        <v>3</v>
      </c>
      <c r="Y138">
        <v>1</v>
      </c>
      <c r="Z138">
        <v>1</v>
      </c>
      <c r="AA138">
        <v>3</v>
      </c>
      <c r="AB138">
        <v>1</v>
      </c>
      <c r="AJ138" s="105" t="s">
        <v>1831</v>
      </c>
      <c r="AK138" s="105">
        <v>2020</v>
      </c>
      <c r="AL138" s="105">
        <v>2025</v>
      </c>
      <c r="AM138" s="105">
        <v>2030</v>
      </c>
      <c r="AN138" s="105">
        <v>2035</v>
      </c>
      <c r="AO138" s="105">
        <v>2040</v>
      </c>
      <c r="AP138" s="105">
        <v>2045</v>
      </c>
      <c r="AQ138" s="105">
        <v>2050</v>
      </c>
      <c r="BH138" s="374">
        <f t="shared" si="53"/>
        <v>8876.0156249119027</v>
      </c>
      <c r="BI138" s="249">
        <v>15</v>
      </c>
      <c r="BJ138" s="374">
        <f t="shared" si="53"/>
        <v>4634.2319041737937</v>
      </c>
      <c r="BK138" s="374">
        <f t="shared" si="53"/>
        <v>4031.7817566312015</v>
      </c>
      <c r="BL138" s="374">
        <f t="shared" si="53"/>
        <v>3892.7547995059872</v>
      </c>
      <c r="BM138" s="374">
        <f t="shared" si="53"/>
        <v>2780.5391425042767</v>
      </c>
      <c r="BN138" s="374">
        <f t="shared" si="53"/>
        <v>2780.5391425042767</v>
      </c>
      <c r="BO138" s="374">
        <f t="shared" si="53"/>
        <v>2780.5391425042767</v>
      </c>
    </row>
    <row r="139" spans="1:68" ht="15" thickTop="1" x14ac:dyDescent="0.35">
      <c r="A139" t="s">
        <v>1172</v>
      </c>
      <c r="B139" t="s">
        <v>2261</v>
      </c>
      <c r="C139" t="s">
        <v>851</v>
      </c>
      <c r="D139">
        <v>2022</v>
      </c>
      <c r="E139">
        <v>2019</v>
      </c>
      <c r="F139" t="s">
        <v>1951</v>
      </c>
      <c r="G139">
        <v>2020</v>
      </c>
      <c r="H139" t="s">
        <v>1953</v>
      </c>
      <c r="I139" t="s">
        <v>1672</v>
      </c>
      <c r="J139" s="66">
        <v>2050</v>
      </c>
      <c r="T139" s="95">
        <f>$AY$116/$AR$116 * 1000/$AK$89</f>
        <v>59.503750152102832</v>
      </c>
      <c r="U139" s="95">
        <f>$AY$115/$AR$115 * 1000/$AK$89</f>
        <v>64.254794804664073</v>
      </c>
      <c r="V139" s="406">
        <f>$AY$114/$AR$114 * 1000/$AK$89</f>
        <v>26.960028590527838</v>
      </c>
      <c r="W139" s="66" t="s">
        <v>1973</v>
      </c>
      <c r="X139">
        <v>3</v>
      </c>
      <c r="Y139">
        <v>1</v>
      </c>
      <c r="Z139">
        <v>1</v>
      </c>
      <c r="AA139">
        <v>3</v>
      </c>
      <c r="AB139">
        <v>1</v>
      </c>
      <c r="AJ139" t="s">
        <v>1833</v>
      </c>
      <c r="AK139" s="376">
        <f>AM134*USD2005_to_CAD2020/('Background Data'!$U$36*$AK$94)</f>
        <v>0.24177467718525197</v>
      </c>
      <c r="AL139" s="376">
        <f>($AU139-$AR139)/3 + AK139</f>
        <v>0.24177467718525197</v>
      </c>
      <c r="AM139" s="376">
        <f>($AU139-$AR139)/3 + AL139</f>
        <v>0.24177467718525197</v>
      </c>
      <c r="AN139" s="376">
        <f>AN134*USD2005_to_CAD2020/('Background Data'!$U$36*$AK$94)</f>
        <v>0.24177467718525197</v>
      </c>
      <c r="AO139" s="376">
        <f>($AU139-$AX139)/3 + AN139</f>
        <v>0.24177467718525197</v>
      </c>
      <c r="AP139" s="376">
        <f>($AU139-$AX139)/3 + AO139</f>
        <v>0.24177467718525197</v>
      </c>
      <c r="AQ139" s="376">
        <f>AO134*USD2005_to_CAD2020/('Background Data'!$U$36*$AK$94)</f>
        <v>0.24177467718525197</v>
      </c>
      <c r="BH139" s="33" t="s">
        <v>56</v>
      </c>
    </row>
    <row r="140" spans="1:68" x14ac:dyDescent="0.35">
      <c r="A140" t="s">
        <v>1173</v>
      </c>
      <c r="B140" t="s">
        <v>2261</v>
      </c>
      <c r="C140" t="s">
        <v>851</v>
      </c>
      <c r="D140">
        <v>2022</v>
      </c>
      <c r="E140">
        <v>2019</v>
      </c>
      <c r="F140" t="s">
        <v>1951</v>
      </c>
      <c r="G140">
        <v>2020</v>
      </c>
      <c r="H140" t="s">
        <v>1953</v>
      </c>
      <c r="I140" t="s">
        <v>1672</v>
      </c>
      <c r="J140" s="66">
        <v>2021</v>
      </c>
      <c r="P140" s="95">
        <f>$BD$114/$AR$114 * 1000/$AK$89</f>
        <v>25.682172092107674</v>
      </c>
      <c r="Q140" s="95"/>
      <c r="W140" s="66" t="s">
        <v>1973</v>
      </c>
      <c r="X140">
        <v>3</v>
      </c>
      <c r="Y140">
        <v>1</v>
      </c>
      <c r="Z140">
        <v>1</v>
      </c>
      <c r="AA140">
        <v>3</v>
      </c>
      <c r="AB140">
        <v>1</v>
      </c>
      <c r="AJ140" t="s">
        <v>246</v>
      </c>
      <c r="AK140" s="376">
        <f>AM135*USD2005_to_CAD2020/('Background Data'!$U$36*$AK$94)</f>
        <v>0.19341974174820159</v>
      </c>
      <c r="AL140" s="376">
        <f>($AU140-$AR140)/3 + AK140</f>
        <v>0.19341974174820159</v>
      </c>
      <c r="AM140" s="376">
        <f>($AU140-$AR140)/3 + AL140</f>
        <v>0.19341974174820159</v>
      </c>
      <c r="AN140" s="376">
        <f>AN135*USD2005_to_CAD2020/('Background Data'!$U$36*$AK$94)</f>
        <v>0.19341974174820159</v>
      </c>
      <c r="AO140" s="376">
        <f>($AU140-$AX140)/3 + AN140</f>
        <v>0.19341974174820159</v>
      </c>
      <c r="AP140" s="376">
        <f>($AU140-$AX140)/3 + AO140</f>
        <v>0.19341974174820159</v>
      </c>
      <c r="AQ140" s="376">
        <f>AO135*USD2005_to_CAD2020/('Background Data'!$U$36*$AK$94)</f>
        <v>0.19341974174820159</v>
      </c>
      <c r="BH140" s="95">
        <f>BH117*$AH$106 + BH122*$AH$107</f>
        <v>172516.01121879526</v>
      </c>
      <c r="BI140">
        <v>0</v>
      </c>
      <c r="BJ140" s="95">
        <f t="shared" ref="BJ140:BO143" si="54">BJ117*$AH$106 + BJ122*$AH$107</f>
        <v>21428.153285553377</v>
      </c>
      <c r="BK140" s="95">
        <f t="shared" si="54"/>
        <v>18642.493358431435</v>
      </c>
      <c r="BL140" s="95">
        <f t="shared" si="54"/>
        <v>17999.648759864835</v>
      </c>
      <c r="BM140" s="95">
        <f t="shared" si="54"/>
        <v>12856.891971332025</v>
      </c>
      <c r="BN140" s="95">
        <f t="shared" si="54"/>
        <v>12856.891971332025</v>
      </c>
      <c r="BO140" s="95">
        <f t="shared" si="54"/>
        <v>12856.891971332025</v>
      </c>
    </row>
    <row r="141" spans="1:68" x14ac:dyDescent="0.35">
      <c r="A141" t="s">
        <v>1173</v>
      </c>
      <c r="B141" t="s">
        <v>2261</v>
      </c>
      <c r="C141" t="s">
        <v>851</v>
      </c>
      <c r="D141">
        <v>2022</v>
      </c>
      <c r="E141">
        <v>2019</v>
      </c>
      <c r="F141" t="s">
        <v>1951</v>
      </c>
      <c r="G141">
        <v>2020</v>
      </c>
      <c r="H141" t="s">
        <v>1953</v>
      </c>
      <c r="I141" t="s">
        <v>1672</v>
      </c>
      <c r="J141" s="66">
        <v>2025</v>
      </c>
      <c r="P141" s="95">
        <f>$BD$115/$AR$115 * 1000/$AK$89</f>
        <v>59.701109683254096</v>
      </c>
      <c r="Q141" s="95">
        <f>$BD$114/$AR$114 * 1000/$AK$89</f>
        <v>25.682172092107674</v>
      </c>
      <c r="W141" s="66" t="s">
        <v>1973</v>
      </c>
      <c r="X141">
        <v>3</v>
      </c>
      <c r="Y141">
        <v>1</v>
      </c>
      <c r="Z141">
        <v>1</v>
      </c>
      <c r="AA141">
        <v>3</v>
      </c>
      <c r="AB141">
        <v>1</v>
      </c>
      <c r="AJ141" s="74" t="s">
        <v>1848</v>
      </c>
      <c r="BH141" s="95">
        <f>BH118*$AH$106 + BH123*$AH$107</f>
        <v>121421.17072247152</v>
      </c>
      <c r="BI141">
        <v>5</v>
      </c>
      <c r="BJ141" s="95">
        <f t="shared" si="54"/>
        <v>21889.585509196262</v>
      </c>
      <c r="BK141" s="95">
        <f t="shared" si="54"/>
        <v>19043.939393000746</v>
      </c>
      <c r="BL141" s="95">
        <f t="shared" si="54"/>
        <v>18387.251827724856</v>
      </c>
      <c r="BM141" s="95">
        <f t="shared" si="54"/>
        <v>13133.751305517757</v>
      </c>
      <c r="BN141" s="95">
        <f t="shared" si="54"/>
        <v>13133.751305517757</v>
      </c>
      <c r="BO141" s="95">
        <f t="shared" si="54"/>
        <v>13133.751305517757</v>
      </c>
    </row>
    <row r="142" spans="1:68" x14ac:dyDescent="0.35">
      <c r="A142" t="s">
        <v>1173</v>
      </c>
      <c r="B142" t="s">
        <v>2261</v>
      </c>
      <c r="C142" t="s">
        <v>851</v>
      </c>
      <c r="D142">
        <v>2022</v>
      </c>
      <c r="E142">
        <v>2019</v>
      </c>
      <c r="F142" t="s">
        <v>1951</v>
      </c>
      <c r="G142">
        <v>2020</v>
      </c>
      <c r="H142" t="s">
        <v>1953</v>
      </c>
      <c r="I142" t="s">
        <v>1672</v>
      </c>
      <c r="J142" s="66">
        <v>2030</v>
      </c>
      <c r="P142" s="95">
        <f>$BD$116/$AR$116 * 1000/$AK$89</f>
        <v>45.980842811190328</v>
      </c>
      <c r="Q142" s="95">
        <f>$BD$115/$AR$115 * 1000/$AK$89</f>
        <v>59.701109683254096</v>
      </c>
      <c r="R142" s="95">
        <f>$BD$114/$AR$114 * 1000/$AK$89</f>
        <v>25.682172092107674</v>
      </c>
      <c r="W142" s="66" t="s">
        <v>1973</v>
      </c>
      <c r="X142">
        <v>3</v>
      </c>
      <c r="Y142">
        <v>1</v>
      </c>
      <c r="Z142">
        <v>1</v>
      </c>
      <c r="AA142">
        <v>3</v>
      </c>
      <c r="AB142">
        <v>1</v>
      </c>
      <c r="BH142" s="95">
        <f>BH119*$AH$106 + BH124*$AH$107</f>
        <v>81604.910344618504</v>
      </c>
      <c r="BI142">
        <v>10</v>
      </c>
      <c r="BJ142" s="95">
        <f t="shared" si="54"/>
        <v>16888.441140461386</v>
      </c>
      <c r="BK142" s="95">
        <f t="shared" si="54"/>
        <v>14692.943792201402</v>
      </c>
      <c r="BL142" s="95">
        <f t="shared" si="54"/>
        <v>14186.290557987562</v>
      </c>
      <c r="BM142" s="95">
        <f t="shared" si="54"/>
        <v>10133.064684276829</v>
      </c>
      <c r="BN142" s="95">
        <f t="shared" si="54"/>
        <v>10133.064684276829</v>
      </c>
      <c r="BO142" s="95">
        <f t="shared" si="54"/>
        <v>10133.064684276829</v>
      </c>
    </row>
    <row r="143" spans="1:68" x14ac:dyDescent="0.35">
      <c r="A143" t="s">
        <v>1173</v>
      </c>
      <c r="B143" t="s">
        <v>2261</v>
      </c>
      <c r="C143" t="s">
        <v>851</v>
      </c>
      <c r="D143">
        <v>2022</v>
      </c>
      <c r="E143">
        <v>2019</v>
      </c>
      <c r="F143" t="s">
        <v>1951</v>
      </c>
      <c r="G143">
        <v>2020</v>
      </c>
      <c r="H143" t="s">
        <v>1953</v>
      </c>
      <c r="I143" t="s">
        <v>1672</v>
      </c>
      <c r="J143" s="66">
        <v>2035</v>
      </c>
      <c r="Q143" s="95">
        <f>$BD$116/$AR$116 * 1000/$AK$89</f>
        <v>45.980842811190328</v>
      </c>
      <c r="R143" s="95">
        <f>$BD$115/$AR$115 * 1000/$AK$89</f>
        <v>59.701109683254096</v>
      </c>
      <c r="S143" s="95">
        <f>$BD$114/$AR$114 * 1000/$AK$89</f>
        <v>25.682172092107674</v>
      </c>
      <c r="W143" s="66" t="s">
        <v>1973</v>
      </c>
      <c r="X143">
        <v>3</v>
      </c>
      <c r="Y143">
        <v>1</v>
      </c>
      <c r="Z143">
        <v>1</v>
      </c>
      <c r="AA143">
        <v>3</v>
      </c>
      <c r="AB143">
        <v>1</v>
      </c>
      <c r="BH143" s="95">
        <f>BH120*$AH$106 + BH125*$AH$107</f>
        <v>52490.125786539109</v>
      </c>
      <c r="BI143">
        <v>15</v>
      </c>
      <c r="BJ143" s="95">
        <f t="shared" si="54"/>
        <v>11224.693226872016</v>
      </c>
      <c r="BK143" s="95">
        <f t="shared" si="54"/>
        <v>9765.4831073786518</v>
      </c>
      <c r="BL143" s="95">
        <f t="shared" si="54"/>
        <v>9428.7423105724938</v>
      </c>
      <c r="BM143" s="95">
        <f t="shared" si="54"/>
        <v>6734.8159361232092</v>
      </c>
      <c r="BN143" s="95">
        <f t="shared" si="54"/>
        <v>6734.8159361232092</v>
      </c>
      <c r="BO143" s="95">
        <f t="shared" si="54"/>
        <v>6734.8159361232092</v>
      </c>
    </row>
    <row r="144" spans="1:68" x14ac:dyDescent="0.35">
      <c r="A144" t="s">
        <v>1173</v>
      </c>
      <c r="B144" t="s">
        <v>2261</v>
      </c>
      <c r="C144" t="s">
        <v>851</v>
      </c>
      <c r="D144">
        <v>2022</v>
      </c>
      <c r="E144">
        <v>2019</v>
      </c>
      <c r="F144" t="s">
        <v>1951</v>
      </c>
      <c r="G144">
        <v>2020</v>
      </c>
      <c r="H144" t="s">
        <v>1953</v>
      </c>
      <c r="I144" t="s">
        <v>1672</v>
      </c>
      <c r="J144" s="66">
        <v>2040</v>
      </c>
      <c r="R144" s="95">
        <f>$BD$116/$AR$116 * 1000/$AK$89</f>
        <v>45.980842811190328</v>
      </c>
      <c r="S144" s="95">
        <f>$BD$115/$AR$115 * 1000/$AK$89</f>
        <v>59.701109683254096</v>
      </c>
      <c r="T144" s="95">
        <f>$BD$114/$AR$114 * 1000/$AK$89</f>
        <v>25.682172092107674</v>
      </c>
      <c r="W144" s="66" t="s">
        <v>1973</v>
      </c>
      <c r="X144">
        <v>3</v>
      </c>
      <c r="Y144">
        <v>1</v>
      </c>
      <c r="Z144">
        <v>1</v>
      </c>
      <c r="AA144">
        <v>3</v>
      </c>
      <c r="AB144">
        <v>1</v>
      </c>
      <c r="BH144" s="33"/>
    </row>
    <row r="145" spans="1:68" ht="15" thickBot="1" x14ac:dyDescent="0.4">
      <c r="A145" t="s">
        <v>1173</v>
      </c>
      <c r="B145" t="s">
        <v>2261</v>
      </c>
      <c r="C145" t="s">
        <v>851</v>
      </c>
      <c r="D145">
        <v>2022</v>
      </c>
      <c r="E145">
        <v>2019</v>
      </c>
      <c r="F145" t="s">
        <v>1951</v>
      </c>
      <c r="G145">
        <v>2020</v>
      </c>
      <c r="H145" t="s">
        <v>1953</v>
      </c>
      <c r="I145" t="s">
        <v>1672</v>
      </c>
      <c r="J145" s="66">
        <v>2045</v>
      </c>
      <c r="S145" s="95">
        <f>$BD$116/$AR$116 * 1000/$AK$89</f>
        <v>45.980842811190328</v>
      </c>
      <c r="T145" s="95">
        <f>$BD$115/$AR$115 * 1000/$AK$89</f>
        <v>59.701109683254096</v>
      </c>
      <c r="U145" s="95">
        <f>$BD$114/$AR$114 * 1000/$AK$89</f>
        <v>25.682172092107674</v>
      </c>
      <c r="W145" s="66" t="s">
        <v>1973</v>
      </c>
      <c r="X145">
        <v>3</v>
      </c>
      <c r="Y145">
        <v>1</v>
      </c>
      <c r="Z145">
        <v>1</v>
      </c>
      <c r="AA145">
        <v>3</v>
      </c>
      <c r="AB145">
        <v>1</v>
      </c>
      <c r="BH145" s="33" t="s">
        <v>1741</v>
      </c>
    </row>
    <row r="146" spans="1:68" ht="15" thickBot="1" x14ac:dyDescent="0.4">
      <c r="A146" t="s">
        <v>1173</v>
      </c>
      <c r="B146" t="s">
        <v>2261</v>
      </c>
      <c r="C146" t="s">
        <v>851</v>
      </c>
      <c r="D146">
        <v>2022</v>
      </c>
      <c r="E146">
        <v>2019</v>
      </c>
      <c r="F146" t="s">
        <v>1951</v>
      </c>
      <c r="G146">
        <v>2020</v>
      </c>
      <c r="H146" t="s">
        <v>1953</v>
      </c>
      <c r="I146" t="s">
        <v>1672</v>
      </c>
      <c r="J146" s="66">
        <v>2050</v>
      </c>
      <c r="T146" s="95">
        <f>$BD$116/$AR$116 * 1000/$AK$89</f>
        <v>45.980842811190328</v>
      </c>
      <c r="U146" s="95">
        <f>$BD$115/$AR$115 * 1000/$AK$89</f>
        <v>59.701109683254096</v>
      </c>
      <c r="V146" s="406">
        <f>$BD$114/$AR$114 * 1000/$AK$89</f>
        <v>25.682172092107674</v>
      </c>
      <c r="W146" s="66" t="s">
        <v>1973</v>
      </c>
      <c r="X146">
        <v>3</v>
      </c>
      <c r="Y146">
        <v>1</v>
      </c>
      <c r="Z146">
        <v>1</v>
      </c>
      <c r="AA146">
        <v>3</v>
      </c>
      <c r="AB146">
        <v>1</v>
      </c>
      <c r="BH146" s="105" t="s">
        <v>1721</v>
      </c>
      <c r="BI146" s="105" t="s">
        <v>1718</v>
      </c>
      <c r="BJ146" s="105" t="s">
        <v>1719</v>
      </c>
      <c r="BK146" s="105" t="s">
        <v>1020</v>
      </c>
      <c r="BL146" s="105" t="s">
        <v>1021</v>
      </c>
      <c r="BM146" s="105" t="s">
        <v>627</v>
      </c>
      <c r="BN146" s="105" t="s">
        <v>1065</v>
      </c>
      <c r="BO146" s="105" t="s">
        <v>246</v>
      </c>
      <c r="BP146" s="380" t="s">
        <v>1820</v>
      </c>
    </row>
    <row r="147" spans="1:68" ht="15" thickTop="1" x14ac:dyDescent="0.35">
      <c r="A147" t="s">
        <v>1174</v>
      </c>
      <c r="B147" t="s">
        <v>2261</v>
      </c>
      <c r="C147" t="s">
        <v>851</v>
      </c>
      <c r="D147">
        <v>2022</v>
      </c>
      <c r="E147">
        <v>2019</v>
      </c>
      <c r="F147" t="s">
        <v>1951</v>
      </c>
      <c r="G147">
        <v>2020</v>
      </c>
      <c r="H147" t="s">
        <v>1953</v>
      </c>
      <c r="I147" t="s">
        <v>1672</v>
      </c>
      <c r="J147" s="66">
        <v>2021</v>
      </c>
      <c r="P147" s="95">
        <f>$BE$114/$AR$114 * 1000/$AK$89</f>
        <v>21.884152238885321</v>
      </c>
      <c r="Q147" s="95"/>
      <c r="W147" s="66" t="s">
        <v>1973</v>
      </c>
      <c r="X147">
        <v>3</v>
      </c>
      <c r="Y147">
        <v>1</v>
      </c>
      <c r="Z147">
        <v>1</v>
      </c>
      <c r="AA147">
        <v>3</v>
      </c>
      <c r="AB147">
        <v>1</v>
      </c>
      <c r="BH147" s="33" t="s">
        <v>1722</v>
      </c>
      <c r="BI147" s="35">
        <f>BJ147</f>
        <v>0.93489346889318281</v>
      </c>
      <c r="BJ147" s="34">
        <f>'GREET-AFLEET Summary'!AC36/'GREET-AFLEET Summary'!AC35</f>
        <v>0.93489346889318281</v>
      </c>
      <c r="BK147" s="34">
        <f>'GREET-AFLEET Summary'!AI36/'GREET-AFLEET Summary'!AI35</f>
        <v>0.93489346889318281</v>
      </c>
      <c r="BL147" s="35">
        <f>BK147</f>
        <v>0.93489346889318281</v>
      </c>
      <c r="BM147" s="34">
        <f>'GREET-AFLEET Summary'!AH36/'GREET-AFLEET Summary'!AH35</f>
        <v>0.93489346889318281</v>
      </c>
      <c r="BN147" s="34">
        <f>BM147</f>
        <v>0.93489346889318281</v>
      </c>
      <c r="BO147" s="34">
        <f>'GREET-AFLEET Summary'!AG36/'GREET-AFLEET Summary'!AG35</f>
        <v>0.93489346889318281</v>
      </c>
      <c r="BP147" s="408">
        <f>AVERAGE(BI147:BO147)</f>
        <v>0.93489346889318281</v>
      </c>
    </row>
    <row r="148" spans="1:68" ht="15" thickBot="1" x14ac:dyDescent="0.4">
      <c r="A148" t="s">
        <v>1174</v>
      </c>
      <c r="B148" t="s">
        <v>2261</v>
      </c>
      <c r="C148" t="s">
        <v>851</v>
      </c>
      <c r="D148">
        <v>2022</v>
      </c>
      <c r="E148">
        <v>2019</v>
      </c>
      <c r="F148" t="s">
        <v>1951</v>
      </c>
      <c r="G148">
        <v>2020</v>
      </c>
      <c r="H148" t="s">
        <v>1953</v>
      </c>
      <c r="I148" t="s">
        <v>1672</v>
      </c>
      <c r="J148" s="66">
        <v>2025</v>
      </c>
      <c r="P148" s="95">
        <f>$BE$115/$AR$115 * 1000/$AK$89</f>
        <v>58.532471298464145</v>
      </c>
      <c r="Q148" s="95">
        <f>$BE$114/$AR$114 * 1000/$AK$89</f>
        <v>21.884152238885321</v>
      </c>
      <c r="W148" s="66" t="s">
        <v>1973</v>
      </c>
      <c r="X148">
        <v>3</v>
      </c>
      <c r="Y148">
        <v>1</v>
      </c>
      <c r="Z148">
        <v>1</v>
      </c>
      <c r="AA148">
        <v>3</v>
      </c>
      <c r="AB148">
        <v>1</v>
      </c>
      <c r="BH148" s="33" t="s">
        <v>1723</v>
      </c>
      <c r="BI148" s="101">
        <f>BJ148</f>
        <v>1</v>
      </c>
      <c r="BJ148" s="101">
        <f>'Background Data'!BK81/'Background Data'!BK75</f>
        <v>1</v>
      </c>
      <c r="BK148" s="101">
        <f>BJ148</f>
        <v>1</v>
      </c>
      <c r="BL148" s="101">
        <f>BK148</f>
        <v>1</v>
      </c>
      <c r="BM148" s="101">
        <f>'Background Data'!BK79/'Background Data'!BK73</f>
        <v>1</v>
      </c>
      <c r="BN148" s="101">
        <f>BM148</f>
        <v>1</v>
      </c>
      <c r="BO148" s="101">
        <f>'Background Data'!BK77/'Background Data'!BK71</f>
        <v>1</v>
      </c>
      <c r="BP148" s="409">
        <f>AVERAGE(BI148:BO148)</f>
        <v>1</v>
      </c>
    </row>
    <row r="149" spans="1:68" x14ac:dyDescent="0.35">
      <c r="A149" t="s">
        <v>1174</v>
      </c>
      <c r="B149" t="s">
        <v>2261</v>
      </c>
      <c r="C149" t="s">
        <v>851</v>
      </c>
      <c r="D149">
        <v>2022</v>
      </c>
      <c r="E149">
        <v>2019</v>
      </c>
      <c r="F149" t="s">
        <v>1951</v>
      </c>
      <c r="G149">
        <v>2020</v>
      </c>
      <c r="H149" t="s">
        <v>1953</v>
      </c>
      <c r="I149" t="s">
        <v>1672</v>
      </c>
      <c r="J149" s="66">
        <v>2030</v>
      </c>
      <c r="P149" s="95">
        <f>$BE$116/$AR$116 * 1000/$AK$89</f>
        <v>48.291470419756877</v>
      </c>
      <c r="Q149" s="95">
        <f>$BE$115/$AR$115 * 1000/$AK$89</f>
        <v>58.532471298464145</v>
      </c>
      <c r="R149" s="95">
        <f>$BE$114/$AR$114 * 1000/$AK$89</f>
        <v>21.884152238885321</v>
      </c>
      <c r="W149" s="66" t="s">
        <v>1973</v>
      </c>
      <c r="X149">
        <v>3</v>
      </c>
      <c r="Y149">
        <v>1</v>
      </c>
      <c r="Z149">
        <v>1</v>
      </c>
      <c r="AA149">
        <v>3</v>
      </c>
      <c r="AB149">
        <v>1</v>
      </c>
    </row>
    <row r="150" spans="1:68" x14ac:dyDescent="0.35">
      <c r="A150" t="s">
        <v>1174</v>
      </c>
      <c r="B150" t="s">
        <v>2261</v>
      </c>
      <c r="C150" t="s">
        <v>851</v>
      </c>
      <c r="D150">
        <v>2022</v>
      </c>
      <c r="E150">
        <v>2019</v>
      </c>
      <c r="F150" t="s">
        <v>1951</v>
      </c>
      <c r="G150">
        <v>2020</v>
      </c>
      <c r="H150" t="s">
        <v>1953</v>
      </c>
      <c r="I150" t="s">
        <v>1672</v>
      </c>
      <c r="J150" s="66">
        <v>2035</v>
      </c>
      <c r="Q150" s="95">
        <f>$BE$116/$AR$116 * 1000/$AK$89</f>
        <v>48.291470419756877</v>
      </c>
      <c r="R150" s="95">
        <f>$BE$115/$AR$115 * 1000/$AK$89</f>
        <v>58.532471298464145</v>
      </c>
      <c r="S150" s="95">
        <f>$BE$114/$AR$114 * 1000/$AK$89</f>
        <v>21.884152238885321</v>
      </c>
      <c r="W150" s="66" t="s">
        <v>1973</v>
      </c>
      <c r="X150">
        <v>3</v>
      </c>
      <c r="Y150">
        <v>1</v>
      </c>
      <c r="Z150">
        <v>1</v>
      </c>
      <c r="AA150">
        <v>3</v>
      </c>
      <c r="AB150">
        <v>1</v>
      </c>
    </row>
    <row r="151" spans="1:68" x14ac:dyDescent="0.35">
      <c r="A151" t="s">
        <v>1174</v>
      </c>
      <c r="B151" t="s">
        <v>2261</v>
      </c>
      <c r="C151" t="s">
        <v>851</v>
      </c>
      <c r="D151">
        <v>2022</v>
      </c>
      <c r="E151">
        <v>2019</v>
      </c>
      <c r="F151" t="s">
        <v>1951</v>
      </c>
      <c r="G151">
        <v>2020</v>
      </c>
      <c r="H151" t="s">
        <v>1953</v>
      </c>
      <c r="I151" t="s">
        <v>1672</v>
      </c>
      <c r="J151" s="66">
        <v>2040</v>
      </c>
      <c r="R151" s="95">
        <f>$BE$116/$AR$116 * 1000/$AK$89</f>
        <v>48.291470419756877</v>
      </c>
      <c r="S151" s="95">
        <f>$BE$115/$AR$115 * 1000/$AK$89</f>
        <v>58.532471298464145</v>
      </c>
      <c r="T151" s="95">
        <f>$BE$114/$AR$114 * 1000/$AK$89</f>
        <v>21.884152238885321</v>
      </c>
      <c r="W151" s="66" t="s">
        <v>1973</v>
      </c>
      <c r="X151">
        <v>3</v>
      </c>
      <c r="Y151">
        <v>1</v>
      </c>
      <c r="Z151">
        <v>1</v>
      </c>
      <c r="AA151">
        <v>3</v>
      </c>
      <c r="AB151">
        <v>1</v>
      </c>
    </row>
    <row r="152" spans="1:68" x14ac:dyDescent="0.35">
      <c r="A152" t="s">
        <v>1174</v>
      </c>
      <c r="B152" t="s">
        <v>2261</v>
      </c>
      <c r="C152" t="s">
        <v>851</v>
      </c>
      <c r="D152">
        <v>2022</v>
      </c>
      <c r="E152">
        <v>2019</v>
      </c>
      <c r="F152" t="s">
        <v>1951</v>
      </c>
      <c r="G152">
        <v>2020</v>
      </c>
      <c r="H152" t="s">
        <v>1953</v>
      </c>
      <c r="I152" t="s">
        <v>1672</v>
      </c>
      <c r="J152" s="66">
        <v>2045</v>
      </c>
      <c r="S152" s="95">
        <f>$BE$116/$AR$116 * 1000/$AK$89</f>
        <v>48.291470419756877</v>
      </c>
      <c r="T152" s="95">
        <f>$BE$115/$AR$115 * 1000/$AK$89</f>
        <v>58.532471298464145</v>
      </c>
      <c r="U152" s="95">
        <f>$BE$114/$AR$114 * 1000/$AK$89</f>
        <v>21.884152238885321</v>
      </c>
      <c r="W152" s="66" t="s">
        <v>1973</v>
      </c>
      <c r="X152">
        <v>3</v>
      </c>
      <c r="Y152">
        <v>1</v>
      </c>
      <c r="Z152">
        <v>1</v>
      </c>
      <c r="AA152">
        <v>3</v>
      </c>
      <c r="AB152">
        <v>1</v>
      </c>
    </row>
    <row r="153" spans="1:68" x14ac:dyDescent="0.35">
      <c r="A153" t="s">
        <v>1174</v>
      </c>
      <c r="B153" t="s">
        <v>2261</v>
      </c>
      <c r="C153" t="s">
        <v>851</v>
      </c>
      <c r="D153">
        <v>2022</v>
      </c>
      <c r="E153">
        <v>2019</v>
      </c>
      <c r="F153" t="s">
        <v>1951</v>
      </c>
      <c r="G153">
        <v>2020</v>
      </c>
      <c r="H153" t="s">
        <v>1953</v>
      </c>
      <c r="I153" t="s">
        <v>1672</v>
      </c>
      <c r="J153" s="66">
        <v>2050</v>
      </c>
      <c r="T153" s="95">
        <f>$BE$116/$AR$116 * 1000/$AK$89</f>
        <v>48.291470419756877</v>
      </c>
      <c r="U153" s="95">
        <f>$BE$115/$AR$115 * 1000/$AK$89</f>
        <v>58.532471298464145</v>
      </c>
      <c r="V153" s="406">
        <f>$BE$114/$AR$114 * 1000/$AK$89</f>
        <v>21.884152238885321</v>
      </c>
      <c r="W153" s="66" t="s">
        <v>1973</v>
      </c>
      <c r="X153">
        <v>3</v>
      </c>
      <c r="Y153">
        <v>1</v>
      </c>
      <c r="Z153">
        <v>1</v>
      </c>
      <c r="AA153">
        <v>3</v>
      </c>
      <c r="AB153">
        <v>1</v>
      </c>
    </row>
    <row r="154" spans="1:68" x14ac:dyDescent="0.35">
      <c r="A154" t="s">
        <v>1175</v>
      </c>
      <c r="B154" t="s">
        <v>2261</v>
      </c>
      <c r="C154" t="s">
        <v>851</v>
      </c>
      <c r="D154">
        <v>2022</v>
      </c>
      <c r="E154">
        <v>2019</v>
      </c>
      <c r="F154" t="s">
        <v>1951</v>
      </c>
      <c r="G154">
        <v>2020</v>
      </c>
      <c r="H154" t="s">
        <v>1953</v>
      </c>
      <c r="I154" t="s">
        <v>1672</v>
      </c>
      <c r="J154" s="66">
        <v>2021</v>
      </c>
      <c r="P154" s="95">
        <f>$BA$114/$AR$114 * 1000/$AK$89</f>
        <v>22.179879524683052</v>
      </c>
      <c r="Q154" s="95"/>
      <c r="W154" s="66" t="s">
        <v>1973</v>
      </c>
      <c r="X154">
        <v>3</v>
      </c>
      <c r="Y154">
        <v>1</v>
      </c>
      <c r="Z154">
        <v>1</v>
      </c>
      <c r="AA154">
        <v>3</v>
      </c>
      <c r="AB154">
        <v>1</v>
      </c>
    </row>
    <row r="155" spans="1:68" x14ac:dyDescent="0.35">
      <c r="A155" t="s">
        <v>1175</v>
      </c>
      <c r="B155" t="s">
        <v>2261</v>
      </c>
      <c r="C155" t="s">
        <v>851</v>
      </c>
      <c r="D155">
        <v>2022</v>
      </c>
      <c r="E155">
        <v>2019</v>
      </c>
      <c r="F155" t="s">
        <v>1951</v>
      </c>
      <c r="G155">
        <v>2020</v>
      </c>
      <c r="H155" t="s">
        <v>1953</v>
      </c>
      <c r="I155" t="s">
        <v>1672</v>
      </c>
      <c r="J155" s="66">
        <v>2025</v>
      </c>
      <c r="P155" s="95">
        <f>$BA$115/$AR$115 * 1000/$AK$89</f>
        <v>59.664632911849566</v>
      </c>
      <c r="Q155" s="95">
        <f>$BA$114/$AR$114 * 1000/$AK$89</f>
        <v>22.179879524683052</v>
      </c>
      <c r="W155" s="66" t="s">
        <v>1973</v>
      </c>
      <c r="X155">
        <v>3</v>
      </c>
      <c r="Y155">
        <v>1</v>
      </c>
      <c r="Z155">
        <v>1</v>
      </c>
      <c r="AA155">
        <v>3</v>
      </c>
      <c r="AB155">
        <v>1</v>
      </c>
    </row>
    <row r="156" spans="1:68" x14ac:dyDescent="0.35">
      <c r="A156" t="s">
        <v>1175</v>
      </c>
      <c r="B156" t="s">
        <v>2261</v>
      </c>
      <c r="C156" t="s">
        <v>851</v>
      </c>
      <c r="D156">
        <v>2022</v>
      </c>
      <c r="E156">
        <v>2019</v>
      </c>
      <c r="F156" t="s">
        <v>1951</v>
      </c>
      <c r="G156">
        <v>2020</v>
      </c>
      <c r="H156" t="s">
        <v>1953</v>
      </c>
      <c r="I156" t="s">
        <v>1672</v>
      </c>
      <c r="J156" s="66">
        <v>2030</v>
      </c>
      <c r="P156" s="95">
        <f>$BA$116/$AR$116 * 1000/$AK$89</f>
        <v>49.731806222191501</v>
      </c>
      <c r="Q156" s="95">
        <f>$BA$115/$AR$115 * 1000/$AK$89</f>
        <v>59.664632911849566</v>
      </c>
      <c r="R156" s="95">
        <f>$BA$114/$AR$114 * 1000/$AK$89</f>
        <v>22.179879524683052</v>
      </c>
      <c r="W156" s="66" t="s">
        <v>1973</v>
      </c>
      <c r="X156">
        <v>3</v>
      </c>
      <c r="Y156">
        <v>1</v>
      </c>
      <c r="Z156">
        <v>1</v>
      </c>
      <c r="AA156">
        <v>3</v>
      </c>
      <c r="AB156">
        <v>1</v>
      </c>
    </row>
    <row r="157" spans="1:68" x14ac:dyDescent="0.35">
      <c r="A157" t="s">
        <v>1175</v>
      </c>
      <c r="B157" t="s">
        <v>2261</v>
      </c>
      <c r="C157" t="s">
        <v>851</v>
      </c>
      <c r="D157">
        <v>2022</v>
      </c>
      <c r="E157">
        <v>2019</v>
      </c>
      <c r="F157" t="s">
        <v>1951</v>
      </c>
      <c r="G157">
        <v>2020</v>
      </c>
      <c r="H157" t="s">
        <v>1953</v>
      </c>
      <c r="I157" t="s">
        <v>1672</v>
      </c>
      <c r="J157" s="66">
        <v>2035</v>
      </c>
      <c r="Q157" s="95">
        <f>$BA$116/$AR$116 * 1000/$AK$89</f>
        <v>49.731806222191501</v>
      </c>
      <c r="R157" s="95">
        <f>$BA$115/$AR$115 * 1000/$AK$89</f>
        <v>59.664632911849566</v>
      </c>
      <c r="S157" s="95">
        <f>$BA$114/$AR$114 * 1000/$AK$89</f>
        <v>22.179879524683052</v>
      </c>
      <c r="W157" s="66" t="s">
        <v>1973</v>
      </c>
      <c r="X157">
        <v>3</v>
      </c>
      <c r="Y157">
        <v>1</v>
      </c>
      <c r="Z157">
        <v>1</v>
      </c>
      <c r="AA157">
        <v>3</v>
      </c>
      <c r="AB157">
        <v>1</v>
      </c>
    </row>
    <row r="158" spans="1:68" x14ac:dyDescent="0.35">
      <c r="A158" t="s">
        <v>1175</v>
      </c>
      <c r="B158" t="s">
        <v>2261</v>
      </c>
      <c r="C158" t="s">
        <v>851</v>
      </c>
      <c r="D158">
        <v>2022</v>
      </c>
      <c r="E158">
        <v>2019</v>
      </c>
      <c r="F158" t="s">
        <v>1951</v>
      </c>
      <c r="G158">
        <v>2020</v>
      </c>
      <c r="H158" t="s">
        <v>1953</v>
      </c>
      <c r="I158" t="s">
        <v>1672</v>
      </c>
      <c r="J158" s="66">
        <v>2040</v>
      </c>
      <c r="R158" s="95">
        <f>$BA$116/$AR$116 * 1000/$AK$89</f>
        <v>49.731806222191501</v>
      </c>
      <c r="S158" s="95">
        <f>$BA$115/$AR$115 * 1000/$AK$89</f>
        <v>59.664632911849566</v>
      </c>
      <c r="T158" s="95">
        <f>$BA$114/$AR$114 * 1000/$AK$89</f>
        <v>22.179879524683052</v>
      </c>
      <c r="W158" s="66" t="s">
        <v>1973</v>
      </c>
      <c r="X158">
        <v>3</v>
      </c>
      <c r="Y158">
        <v>1</v>
      </c>
      <c r="Z158">
        <v>1</v>
      </c>
      <c r="AA158">
        <v>3</v>
      </c>
      <c r="AB158">
        <v>1</v>
      </c>
    </row>
    <row r="159" spans="1:68" x14ac:dyDescent="0.35">
      <c r="A159" t="s">
        <v>1175</v>
      </c>
      <c r="B159" t="s">
        <v>2261</v>
      </c>
      <c r="C159" t="s">
        <v>851</v>
      </c>
      <c r="D159">
        <v>2022</v>
      </c>
      <c r="E159">
        <v>2019</v>
      </c>
      <c r="F159" t="s">
        <v>1951</v>
      </c>
      <c r="G159">
        <v>2020</v>
      </c>
      <c r="H159" t="s">
        <v>1953</v>
      </c>
      <c r="I159" t="s">
        <v>1672</v>
      </c>
      <c r="J159" s="66">
        <v>2045</v>
      </c>
      <c r="S159" s="95">
        <f>$BA$116/$AR$116 * 1000/$AK$89</f>
        <v>49.731806222191501</v>
      </c>
      <c r="T159" s="95">
        <f>$BA$115/$AR$115 * 1000/$AK$89</f>
        <v>59.664632911849566</v>
      </c>
      <c r="U159" s="95">
        <f>$BA$114/$AR$114 * 1000/$AK$89</f>
        <v>22.179879524683052</v>
      </c>
      <c r="W159" s="66" t="s">
        <v>1973</v>
      </c>
      <c r="X159">
        <v>3</v>
      </c>
      <c r="Y159">
        <v>1</v>
      </c>
      <c r="Z159">
        <v>1</v>
      </c>
      <c r="AA159">
        <v>3</v>
      </c>
      <c r="AB159">
        <v>1</v>
      </c>
    </row>
    <row r="160" spans="1:68" x14ac:dyDescent="0.35">
      <c r="A160" t="s">
        <v>1175</v>
      </c>
      <c r="B160" t="s">
        <v>2261</v>
      </c>
      <c r="C160" t="s">
        <v>851</v>
      </c>
      <c r="D160">
        <v>2022</v>
      </c>
      <c r="E160">
        <v>2019</v>
      </c>
      <c r="F160" t="s">
        <v>1951</v>
      </c>
      <c r="G160">
        <v>2020</v>
      </c>
      <c r="H160" t="s">
        <v>1953</v>
      </c>
      <c r="I160" t="s">
        <v>1672</v>
      </c>
      <c r="J160" s="66">
        <v>2050</v>
      </c>
      <c r="T160" s="95">
        <f>$BA$116/$AR$116 * 1000/$AK$89</f>
        <v>49.731806222191501</v>
      </c>
      <c r="U160" s="95">
        <f>$BA$115/$AR$115 * 1000/$AK$89</f>
        <v>59.664632911849566</v>
      </c>
      <c r="V160" s="406">
        <f>$BA$114/$AR$114 * 1000/$AK$89</f>
        <v>22.179879524683052</v>
      </c>
      <c r="W160" s="66" t="s">
        <v>1973</v>
      </c>
      <c r="X160">
        <v>3</v>
      </c>
      <c r="Y160">
        <v>1</v>
      </c>
      <c r="Z160">
        <v>1</v>
      </c>
      <c r="AA160">
        <v>3</v>
      </c>
      <c r="AB160">
        <v>1</v>
      </c>
    </row>
    <row r="161" spans="1:28" x14ac:dyDescent="0.35">
      <c r="A161" t="s">
        <v>1176</v>
      </c>
      <c r="B161" t="s">
        <v>2261</v>
      </c>
      <c r="C161" t="s">
        <v>851</v>
      </c>
      <c r="D161">
        <v>2022</v>
      </c>
      <c r="E161">
        <v>2019</v>
      </c>
      <c r="F161" t="s">
        <v>1951</v>
      </c>
      <c r="G161">
        <v>2020</v>
      </c>
      <c r="H161" t="s">
        <v>1953</v>
      </c>
      <c r="I161" t="s">
        <v>1672</v>
      </c>
      <c r="J161" s="66">
        <v>2021</v>
      </c>
      <c r="P161" s="95">
        <f>$AT$114/$AR$114 * 1000/$AK$89</f>
        <v>15.984052580532298</v>
      </c>
      <c r="Q161" s="95"/>
      <c r="W161" s="66" t="s">
        <v>1973</v>
      </c>
      <c r="X161">
        <v>3</v>
      </c>
      <c r="Y161">
        <v>1</v>
      </c>
      <c r="Z161">
        <v>1</v>
      </c>
      <c r="AA161">
        <v>3</v>
      </c>
      <c r="AB161">
        <v>1</v>
      </c>
    </row>
    <row r="162" spans="1:28" x14ac:dyDescent="0.35">
      <c r="A162" t="s">
        <v>1176</v>
      </c>
      <c r="B162" t="s">
        <v>2261</v>
      </c>
      <c r="C162" t="s">
        <v>851</v>
      </c>
      <c r="D162">
        <v>2022</v>
      </c>
      <c r="E162">
        <v>2019</v>
      </c>
      <c r="F162" t="s">
        <v>1951</v>
      </c>
      <c r="G162">
        <v>2020</v>
      </c>
      <c r="H162" t="s">
        <v>1953</v>
      </c>
      <c r="I162" t="s">
        <v>1672</v>
      </c>
      <c r="J162" s="66">
        <v>2025</v>
      </c>
      <c r="P162" s="95">
        <f>$AT$115/$AR$115 * 1000/$AK$89</f>
        <v>37.014818372616844</v>
      </c>
      <c r="Q162" s="95">
        <f>$AT$114/$AR$114 * 1000/$AK$89</f>
        <v>15.984052580532298</v>
      </c>
      <c r="W162" s="66" t="s">
        <v>1973</v>
      </c>
      <c r="X162">
        <v>3</v>
      </c>
      <c r="Y162">
        <v>1</v>
      </c>
      <c r="Z162">
        <v>1</v>
      </c>
      <c r="AA162">
        <v>3</v>
      </c>
      <c r="AB162">
        <v>1</v>
      </c>
    </row>
    <row r="163" spans="1:28" x14ac:dyDescent="0.35">
      <c r="A163" t="s">
        <v>1176</v>
      </c>
      <c r="B163" t="s">
        <v>2261</v>
      </c>
      <c r="C163" t="s">
        <v>851</v>
      </c>
      <c r="D163">
        <v>2022</v>
      </c>
      <c r="E163">
        <v>2019</v>
      </c>
      <c r="F163" t="s">
        <v>1951</v>
      </c>
      <c r="G163">
        <v>2020</v>
      </c>
      <c r="H163" t="s">
        <v>1953</v>
      </c>
      <c r="I163" t="s">
        <v>1672</v>
      </c>
      <c r="J163" s="66">
        <v>2030</v>
      </c>
      <c r="P163" s="95">
        <f>$AT$116/$AR$116 * 1000/$AK$89</f>
        <v>36.486486324841252</v>
      </c>
      <c r="Q163" s="95">
        <f>$AT$115/$AR$115 * 1000/$AK$89</f>
        <v>37.014818372616844</v>
      </c>
      <c r="R163" s="95">
        <f>$AT$114/$AR$114 * 1000/$AK$89</f>
        <v>15.984052580532298</v>
      </c>
      <c r="W163" s="66" t="s">
        <v>1973</v>
      </c>
      <c r="X163">
        <v>3</v>
      </c>
      <c r="Y163">
        <v>1</v>
      </c>
      <c r="Z163">
        <v>1</v>
      </c>
      <c r="AA163">
        <v>3</v>
      </c>
      <c r="AB163">
        <v>1</v>
      </c>
    </row>
    <row r="164" spans="1:28" x14ac:dyDescent="0.35">
      <c r="A164" t="s">
        <v>1176</v>
      </c>
      <c r="B164" t="s">
        <v>2261</v>
      </c>
      <c r="C164" t="s">
        <v>851</v>
      </c>
      <c r="D164">
        <v>2022</v>
      </c>
      <c r="E164">
        <v>2019</v>
      </c>
      <c r="F164" t="s">
        <v>1951</v>
      </c>
      <c r="G164">
        <v>2020</v>
      </c>
      <c r="H164" t="s">
        <v>1953</v>
      </c>
      <c r="I164" t="s">
        <v>1672</v>
      </c>
      <c r="J164" s="66">
        <v>2035</v>
      </c>
      <c r="Q164" s="95">
        <f>$AT$116/$AR$116 * 1000/$AK$89</f>
        <v>36.486486324841252</v>
      </c>
      <c r="R164" s="95">
        <f>$AT$115/$AR$115 * 1000/$AK$89</f>
        <v>37.014818372616844</v>
      </c>
      <c r="S164" s="95">
        <f>$AT$114/$AR$114 * 1000/$AK$89</f>
        <v>15.984052580532298</v>
      </c>
      <c r="W164" s="66" t="s">
        <v>1973</v>
      </c>
      <c r="X164">
        <v>3</v>
      </c>
      <c r="Y164">
        <v>1</v>
      </c>
      <c r="Z164">
        <v>1</v>
      </c>
      <c r="AA164">
        <v>3</v>
      </c>
      <c r="AB164">
        <v>1</v>
      </c>
    </row>
    <row r="165" spans="1:28" x14ac:dyDescent="0.35">
      <c r="A165" t="s">
        <v>1176</v>
      </c>
      <c r="B165" t="s">
        <v>2261</v>
      </c>
      <c r="C165" t="s">
        <v>851</v>
      </c>
      <c r="D165">
        <v>2022</v>
      </c>
      <c r="E165">
        <v>2019</v>
      </c>
      <c r="F165" t="s">
        <v>1951</v>
      </c>
      <c r="G165">
        <v>2020</v>
      </c>
      <c r="H165" t="s">
        <v>1953</v>
      </c>
      <c r="I165" t="s">
        <v>1672</v>
      </c>
      <c r="J165" s="66">
        <v>2040</v>
      </c>
      <c r="R165" s="95">
        <f>$AT$116/$AR$116 * 1000/$AK$89</f>
        <v>36.486486324841252</v>
      </c>
      <c r="S165" s="95">
        <f>$AT$115/$AR$115 * 1000/$AK$89</f>
        <v>37.014818372616844</v>
      </c>
      <c r="T165" s="95">
        <f>$AT$114/$AR$114 * 1000/$AK$89</f>
        <v>15.984052580532298</v>
      </c>
      <c r="W165" s="66" t="s">
        <v>1973</v>
      </c>
      <c r="X165">
        <v>3</v>
      </c>
      <c r="Y165">
        <v>1</v>
      </c>
      <c r="Z165">
        <v>1</v>
      </c>
      <c r="AA165">
        <v>3</v>
      </c>
      <c r="AB165">
        <v>1</v>
      </c>
    </row>
    <row r="166" spans="1:28" x14ac:dyDescent="0.35">
      <c r="A166" t="s">
        <v>1176</v>
      </c>
      <c r="B166" t="s">
        <v>2261</v>
      </c>
      <c r="C166" t="s">
        <v>851</v>
      </c>
      <c r="D166">
        <v>2022</v>
      </c>
      <c r="E166">
        <v>2019</v>
      </c>
      <c r="F166" t="s">
        <v>1951</v>
      </c>
      <c r="G166">
        <v>2020</v>
      </c>
      <c r="H166" t="s">
        <v>1953</v>
      </c>
      <c r="I166" t="s">
        <v>1672</v>
      </c>
      <c r="J166" s="66">
        <v>2045</v>
      </c>
      <c r="S166" s="95">
        <f>$AT$116/$AR$116 * 1000/$AK$89</f>
        <v>36.486486324841252</v>
      </c>
      <c r="T166" s="95">
        <f>$AT$115/$AR$115 * 1000/$AK$89</f>
        <v>37.014818372616844</v>
      </c>
      <c r="U166" s="95">
        <f>$AT$114/$AR$114 * 1000/$AK$89</f>
        <v>15.984052580532298</v>
      </c>
      <c r="W166" s="66" t="s">
        <v>1973</v>
      </c>
      <c r="X166">
        <v>3</v>
      </c>
      <c r="Y166">
        <v>1</v>
      </c>
      <c r="Z166">
        <v>1</v>
      </c>
      <c r="AA166">
        <v>3</v>
      </c>
      <c r="AB166">
        <v>1</v>
      </c>
    </row>
    <row r="167" spans="1:28" x14ac:dyDescent="0.35">
      <c r="A167" t="s">
        <v>1176</v>
      </c>
      <c r="B167" t="s">
        <v>2261</v>
      </c>
      <c r="C167" t="s">
        <v>851</v>
      </c>
      <c r="D167">
        <v>2022</v>
      </c>
      <c r="E167">
        <v>2019</v>
      </c>
      <c r="F167" t="s">
        <v>1951</v>
      </c>
      <c r="G167">
        <v>2020</v>
      </c>
      <c r="H167" t="s">
        <v>1953</v>
      </c>
      <c r="I167" t="s">
        <v>1672</v>
      </c>
      <c r="J167" s="66">
        <v>2050</v>
      </c>
      <c r="T167" s="95">
        <f>$AT$116/$AR$116 * 1000/$AK$89</f>
        <v>36.486486324841252</v>
      </c>
      <c r="U167" s="95">
        <f>$AT$115/$AR$115 * 1000/$AK$89</f>
        <v>37.014818372616844</v>
      </c>
      <c r="V167" s="406">
        <f>$AT$114/$AR$114 * 1000/$AK$89</f>
        <v>15.984052580532298</v>
      </c>
      <c r="W167" s="66" t="s">
        <v>1973</v>
      </c>
      <c r="X167">
        <v>3</v>
      </c>
      <c r="Y167">
        <v>1</v>
      </c>
      <c r="Z167">
        <v>1</v>
      </c>
      <c r="AA167">
        <v>3</v>
      </c>
      <c r="AB167">
        <v>1</v>
      </c>
    </row>
    <row r="168" spans="1:28" x14ac:dyDescent="0.35">
      <c r="A168" t="s">
        <v>1177</v>
      </c>
      <c r="B168" t="s">
        <v>2261</v>
      </c>
      <c r="C168" t="s">
        <v>851</v>
      </c>
      <c r="D168">
        <v>2022</v>
      </c>
      <c r="E168">
        <v>2019</v>
      </c>
      <c r="F168" t="s">
        <v>1951</v>
      </c>
      <c r="G168">
        <v>2020</v>
      </c>
      <c r="H168" t="s">
        <v>1953</v>
      </c>
      <c r="I168" t="s">
        <v>1672</v>
      </c>
      <c r="J168" s="66">
        <v>2021</v>
      </c>
      <c r="P168" s="95">
        <f>$AU$114/$AR$114 * 1000/$AK$89</f>
        <v>16.356162089815438</v>
      </c>
      <c r="Q168" s="95"/>
      <c r="W168" s="66" t="s">
        <v>1973</v>
      </c>
      <c r="X168">
        <v>3</v>
      </c>
      <c r="Y168">
        <v>1</v>
      </c>
      <c r="Z168">
        <v>1</v>
      </c>
      <c r="AA168">
        <v>3</v>
      </c>
      <c r="AB168">
        <v>1</v>
      </c>
    </row>
    <row r="169" spans="1:28" x14ac:dyDescent="0.35">
      <c r="A169" t="s">
        <v>1177</v>
      </c>
      <c r="B169" t="s">
        <v>2261</v>
      </c>
      <c r="C169" t="s">
        <v>851</v>
      </c>
      <c r="D169">
        <v>2022</v>
      </c>
      <c r="E169">
        <v>2019</v>
      </c>
      <c r="F169" t="s">
        <v>1951</v>
      </c>
      <c r="G169">
        <v>2020</v>
      </c>
      <c r="H169" t="s">
        <v>1953</v>
      </c>
      <c r="I169" t="s">
        <v>1672</v>
      </c>
      <c r="J169" s="66">
        <v>2025</v>
      </c>
      <c r="P169" s="95">
        <f>$AU$115/$AR$115 * 1000/$AK$89</f>
        <v>38.43940150247451</v>
      </c>
      <c r="Q169" s="95">
        <f>$AU$114/$AR$114 * 1000/$AK$89</f>
        <v>16.356162089815438</v>
      </c>
      <c r="W169" s="66" t="s">
        <v>1973</v>
      </c>
      <c r="X169">
        <v>3</v>
      </c>
      <c r="Y169">
        <v>1</v>
      </c>
      <c r="Z169">
        <v>1</v>
      </c>
      <c r="AA169">
        <v>3</v>
      </c>
      <c r="AB169">
        <v>1</v>
      </c>
    </row>
    <row r="170" spans="1:28" x14ac:dyDescent="0.35">
      <c r="A170" t="s">
        <v>1177</v>
      </c>
      <c r="B170" t="s">
        <v>2261</v>
      </c>
      <c r="C170" t="s">
        <v>851</v>
      </c>
      <c r="D170">
        <v>2022</v>
      </c>
      <c r="E170">
        <v>2019</v>
      </c>
      <c r="F170" t="s">
        <v>1951</v>
      </c>
      <c r="G170">
        <v>2020</v>
      </c>
      <c r="H170" t="s">
        <v>1953</v>
      </c>
      <c r="I170" t="s">
        <v>1672</v>
      </c>
      <c r="J170" s="66">
        <v>2030</v>
      </c>
      <c r="P170" s="95">
        <f>$AU$116/$AR$116 * 1000/$AK$89</f>
        <v>38.298840728328564</v>
      </c>
      <c r="Q170" s="95">
        <f>$AU$115/$AR$115 * 1000/$AK$89</f>
        <v>38.43940150247451</v>
      </c>
      <c r="R170" s="95">
        <f>$AU$114/$AR$114 * 1000/$AK$89</f>
        <v>16.356162089815438</v>
      </c>
      <c r="W170" s="66" t="s">
        <v>1973</v>
      </c>
      <c r="X170">
        <v>3</v>
      </c>
      <c r="Y170">
        <v>1</v>
      </c>
      <c r="Z170">
        <v>1</v>
      </c>
      <c r="AA170">
        <v>3</v>
      </c>
      <c r="AB170">
        <v>1</v>
      </c>
    </row>
    <row r="171" spans="1:28" x14ac:dyDescent="0.35">
      <c r="A171" t="s">
        <v>1177</v>
      </c>
      <c r="B171" t="s">
        <v>2261</v>
      </c>
      <c r="C171" t="s">
        <v>851</v>
      </c>
      <c r="D171">
        <v>2022</v>
      </c>
      <c r="E171">
        <v>2019</v>
      </c>
      <c r="F171" t="s">
        <v>1951</v>
      </c>
      <c r="G171">
        <v>2020</v>
      </c>
      <c r="H171" t="s">
        <v>1953</v>
      </c>
      <c r="I171" t="s">
        <v>1672</v>
      </c>
      <c r="J171" s="66">
        <v>2035</v>
      </c>
      <c r="Q171" s="95">
        <f>$AU$116/$AR$116 * 1000/$AK$89</f>
        <v>38.298840728328564</v>
      </c>
      <c r="R171" s="95">
        <f>$AU$115/$AR$115 * 1000/$AK$89</f>
        <v>38.43940150247451</v>
      </c>
      <c r="S171" s="95">
        <f>$AU$114/$AR$114 * 1000/$AK$89</f>
        <v>16.356162089815438</v>
      </c>
      <c r="W171" s="66" t="s">
        <v>1973</v>
      </c>
      <c r="X171">
        <v>3</v>
      </c>
      <c r="Y171">
        <v>1</v>
      </c>
      <c r="Z171">
        <v>1</v>
      </c>
      <c r="AA171">
        <v>3</v>
      </c>
      <c r="AB171">
        <v>1</v>
      </c>
    </row>
    <row r="172" spans="1:28" x14ac:dyDescent="0.35">
      <c r="A172" t="s">
        <v>1177</v>
      </c>
      <c r="B172" t="s">
        <v>2261</v>
      </c>
      <c r="C172" t="s">
        <v>851</v>
      </c>
      <c r="D172">
        <v>2022</v>
      </c>
      <c r="E172">
        <v>2019</v>
      </c>
      <c r="F172" t="s">
        <v>1951</v>
      </c>
      <c r="G172">
        <v>2020</v>
      </c>
      <c r="H172" t="s">
        <v>1953</v>
      </c>
      <c r="I172" t="s">
        <v>1672</v>
      </c>
      <c r="J172" s="66">
        <v>2040</v>
      </c>
      <c r="R172" s="95">
        <f>$AU$116/$AR$116 * 1000/$AK$89</f>
        <v>38.298840728328564</v>
      </c>
      <c r="S172" s="95">
        <f>$AU$115/$AR$115 * 1000/$AK$89</f>
        <v>38.43940150247451</v>
      </c>
      <c r="T172" s="95">
        <f>$AU$114/$AR$114 * 1000/$AK$89</f>
        <v>16.356162089815438</v>
      </c>
      <c r="W172" s="66" t="s">
        <v>1973</v>
      </c>
      <c r="X172">
        <v>3</v>
      </c>
      <c r="Y172">
        <v>1</v>
      </c>
      <c r="Z172">
        <v>1</v>
      </c>
      <c r="AA172">
        <v>3</v>
      </c>
      <c r="AB172">
        <v>1</v>
      </c>
    </row>
    <row r="173" spans="1:28" x14ac:dyDescent="0.35">
      <c r="A173" t="s">
        <v>1177</v>
      </c>
      <c r="B173" t="s">
        <v>2261</v>
      </c>
      <c r="C173" t="s">
        <v>851</v>
      </c>
      <c r="D173">
        <v>2022</v>
      </c>
      <c r="E173">
        <v>2019</v>
      </c>
      <c r="F173" t="s">
        <v>1951</v>
      </c>
      <c r="G173">
        <v>2020</v>
      </c>
      <c r="H173" t="s">
        <v>1953</v>
      </c>
      <c r="I173" t="s">
        <v>1672</v>
      </c>
      <c r="J173" s="66">
        <v>2045</v>
      </c>
      <c r="S173" s="95">
        <f>$AU$116/$AR$116 * 1000/$AK$89</f>
        <v>38.298840728328564</v>
      </c>
      <c r="T173" s="95">
        <f>$AU$115/$AR$115 * 1000/$AK$89</f>
        <v>38.43940150247451</v>
      </c>
      <c r="U173" s="95">
        <f>$AU$114/$AR$114 * 1000/$AK$89</f>
        <v>16.356162089815438</v>
      </c>
      <c r="W173" s="66" t="s">
        <v>1973</v>
      </c>
      <c r="X173">
        <v>3</v>
      </c>
      <c r="Y173">
        <v>1</v>
      </c>
      <c r="Z173">
        <v>1</v>
      </c>
      <c r="AA173">
        <v>3</v>
      </c>
      <c r="AB173">
        <v>1</v>
      </c>
    </row>
    <row r="174" spans="1:28" x14ac:dyDescent="0.35">
      <c r="A174" t="s">
        <v>1177</v>
      </c>
      <c r="B174" t="s">
        <v>2261</v>
      </c>
      <c r="C174" t="s">
        <v>851</v>
      </c>
      <c r="D174">
        <v>2022</v>
      </c>
      <c r="E174">
        <v>2019</v>
      </c>
      <c r="F174" t="s">
        <v>1951</v>
      </c>
      <c r="G174">
        <v>2020</v>
      </c>
      <c r="H174" t="s">
        <v>1953</v>
      </c>
      <c r="I174" t="s">
        <v>1672</v>
      </c>
      <c r="J174" s="66">
        <v>2050</v>
      </c>
      <c r="T174" s="95">
        <f>$AU$116/$AR$116 * 1000/$AK$89</f>
        <v>38.298840728328564</v>
      </c>
      <c r="U174" s="95">
        <f>$AU$115/$AR$115 * 1000/$AK$89</f>
        <v>38.43940150247451</v>
      </c>
      <c r="V174" s="406">
        <f>$AU$114/$AR$114 * 1000/$AK$89</f>
        <v>16.356162089815438</v>
      </c>
      <c r="W174" s="66" t="s">
        <v>1973</v>
      </c>
      <c r="X174">
        <v>3</v>
      </c>
      <c r="Y174">
        <v>1</v>
      </c>
      <c r="Z174">
        <v>1</v>
      </c>
      <c r="AA174">
        <v>3</v>
      </c>
      <c r="AB174">
        <v>1</v>
      </c>
    </row>
    <row r="175" spans="1:28" x14ac:dyDescent="0.35">
      <c r="A175" t="s">
        <v>1178</v>
      </c>
      <c r="B175" t="s">
        <v>2261</v>
      </c>
      <c r="C175" t="s">
        <v>851</v>
      </c>
      <c r="D175">
        <v>2022</v>
      </c>
      <c r="E175">
        <v>2019</v>
      </c>
      <c r="F175" t="s">
        <v>1951</v>
      </c>
      <c r="G175">
        <v>2020</v>
      </c>
      <c r="H175" t="s">
        <v>1953</v>
      </c>
      <c r="I175" t="s">
        <v>1672</v>
      </c>
      <c r="J175" s="66">
        <v>2021</v>
      </c>
      <c r="P175" s="95">
        <f>$AV$114/$AR$114 * 1000/$AK$89</f>
        <v>16.940557389860409</v>
      </c>
      <c r="Q175" s="95"/>
      <c r="W175" s="66" t="s">
        <v>1973</v>
      </c>
      <c r="X175">
        <v>3</v>
      </c>
      <c r="Y175">
        <v>1</v>
      </c>
      <c r="Z175">
        <v>1</v>
      </c>
      <c r="AA175">
        <v>3</v>
      </c>
      <c r="AB175">
        <v>1</v>
      </c>
    </row>
    <row r="176" spans="1:28" x14ac:dyDescent="0.35">
      <c r="A176" t="s">
        <v>1178</v>
      </c>
      <c r="B176" t="s">
        <v>2261</v>
      </c>
      <c r="C176" t="s">
        <v>851</v>
      </c>
      <c r="D176">
        <v>2022</v>
      </c>
      <c r="E176">
        <v>2019</v>
      </c>
      <c r="F176" t="s">
        <v>1951</v>
      </c>
      <c r="G176">
        <v>2020</v>
      </c>
      <c r="H176" t="s">
        <v>1953</v>
      </c>
      <c r="I176" t="s">
        <v>1672</v>
      </c>
      <c r="J176" s="66">
        <v>2025</v>
      </c>
      <c r="P176" s="95">
        <f>$AV$115/$AR$115 * 1000/$AK$89</f>
        <v>40.676699031408958</v>
      </c>
      <c r="Q176" s="95">
        <f>$AV$114/$AR$114 * 1000/$AK$89</f>
        <v>16.940557389860409</v>
      </c>
      <c r="W176" s="66" t="s">
        <v>1973</v>
      </c>
      <c r="X176">
        <v>3</v>
      </c>
      <c r="Y176">
        <v>1</v>
      </c>
      <c r="Z176">
        <v>1</v>
      </c>
      <c r="AA176">
        <v>3</v>
      </c>
      <c r="AB176">
        <v>1</v>
      </c>
    </row>
    <row r="177" spans="1:28" x14ac:dyDescent="0.35">
      <c r="A177" t="s">
        <v>1178</v>
      </c>
      <c r="B177" t="s">
        <v>2261</v>
      </c>
      <c r="C177" t="s">
        <v>851</v>
      </c>
      <c r="D177">
        <v>2022</v>
      </c>
      <c r="E177">
        <v>2019</v>
      </c>
      <c r="F177" t="s">
        <v>1951</v>
      </c>
      <c r="G177">
        <v>2020</v>
      </c>
      <c r="H177" t="s">
        <v>1953</v>
      </c>
      <c r="I177" t="s">
        <v>1672</v>
      </c>
      <c r="J177" s="66">
        <v>2030</v>
      </c>
      <c r="P177" s="95">
        <f>$AV$116/$AR$116 * 1000/$AK$89</f>
        <v>41.145130245235009</v>
      </c>
      <c r="Q177" s="95">
        <f>$AV$115/$AR$115 * 1000/$AK$89</f>
        <v>40.676699031408958</v>
      </c>
      <c r="R177" s="95">
        <f>$AV$114/$AR$114 * 1000/$AK$89</f>
        <v>16.940557389860409</v>
      </c>
      <c r="W177" s="66" t="s">
        <v>1973</v>
      </c>
      <c r="X177">
        <v>3</v>
      </c>
      <c r="Y177">
        <v>1</v>
      </c>
      <c r="Z177">
        <v>1</v>
      </c>
      <c r="AA177">
        <v>3</v>
      </c>
      <c r="AB177">
        <v>1</v>
      </c>
    </row>
    <row r="178" spans="1:28" x14ac:dyDescent="0.35">
      <c r="A178" t="s">
        <v>1178</v>
      </c>
      <c r="B178" t="s">
        <v>2261</v>
      </c>
      <c r="C178" t="s">
        <v>851</v>
      </c>
      <c r="D178">
        <v>2022</v>
      </c>
      <c r="E178">
        <v>2019</v>
      </c>
      <c r="F178" t="s">
        <v>1951</v>
      </c>
      <c r="G178">
        <v>2020</v>
      </c>
      <c r="H178" t="s">
        <v>1953</v>
      </c>
      <c r="I178" t="s">
        <v>1672</v>
      </c>
      <c r="J178" s="66">
        <v>2035</v>
      </c>
      <c r="Q178" s="95">
        <f>$AV$116/$AR$116 * 1000/$AK$89</f>
        <v>41.145130245235009</v>
      </c>
      <c r="R178" s="95">
        <f>$AV$115/$AR$115 * 1000/$AK$89</f>
        <v>40.676699031408958</v>
      </c>
      <c r="S178" s="95">
        <f>$AV$114/$AR$114 * 1000/$AK$89</f>
        <v>16.940557389860409</v>
      </c>
      <c r="W178" s="66" t="s">
        <v>1973</v>
      </c>
      <c r="X178">
        <v>3</v>
      </c>
      <c r="Y178">
        <v>1</v>
      </c>
      <c r="Z178">
        <v>1</v>
      </c>
      <c r="AA178">
        <v>3</v>
      </c>
      <c r="AB178">
        <v>1</v>
      </c>
    </row>
    <row r="179" spans="1:28" x14ac:dyDescent="0.35">
      <c r="A179" t="s">
        <v>1178</v>
      </c>
      <c r="B179" t="s">
        <v>2261</v>
      </c>
      <c r="C179" t="s">
        <v>851</v>
      </c>
      <c r="D179">
        <v>2022</v>
      </c>
      <c r="E179">
        <v>2019</v>
      </c>
      <c r="F179" t="s">
        <v>1951</v>
      </c>
      <c r="G179">
        <v>2020</v>
      </c>
      <c r="H179" t="s">
        <v>1953</v>
      </c>
      <c r="I179" t="s">
        <v>1672</v>
      </c>
      <c r="J179" s="66">
        <v>2040</v>
      </c>
      <c r="R179" s="95">
        <f>$AV$116/$AR$116 * 1000/$AK$89</f>
        <v>41.145130245235009</v>
      </c>
      <c r="S179" s="95">
        <f>$AV$115/$AR$115 * 1000/$AK$89</f>
        <v>40.676699031408958</v>
      </c>
      <c r="T179" s="95">
        <f>$AV$114/$AR$114 * 1000/$AK$89</f>
        <v>16.940557389860409</v>
      </c>
      <c r="W179" s="66" t="s">
        <v>1973</v>
      </c>
      <c r="X179">
        <v>3</v>
      </c>
      <c r="Y179">
        <v>1</v>
      </c>
      <c r="Z179">
        <v>1</v>
      </c>
      <c r="AA179">
        <v>3</v>
      </c>
      <c r="AB179">
        <v>1</v>
      </c>
    </row>
    <row r="180" spans="1:28" x14ac:dyDescent="0.35">
      <c r="A180" t="s">
        <v>1178</v>
      </c>
      <c r="B180" t="s">
        <v>2261</v>
      </c>
      <c r="C180" t="s">
        <v>851</v>
      </c>
      <c r="D180">
        <v>2022</v>
      </c>
      <c r="E180">
        <v>2019</v>
      </c>
      <c r="F180" t="s">
        <v>1951</v>
      </c>
      <c r="G180">
        <v>2020</v>
      </c>
      <c r="H180" t="s">
        <v>1953</v>
      </c>
      <c r="I180" t="s">
        <v>1672</v>
      </c>
      <c r="J180" s="66">
        <v>2045</v>
      </c>
      <c r="S180" s="95">
        <f>$AV$116/$AR$116 * 1000/$AK$89</f>
        <v>41.145130245235009</v>
      </c>
      <c r="T180" s="95">
        <f>$AV$115/$AR$115 * 1000/$AK$89</f>
        <v>40.676699031408958</v>
      </c>
      <c r="U180" s="95">
        <f>$AV$114/$AR$114 * 1000/$AK$89</f>
        <v>16.940557389860409</v>
      </c>
      <c r="W180" s="66" t="s">
        <v>1973</v>
      </c>
      <c r="X180">
        <v>3</v>
      </c>
      <c r="Y180">
        <v>1</v>
      </c>
      <c r="Z180">
        <v>1</v>
      </c>
      <c r="AA180">
        <v>3</v>
      </c>
      <c r="AB180">
        <v>1</v>
      </c>
    </row>
    <row r="181" spans="1:28" x14ac:dyDescent="0.35">
      <c r="A181" t="s">
        <v>1178</v>
      </c>
      <c r="B181" t="s">
        <v>2261</v>
      </c>
      <c r="C181" t="s">
        <v>851</v>
      </c>
      <c r="D181">
        <v>2022</v>
      </c>
      <c r="E181">
        <v>2019</v>
      </c>
      <c r="F181" t="s">
        <v>1951</v>
      </c>
      <c r="G181">
        <v>2020</v>
      </c>
      <c r="H181" t="s">
        <v>1953</v>
      </c>
      <c r="I181" t="s">
        <v>1672</v>
      </c>
      <c r="J181" s="66">
        <v>2050</v>
      </c>
      <c r="T181" s="95">
        <f>$AV$116/$AR$116 * 1000/$AK$89</f>
        <v>41.145130245235009</v>
      </c>
      <c r="U181" s="95">
        <f>$AV$115/$AR$115 * 1000/$AK$89</f>
        <v>40.676699031408958</v>
      </c>
      <c r="V181" s="406">
        <f>$AV$114/$AR$114 * 1000/$AK$89</f>
        <v>16.940557389860409</v>
      </c>
      <c r="W181" s="66" t="s">
        <v>1973</v>
      </c>
      <c r="X181">
        <v>3</v>
      </c>
      <c r="Y181">
        <v>1</v>
      </c>
      <c r="Z181">
        <v>1</v>
      </c>
      <c r="AA181">
        <v>3</v>
      </c>
      <c r="AB181">
        <v>1</v>
      </c>
    </row>
    <row r="182" spans="1:28" x14ac:dyDescent="0.35">
      <c r="A182" t="s">
        <v>1179</v>
      </c>
      <c r="B182" t="s">
        <v>2261</v>
      </c>
      <c r="C182" t="s">
        <v>851</v>
      </c>
      <c r="D182">
        <v>2022</v>
      </c>
      <c r="E182">
        <v>2019</v>
      </c>
      <c r="F182" t="s">
        <v>1951</v>
      </c>
      <c r="G182">
        <v>2020</v>
      </c>
      <c r="H182" t="s">
        <v>1953</v>
      </c>
      <c r="I182" t="s">
        <v>1672</v>
      </c>
      <c r="J182" s="66">
        <v>2021</v>
      </c>
      <c r="P182" s="95">
        <f>$AW$114/$AR$114 * 1000/$AK$89</f>
        <v>17.776451543844694</v>
      </c>
      <c r="Q182" s="95"/>
      <c r="W182" s="66" t="s">
        <v>1973</v>
      </c>
      <c r="X182">
        <v>3</v>
      </c>
      <c r="Y182">
        <v>1</v>
      </c>
      <c r="Z182">
        <v>1</v>
      </c>
      <c r="AA182">
        <v>3</v>
      </c>
      <c r="AB182">
        <v>1</v>
      </c>
    </row>
    <row r="183" spans="1:28" x14ac:dyDescent="0.35">
      <c r="A183" t="s">
        <v>1179</v>
      </c>
      <c r="B183" t="s">
        <v>2261</v>
      </c>
      <c r="C183" t="s">
        <v>851</v>
      </c>
      <c r="D183">
        <v>2022</v>
      </c>
      <c r="E183">
        <v>2019</v>
      </c>
      <c r="F183" t="s">
        <v>1951</v>
      </c>
      <c r="G183">
        <v>2020</v>
      </c>
      <c r="H183" t="s">
        <v>1953</v>
      </c>
      <c r="I183" t="s">
        <v>1672</v>
      </c>
      <c r="J183" s="66">
        <v>2025</v>
      </c>
      <c r="P183" s="95">
        <f>$AW$115/$AR$115 * 1000/$AK$89</f>
        <v>43.876834154015</v>
      </c>
      <c r="Q183" s="95">
        <f>$AW$114/$AR$114 * 1000/$AK$89</f>
        <v>17.776451543844694</v>
      </c>
      <c r="W183" s="66" t="s">
        <v>1973</v>
      </c>
      <c r="X183">
        <v>3</v>
      </c>
      <c r="Y183">
        <v>1</v>
      </c>
      <c r="Z183">
        <v>1</v>
      </c>
      <c r="AA183">
        <v>3</v>
      </c>
      <c r="AB183">
        <v>1</v>
      </c>
    </row>
    <row r="184" spans="1:28" x14ac:dyDescent="0.35">
      <c r="A184" t="s">
        <v>1179</v>
      </c>
      <c r="B184" t="s">
        <v>2261</v>
      </c>
      <c r="C184" t="s">
        <v>851</v>
      </c>
      <c r="D184">
        <v>2022</v>
      </c>
      <c r="E184">
        <v>2019</v>
      </c>
      <c r="F184" t="s">
        <v>1951</v>
      </c>
      <c r="G184">
        <v>2020</v>
      </c>
      <c r="H184" t="s">
        <v>1953</v>
      </c>
      <c r="I184" t="s">
        <v>1672</v>
      </c>
      <c r="J184" s="66">
        <v>2030</v>
      </c>
      <c r="P184" s="95">
        <f>$AW$116/$AR$116 * 1000/$AK$89</f>
        <v>45.216341576923959</v>
      </c>
      <c r="Q184" s="95">
        <f>$AW$115/$AR$115 * 1000/$AK$89</f>
        <v>43.876834154015</v>
      </c>
      <c r="R184" s="95">
        <f>$AW$114/$AR$114 * 1000/$AK$89</f>
        <v>17.776451543844694</v>
      </c>
      <c r="W184" s="66" t="s">
        <v>1973</v>
      </c>
      <c r="X184">
        <v>3</v>
      </c>
      <c r="Y184">
        <v>1</v>
      </c>
      <c r="Z184">
        <v>1</v>
      </c>
      <c r="AA184">
        <v>3</v>
      </c>
      <c r="AB184">
        <v>1</v>
      </c>
    </row>
    <row r="185" spans="1:28" x14ac:dyDescent="0.35">
      <c r="A185" t="s">
        <v>1179</v>
      </c>
      <c r="B185" t="s">
        <v>2261</v>
      </c>
      <c r="C185" t="s">
        <v>851</v>
      </c>
      <c r="D185">
        <v>2022</v>
      </c>
      <c r="E185">
        <v>2019</v>
      </c>
      <c r="F185" t="s">
        <v>1951</v>
      </c>
      <c r="G185">
        <v>2020</v>
      </c>
      <c r="H185" t="s">
        <v>1953</v>
      </c>
      <c r="I185" t="s">
        <v>1672</v>
      </c>
      <c r="J185" s="66">
        <v>2035</v>
      </c>
      <c r="Q185" s="95">
        <f>$AW$116/$AR$116 * 1000/$AK$89</f>
        <v>45.216341576923959</v>
      </c>
      <c r="R185" s="95">
        <f>$AW$115/$AR$115 * 1000/$AK$89</f>
        <v>43.876834154015</v>
      </c>
      <c r="S185" s="95">
        <f>$AW$114/$AR$114 * 1000/$AK$89</f>
        <v>17.776451543844694</v>
      </c>
      <c r="W185" s="66" t="s">
        <v>1973</v>
      </c>
      <c r="X185">
        <v>3</v>
      </c>
      <c r="Y185">
        <v>1</v>
      </c>
      <c r="Z185">
        <v>1</v>
      </c>
      <c r="AA185">
        <v>3</v>
      </c>
      <c r="AB185">
        <v>1</v>
      </c>
    </row>
    <row r="186" spans="1:28" x14ac:dyDescent="0.35">
      <c r="A186" t="s">
        <v>1179</v>
      </c>
      <c r="B186" t="s">
        <v>2261</v>
      </c>
      <c r="C186" t="s">
        <v>851</v>
      </c>
      <c r="D186">
        <v>2022</v>
      </c>
      <c r="E186">
        <v>2019</v>
      </c>
      <c r="F186" t="s">
        <v>1951</v>
      </c>
      <c r="G186">
        <v>2020</v>
      </c>
      <c r="H186" t="s">
        <v>1953</v>
      </c>
      <c r="I186" t="s">
        <v>1672</v>
      </c>
      <c r="J186" s="66">
        <v>2040</v>
      </c>
      <c r="R186" s="95">
        <f>$AW$116/$AR$116 * 1000/$AK$89</f>
        <v>45.216341576923959</v>
      </c>
      <c r="S186" s="95">
        <f>$AW$115/$AR$115 * 1000/$AK$89</f>
        <v>43.876834154015</v>
      </c>
      <c r="T186" s="95">
        <f>$AW$114/$AR$114 * 1000/$AK$89</f>
        <v>17.776451543844694</v>
      </c>
      <c r="W186" s="66" t="s">
        <v>1973</v>
      </c>
      <c r="X186">
        <v>3</v>
      </c>
      <c r="Y186">
        <v>1</v>
      </c>
      <c r="Z186">
        <v>1</v>
      </c>
      <c r="AA186">
        <v>3</v>
      </c>
      <c r="AB186">
        <v>1</v>
      </c>
    </row>
    <row r="187" spans="1:28" x14ac:dyDescent="0.35">
      <c r="A187" t="s">
        <v>1179</v>
      </c>
      <c r="B187" t="s">
        <v>2261</v>
      </c>
      <c r="C187" t="s">
        <v>851</v>
      </c>
      <c r="D187">
        <v>2022</v>
      </c>
      <c r="E187">
        <v>2019</v>
      </c>
      <c r="F187" t="s">
        <v>1951</v>
      </c>
      <c r="G187">
        <v>2020</v>
      </c>
      <c r="H187" t="s">
        <v>1953</v>
      </c>
      <c r="I187" t="s">
        <v>1672</v>
      </c>
      <c r="J187" s="66">
        <v>2045</v>
      </c>
      <c r="S187" s="95">
        <f>$AW$116/$AR$116 * 1000/$AK$89</f>
        <v>45.216341576923959</v>
      </c>
      <c r="T187" s="95">
        <f>$AW$115/$AR$115 * 1000/$AK$89</f>
        <v>43.876834154015</v>
      </c>
      <c r="U187" s="95">
        <f>$AW$114/$AR$114 * 1000/$AK$89</f>
        <v>17.776451543844694</v>
      </c>
      <c r="W187" s="66" t="s">
        <v>1973</v>
      </c>
      <c r="X187">
        <v>3</v>
      </c>
      <c r="Y187">
        <v>1</v>
      </c>
      <c r="Z187">
        <v>1</v>
      </c>
      <c r="AA187">
        <v>3</v>
      </c>
      <c r="AB187">
        <v>1</v>
      </c>
    </row>
    <row r="188" spans="1:28" x14ac:dyDescent="0.35">
      <c r="A188" t="s">
        <v>1179</v>
      </c>
      <c r="B188" t="s">
        <v>2261</v>
      </c>
      <c r="C188" t="s">
        <v>851</v>
      </c>
      <c r="D188">
        <v>2022</v>
      </c>
      <c r="E188">
        <v>2019</v>
      </c>
      <c r="F188" t="s">
        <v>1951</v>
      </c>
      <c r="G188">
        <v>2020</v>
      </c>
      <c r="H188" t="s">
        <v>1953</v>
      </c>
      <c r="I188" t="s">
        <v>1672</v>
      </c>
      <c r="J188" s="66">
        <v>2050</v>
      </c>
      <c r="T188" s="95">
        <f>$AW$116/$AR$116 * 1000/$AK$89</f>
        <v>45.216341576923959</v>
      </c>
      <c r="U188" s="95">
        <f>$AW$115/$AR$115 * 1000/$AK$89</f>
        <v>43.876834154015</v>
      </c>
      <c r="V188" s="406">
        <f>$AW$114/$AR$114 * 1000/$AK$89</f>
        <v>17.776451543844694</v>
      </c>
      <c r="W188" s="66" t="s">
        <v>1973</v>
      </c>
      <c r="X188">
        <v>3</v>
      </c>
      <c r="Y188">
        <v>1</v>
      </c>
      <c r="Z188">
        <v>1</v>
      </c>
      <c r="AA188">
        <v>3</v>
      </c>
      <c r="AB188">
        <v>1</v>
      </c>
    </row>
    <row r="189" spans="1:28" x14ac:dyDescent="0.35">
      <c r="A189" t="s">
        <v>1180</v>
      </c>
      <c r="B189" t="s">
        <v>2261</v>
      </c>
      <c r="C189" t="s">
        <v>851</v>
      </c>
      <c r="D189">
        <v>2022</v>
      </c>
      <c r="E189">
        <v>2019</v>
      </c>
      <c r="F189" t="s">
        <v>1951</v>
      </c>
      <c r="G189">
        <v>2020</v>
      </c>
      <c r="H189" t="s">
        <v>1953</v>
      </c>
      <c r="I189" t="s">
        <v>1672</v>
      </c>
      <c r="J189" s="66">
        <v>2021</v>
      </c>
      <c r="P189" s="95">
        <f>$BB$114/$AR$114 * 1000/$AK$89</f>
        <v>16.85766465991923</v>
      </c>
      <c r="Q189" s="95"/>
      <c r="W189" s="66" t="s">
        <v>1973</v>
      </c>
      <c r="X189">
        <v>3</v>
      </c>
      <c r="Y189">
        <v>1</v>
      </c>
      <c r="Z189">
        <v>1</v>
      </c>
      <c r="AA189">
        <v>3</v>
      </c>
      <c r="AB189">
        <v>1</v>
      </c>
    </row>
    <row r="190" spans="1:28" x14ac:dyDescent="0.35">
      <c r="A190" t="s">
        <v>1180</v>
      </c>
      <c r="B190" t="s">
        <v>2261</v>
      </c>
      <c r="C190" t="s">
        <v>851</v>
      </c>
      <c r="D190">
        <v>2022</v>
      </c>
      <c r="E190">
        <v>2019</v>
      </c>
      <c r="F190" t="s">
        <v>1951</v>
      </c>
      <c r="G190">
        <v>2020</v>
      </c>
      <c r="H190" t="s">
        <v>1953</v>
      </c>
      <c r="I190" t="s">
        <v>1672</v>
      </c>
      <c r="J190" s="66">
        <v>2025</v>
      </c>
      <c r="P190" s="95">
        <f>$BB$115/$AR$115 * 1000/$AK$89</f>
        <v>41.188788057572125</v>
      </c>
      <c r="Q190" s="95">
        <f>$BB$114/$AR$114 * 1000/$AK$89</f>
        <v>16.85766465991923</v>
      </c>
      <c r="W190" s="66" t="s">
        <v>1973</v>
      </c>
      <c r="X190">
        <v>3</v>
      </c>
      <c r="Y190">
        <v>1</v>
      </c>
      <c r="Z190">
        <v>1</v>
      </c>
      <c r="AA190">
        <v>3</v>
      </c>
      <c r="AB190">
        <v>1</v>
      </c>
    </row>
    <row r="191" spans="1:28" x14ac:dyDescent="0.35">
      <c r="A191" t="s">
        <v>1180</v>
      </c>
      <c r="B191" t="s">
        <v>2261</v>
      </c>
      <c r="C191" t="s">
        <v>851</v>
      </c>
      <c r="D191">
        <v>2022</v>
      </c>
      <c r="E191">
        <v>2019</v>
      </c>
      <c r="F191" t="s">
        <v>1951</v>
      </c>
      <c r="G191">
        <v>2020</v>
      </c>
      <c r="H191" t="s">
        <v>1953</v>
      </c>
      <c r="I191" t="s">
        <v>1672</v>
      </c>
      <c r="J191" s="66">
        <v>2030</v>
      </c>
      <c r="P191" s="95">
        <f>$BB$116/$AR$116 * 1000/$AK$89</f>
        <v>41.136885739001976</v>
      </c>
      <c r="Q191" s="95">
        <f>$BB$115/$AR$115 * 1000/$AK$89</f>
        <v>41.188788057572125</v>
      </c>
      <c r="R191" s="95">
        <f>$BB$114/$AR$114 * 1000/$AK$89</f>
        <v>16.85766465991923</v>
      </c>
      <c r="W191" s="66" t="s">
        <v>1973</v>
      </c>
      <c r="X191">
        <v>3</v>
      </c>
      <c r="Y191">
        <v>1</v>
      </c>
      <c r="Z191">
        <v>1</v>
      </c>
      <c r="AA191">
        <v>3</v>
      </c>
      <c r="AB191">
        <v>1</v>
      </c>
    </row>
    <row r="192" spans="1:28" x14ac:dyDescent="0.35">
      <c r="A192" t="s">
        <v>1180</v>
      </c>
      <c r="B192" t="s">
        <v>2261</v>
      </c>
      <c r="C192" t="s">
        <v>851</v>
      </c>
      <c r="D192">
        <v>2022</v>
      </c>
      <c r="E192">
        <v>2019</v>
      </c>
      <c r="F192" t="s">
        <v>1951</v>
      </c>
      <c r="G192">
        <v>2020</v>
      </c>
      <c r="H192" t="s">
        <v>1953</v>
      </c>
      <c r="I192" t="s">
        <v>1672</v>
      </c>
      <c r="J192" s="66">
        <v>2035</v>
      </c>
      <c r="Q192" s="95">
        <f>$BB$116/$AR$116 * 1000/$AK$89</f>
        <v>41.136885739001976</v>
      </c>
      <c r="R192" s="95">
        <f>$BB$115/$AR$115 * 1000/$AK$89</f>
        <v>41.188788057572125</v>
      </c>
      <c r="S192" s="95">
        <f>$BB$114/$AR$114 * 1000/$AK$89</f>
        <v>16.85766465991923</v>
      </c>
      <c r="W192" s="66" t="s">
        <v>1973</v>
      </c>
      <c r="X192">
        <v>3</v>
      </c>
      <c r="Y192">
        <v>1</v>
      </c>
      <c r="Z192">
        <v>1</v>
      </c>
      <c r="AA192">
        <v>3</v>
      </c>
      <c r="AB192">
        <v>1</v>
      </c>
    </row>
    <row r="193" spans="1:28" x14ac:dyDescent="0.35">
      <c r="A193" t="s">
        <v>1180</v>
      </c>
      <c r="B193" t="s">
        <v>2261</v>
      </c>
      <c r="C193" t="s">
        <v>851</v>
      </c>
      <c r="D193">
        <v>2022</v>
      </c>
      <c r="E193">
        <v>2019</v>
      </c>
      <c r="F193" t="s">
        <v>1951</v>
      </c>
      <c r="G193">
        <v>2020</v>
      </c>
      <c r="H193" t="s">
        <v>1953</v>
      </c>
      <c r="I193" t="s">
        <v>1672</v>
      </c>
      <c r="J193" s="66">
        <v>2040</v>
      </c>
      <c r="R193" s="95">
        <f>$BB$116/$AR$116 * 1000/$AK$89</f>
        <v>41.136885739001976</v>
      </c>
      <c r="S193" s="95">
        <f>$BB$115/$AR$115 * 1000/$AK$89</f>
        <v>41.188788057572125</v>
      </c>
      <c r="T193" s="95">
        <f>$BB$114/$AR$114 * 1000/$AK$89</f>
        <v>16.85766465991923</v>
      </c>
      <c r="W193" s="66" t="s">
        <v>1973</v>
      </c>
      <c r="X193">
        <v>3</v>
      </c>
      <c r="Y193">
        <v>1</v>
      </c>
      <c r="Z193">
        <v>1</v>
      </c>
      <c r="AA193">
        <v>3</v>
      </c>
      <c r="AB193">
        <v>1</v>
      </c>
    </row>
    <row r="194" spans="1:28" x14ac:dyDescent="0.35">
      <c r="A194" t="s">
        <v>1180</v>
      </c>
      <c r="B194" t="s">
        <v>2261</v>
      </c>
      <c r="C194" t="s">
        <v>851</v>
      </c>
      <c r="D194">
        <v>2022</v>
      </c>
      <c r="E194">
        <v>2019</v>
      </c>
      <c r="F194" t="s">
        <v>1951</v>
      </c>
      <c r="G194">
        <v>2020</v>
      </c>
      <c r="H194" t="s">
        <v>1953</v>
      </c>
      <c r="I194" t="s">
        <v>1672</v>
      </c>
      <c r="J194" s="66">
        <v>2045</v>
      </c>
      <c r="S194" s="95">
        <f>$BB$116/$AR$116 * 1000/$AK$89</f>
        <v>41.136885739001976</v>
      </c>
      <c r="T194" s="95">
        <f>$BB$115/$AR$115 * 1000/$AK$89</f>
        <v>41.188788057572125</v>
      </c>
      <c r="U194" s="95">
        <f>$BB$114/$AR$114 * 1000/$AK$89</f>
        <v>16.85766465991923</v>
      </c>
      <c r="W194" s="66" t="s">
        <v>1973</v>
      </c>
      <c r="X194">
        <v>3</v>
      </c>
      <c r="Y194">
        <v>1</v>
      </c>
      <c r="Z194">
        <v>1</v>
      </c>
      <c r="AA194">
        <v>3</v>
      </c>
      <c r="AB194">
        <v>1</v>
      </c>
    </row>
    <row r="195" spans="1:28" x14ac:dyDescent="0.35">
      <c r="A195" t="s">
        <v>1180</v>
      </c>
      <c r="B195" t="s">
        <v>2261</v>
      </c>
      <c r="C195" t="s">
        <v>851</v>
      </c>
      <c r="D195">
        <v>2022</v>
      </c>
      <c r="E195">
        <v>2019</v>
      </c>
      <c r="F195" t="s">
        <v>1951</v>
      </c>
      <c r="G195">
        <v>2020</v>
      </c>
      <c r="H195" t="s">
        <v>1953</v>
      </c>
      <c r="I195" t="s">
        <v>1672</v>
      </c>
      <c r="J195" s="66">
        <v>2050</v>
      </c>
      <c r="T195" s="95">
        <f>$BB$116/$AR$116 * 1000/$AK$89</f>
        <v>41.136885739001976</v>
      </c>
      <c r="U195" s="95">
        <f>$BB$115/$AR$115 * 1000/$AK$89</f>
        <v>41.188788057572125</v>
      </c>
      <c r="V195" s="406">
        <f>$BB$114/$AR$114 * 1000/$AK$89</f>
        <v>16.85766465991923</v>
      </c>
      <c r="W195" s="66" t="s">
        <v>1973</v>
      </c>
      <c r="X195">
        <v>3</v>
      </c>
      <c r="Y195">
        <v>1</v>
      </c>
      <c r="Z195">
        <v>1</v>
      </c>
      <c r="AA195">
        <v>3</v>
      </c>
      <c r="AB195">
        <v>1</v>
      </c>
    </row>
    <row r="196" spans="1:28" x14ac:dyDescent="0.35">
      <c r="A196" t="s">
        <v>1181</v>
      </c>
      <c r="B196" t="s">
        <v>2261</v>
      </c>
      <c r="C196" t="s">
        <v>851</v>
      </c>
      <c r="D196">
        <v>2022</v>
      </c>
      <c r="E196">
        <v>2019</v>
      </c>
      <c r="F196" t="s">
        <v>1951</v>
      </c>
      <c r="G196">
        <v>2020</v>
      </c>
      <c r="H196" t="s">
        <v>1953</v>
      </c>
      <c r="I196" t="s">
        <v>1672</v>
      </c>
      <c r="J196" s="66">
        <v>2021</v>
      </c>
      <c r="P196" s="95">
        <f>$BC$114/$AR$114 * 1000/$AK$89</f>
        <v>16.924150953903638</v>
      </c>
      <c r="Q196" s="95"/>
      <c r="W196" s="66" t="s">
        <v>1973</v>
      </c>
      <c r="X196">
        <v>3</v>
      </c>
      <c r="Y196">
        <v>1</v>
      </c>
      <c r="Z196">
        <v>1</v>
      </c>
      <c r="AA196">
        <v>3</v>
      </c>
      <c r="AB196">
        <v>1</v>
      </c>
    </row>
    <row r="197" spans="1:28" x14ac:dyDescent="0.35">
      <c r="A197" t="s">
        <v>1181</v>
      </c>
      <c r="B197" t="s">
        <v>2261</v>
      </c>
      <c r="C197" t="s">
        <v>851</v>
      </c>
      <c r="D197">
        <v>2022</v>
      </c>
      <c r="E197">
        <v>2019</v>
      </c>
      <c r="F197" t="s">
        <v>1951</v>
      </c>
      <c r="G197">
        <v>2020</v>
      </c>
      <c r="H197" t="s">
        <v>1953</v>
      </c>
      <c r="I197" t="s">
        <v>1672</v>
      </c>
      <c r="J197" s="66">
        <v>2025</v>
      </c>
      <c r="P197" s="95">
        <f>$BC$115/$AR$115 * 1000/$AK$89</f>
        <v>41.443324021889204</v>
      </c>
      <c r="Q197" s="95">
        <f>$BC$114/$AR$114 * 1000/$AK$89</f>
        <v>16.924150953903638</v>
      </c>
      <c r="W197" s="66" t="s">
        <v>1973</v>
      </c>
      <c r="X197">
        <v>3</v>
      </c>
      <c r="Y197">
        <v>1</v>
      </c>
      <c r="Z197">
        <v>1</v>
      </c>
      <c r="AA197">
        <v>3</v>
      </c>
      <c r="AB197">
        <v>1</v>
      </c>
    </row>
    <row r="198" spans="1:28" x14ac:dyDescent="0.35">
      <c r="A198" t="s">
        <v>1181</v>
      </c>
      <c r="B198" t="s">
        <v>2261</v>
      </c>
      <c r="C198" t="s">
        <v>851</v>
      </c>
      <c r="D198">
        <v>2022</v>
      </c>
      <c r="E198">
        <v>2019</v>
      </c>
      <c r="F198" t="s">
        <v>1951</v>
      </c>
      <c r="G198">
        <v>2020</v>
      </c>
      <c r="H198" t="s">
        <v>1953</v>
      </c>
      <c r="I198" t="s">
        <v>1672</v>
      </c>
      <c r="J198" s="66">
        <v>2030</v>
      </c>
      <c r="P198" s="95">
        <f>$BC$116/$AR$116 * 1000/$AK$89</f>
        <v>41.460706347366219</v>
      </c>
      <c r="Q198" s="95">
        <f>$BC$115/$AR$115 * 1000/$AK$89</f>
        <v>41.443324021889204</v>
      </c>
      <c r="R198" s="95">
        <f>$BC$114/$AR$114 * 1000/$AK$89</f>
        <v>16.924150953903638</v>
      </c>
      <c r="W198" s="66" t="s">
        <v>1973</v>
      </c>
      <c r="X198">
        <v>3</v>
      </c>
      <c r="Y198">
        <v>1</v>
      </c>
      <c r="Z198">
        <v>1</v>
      </c>
      <c r="AA198">
        <v>3</v>
      </c>
      <c r="AB198">
        <v>1</v>
      </c>
    </row>
    <row r="199" spans="1:28" x14ac:dyDescent="0.35">
      <c r="A199" t="s">
        <v>1181</v>
      </c>
      <c r="B199" t="s">
        <v>2261</v>
      </c>
      <c r="C199" t="s">
        <v>851</v>
      </c>
      <c r="D199">
        <v>2022</v>
      </c>
      <c r="E199">
        <v>2019</v>
      </c>
      <c r="F199" t="s">
        <v>1951</v>
      </c>
      <c r="G199">
        <v>2020</v>
      </c>
      <c r="H199" t="s">
        <v>1953</v>
      </c>
      <c r="I199" t="s">
        <v>1672</v>
      </c>
      <c r="J199" s="66">
        <v>2035</v>
      </c>
      <c r="Q199" s="95">
        <f>$BC$116/$AR$116 * 1000/$AK$89</f>
        <v>41.460706347366219</v>
      </c>
      <c r="R199" s="95">
        <f>$BC$115/$AR$115 * 1000/$AK$89</f>
        <v>41.443324021889204</v>
      </c>
      <c r="S199" s="95">
        <f>$BC$114/$AR$114 * 1000/$AK$89</f>
        <v>16.924150953903638</v>
      </c>
      <c r="W199" s="66" t="s">
        <v>1973</v>
      </c>
      <c r="X199">
        <v>3</v>
      </c>
      <c r="Y199">
        <v>1</v>
      </c>
      <c r="Z199">
        <v>1</v>
      </c>
      <c r="AA199">
        <v>3</v>
      </c>
      <c r="AB199">
        <v>1</v>
      </c>
    </row>
    <row r="200" spans="1:28" x14ac:dyDescent="0.35">
      <c r="A200" t="s">
        <v>1181</v>
      </c>
      <c r="B200" t="s">
        <v>2261</v>
      </c>
      <c r="C200" t="s">
        <v>851</v>
      </c>
      <c r="D200">
        <v>2022</v>
      </c>
      <c r="E200">
        <v>2019</v>
      </c>
      <c r="F200" t="s">
        <v>1951</v>
      </c>
      <c r="G200">
        <v>2020</v>
      </c>
      <c r="H200" t="s">
        <v>1953</v>
      </c>
      <c r="I200" t="s">
        <v>1672</v>
      </c>
      <c r="J200" s="66">
        <v>2040</v>
      </c>
      <c r="R200" s="95">
        <f>$BC$116/$AR$116 * 1000/$AK$89</f>
        <v>41.460706347366219</v>
      </c>
      <c r="S200" s="95">
        <f>$BC$115/$AR$115 * 1000/$AK$89</f>
        <v>41.443324021889204</v>
      </c>
      <c r="T200" s="95">
        <f>$BC$114/$AR$114 * 1000/$AK$89</f>
        <v>16.924150953903638</v>
      </c>
      <c r="W200" s="66" t="s">
        <v>1973</v>
      </c>
      <c r="X200">
        <v>3</v>
      </c>
      <c r="Y200">
        <v>1</v>
      </c>
      <c r="Z200">
        <v>1</v>
      </c>
      <c r="AA200">
        <v>3</v>
      </c>
      <c r="AB200">
        <v>1</v>
      </c>
    </row>
    <row r="201" spans="1:28" x14ac:dyDescent="0.35">
      <c r="A201" t="s">
        <v>1181</v>
      </c>
      <c r="B201" t="s">
        <v>2261</v>
      </c>
      <c r="C201" t="s">
        <v>851</v>
      </c>
      <c r="D201">
        <v>2022</v>
      </c>
      <c r="E201">
        <v>2019</v>
      </c>
      <c r="F201" t="s">
        <v>1951</v>
      </c>
      <c r="G201">
        <v>2020</v>
      </c>
      <c r="H201" t="s">
        <v>1953</v>
      </c>
      <c r="I201" t="s">
        <v>1672</v>
      </c>
      <c r="J201" s="66">
        <v>2045</v>
      </c>
      <c r="S201" s="95">
        <f>$BC$116/$AR$116 * 1000/$AK$89</f>
        <v>41.460706347366219</v>
      </c>
      <c r="T201" s="95">
        <f>$BC$115/$AR$115 * 1000/$AK$89</f>
        <v>41.443324021889204</v>
      </c>
      <c r="U201" s="95">
        <f>$BC$114/$AR$114 * 1000/$AK$89</f>
        <v>16.924150953903638</v>
      </c>
      <c r="W201" s="66" t="s">
        <v>1973</v>
      </c>
      <c r="X201">
        <v>3</v>
      </c>
      <c r="Y201">
        <v>1</v>
      </c>
      <c r="Z201">
        <v>1</v>
      </c>
      <c r="AA201">
        <v>3</v>
      </c>
      <c r="AB201">
        <v>1</v>
      </c>
    </row>
    <row r="202" spans="1:28" x14ac:dyDescent="0.35">
      <c r="A202" t="s">
        <v>1181</v>
      </c>
      <c r="B202" t="s">
        <v>2261</v>
      </c>
      <c r="C202" t="s">
        <v>851</v>
      </c>
      <c r="D202">
        <v>2022</v>
      </c>
      <c r="E202">
        <v>2019</v>
      </c>
      <c r="F202" t="s">
        <v>1951</v>
      </c>
      <c r="G202">
        <v>2020</v>
      </c>
      <c r="H202" t="s">
        <v>1953</v>
      </c>
      <c r="I202" t="s">
        <v>1672</v>
      </c>
      <c r="J202" s="66">
        <v>2050</v>
      </c>
      <c r="T202" s="95">
        <f>$BC$116/$AR$116 * 1000/$AK$89</f>
        <v>41.460706347366219</v>
      </c>
      <c r="U202" s="95">
        <f>$BC$115/$AR$115 * 1000/$AK$89</f>
        <v>41.443324021889204</v>
      </c>
      <c r="V202" s="406">
        <f>$BC$114/$AR$114 * 1000/$AK$89</f>
        <v>16.924150953903638</v>
      </c>
      <c r="W202" s="66" t="s">
        <v>1973</v>
      </c>
      <c r="X202">
        <v>3</v>
      </c>
      <c r="Y202">
        <v>1</v>
      </c>
      <c r="Z202">
        <v>1</v>
      </c>
      <c r="AA202">
        <v>3</v>
      </c>
      <c r="AB202">
        <v>1</v>
      </c>
    </row>
    <row r="203" spans="1:28" x14ac:dyDescent="0.35">
      <c r="A203" t="s">
        <v>1182</v>
      </c>
      <c r="B203" t="s">
        <v>2261</v>
      </c>
      <c r="C203" t="s">
        <v>851</v>
      </c>
      <c r="D203">
        <v>2022</v>
      </c>
      <c r="E203">
        <v>2019</v>
      </c>
      <c r="F203" t="s">
        <v>1951</v>
      </c>
      <c r="G203">
        <v>2020</v>
      </c>
      <c r="H203" t="s">
        <v>1953</v>
      </c>
      <c r="I203" t="s">
        <v>1672</v>
      </c>
      <c r="J203" s="66">
        <v>2021</v>
      </c>
      <c r="O203"/>
      <c r="P203" s="407">
        <f>$AZ$118/$AR$118 * 1000/$AK$90</f>
        <v>26.462584783797794</v>
      </c>
      <c r="W203" s="66" t="s">
        <v>1973</v>
      </c>
      <c r="X203">
        <v>3</v>
      </c>
      <c r="Y203">
        <v>1</v>
      </c>
      <c r="Z203">
        <v>1</v>
      </c>
      <c r="AA203">
        <v>3</v>
      </c>
      <c r="AB203">
        <v>1</v>
      </c>
    </row>
    <row r="204" spans="1:28" x14ac:dyDescent="0.35">
      <c r="A204" t="s">
        <v>1182</v>
      </c>
      <c r="B204" t="s">
        <v>2261</v>
      </c>
      <c r="C204" t="s">
        <v>851</v>
      </c>
      <c r="D204">
        <v>2022</v>
      </c>
      <c r="E204">
        <v>2019</v>
      </c>
      <c r="F204" t="s">
        <v>1951</v>
      </c>
      <c r="G204">
        <v>2020</v>
      </c>
      <c r="H204" t="s">
        <v>1953</v>
      </c>
      <c r="I204" t="s">
        <v>1672</v>
      </c>
      <c r="J204" s="66">
        <v>2025</v>
      </c>
      <c r="O204"/>
      <c r="P204" s="407">
        <f>$AZ$119/$AR$119 * 1000/$AK$90</f>
        <v>54.974065645320344</v>
      </c>
      <c r="Q204" s="95">
        <f>$AZ$118/$AR$118 * 1000/$AK$90</f>
        <v>26.462584783797794</v>
      </c>
      <c r="W204" s="66" t="s">
        <v>1973</v>
      </c>
      <c r="X204">
        <v>3</v>
      </c>
      <c r="Y204">
        <v>1</v>
      </c>
      <c r="Z204">
        <v>1</v>
      </c>
      <c r="AA204">
        <v>3</v>
      </c>
      <c r="AB204">
        <v>1</v>
      </c>
    </row>
    <row r="205" spans="1:28" x14ac:dyDescent="0.35">
      <c r="A205" t="s">
        <v>1182</v>
      </c>
      <c r="B205" t="s">
        <v>2261</v>
      </c>
      <c r="C205" t="s">
        <v>851</v>
      </c>
      <c r="D205">
        <v>2022</v>
      </c>
      <c r="E205">
        <v>2019</v>
      </c>
      <c r="F205" t="s">
        <v>1951</v>
      </c>
      <c r="G205">
        <v>2020</v>
      </c>
      <c r="H205" t="s">
        <v>1953</v>
      </c>
      <c r="I205" t="s">
        <v>1672</v>
      </c>
      <c r="J205" s="66">
        <v>2030</v>
      </c>
      <c r="O205"/>
      <c r="P205" s="407">
        <f>$AZ$120/$AR$120 * 1000/$AK$90</f>
        <v>55.328166647435594</v>
      </c>
      <c r="Q205" s="95">
        <f>$AZ$119/$AR$119 * 1000/$AK$90</f>
        <v>54.974065645320344</v>
      </c>
      <c r="R205" s="95">
        <f>$AZ$118/$AR$118 * 1000/$AK$90</f>
        <v>26.462584783797794</v>
      </c>
      <c r="W205" s="66" t="s">
        <v>1973</v>
      </c>
      <c r="X205">
        <v>3</v>
      </c>
      <c r="Y205">
        <v>1</v>
      </c>
      <c r="Z205">
        <v>1</v>
      </c>
      <c r="AA205">
        <v>3</v>
      </c>
      <c r="AB205">
        <v>1</v>
      </c>
    </row>
    <row r="206" spans="1:28" x14ac:dyDescent="0.35">
      <c r="A206" t="s">
        <v>1182</v>
      </c>
      <c r="B206" t="s">
        <v>2261</v>
      </c>
      <c r="C206" t="s">
        <v>851</v>
      </c>
      <c r="D206">
        <v>2022</v>
      </c>
      <c r="E206">
        <v>2019</v>
      </c>
      <c r="F206" t="s">
        <v>1951</v>
      </c>
      <c r="G206">
        <v>2020</v>
      </c>
      <c r="H206" t="s">
        <v>1953</v>
      </c>
      <c r="I206" t="s">
        <v>1672</v>
      </c>
      <c r="J206" s="66">
        <v>2035</v>
      </c>
      <c r="O206"/>
      <c r="P206" s="407">
        <f>$AZ$121/$AR$121 * 1000/$AK$90</f>
        <v>30.444236637467629</v>
      </c>
      <c r="Q206" s="95">
        <f>$AZ$120/$AR$120 * 1000/$AK$90</f>
        <v>55.328166647435594</v>
      </c>
      <c r="R206" s="95">
        <f>$AZ$119/$AR$119 * 1000/$AK$90</f>
        <v>54.974065645320344</v>
      </c>
      <c r="S206" s="95">
        <f>$AZ$118/$AR$118 * 1000/$AK$90</f>
        <v>26.462584783797794</v>
      </c>
      <c r="W206" s="66" t="s">
        <v>1973</v>
      </c>
      <c r="X206">
        <v>3</v>
      </c>
      <c r="Y206">
        <v>1</v>
      </c>
      <c r="Z206">
        <v>1</v>
      </c>
      <c r="AA206">
        <v>3</v>
      </c>
      <c r="AB206">
        <v>1</v>
      </c>
    </row>
    <row r="207" spans="1:28" x14ac:dyDescent="0.35">
      <c r="A207" t="s">
        <v>1182</v>
      </c>
      <c r="B207" t="s">
        <v>2261</v>
      </c>
      <c r="C207" t="s">
        <v>851</v>
      </c>
      <c r="D207">
        <v>2022</v>
      </c>
      <c r="E207">
        <v>2019</v>
      </c>
      <c r="F207" t="s">
        <v>1951</v>
      </c>
      <c r="G207">
        <v>2020</v>
      </c>
      <c r="H207" t="s">
        <v>1953</v>
      </c>
      <c r="I207" t="s">
        <v>1672</v>
      </c>
      <c r="J207" s="66">
        <v>2040</v>
      </c>
      <c r="O207"/>
      <c r="P207" s="87"/>
      <c r="Q207" s="95">
        <f>$AZ$121/$AR$121 * 1000/$AK$90</f>
        <v>30.444236637467629</v>
      </c>
      <c r="R207" s="95">
        <f>$AZ$120/$AR$120 * 1000/$AK$90</f>
        <v>55.328166647435594</v>
      </c>
      <c r="S207" s="95">
        <f>$AZ$119/$AR$119 * 1000/$AK$90</f>
        <v>54.974065645320344</v>
      </c>
      <c r="T207" s="95">
        <f>$AZ$118/$AR$118 * 1000/$AK$90</f>
        <v>26.462584783797794</v>
      </c>
      <c r="W207" s="66" t="s">
        <v>1973</v>
      </c>
      <c r="X207">
        <v>3</v>
      </c>
      <c r="Y207">
        <v>1</v>
      </c>
      <c r="Z207">
        <v>1</v>
      </c>
      <c r="AA207">
        <v>3</v>
      </c>
      <c r="AB207">
        <v>1</v>
      </c>
    </row>
    <row r="208" spans="1:28" x14ac:dyDescent="0.35">
      <c r="A208" t="s">
        <v>1182</v>
      </c>
      <c r="B208" t="s">
        <v>2261</v>
      </c>
      <c r="C208" t="s">
        <v>851</v>
      </c>
      <c r="D208">
        <v>2022</v>
      </c>
      <c r="E208">
        <v>2019</v>
      </c>
      <c r="F208" t="s">
        <v>1951</v>
      </c>
      <c r="G208">
        <v>2020</v>
      </c>
      <c r="H208" t="s">
        <v>1953</v>
      </c>
      <c r="I208" t="s">
        <v>1672</v>
      </c>
      <c r="J208" s="66">
        <v>2045</v>
      </c>
      <c r="O208"/>
      <c r="P208" s="87"/>
      <c r="R208" s="95">
        <f>$AZ$121/$AR$121 * 1000/$AK$90</f>
        <v>30.444236637467629</v>
      </c>
      <c r="S208" s="95">
        <f>$AZ$120/$AR$120 * 1000/$AK$90</f>
        <v>55.328166647435594</v>
      </c>
      <c r="T208" s="95">
        <f>$AZ$119/$AR$119 * 1000/$AK$90</f>
        <v>54.974065645320344</v>
      </c>
      <c r="U208" s="95">
        <f>$AZ$118/$AR$118 * 1000/$AK$90</f>
        <v>26.462584783797794</v>
      </c>
      <c r="W208" s="66" t="s">
        <v>1973</v>
      </c>
      <c r="X208">
        <v>3</v>
      </c>
      <c r="Y208">
        <v>1</v>
      </c>
      <c r="Z208">
        <v>1</v>
      </c>
      <c r="AA208">
        <v>3</v>
      </c>
      <c r="AB208">
        <v>1</v>
      </c>
    </row>
    <row r="209" spans="1:28" x14ac:dyDescent="0.35">
      <c r="A209" t="s">
        <v>1182</v>
      </c>
      <c r="B209" t="s">
        <v>2261</v>
      </c>
      <c r="C209" t="s">
        <v>851</v>
      </c>
      <c r="D209">
        <v>2022</v>
      </c>
      <c r="E209">
        <v>2019</v>
      </c>
      <c r="F209" t="s">
        <v>1951</v>
      </c>
      <c r="G209">
        <v>2020</v>
      </c>
      <c r="H209" t="s">
        <v>1953</v>
      </c>
      <c r="I209" t="s">
        <v>1672</v>
      </c>
      <c r="J209" s="66">
        <v>2050</v>
      </c>
      <c r="O209"/>
      <c r="P209" s="87"/>
      <c r="S209" s="95">
        <f>$AZ$121/$AR$121 * 1000/$AK$90</f>
        <v>30.444236637467629</v>
      </c>
      <c r="T209" s="95">
        <f>$AZ$120/$AR$120 * 1000/$AK$90</f>
        <v>55.328166647435594</v>
      </c>
      <c r="U209" s="95">
        <f>$AZ$119/$AR$119 * 1000/$AK$90</f>
        <v>54.974065645320344</v>
      </c>
      <c r="V209" s="406">
        <f>$AZ$118/$AR$118 * 1000/$AK$90</f>
        <v>26.462584783797794</v>
      </c>
      <c r="W209" s="66" t="s">
        <v>1973</v>
      </c>
      <c r="X209">
        <v>3</v>
      </c>
      <c r="Y209">
        <v>1</v>
      </c>
      <c r="Z209">
        <v>1</v>
      </c>
      <c r="AA209">
        <v>3</v>
      </c>
      <c r="AB209">
        <v>1</v>
      </c>
    </row>
    <row r="210" spans="1:28" x14ac:dyDescent="0.35">
      <c r="A210" t="s">
        <v>1183</v>
      </c>
      <c r="B210" t="s">
        <v>2261</v>
      </c>
      <c r="C210" t="s">
        <v>851</v>
      </c>
      <c r="D210">
        <v>2022</v>
      </c>
      <c r="E210">
        <v>2019</v>
      </c>
      <c r="F210" t="s">
        <v>1951</v>
      </c>
      <c r="G210">
        <v>2020</v>
      </c>
      <c r="H210" t="s">
        <v>1953</v>
      </c>
      <c r="I210" t="s">
        <v>1672</v>
      </c>
      <c r="J210" s="66">
        <v>2021</v>
      </c>
      <c r="O210"/>
      <c r="P210" s="407">
        <f>$AX$118/$AR$118 * 1000/$AK$90</f>
        <v>26.911055422269889</v>
      </c>
      <c r="W210" s="66" t="s">
        <v>1973</v>
      </c>
      <c r="X210">
        <v>3</v>
      </c>
      <c r="Y210">
        <v>1</v>
      </c>
      <c r="Z210">
        <v>1</v>
      </c>
      <c r="AA210">
        <v>3</v>
      </c>
      <c r="AB210">
        <v>1</v>
      </c>
    </row>
    <row r="211" spans="1:28" x14ac:dyDescent="0.35">
      <c r="A211" t="s">
        <v>1183</v>
      </c>
      <c r="B211" t="s">
        <v>2261</v>
      </c>
      <c r="C211" t="s">
        <v>851</v>
      </c>
      <c r="D211">
        <v>2022</v>
      </c>
      <c r="E211">
        <v>2019</v>
      </c>
      <c r="F211" t="s">
        <v>1951</v>
      </c>
      <c r="G211">
        <v>2020</v>
      </c>
      <c r="H211" t="s">
        <v>1953</v>
      </c>
      <c r="I211" t="s">
        <v>1672</v>
      </c>
      <c r="J211" s="66">
        <v>2025</v>
      </c>
      <c r="P211" s="407">
        <f>$AX$119/$AR$119 * 1000/$AK$90</f>
        <v>56.69677035419943</v>
      </c>
      <c r="Q211" s="95">
        <f>$AX$118/$AR$118 * 1000/$AK$90</f>
        <v>26.911055422269889</v>
      </c>
      <c r="W211" s="66" t="s">
        <v>1973</v>
      </c>
      <c r="X211">
        <v>3</v>
      </c>
      <c r="Y211">
        <v>1</v>
      </c>
      <c r="Z211">
        <v>1</v>
      </c>
      <c r="AA211">
        <v>3</v>
      </c>
      <c r="AB211">
        <v>1</v>
      </c>
    </row>
    <row r="212" spans="1:28" x14ac:dyDescent="0.35">
      <c r="A212" t="s">
        <v>1183</v>
      </c>
      <c r="B212" t="s">
        <v>2261</v>
      </c>
      <c r="C212" t="s">
        <v>851</v>
      </c>
      <c r="D212">
        <v>2022</v>
      </c>
      <c r="E212">
        <v>2019</v>
      </c>
      <c r="F212" t="s">
        <v>1951</v>
      </c>
      <c r="G212">
        <v>2020</v>
      </c>
      <c r="H212" t="s">
        <v>1953</v>
      </c>
      <c r="I212" t="s">
        <v>1672</v>
      </c>
      <c r="J212" s="66">
        <v>2030</v>
      </c>
      <c r="P212" s="407">
        <f>$AX$120/$AR$120 * 1000/$AK$90</f>
        <v>57.549715741958792</v>
      </c>
      <c r="Q212" s="95">
        <f>$AX$119/$AR$119 * 1000/$AK$90</f>
        <v>56.69677035419943</v>
      </c>
      <c r="R212" s="95">
        <f>$AX$118/$AR$118 * 1000/$AK$90</f>
        <v>26.911055422269889</v>
      </c>
      <c r="W212" s="66" t="s">
        <v>1973</v>
      </c>
      <c r="X212">
        <v>3</v>
      </c>
      <c r="Y212">
        <v>1</v>
      </c>
      <c r="Z212">
        <v>1</v>
      </c>
      <c r="AA212">
        <v>3</v>
      </c>
      <c r="AB212">
        <v>1</v>
      </c>
    </row>
    <row r="213" spans="1:28" x14ac:dyDescent="0.35">
      <c r="A213" t="s">
        <v>1183</v>
      </c>
      <c r="B213" t="s">
        <v>2261</v>
      </c>
      <c r="C213" t="s">
        <v>851</v>
      </c>
      <c r="D213">
        <v>2022</v>
      </c>
      <c r="E213">
        <v>2019</v>
      </c>
      <c r="F213" t="s">
        <v>1951</v>
      </c>
      <c r="G213">
        <v>2020</v>
      </c>
      <c r="H213" t="s">
        <v>1953</v>
      </c>
      <c r="I213" t="s">
        <v>1672</v>
      </c>
      <c r="J213" s="66">
        <v>2035</v>
      </c>
      <c r="P213" s="407">
        <f>$AX$121/$AR$121 * 1000/$AK$90</f>
        <v>32.83451395570264</v>
      </c>
      <c r="Q213" s="95">
        <f>$AX$120/$AR$120 * 1000/$AK$90</f>
        <v>57.549715741958792</v>
      </c>
      <c r="R213" s="95">
        <f>$AX$119/$AR$119 * 1000/$AK$90</f>
        <v>56.69677035419943</v>
      </c>
      <c r="S213" s="95">
        <f>$AX$118/$AR$118 * 1000/$AK$90</f>
        <v>26.911055422269889</v>
      </c>
      <c r="W213" s="66" t="s">
        <v>1973</v>
      </c>
      <c r="X213">
        <v>3</v>
      </c>
      <c r="Y213">
        <v>1</v>
      </c>
      <c r="Z213">
        <v>1</v>
      </c>
      <c r="AA213">
        <v>3</v>
      </c>
      <c r="AB213">
        <v>1</v>
      </c>
    </row>
    <row r="214" spans="1:28" x14ac:dyDescent="0.35">
      <c r="A214" t="s">
        <v>1183</v>
      </c>
      <c r="B214" t="s">
        <v>2261</v>
      </c>
      <c r="C214" t="s">
        <v>851</v>
      </c>
      <c r="D214">
        <v>2022</v>
      </c>
      <c r="E214">
        <v>2019</v>
      </c>
      <c r="F214" t="s">
        <v>1951</v>
      </c>
      <c r="G214">
        <v>2020</v>
      </c>
      <c r="H214" t="s">
        <v>1953</v>
      </c>
      <c r="I214" t="s">
        <v>1672</v>
      </c>
      <c r="J214" s="66">
        <v>2040</v>
      </c>
      <c r="P214" s="87"/>
      <c r="Q214" s="95">
        <f>$AX$121/$AR$121 * 1000/$AK$90</f>
        <v>32.83451395570264</v>
      </c>
      <c r="R214" s="95">
        <f>$AX$120/$AR$120 * 1000/$AK$90</f>
        <v>57.549715741958792</v>
      </c>
      <c r="S214" s="95">
        <f>$AX$119/$AR$119 * 1000/$AK$90</f>
        <v>56.69677035419943</v>
      </c>
      <c r="T214" s="95">
        <f>$AX$118/$AR$118 * 1000/$AK$90</f>
        <v>26.911055422269889</v>
      </c>
      <c r="W214" s="66" t="s">
        <v>1973</v>
      </c>
      <c r="X214">
        <v>3</v>
      </c>
      <c r="Y214">
        <v>1</v>
      </c>
      <c r="Z214">
        <v>1</v>
      </c>
      <c r="AA214">
        <v>3</v>
      </c>
      <c r="AB214">
        <v>1</v>
      </c>
    </row>
    <row r="215" spans="1:28" x14ac:dyDescent="0.35">
      <c r="A215" t="s">
        <v>1183</v>
      </c>
      <c r="B215" t="s">
        <v>2261</v>
      </c>
      <c r="C215" t="s">
        <v>851</v>
      </c>
      <c r="D215">
        <v>2022</v>
      </c>
      <c r="E215">
        <v>2019</v>
      </c>
      <c r="F215" t="s">
        <v>1951</v>
      </c>
      <c r="G215">
        <v>2020</v>
      </c>
      <c r="H215" t="s">
        <v>1953</v>
      </c>
      <c r="I215" t="s">
        <v>1672</v>
      </c>
      <c r="J215" s="66">
        <v>2045</v>
      </c>
      <c r="P215" s="87"/>
      <c r="R215" s="95">
        <f>$AX$121/$AR$121 * 1000/$AK$90</f>
        <v>32.83451395570264</v>
      </c>
      <c r="S215" s="95">
        <f>$AX$120/$AR$120 * 1000/$AK$90</f>
        <v>57.549715741958792</v>
      </c>
      <c r="T215" s="95">
        <f>$AX$119/$AR$119 * 1000/$AK$90</f>
        <v>56.69677035419943</v>
      </c>
      <c r="U215" s="95">
        <f>$AX$118/$AR$118 * 1000/$AK$90</f>
        <v>26.911055422269889</v>
      </c>
      <c r="W215" s="66" t="s">
        <v>1973</v>
      </c>
      <c r="X215">
        <v>3</v>
      </c>
      <c r="Y215">
        <v>1</v>
      </c>
      <c r="Z215">
        <v>1</v>
      </c>
      <c r="AA215">
        <v>3</v>
      </c>
      <c r="AB215">
        <v>1</v>
      </c>
    </row>
    <row r="216" spans="1:28" x14ac:dyDescent="0.35">
      <c r="A216" t="s">
        <v>1183</v>
      </c>
      <c r="B216" t="s">
        <v>2261</v>
      </c>
      <c r="C216" t="s">
        <v>851</v>
      </c>
      <c r="D216">
        <v>2022</v>
      </c>
      <c r="E216">
        <v>2019</v>
      </c>
      <c r="F216" t="s">
        <v>1951</v>
      </c>
      <c r="G216">
        <v>2020</v>
      </c>
      <c r="H216" t="s">
        <v>1953</v>
      </c>
      <c r="I216" t="s">
        <v>1672</v>
      </c>
      <c r="J216" s="66">
        <v>2050</v>
      </c>
      <c r="P216" s="87"/>
      <c r="S216" s="95">
        <f>$AX$121/$AR$121 * 1000/$AK$90</f>
        <v>32.83451395570264</v>
      </c>
      <c r="T216" s="95">
        <f>$AX$120/$AR$120 * 1000/$AK$90</f>
        <v>57.549715741958792</v>
      </c>
      <c r="U216" s="95">
        <f>$AX$119/$AR$119 * 1000/$AK$90</f>
        <v>56.69677035419943</v>
      </c>
      <c r="V216" s="406">
        <f>$AX$118/$AR$118 * 1000/$AK$90</f>
        <v>26.911055422269889</v>
      </c>
      <c r="W216" s="66" t="s">
        <v>1973</v>
      </c>
      <c r="X216">
        <v>3</v>
      </c>
      <c r="Y216">
        <v>1</v>
      </c>
      <c r="Z216">
        <v>1</v>
      </c>
      <c r="AA216">
        <v>3</v>
      </c>
      <c r="AB216">
        <v>1</v>
      </c>
    </row>
    <row r="217" spans="1:28" x14ac:dyDescent="0.35">
      <c r="A217" t="s">
        <v>1184</v>
      </c>
      <c r="B217" t="s">
        <v>2261</v>
      </c>
      <c r="C217" t="s">
        <v>851</v>
      </c>
      <c r="D217">
        <v>2022</v>
      </c>
      <c r="E217">
        <v>2019</v>
      </c>
      <c r="F217" t="s">
        <v>1951</v>
      </c>
      <c r="G217">
        <v>2020</v>
      </c>
      <c r="H217" t="s">
        <v>1953</v>
      </c>
      <c r="I217" t="s">
        <v>1672</v>
      </c>
      <c r="J217" s="66">
        <v>2021</v>
      </c>
      <c r="P217" s="407">
        <f>$AY$118/$AR$118 * 1000/$AK$90</f>
        <v>25.892499781662341</v>
      </c>
      <c r="W217" s="66" t="s">
        <v>1973</v>
      </c>
      <c r="X217">
        <v>3</v>
      </c>
      <c r="Y217">
        <v>1</v>
      </c>
      <c r="Z217">
        <v>1</v>
      </c>
      <c r="AA217">
        <v>3</v>
      </c>
      <c r="AB217">
        <v>1</v>
      </c>
    </row>
    <row r="218" spans="1:28" x14ac:dyDescent="0.35">
      <c r="A218" t="s">
        <v>1184</v>
      </c>
      <c r="B218" t="s">
        <v>2261</v>
      </c>
      <c r="C218" t="s">
        <v>851</v>
      </c>
      <c r="D218">
        <v>2022</v>
      </c>
      <c r="E218">
        <v>2019</v>
      </c>
      <c r="F218" t="s">
        <v>1951</v>
      </c>
      <c r="G218">
        <v>2020</v>
      </c>
      <c r="H218" t="s">
        <v>1953</v>
      </c>
      <c r="I218" t="s">
        <v>1672</v>
      </c>
      <c r="J218" s="66">
        <v>2025</v>
      </c>
      <c r="P218" s="407">
        <f>$AY$119/$AR$119 * 1000/$AK$90</f>
        <v>56.397812615323204</v>
      </c>
      <c r="Q218" s="95">
        <f>$AY$118/$AR$118 * 1000/$AK$90</f>
        <v>25.892499781662341</v>
      </c>
      <c r="W218" s="66" t="s">
        <v>1973</v>
      </c>
      <c r="X218">
        <v>3</v>
      </c>
      <c r="Y218">
        <v>1</v>
      </c>
      <c r="Z218">
        <v>1</v>
      </c>
      <c r="AA218">
        <v>3</v>
      </c>
      <c r="AB218">
        <v>1</v>
      </c>
    </row>
    <row r="219" spans="1:28" x14ac:dyDescent="0.35">
      <c r="A219" t="s">
        <v>1184</v>
      </c>
      <c r="B219" t="s">
        <v>2261</v>
      </c>
      <c r="C219" t="s">
        <v>851</v>
      </c>
      <c r="D219">
        <v>2022</v>
      </c>
      <c r="E219">
        <v>2019</v>
      </c>
      <c r="F219" t="s">
        <v>1951</v>
      </c>
      <c r="G219">
        <v>2020</v>
      </c>
      <c r="H219" t="s">
        <v>1953</v>
      </c>
      <c r="I219" t="s">
        <v>1672</v>
      </c>
      <c r="J219" s="66">
        <v>2030</v>
      </c>
      <c r="P219" s="407">
        <f>$AY$120/$AR$120 * 1000/$AK$90</f>
        <v>57.469135931198494</v>
      </c>
      <c r="Q219" s="95">
        <f>$AY$119/$AR$119 * 1000/$AK$90</f>
        <v>56.397812615323204</v>
      </c>
      <c r="R219" s="95">
        <f>$AY$118/$AR$118 * 1000/$AK$90</f>
        <v>25.892499781662341</v>
      </c>
      <c r="W219" s="66" t="s">
        <v>1973</v>
      </c>
      <c r="X219">
        <v>3</v>
      </c>
      <c r="Y219">
        <v>1</v>
      </c>
      <c r="Z219">
        <v>1</v>
      </c>
      <c r="AA219">
        <v>3</v>
      </c>
      <c r="AB219">
        <v>1</v>
      </c>
    </row>
    <row r="220" spans="1:28" x14ac:dyDescent="0.35">
      <c r="A220" t="s">
        <v>1184</v>
      </c>
      <c r="B220" t="s">
        <v>2261</v>
      </c>
      <c r="C220" t="s">
        <v>851</v>
      </c>
      <c r="D220">
        <v>2022</v>
      </c>
      <c r="E220">
        <v>2019</v>
      </c>
      <c r="F220" t="s">
        <v>1951</v>
      </c>
      <c r="G220">
        <v>2020</v>
      </c>
      <c r="H220" t="s">
        <v>1953</v>
      </c>
      <c r="I220" t="s">
        <v>1672</v>
      </c>
      <c r="J220" s="66">
        <v>2035</v>
      </c>
      <c r="P220" s="407">
        <f>$AY$121/$AR$121 * 1000/$AK$90</f>
        <v>34.130518312960668</v>
      </c>
      <c r="Q220" s="95">
        <f>$AY$120/$AR$120 * 1000/$AK$90</f>
        <v>57.469135931198494</v>
      </c>
      <c r="R220" s="95">
        <f>$AY$119/$AR$119 * 1000/$AK$90</f>
        <v>56.397812615323204</v>
      </c>
      <c r="S220" s="95">
        <f>$AY$118/$AR$118 * 1000/$AK$90</f>
        <v>25.892499781662341</v>
      </c>
      <c r="W220" s="66" t="s">
        <v>1973</v>
      </c>
      <c r="X220">
        <v>3</v>
      </c>
      <c r="Y220">
        <v>1</v>
      </c>
      <c r="Z220">
        <v>1</v>
      </c>
      <c r="AA220">
        <v>3</v>
      </c>
      <c r="AB220">
        <v>1</v>
      </c>
    </row>
    <row r="221" spans="1:28" x14ac:dyDescent="0.35">
      <c r="A221" t="s">
        <v>1184</v>
      </c>
      <c r="B221" t="s">
        <v>2261</v>
      </c>
      <c r="C221" t="s">
        <v>851</v>
      </c>
      <c r="D221">
        <v>2022</v>
      </c>
      <c r="E221">
        <v>2019</v>
      </c>
      <c r="F221" t="s">
        <v>1951</v>
      </c>
      <c r="G221">
        <v>2020</v>
      </c>
      <c r="H221" t="s">
        <v>1953</v>
      </c>
      <c r="I221" t="s">
        <v>1672</v>
      </c>
      <c r="J221" s="66">
        <v>2040</v>
      </c>
      <c r="P221" s="87"/>
      <c r="Q221" s="95">
        <f>$AY$121/$AR$121 * 1000/$AK$90</f>
        <v>34.130518312960668</v>
      </c>
      <c r="R221" s="95">
        <f>$AY$120/$AR$120 * 1000/$AK$90</f>
        <v>57.469135931198494</v>
      </c>
      <c r="S221" s="95">
        <f>$AY$119/$AR$119 * 1000/$AK$90</f>
        <v>56.397812615323204</v>
      </c>
      <c r="T221" s="95">
        <f>$AY$118/$AR$118 * 1000/$AK$90</f>
        <v>25.892499781662341</v>
      </c>
      <c r="W221" s="66" t="s">
        <v>1973</v>
      </c>
      <c r="X221">
        <v>3</v>
      </c>
      <c r="Y221">
        <v>1</v>
      </c>
      <c r="Z221">
        <v>1</v>
      </c>
      <c r="AA221">
        <v>3</v>
      </c>
      <c r="AB221">
        <v>1</v>
      </c>
    </row>
    <row r="222" spans="1:28" x14ac:dyDescent="0.35">
      <c r="A222" t="s">
        <v>1184</v>
      </c>
      <c r="B222" t="s">
        <v>2261</v>
      </c>
      <c r="C222" t="s">
        <v>851</v>
      </c>
      <c r="D222">
        <v>2022</v>
      </c>
      <c r="E222">
        <v>2019</v>
      </c>
      <c r="F222" t="s">
        <v>1951</v>
      </c>
      <c r="G222">
        <v>2020</v>
      </c>
      <c r="H222" t="s">
        <v>1953</v>
      </c>
      <c r="I222" t="s">
        <v>1672</v>
      </c>
      <c r="J222" s="66">
        <v>2045</v>
      </c>
      <c r="P222" s="87"/>
      <c r="R222" s="95">
        <f>$AY$121/$AR$121 * 1000/$AK$90</f>
        <v>34.130518312960668</v>
      </c>
      <c r="S222" s="95">
        <f>$AY$120/$AR$120 * 1000/$AK$90</f>
        <v>57.469135931198494</v>
      </c>
      <c r="T222" s="95">
        <f>$AY$119/$AR$119 * 1000/$AK$90</f>
        <v>56.397812615323204</v>
      </c>
      <c r="U222" s="95">
        <f>$AY$118/$AR$118 * 1000/$AK$90</f>
        <v>25.892499781662341</v>
      </c>
      <c r="W222" s="66" t="s">
        <v>1973</v>
      </c>
      <c r="X222">
        <v>3</v>
      </c>
      <c r="Y222">
        <v>1</v>
      </c>
      <c r="Z222">
        <v>1</v>
      </c>
      <c r="AA222">
        <v>3</v>
      </c>
      <c r="AB222">
        <v>1</v>
      </c>
    </row>
    <row r="223" spans="1:28" x14ac:dyDescent="0.35">
      <c r="A223" t="s">
        <v>1184</v>
      </c>
      <c r="B223" t="s">
        <v>2261</v>
      </c>
      <c r="C223" t="s">
        <v>851</v>
      </c>
      <c r="D223">
        <v>2022</v>
      </c>
      <c r="E223">
        <v>2019</v>
      </c>
      <c r="F223" t="s">
        <v>1951</v>
      </c>
      <c r="G223">
        <v>2020</v>
      </c>
      <c r="H223" t="s">
        <v>1953</v>
      </c>
      <c r="I223" t="s">
        <v>1672</v>
      </c>
      <c r="J223" s="66">
        <v>2050</v>
      </c>
      <c r="P223" s="87"/>
      <c r="S223" s="95">
        <f>$AY$121/$AR$121 * 1000/$AK$90</f>
        <v>34.130518312960668</v>
      </c>
      <c r="T223" s="95">
        <f>$AY$120/$AR$120 * 1000/$AK$90</f>
        <v>57.469135931198494</v>
      </c>
      <c r="U223" s="95">
        <f>$AY$119/$AR$119 * 1000/$AK$90</f>
        <v>56.397812615323204</v>
      </c>
      <c r="V223" s="406">
        <f>$AY$118/$AR$118 * 1000/$AK$90</f>
        <v>25.892499781662341</v>
      </c>
      <c r="W223" s="66" t="s">
        <v>1973</v>
      </c>
      <c r="X223">
        <v>3</v>
      </c>
      <c r="Y223">
        <v>1</v>
      </c>
      <c r="Z223">
        <v>1</v>
      </c>
      <c r="AA223">
        <v>3</v>
      </c>
      <c r="AB223">
        <v>1</v>
      </c>
    </row>
    <row r="224" spans="1:28" x14ac:dyDescent="0.35">
      <c r="A224" t="s">
        <v>1185</v>
      </c>
      <c r="B224" t="s">
        <v>2261</v>
      </c>
      <c r="C224" t="s">
        <v>851</v>
      </c>
      <c r="D224">
        <v>2022</v>
      </c>
      <c r="E224">
        <v>2019</v>
      </c>
      <c r="F224" t="s">
        <v>1951</v>
      </c>
      <c r="G224">
        <v>2020</v>
      </c>
      <c r="H224" t="s">
        <v>1953</v>
      </c>
      <c r="I224" t="s">
        <v>1672</v>
      </c>
      <c r="J224" s="66">
        <v>2021</v>
      </c>
      <c r="P224" s="407">
        <f>$BD$118/$AR$118 * 1000/$AK$90</f>
        <v>24.887045105970916</v>
      </c>
      <c r="W224" s="66" t="s">
        <v>1973</v>
      </c>
      <c r="X224">
        <v>3</v>
      </c>
      <c r="Y224">
        <v>1</v>
      </c>
      <c r="Z224">
        <v>1</v>
      </c>
      <c r="AA224">
        <v>3</v>
      </c>
      <c r="AB224">
        <v>1</v>
      </c>
    </row>
    <row r="225" spans="1:28" x14ac:dyDescent="0.35">
      <c r="A225" t="s">
        <v>1185</v>
      </c>
      <c r="B225" t="s">
        <v>2261</v>
      </c>
      <c r="C225" t="s">
        <v>851</v>
      </c>
      <c r="D225">
        <v>2022</v>
      </c>
      <c r="E225">
        <v>2019</v>
      </c>
      <c r="F225" t="s">
        <v>1951</v>
      </c>
      <c r="G225">
        <v>2020</v>
      </c>
      <c r="H225" t="s">
        <v>1953</v>
      </c>
      <c r="I225" t="s">
        <v>1672</v>
      </c>
      <c r="J225" s="66">
        <v>2025</v>
      </c>
      <c r="P225" s="407">
        <f>$BD$119/$AR$119 * 1000/$AK$90</f>
        <v>54.745647212700383</v>
      </c>
      <c r="Q225" s="95">
        <f>$BD$118/$AR$118 * 1000/$AK$90</f>
        <v>24.887045105970916</v>
      </c>
      <c r="W225" s="66" t="s">
        <v>1973</v>
      </c>
      <c r="X225">
        <v>3</v>
      </c>
      <c r="Y225">
        <v>1</v>
      </c>
      <c r="Z225">
        <v>1</v>
      </c>
      <c r="AA225">
        <v>3</v>
      </c>
      <c r="AB225">
        <v>1</v>
      </c>
    </row>
    <row r="226" spans="1:28" x14ac:dyDescent="0.35">
      <c r="A226" t="s">
        <v>1185</v>
      </c>
      <c r="B226" t="s">
        <v>2261</v>
      </c>
      <c r="C226" t="s">
        <v>851</v>
      </c>
      <c r="D226">
        <v>2022</v>
      </c>
      <c r="E226">
        <v>2019</v>
      </c>
      <c r="F226" t="s">
        <v>1951</v>
      </c>
      <c r="G226">
        <v>2020</v>
      </c>
      <c r="H226" t="s">
        <v>1953</v>
      </c>
      <c r="I226" t="s">
        <v>1672</v>
      </c>
      <c r="J226" s="66">
        <v>2030</v>
      </c>
      <c r="P226" s="407">
        <f>$BD$120/$AR$120 * 1000/$AK$90</f>
        <v>37.052812288296948</v>
      </c>
      <c r="Q226" s="95">
        <f>$BD$119/$AR$119 * 1000/$AK$90</f>
        <v>54.745647212700383</v>
      </c>
      <c r="R226" s="95">
        <f>$BD$118/$AR$118 * 1000/$AK$90</f>
        <v>24.887045105970916</v>
      </c>
      <c r="W226" s="66" t="s">
        <v>1973</v>
      </c>
      <c r="X226">
        <v>3</v>
      </c>
      <c r="Y226">
        <v>1</v>
      </c>
      <c r="Z226">
        <v>1</v>
      </c>
      <c r="AA226">
        <v>3</v>
      </c>
      <c r="AB226">
        <v>1</v>
      </c>
    </row>
    <row r="227" spans="1:28" x14ac:dyDescent="0.35">
      <c r="A227" t="s">
        <v>1185</v>
      </c>
      <c r="B227" t="s">
        <v>2261</v>
      </c>
      <c r="C227" t="s">
        <v>851</v>
      </c>
      <c r="D227">
        <v>2022</v>
      </c>
      <c r="E227">
        <v>2019</v>
      </c>
      <c r="F227" t="s">
        <v>1951</v>
      </c>
      <c r="G227">
        <v>2020</v>
      </c>
      <c r="H227" t="s">
        <v>1953</v>
      </c>
      <c r="I227" t="s">
        <v>1672</v>
      </c>
      <c r="J227" s="66">
        <v>2035</v>
      </c>
      <c r="P227" s="407">
        <f>$BD$121/$AR$121 * 1000/$AK$90</f>
        <v>62.680365735690025</v>
      </c>
      <c r="Q227" s="95">
        <f>$BD$120/$AR$120 * 1000/$AK$90</f>
        <v>37.052812288296948</v>
      </c>
      <c r="R227" s="95">
        <f>$BD$119/$AR$119 * 1000/$AK$90</f>
        <v>54.745647212700383</v>
      </c>
      <c r="S227" s="95">
        <f>$BD$118/$AR$118 * 1000/$AK$90</f>
        <v>24.887045105970916</v>
      </c>
      <c r="W227" s="66" t="s">
        <v>1973</v>
      </c>
      <c r="X227">
        <v>3</v>
      </c>
      <c r="Y227">
        <v>1</v>
      </c>
      <c r="Z227">
        <v>1</v>
      </c>
      <c r="AA227">
        <v>3</v>
      </c>
      <c r="AB227">
        <v>1</v>
      </c>
    </row>
    <row r="228" spans="1:28" x14ac:dyDescent="0.35">
      <c r="A228" t="s">
        <v>1185</v>
      </c>
      <c r="B228" t="s">
        <v>2261</v>
      </c>
      <c r="C228" t="s">
        <v>851</v>
      </c>
      <c r="D228">
        <v>2022</v>
      </c>
      <c r="E228">
        <v>2019</v>
      </c>
      <c r="F228" t="s">
        <v>1951</v>
      </c>
      <c r="G228">
        <v>2020</v>
      </c>
      <c r="H228" t="s">
        <v>1953</v>
      </c>
      <c r="I228" t="s">
        <v>1672</v>
      </c>
      <c r="J228" s="66">
        <v>2040</v>
      </c>
      <c r="P228" s="87"/>
      <c r="Q228" s="95">
        <f>$BD$121/$AR$121 * 1000/$AK$90</f>
        <v>62.680365735690025</v>
      </c>
      <c r="R228" s="95">
        <f>$BD$120/$AR$120 * 1000/$AK$90</f>
        <v>37.052812288296948</v>
      </c>
      <c r="S228" s="95">
        <f>$BD$119/$AR$119 * 1000/$AK$90</f>
        <v>54.745647212700383</v>
      </c>
      <c r="T228" s="95">
        <f>$BD$118/$AR$118 * 1000/$AK$90</f>
        <v>24.887045105970916</v>
      </c>
      <c r="W228" s="66" t="s">
        <v>1973</v>
      </c>
      <c r="X228">
        <v>3</v>
      </c>
      <c r="Y228">
        <v>1</v>
      </c>
      <c r="Z228">
        <v>1</v>
      </c>
      <c r="AA228">
        <v>3</v>
      </c>
      <c r="AB228">
        <v>1</v>
      </c>
    </row>
    <row r="229" spans="1:28" x14ac:dyDescent="0.35">
      <c r="A229" t="s">
        <v>1185</v>
      </c>
      <c r="B229" t="s">
        <v>2261</v>
      </c>
      <c r="C229" t="s">
        <v>851</v>
      </c>
      <c r="D229">
        <v>2022</v>
      </c>
      <c r="E229">
        <v>2019</v>
      </c>
      <c r="F229" t="s">
        <v>1951</v>
      </c>
      <c r="G229">
        <v>2020</v>
      </c>
      <c r="H229" t="s">
        <v>1953</v>
      </c>
      <c r="I229" t="s">
        <v>1672</v>
      </c>
      <c r="J229" s="66">
        <v>2045</v>
      </c>
      <c r="P229" s="87"/>
      <c r="R229" s="95">
        <f>$BD$121/$AR$121 * 1000/$AK$90</f>
        <v>62.680365735690025</v>
      </c>
      <c r="S229" s="95">
        <f>$BD$120/$AR$120 * 1000/$AK$90</f>
        <v>37.052812288296948</v>
      </c>
      <c r="T229" s="95">
        <f>$BD$119/$AR$119 * 1000/$AK$90</f>
        <v>54.745647212700383</v>
      </c>
      <c r="U229" s="95">
        <f>$BD$118/$AR$118 * 1000/$AK$90</f>
        <v>24.887045105970916</v>
      </c>
      <c r="W229" s="66" t="s">
        <v>1973</v>
      </c>
      <c r="X229">
        <v>3</v>
      </c>
      <c r="Y229">
        <v>1</v>
      </c>
      <c r="Z229">
        <v>1</v>
      </c>
      <c r="AA229">
        <v>3</v>
      </c>
      <c r="AB229">
        <v>1</v>
      </c>
    </row>
    <row r="230" spans="1:28" x14ac:dyDescent="0.35">
      <c r="A230" t="s">
        <v>1185</v>
      </c>
      <c r="B230" t="s">
        <v>2261</v>
      </c>
      <c r="C230" t="s">
        <v>851</v>
      </c>
      <c r="D230">
        <v>2022</v>
      </c>
      <c r="E230">
        <v>2019</v>
      </c>
      <c r="F230" t="s">
        <v>1951</v>
      </c>
      <c r="G230">
        <v>2020</v>
      </c>
      <c r="H230" t="s">
        <v>1953</v>
      </c>
      <c r="I230" t="s">
        <v>1672</v>
      </c>
      <c r="J230" s="66">
        <v>2050</v>
      </c>
      <c r="P230" s="87"/>
      <c r="S230" s="95">
        <f>$BD$121/$AR$121 * 1000/$AK$90</f>
        <v>62.680365735690025</v>
      </c>
      <c r="T230" s="95">
        <f>$BD$120/$AR$120 * 1000/$AK$90</f>
        <v>37.052812288296948</v>
      </c>
      <c r="U230" s="95">
        <f>$BD$119/$AR$119 * 1000/$AK$90</f>
        <v>54.745647212700383</v>
      </c>
      <c r="V230" s="406">
        <f>$BD$118/$AR$118 * 1000/$AK$90</f>
        <v>24.887045105970916</v>
      </c>
      <c r="W230" s="66" t="s">
        <v>1973</v>
      </c>
      <c r="X230">
        <v>3</v>
      </c>
      <c r="Y230">
        <v>1</v>
      </c>
      <c r="Z230">
        <v>1</v>
      </c>
      <c r="AA230">
        <v>3</v>
      </c>
      <c r="AB230">
        <v>1</v>
      </c>
    </row>
    <row r="231" spans="1:28" x14ac:dyDescent="0.35">
      <c r="A231" t="s">
        <v>1186</v>
      </c>
      <c r="B231" t="s">
        <v>2261</v>
      </c>
      <c r="C231" t="s">
        <v>851</v>
      </c>
      <c r="D231">
        <v>2022</v>
      </c>
      <c r="E231">
        <v>2019</v>
      </c>
      <c r="F231" t="s">
        <v>1951</v>
      </c>
      <c r="G231">
        <v>2020</v>
      </c>
      <c r="H231" t="s">
        <v>1953</v>
      </c>
      <c r="I231" t="s">
        <v>1672</v>
      </c>
      <c r="J231" s="66">
        <v>2021</v>
      </c>
      <c r="P231" s="407">
        <f>$BE$118/$AR$118 * 1000/$AK$90</f>
        <v>23.663508189807668</v>
      </c>
      <c r="W231" s="66" t="s">
        <v>1973</v>
      </c>
      <c r="X231">
        <v>3</v>
      </c>
      <c r="Y231">
        <v>1</v>
      </c>
      <c r="Z231">
        <v>1</v>
      </c>
      <c r="AA231">
        <v>3</v>
      </c>
      <c r="AB231">
        <v>1</v>
      </c>
    </row>
    <row r="232" spans="1:28" x14ac:dyDescent="0.35">
      <c r="A232" t="s">
        <v>1186</v>
      </c>
      <c r="B232" t="s">
        <v>2261</v>
      </c>
      <c r="C232" t="s">
        <v>851</v>
      </c>
      <c r="D232">
        <v>2022</v>
      </c>
      <c r="E232">
        <v>2019</v>
      </c>
      <c r="F232" t="s">
        <v>1951</v>
      </c>
      <c r="G232">
        <v>2020</v>
      </c>
      <c r="H232" t="s">
        <v>1953</v>
      </c>
      <c r="I232" t="s">
        <v>1672</v>
      </c>
      <c r="J232" s="66">
        <v>2025</v>
      </c>
      <c r="P232" s="407">
        <f>$BE$119/$AR$119 * 1000/$AK$90</f>
        <v>49.207563669664907</v>
      </c>
      <c r="Q232" s="95">
        <f>$BE$118/$AR$118 * 1000/$AK$90</f>
        <v>23.663508189807668</v>
      </c>
      <c r="W232" s="66" t="s">
        <v>1973</v>
      </c>
      <c r="X232">
        <v>3</v>
      </c>
      <c r="Y232">
        <v>1</v>
      </c>
      <c r="Z232">
        <v>1</v>
      </c>
      <c r="AA232">
        <v>3</v>
      </c>
      <c r="AB232">
        <v>1</v>
      </c>
    </row>
    <row r="233" spans="1:28" x14ac:dyDescent="0.35">
      <c r="A233" t="s">
        <v>1186</v>
      </c>
      <c r="B233" t="s">
        <v>2261</v>
      </c>
      <c r="C233" t="s">
        <v>851</v>
      </c>
      <c r="D233">
        <v>2022</v>
      </c>
      <c r="E233">
        <v>2019</v>
      </c>
      <c r="F233" t="s">
        <v>1951</v>
      </c>
      <c r="G233">
        <v>2020</v>
      </c>
      <c r="H233" t="s">
        <v>1953</v>
      </c>
      <c r="I233" t="s">
        <v>1672</v>
      </c>
      <c r="J233" s="66">
        <v>2030</v>
      </c>
      <c r="P233" s="407">
        <f>$BE$120/$AR$120 * 1000/$AK$90</f>
        <v>42.234641577550555</v>
      </c>
      <c r="Q233" s="95">
        <f>$BE$119/$AR$119 * 1000/$AK$90</f>
        <v>49.207563669664907</v>
      </c>
      <c r="R233" s="95">
        <f>$BE$118/$AR$118 * 1000/$AK$90</f>
        <v>23.663508189807668</v>
      </c>
      <c r="W233" s="66" t="s">
        <v>1973</v>
      </c>
      <c r="X233">
        <v>3</v>
      </c>
      <c r="Y233">
        <v>1</v>
      </c>
      <c r="Z233">
        <v>1</v>
      </c>
      <c r="AA233">
        <v>3</v>
      </c>
      <c r="AB233">
        <v>1</v>
      </c>
    </row>
    <row r="234" spans="1:28" x14ac:dyDescent="0.35">
      <c r="A234" t="s">
        <v>1186</v>
      </c>
      <c r="B234" t="s">
        <v>2261</v>
      </c>
      <c r="C234" t="s">
        <v>851</v>
      </c>
      <c r="D234">
        <v>2022</v>
      </c>
      <c r="E234">
        <v>2019</v>
      </c>
      <c r="F234" t="s">
        <v>1951</v>
      </c>
      <c r="G234">
        <v>2020</v>
      </c>
      <c r="H234" t="s">
        <v>1953</v>
      </c>
      <c r="I234" t="s">
        <v>1672</v>
      </c>
      <c r="J234" s="66">
        <v>2035</v>
      </c>
      <c r="P234" s="407">
        <f>$BE$121/$AR$121 * 1000/$AK$90</f>
        <v>62.217406357147318</v>
      </c>
      <c r="Q234" s="95">
        <f>$BE$120/$AR$120 * 1000/$AK$90</f>
        <v>42.234641577550555</v>
      </c>
      <c r="R234" s="95">
        <f>$BE$119/$AR$119 * 1000/$AK$90</f>
        <v>49.207563669664907</v>
      </c>
      <c r="S234" s="95">
        <f>$BE$118/$AR$118 * 1000/$AK$90</f>
        <v>23.663508189807668</v>
      </c>
      <c r="W234" s="66" t="s">
        <v>1973</v>
      </c>
      <c r="X234">
        <v>3</v>
      </c>
      <c r="Y234">
        <v>1</v>
      </c>
      <c r="Z234">
        <v>1</v>
      </c>
      <c r="AA234">
        <v>3</v>
      </c>
      <c r="AB234">
        <v>1</v>
      </c>
    </row>
    <row r="235" spans="1:28" x14ac:dyDescent="0.35">
      <c r="A235" t="s">
        <v>1186</v>
      </c>
      <c r="B235" t="s">
        <v>2261</v>
      </c>
      <c r="C235" t="s">
        <v>851</v>
      </c>
      <c r="D235">
        <v>2022</v>
      </c>
      <c r="E235">
        <v>2019</v>
      </c>
      <c r="F235" t="s">
        <v>1951</v>
      </c>
      <c r="G235">
        <v>2020</v>
      </c>
      <c r="H235" t="s">
        <v>1953</v>
      </c>
      <c r="I235" t="s">
        <v>1672</v>
      </c>
      <c r="J235" s="66">
        <v>2040</v>
      </c>
      <c r="P235" s="87"/>
      <c r="Q235" s="95">
        <f>$BE$121/$AR$121 * 1000/$AK$90</f>
        <v>62.217406357147318</v>
      </c>
      <c r="R235" s="95">
        <f>$BE$120/$AR$120 * 1000/$AK$90</f>
        <v>42.234641577550555</v>
      </c>
      <c r="S235" s="95">
        <f>$BE$119/$AR$119 * 1000/$AK$90</f>
        <v>49.207563669664907</v>
      </c>
      <c r="T235" s="95">
        <f>$BE$118/$AR$118 * 1000/$AK$90</f>
        <v>23.663508189807668</v>
      </c>
      <c r="W235" s="66" t="s">
        <v>1973</v>
      </c>
      <c r="X235">
        <v>3</v>
      </c>
      <c r="Y235">
        <v>1</v>
      </c>
      <c r="Z235">
        <v>1</v>
      </c>
      <c r="AA235">
        <v>3</v>
      </c>
      <c r="AB235">
        <v>1</v>
      </c>
    </row>
    <row r="236" spans="1:28" x14ac:dyDescent="0.35">
      <c r="A236" t="s">
        <v>1186</v>
      </c>
      <c r="B236" t="s">
        <v>2261</v>
      </c>
      <c r="C236" t="s">
        <v>851</v>
      </c>
      <c r="D236">
        <v>2022</v>
      </c>
      <c r="E236">
        <v>2019</v>
      </c>
      <c r="F236" t="s">
        <v>1951</v>
      </c>
      <c r="G236">
        <v>2020</v>
      </c>
      <c r="H236" t="s">
        <v>1953</v>
      </c>
      <c r="I236" t="s">
        <v>1672</v>
      </c>
      <c r="J236" s="66">
        <v>2045</v>
      </c>
      <c r="P236" s="87"/>
      <c r="R236" s="95">
        <f>$BE$121/$AR$121 * 1000/$AK$90</f>
        <v>62.217406357147318</v>
      </c>
      <c r="S236" s="95">
        <f>$BE$120/$AR$120 * 1000/$AK$90</f>
        <v>42.234641577550555</v>
      </c>
      <c r="T236" s="95">
        <f>$BE$119/$AR$119 * 1000/$AK$90</f>
        <v>49.207563669664907</v>
      </c>
      <c r="U236" s="95">
        <f>$BE$118/$AR$118 * 1000/$AK$90</f>
        <v>23.663508189807668</v>
      </c>
      <c r="W236" s="66" t="s">
        <v>1973</v>
      </c>
      <c r="X236">
        <v>3</v>
      </c>
      <c r="Y236">
        <v>1</v>
      </c>
      <c r="Z236">
        <v>1</v>
      </c>
      <c r="AA236">
        <v>3</v>
      </c>
      <c r="AB236">
        <v>1</v>
      </c>
    </row>
    <row r="237" spans="1:28" x14ac:dyDescent="0.35">
      <c r="A237" t="s">
        <v>1186</v>
      </c>
      <c r="B237" t="s">
        <v>2261</v>
      </c>
      <c r="C237" t="s">
        <v>851</v>
      </c>
      <c r="D237">
        <v>2022</v>
      </c>
      <c r="E237">
        <v>2019</v>
      </c>
      <c r="F237" t="s">
        <v>1951</v>
      </c>
      <c r="G237">
        <v>2020</v>
      </c>
      <c r="H237" t="s">
        <v>1953</v>
      </c>
      <c r="I237" t="s">
        <v>1672</v>
      </c>
      <c r="J237" s="66">
        <v>2050</v>
      </c>
      <c r="P237" s="87"/>
      <c r="S237" s="95">
        <f>$BE$121/$AR$121 * 1000/$AK$90</f>
        <v>62.217406357147318</v>
      </c>
      <c r="T237" s="95">
        <f>$BE$120/$AR$120 * 1000/$AK$90</f>
        <v>42.234641577550555</v>
      </c>
      <c r="U237" s="95">
        <f>$BE$119/$AR$119 * 1000/$AK$90</f>
        <v>49.207563669664907</v>
      </c>
      <c r="V237" s="406">
        <f>$BE$118/$AR$118 * 1000/$AK$90</f>
        <v>23.663508189807668</v>
      </c>
      <c r="W237" s="66" t="s">
        <v>1973</v>
      </c>
      <c r="X237">
        <v>3</v>
      </c>
      <c r="Y237">
        <v>1</v>
      </c>
      <c r="Z237">
        <v>1</v>
      </c>
      <c r="AA237">
        <v>3</v>
      </c>
      <c r="AB237">
        <v>1</v>
      </c>
    </row>
    <row r="238" spans="1:28" x14ac:dyDescent="0.35">
      <c r="A238" t="s">
        <v>1187</v>
      </c>
      <c r="B238" t="s">
        <v>2261</v>
      </c>
      <c r="C238" t="s">
        <v>851</v>
      </c>
      <c r="D238">
        <v>2022</v>
      </c>
      <c r="E238">
        <v>2019</v>
      </c>
      <c r="F238" t="s">
        <v>1951</v>
      </c>
      <c r="G238">
        <v>2020</v>
      </c>
      <c r="H238" t="s">
        <v>1953</v>
      </c>
      <c r="I238" t="s">
        <v>1672</v>
      </c>
      <c r="J238" s="66">
        <v>2021</v>
      </c>
      <c r="P238" s="407">
        <f>$BA$118/$AR$118 * 1000/$AK$90</f>
        <v>24.010710080169012</v>
      </c>
      <c r="W238" s="66" t="s">
        <v>1973</v>
      </c>
      <c r="X238">
        <v>3</v>
      </c>
      <c r="Y238">
        <v>1</v>
      </c>
      <c r="Z238">
        <v>1</v>
      </c>
      <c r="AA238">
        <v>3</v>
      </c>
      <c r="AB238">
        <v>1</v>
      </c>
    </row>
    <row r="239" spans="1:28" x14ac:dyDescent="0.35">
      <c r="A239" t="s">
        <v>1187</v>
      </c>
      <c r="B239" t="s">
        <v>2261</v>
      </c>
      <c r="C239" t="s">
        <v>851</v>
      </c>
      <c r="D239">
        <v>2022</v>
      </c>
      <c r="E239">
        <v>2019</v>
      </c>
      <c r="F239" t="s">
        <v>1951</v>
      </c>
      <c r="G239">
        <v>2020</v>
      </c>
      <c r="H239" t="s">
        <v>1953</v>
      </c>
      <c r="I239" t="s">
        <v>1672</v>
      </c>
      <c r="J239" s="66">
        <v>2025</v>
      </c>
      <c r="P239" s="407">
        <f>$BA$119/$AR$119 * 1000/$AK$90</f>
        <v>50.542711713089105</v>
      </c>
      <c r="Q239" s="95">
        <f>$BA$118/$AR$118 * 1000/$AK$90</f>
        <v>24.010710080169012</v>
      </c>
      <c r="W239" s="66" t="s">
        <v>1973</v>
      </c>
      <c r="X239">
        <v>3</v>
      </c>
      <c r="Y239">
        <v>1</v>
      </c>
      <c r="Z239">
        <v>1</v>
      </c>
      <c r="AA239">
        <v>3</v>
      </c>
      <c r="AB239">
        <v>1</v>
      </c>
    </row>
    <row r="240" spans="1:28" x14ac:dyDescent="0.35">
      <c r="A240" t="s">
        <v>1187</v>
      </c>
      <c r="B240" t="s">
        <v>2261</v>
      </c>
      <c r="C240" t="s">
        <v>851</v>
      </c>
      <c r="D240">
        <v>2022</v>
      </c>
      <c r="E240">
        <v>2019</v>
      </c>
      <c r="F240" t="s">
        <v>1951</v>
      </c>
      <c r="G240">
        <v>2020</v>
      </c>
      <c r="H240" t="s">
        <v>1953</v>
      </c>
      <c r="I240" t="s">
        <v>1672</v>
      </c>
      <c r="J240" s="66">
        <v>2030</v>
      </c>
      <c r="P240" s="407">
        <f>$BA$120/$AR$120 * 1000/$AK$90</f>
        <v>43.955517884189121</v>
      </c>
      <c r="Q240" s="95">
        <f>$BA$119/$AR$119 * 1000/$AK$90</f>
        <v>50.542711713089105</v>
      </c>
      <c r="R240" s="95">
        <f>$BA$118/$AR$118 * 1000/$AK$90</f>
        <v>24.010710080169012</v>
      </c>
      <c r="W240" s="66" t="s">
        <v>1973</v>
      </c>
      <c r="X240">
        <v>3</v>
      </c>
      <c r="Y240">
        <v>1</v>
      </c>
      <c r="Z240">
        <v>1</v>
      </c>
      <c r="AA240">
        <v>3</v>
      </c>
      <c r="AB240">
        <v>1</v>
      </c>
    </row>
    <row r="241" spans="1:28" x14ac:dyDescent="0.35">
      <c r="A241" t="s">
        <v>1187</v>
      </c>
      <c r="B241" t="s">
        <v>2261</v>
      </c>
      <c r="C241" t="s">
        <v>851</v>
      </c>
      <c r="D241">
        <v>2022</v>
      </c>
      <c r="E241">
        <v>2019</v>
      </c>
      <c r="F241" t="s">
        <v>1951</v>
      </c>
      <c r="G241">
        <v>2020</v>
      </c>
      <c r="H241" t="s">
        <v>1953</v>
      </c>
      <c r="I241" t="s">
        <v>1672</v>
      </c>
      <c r="J241" s="66">
        <v>2035</v>
      </c>
      <c r="P241" s="407">
        <f>$BA$121/$AR$121 * 1000/$AK$90</f>
        <v>64.067480223500837</v>
      </c>
      <c r="Q241" s="95">
        <f>$BA$120/$AR$120 * 1000/$AK$90</f>
        <v>43.955517884189121</v>
      </c>
      <c r="R241" s="95">
        <f>$BA$119/$AR$119 * 1000/$AK$90</f>
        <v>50.542711713089105</v>
      </c>
      <c r="S241" s="95">
        <f>$BA$118/$AR$118 * 1000/$AK$90</f>
        <v>24.010710080169012</v>
      </c>
      <c r="W241" s="66" t="s">
        <v>1973</v>
      </c>
      <c r="X241">
        <v>3</v>
      </c>
      <c r="Y241">
        <v>1</v>
      </c>
      <c r="Z241">
        <v>1</v>
      </c>
      <c r="AA241">
        <v>3</v>
      </c>
      <c r="AB241">
        <v>1</v>
      </c>
    </row>
    <row r="242" spans="1:28" x14ac:dyDescent="0.35">
      <c r="A242" t="s">
        <v>1187</v>
      </c>
      <c r="B242" t="s">
        <v>2261</v>
      </c>
      <c r="C242" t="s">
        <v>851</v>
      </c>
      <c r="D242">
        <v>2022</v>
      </c>
      <c r="E242">
        <v>2019</v>
      </c>
      <c r="F242" t="s">
        <v>1951</v>
      </c>
      <c r="G242">
        <v>2020</v>
      </c>
      <c r="H242" t="s">
        <v>1953</v>
      </c>
      <c r="I242" t="s">
        <v>1672</v>
      </c>
      <c r="J242" s="66">
        <v>2040</v>
      </c>
      <c r="P242" s="87"/>
      <c r="Q242" s="95">
        <f>$BA$121/$AR$121 * 1000/$AK$90</f>
        <v>64.067480223500837</v>
      </c>
      <c r="R242" s="95">
        <f>$BA$120/$AR$120 * 1000/$AK$90</f>
        <v>43.955517884189121</v>
      </c>
      <c r="S242" s="95">
        <f>$BA$119/$AR$119 * 1000/$AK$90</f>
        <v>50.542711713089105</v>
      </c>
      <c r="T242" s="95">
        <f>$BA$118/$AR$118 * 1000/$AK$90</f>
        <v>24.010710080169012</v>
      </c>
      <c r="W242" s="66" t="s">
        <v>1973</v>
      </c>
      <c r="X242">
        <v>3</v>
      </c>
      <c r="Y242">
        <v>1</v>
      </c>
      <c r="Z242">
        <v>1</v>
      </c>
      <c r="AA242">
        <v>3</v>
      </c>
      <c r="AB242">
        <v>1</v>
      </c>
    </row>
    <row r="243" spans="1:28" x14ac:dyDescent="0.35">
      <c r="A243" t="s">
        <v>1187</v>
      </c>
      <c r="B243" t="s">
        <v>2261</v>
      </c>
      <c r="C243" t="s">
        <v>851</v>
      </c>
      <c r="D243">
        <v>2022</v>
      </c>
      <c r="E243">
        <v>2019</v>
      </c>
      <c r="F243" t="s">
        <v>1951</v>
      </c>
      <c r="G243">
        <v>2020</v>
      </c>
      <c r="H243" t="s">
        <v>1953</v>
      </c>
      <c r="I243" t="s">
        <v>1672</v>
      </c>
      <c r="J243" s="66">
        <v>2045</v>
      </c>
      <c r="P243" s="87"/>
      <c r="R243" s="95">
        <f>$BA$121/$AR$121 * 1000/$AK$90</f>
        <v>64.067480223500837</v>
      </c>
      <c r="S243" s="95">
        <f>$BA$120/$AR$120 * 1000/$AK$90</f>
        <v>43.955517884189121</v>
      </c>
      <c r="T243" s="95">
        <f>$BA$119/$AR$119 * 1000/$AK$90</f>
        <v>50.542711713089105</v>
      </c>
      <c r="U243" s="95">
        <f>$BA$118/$AR$118 * 1000/$AK$90</f>
        <v>24.010710080169012</v>
      </c>
      <c r="W243" s="66" t="s">
        <v>1973</v>
      </c>
      <c r="X243">
        <v>3</v>
      </c>
      <c r="Y243">
        <v>1</v>
      </c>
      <c r="Z243">
        <v>1</v>
      </c>
      <c r="AA243">
        <v>3</v>
      </c>
      <c r="AB243">
        <v>1</v>
      </c>
    </row>
    <row r="244" spans="1:28" x14ac:dyDescent="0.35">
      <c r="A244" t="s">
        <v>1187</v>
      </c>
      <c r="B244" t="s">
        <v>2261</v>
      </c>
      <c r="C244" t="s">
        <v>851</v>
      </c>
      <c r="D244">
        <v>2022</v>
      </c>
      <c r="E244">
        <v>2019</v>
      </c>
      <c r="F244" t="s">
        <v>1951</v>
      </c>
      <c r="G244">
        <v>2020</v>
      </c>
      <c r="H244" t="s">
        <v>1953</v>
      </c>
      <c r="I244" t="s">
        <v>1672</v>
      </c>
      <c r="J244" s="66">
        <v>2050</v>
      </c>
      <c r="P244" s="87"/>
      <c r="S244" s="95">
        <f>$BA$121/$AR$121 * 1000/$AK$90</f>
        <v>64.067480223500837</v>
      </c>
      <c r="T244" s="95">
        <f>$BA$120/$AR$120 * 1000/$AK$90</f>
        <v>43.955517884189121</v>
      </c>
      <c r="U244" s="95">
        <f>$BA$119/$AR$119 * 1000/$AK$90</f>
        <v>50.542711713089105</v>
      </c>
      <c r="V244" s="406">
        <f>$BA$118/$AR$118 * 1000/$AK$90</f>
        <v>24.010710080169012</v>
      </c>
      <c r="W244" s="66" t="s">
        <v>1973</v>
      </c>
      <c r="X244">
        <v>3</v>
      </c>
      <c r="Y244">
        <v>1</v>
      </c>
      <c r="Z244">
        <v>1</v>
      </c>
      <c r="AA244">
        <v>3</v>
      </c>
      <c r="AB244">
        <v>1</v>
      </c>
    </row>
    <row r="245" spans="1:28" x14ac:dyDescent="0.35">
      <c r="A245" t="s">
        <v>1188</v>
      </c>
      <c r="B245" t="s">
        <v>2261</v>
      </c>
      <c r="C245" t="s">
        <v>851</v>
      </c>
      <c r="D245">
        <v>2022</v>
      </c>
      <c r="E245">
        <v>2019</v>
      </c>
      <c r="F245" t="s">
        <v>1951</v>
      </c>
      <c r="G245">
        <v>2020</v>
      </c>
      <c r="H245" t="s">
        <v>1953</v>
      </c>
      <c r="I245" t="s">
        <v>1672</v>
      </c>
      <c r="J245" s="66">
        <v>2021</v>
      </c>
      <c r="P245" s="407">
        <f>$AT$118/$AR$118 * 1000/$AK$90</f>
        <v>17.489798937008015</v>
      </c>
      <c r="W245" s="66" t="s">
        <v>1973</v>
      </c>
      <c r="X245">
        <v>3</v>
      </c>
      <c r="Y245">
        <v>1</v>
      </c>
      <c r="Z245">
        <v>1</v>
      </c>
      <c r="AA245">
        <v>3</v>
      </c>
      <c r="AB245">
        <v>1</v>
      </c>
    </row>
    <row r="246" spans="1:28" x14ac:dyDescent="0.35">
      <c r="A246" t="s">
        <v>1188</v>
      </c>
      <c r="B246" t="s">
        <v>2261</v>
      </c>
      <c r="C246" t="s">
        <v>851</v>
      </c>
      <c r="D246">
        <v>2022</v>
      </c>
      <c r="E246">
        <v>2019</v>
      </c>
      <c r="F246" t="s">
        <v>1951</v>
      </c>
      <c r="G246">
        <v>2020</v>
      </c>
      <c r="H246" t="s">
        <v>1953</v>
      </c>
      <c r="I246" t="s">
        <v>1672</v>
      </c>
      <c r="J246" s="66">
        <v>2025</v>
      </c>
      <c r="P246" s="407">
        <f>$AT$119/$AR$119 * 1000/$AK$90</f>
        <v>30.983260963680458</v>
      </c>
      <c r="Q246" s="95">
        <f>$AT$118/$AR$118 * 1000/$AK$90</f>
        <v>17.489798937008015</v>
      </c>
      <c r="W246" s="66" t="s">
        <v>1973</v>
      </c>
      <c r="X246">
        <v>3</v>
      </c>
      <c r="Y246">
        <v>1</v>
      </c>
      <c r="Z246">
        <v>1</v>
      </c>
      <c r="AA246">
        <v>3</v>
      </c>
      <c r="AB246">
        <v>1</v>
      </c>
    </row>
    <row r="247" spans="1:28" x14ac:dyDescent="0.35">
      <c r="A247" t="s">
        <v>1188</v>
      </c>
      <c r="B247" t="s">
        <v>2261</v>
      </c>
      <c r="C247" t="s">
        <v>851</v>
      </c>
      <c r="D247">
        <v>2022</v>
      </c>
      <c r="E247">
        <v>2019</v>
      </c>
      <c r="F247" t="s">
        <v>1951</v>
      </c>
      <c r="G247">
        <v>2020</v>
      </c>
      <c r="H247" t="s">
        <v>1953</v>
      </c>
      <c r="I247" t="s">
        <v>1672</v>
      </c>
      <c r="J247" s="66">
        <v>2030</v>
      </c>
      <c r="P247" s="407">
        <f>$AT$120/$AR$120 * 1000/$AK$90</f>
        <v>31.894807903026908</v>
      </c>
      <c r="Q247" s="95">
        <f>$AT$119/$AR$119 * 1000/$AK$90</f>
        <v>30.983260963680458</v>
      </c>
      <c r="R247" s="95">
        <f>$AT$118/$AR$118 * 1000/$AK$90</f>
        <v>17.489798937008015</v>
      </c>
      <c r="W247" s="66" t="s">
        <v>1973</v>
      </c>
      <c r="X247">
        <v>3</v>
      </c>
      <c r="Y247">
        <v>1</v>
      </c>
      <c r="Z247">
        <v>1</v>
      </c>
      <c r="AA247">
        <v>3</v>
      </c>
      <c r="AB247">
        <v>1</v>
      </c>
    </row>
    <row r="248" spans="1:28" x14ac:dyDescent="0.35">
      <c r="A248" t="s">
        <v>1188</v>
      </c>
      <c r="B248" t="s">
        <v>2261</v>
      </c>
      <c r="C248" t="s">
        <v>851</v>
      </c>
      <c r="D248">
        <v>2022</v>
      </c>
      <c r="E248">
        <v>2019</v>
      </c>
      <c r="F248" t="s">
        <v>1951</v>
      </c>
      <c r="G248">
        <v>2020</v>
      </c>
      <c r="H248" t="s">
        <v>1953</v>
      </c>
      <c r="I248" t="s">
        <v>1672</v>
      </c>
      <c r="J248" s="66">
        <v>2035</v>
      </c>
      <c r="P248" s="407">
        <f>$AT$121/$AR$121 * 1000/$AK$90</f>
        <v>22.512760269793521</v>
      </c>
      <c r="Q248" s="95">
        <f>$AT$120/$AR$120 * 1000/$AK$90</f>
        <v>31.894807903026908</v>
      </c>
      <c r="R248" s="95">
        <f>$AT$119/$AR$119 * 1000/$AK$90</f>
        <v>30.983260963680458</v>
      </c>
      <c r="S248" s="95">
        <f>$AT$118/$AR$118 * 1000/$AK$90</f>
        <v>17.489798937008015</v>
      </c>
      <c r="W248" s="66" t="s">
        <v>1973</v>
      </c>
      <c r="X248">
        <v>3</v>
      </c>
      <c r="Y248">
        <v>1</v>
      </c>
      <c r="Z248">
        <v>1</v>
      </c>
      <c r="AA248">
        <v>3</v>
      </c>
      <c r="AB248">
        <v>1</v>
      </c>
    </row>
    <row r="249" spans="1:28" x14ac:dyDescent="0.35">
      <c r="A249" t="s">
        <v>1188</v>
      </c>
      <c r="B249" t="s">
        <v>2261</v>
      </c>
      <c r="C249" t="s">
        <v>851</v>
      </c>
      <c r="D249">
        <v>2022</v>
      </c>
      <c r="E249">
        <v>2019</v>
      </c>
      <c r="F249" t="s">
        <v>1951</v>
      </c>
      <c r="G249">
        <v>2020</v>
      </c>
      <c r="H249" t="s">
        <v>1953</v>
      </c>
      <c r="I249" t="s">
        <v>1672</v>
      </c>
      <c r="J249" s="66">
        <v>2040</v>
      </c>
      <c r="P249" s="87"/>
      <c r="Q249" s="95">
        <f>$AT$121/$AR$121 * 1000/$AK$90</f>
        <v>22.512760269793521</v>
      </c>
      <c r="R249" s="95">
        <f>$AT$120/$AR$120 * 1000/$AK$90</f>
        <v>31.894807903026908</v>
      </c>
      <c r="S249" s="95">
        <f>$AT$119/$AR$119 * 1000/$AK$90</f>
        <v>30.983260963680458</v>
      </c>
      <c r="T249" s="95">
        <f>$AT$118/$AR$118 * 1000/$AK$90</f>
        <v>17.489798937008015</v>
      </c>
      <c r="W249" s="66" t="s">
        <v>1973</v>
      </c>
      <c r="X249">
        <v>3</v>
      </c>
      <c r="Y249">
        <v>1</v>
      </c>
      <c r="Z249">
        <v>1</v>
      </c>
      <c r="AA249">
        <v>3</v>
      </c>
      <c r="AB249">
        <v>1</v>
      </c>
    </row>
    <row r="250" spans="1:28" x14ac:dyDescent="0.35">
      <c r="A250" t="s">
        <v>1188</v>
      </c>
      <c r="B250" t="s">
        <v>2261</v>
      </c>
      <c r="C250" t="s">
        <v>851</v>
      </c>
      <c r="D250">
        <v>2022</v>
      </c>
      <c r="E250">
        <v>2019</v>
      </c>
      <c r="F250" t="s">
        <v>1951</v>
      </c>
      <c r="G250">
        <v>2020</v>
      </c>
      <c r="H250" t="s">
        <v>1953</v>
      </c>
      <c r="I250" t="s">
        <v>1672</v>
      </c>
      <c r="J250" s="66">
        <v>2045</v>
      </c>
      <c r="P250" s="87"/>
      <c r="R250" s="95">
        <f>$AT$121/$AR$121 * 1000/$AK$90</f>
        <v>22.512760269793521</v>
      </c>
      <c r="S250" s="95">
        <f>$AT$120/$AR$120 * 1000/$AK$90</f>
        <v>31.894807903026908</v>
      </c>
      <c r="T250" s="95">
        <f>$AT$119/$AR$119 * 1000/$AK$90</f>
        <v>30.983260963680458</v>
      </c>
      <c r="U250" s="95">
        <f>$AT$118/$AR$118 * 1000/$AK$90</f>
        <v>17.489798937008015</v>
      </c>
      <c r="W250" s="66" t="s">
        <v>1973</v>
      </c>
      <c r="X250">
        <v>3</v>
      </c>
      <c r="Y250">
        <v>1</v>
      </c>
      <c r="Z250">
        <v>1</v>
      </c>
      <c r="AA250">
        <v>3</v>
      </c>
      <c r="AB250">
        <v>1</v>
      </c>
    </row>
    <row r="251" spans="1:28" x14ac:dyDescent="0.35">
      <c r="A251" t="s">
        <v>1188</v>
      </c>
      <c r="B251" t="s">
        <v>2261</v>
      </c>
      <c r="C251" t="s">
        <v>851</v>
      </c>
      <c r="D251">
        <v>2022</v>
      </c>
      <c r="E251">
        <v>2019</v>
      </c>
      <c r="F251" t="s">
        <v>1951</v>
      </c>
      <c r="G251">
        <v>2020</v>
      </c>
      <c r="H251" t="s">
        <v>1953</v>
      </c>
      <c r="I251" t="s">
        <v>1672</v>
      </c>
      <c r="J251" s="66">
        <v>2050</v>
      </c>
      <c r="P251" s="87"/>
      <c r="S251" s="95">
        <f>$AT$121/$AR$121 * 1000/$AK$90</f>
        <v>22.512760269793521</v>
      </c>
      <c r="T251" s="95">
        <f>$AT$120/$AR$120 * 1000/$AK$90</f>
        <v>31.894807903026908</v>
      </c>
      <c r="U251" s="95">
        <f>$AT$119/$AR$119 * 1000/$AK$90</f>
        <v>30.983260963680458</v>
      </c>
      <c r="V251" s="406">
        <f>$AT$118/$AR$118 * 1000/$AK$90</f>
        <v>17.489798937008015</v>
      </c>
      <c r="W251" s="66" t="s">
        <v>1973</v>
      </c>
      <c r="X251">
        <v>3</v>
      </c>
      <c r="Y251">
        <v>1</v>
      </c>
      <c r="Z251">
        <v>1</v>
      </c>
      <c r="AA251">
        <v>3</v>
      </c>
      <c r="AB251">
        <v>1</v>
      </c>
    </row>
    <row r="252" spans="1:28" x14ac:dyDescent="0.35">
      <c r="A252" t="s">
        <v>1189</v>
      </c>
      <c r="B252" t="s">
        <v>2261</v>
      </c>
      <c r="C252" t="s">
        <v>851</v>
      </c>
      <c r="D252">
        <v>2022</v>
      </c>
      <c r="E252">
        <v>2019</v>
      </c>
      <c r="F252" t="s">
        <v>1951</v>
      </c>
      <c r="G252">
        <v>2020</v>
      </c>
      <c r="H252" t="s">
        <v>1953</v>
      </c>
      <c r="I252" t="s">
        <v>1672</v>
      </c>
      <c r="J252" s="66">
        <v>2021</v>
      </c>
      <c r="P252" s="407">
        <f>$AU$118/$AR$118 * 1000/$AK$90</f>
        <v>17.990456627903807</v>
      </c>
      <c r="W252" s="66" t="s">
        <v>1973</v>
      </c>
      <c r="X252">
        <v>3</v>
      </c>
      <c r="Y252">
        <v>1</v>
      </c>
      <c r="Z252">
        <v>1</v>
      </c>
      <c r="AA252">
        <v>3</v>
      </c>
      <c r="AB252">
        <v>1</v>
      </c>
    </row>
    <row r="253" spans="1:28" x14ac:dyDescent="0.35">
      <c r="A253" t="s">
        <v>1189</v>
      </c>
      <c r="B253" t="s">
        <v>2261</v>
      </c>
      <c r="C253" t="s">
        <v>851</v>
      </c>
      <c r="D253">
        <v>2022</v>
      </c>
      <c r="E253">
        <v>2019</v>
      </c>
      <c r="F253" t="s">
        <v>1951</v>
      </c>
      <c r="G253">
        <v>2020</v>
      </c>
      <c r="H253" t="s">
        <v>1953</v>
      </c>
      <c r="I253" t="s">
        <v>1672</v>
      </c>
      <c r="J253" s="66">
        <v>2025</v>
      </c>
      <c r="P253" s="407">
        <f>$AU$119/$AR$119 * 1000/$AK$90</f>
        <v>32.905763119625554</v>
      </c>
      <c r="Q253" s="95">
        <f>$AU$118/$AR$118 * 1000/$AK$90</f>
        <v>17.990456627903807</v>
      </c>
      <c r="W253" s="66" t="s">
        <v>1973</v>
      </c>
      <c r="X253">
        <v>3</v>
      </c>
      <c r="Y253">
        <v>1</v>
      </c>
      <c r="Z253">
        <v>1</v>
      </c>
      <c r="AA253">
        <v>3</v>
      </c>
      <c r="AB253">
        <v>1</v>
      </c>
    </row>
    <row r="254" spans="1:28" x14ac:dyDescent="0.35">
      <c r="A254" t="s">
        <v>1189</v>
      </c>
      <c r="B254" t="s">
        <v>2261</v>
      </c>
      <c r="C254" t="s">
        <v>851</v>
      </c>
      <c r="D254">
        <v>2022</v>
      </c>
      <c r="E254">
        <v>2019</v>
      </c>
      <c r="F254" t="s">
        <v>1951</v>
      </c>
      <c r="G254">
        <v>2020</v>
      </c>
      <c r="H254" t="s">
        <v>1953</v>
      </c>
      <c r="I254" t="s">
        <v>1672</v>
      </c>
      <c r="J254" s="66">
        <v>2030</v>
      </c>
      <c r="P254" s="407">
        <f>$AU$120/$AR$120 * 1000/$AK$90</f>
        <v>34.374421665464631</v>
      </c>
      <c r="Q254" s="95">
        <f>$AU$119/$AR$119 * 1000/$AK$90</f>
        <v>32.905763119625554</v>
      </c>
      <c r="R254" s="95">
        <f>$AU$118/$AR$118 * 1000/$AK$90</f>
        <v>17.990456627903807</v>
      </c>
      <c r="W254" s="66" t="s">
        <v>1973</v>
      </c>
      <c r="X254">
        <v>3</v>
      </c>
      <c r="Y254">
        <v>1</v>
      </c>
      <c r="Z254">
        <v>1</v>
      </c>
      <c r="AA254">
        <v>3</v>
      </c>
      <c r="AB254">
        <v>1</v>
      </c>
    </row>
    <row r="255" spans="1:28" x14ac:dyDescent="0.35">
      <c r="A255" t="s">
        <v>1189</v>
      </c>
      <c r="B255" t="s">
        <v>2261</v>
      </c>
      <c r="C255" t="s">
        <v>851</v>
      </c>
      <c r="D255">
        <v>2022</v>
      </c>
      <c r="E255">
        <v>2019</v>
      </c>
      <c r="F255" t="s">
        <v>1951</v>
      </c>
      <c r="G255">
        <v>2020</v>
      </c>
      <c r="H255" t="s">
        <v>1953</v>
      </c>
      <c r="I255" t="s">
        <v>1672</v>
      </c>
      <c r="J255" s="66">
        <v>2035</v>
      </c>
      <c r="P255" s="407">
        <f>$AU$121/$AR$121 * 1000/$AK$90</f>
        <v>25.181397507395225</v>
      </c>
      <c r="Q255" s="95">
        <f>$AU$120/$AR$120 * 1000/$AK$90</f>
        <v>34.374421665464631</v>
      </c>
      <c r="R255" s="95">
        <f>$AU$119/$AR$119 * 1000/$AK$90</f>
        <v>32.905763119625554</v>
      </c>
      <c r="S255" s="95">
        <f>$AU$118/$AR$118 * 1000/$AK$90</f>
        <v>17.990456627903807</v>
      </c>
      <c r="W255" s="66" t="s">
        <v>1973</v>
      </c>
      <c r="X255">
        <v>3</v>
      </c>
      <c r="Y255">
        <v>1</v>
      </c>
      <c r="Z255">
        <v>1</v>
      </c>
      <c r="AA255">
        <v>3</v>
      </c>
      <c r="AB255">
        <v>1</v>
      </c>
    </row>
    <row r="256" spans="1:28" x14ac:dyDescent="0.35">
      <c r="A256" t="s">
        <v>1189</v>
      </c>
      <c r="B256" t="s">
        <v>2261</v>
      </c>
      <c r="C256" t="s">
        <v>851</v>
      </c>
      <c r="D256">
        <v>2022</v>
      </c>
      <c r="E256">
        <v>2019</v>
      </c>
      <c r="F256" t="s">
        <v>1951</v>
      </c>
      <c r="G256">
        <v>2020</v>
      </c>
      <c r="H256" t="s">
        <v>1953</v>
      </c>
      <c r="I256" t="s">
        <v>1672</v>
      </c>
      <c r="J256" s="66">
        <v>2040</v>
      </c>
      <c r="P256" s="87"/>
      <c r="Q256" s="95">
        <f>$AU$121/$AR$121 * 1000/$AK$90</f>
        <v>25.181397507395225</v>
      </c>
      <c r="R256" s="95">
        <f>$AU$120/$AR$120 * 1000/$AK$90</f>
        <v>34.374421665464631</v>
      </c>
      <c r="S256" s="95">
        <f>$AU$119/$AR$119 * 1000/$AK$90</f>
        <v>32.905763119625554</v>
      </c>
      <c r="T256" s="95">
        <f>$AU$118/$AR$118 * 1000/$AK$90</f>
        <v>17.990456627903807</v>
      </c>
      <c r="W256" s="66" t="s">
        <v>1973</v>
      </c>
      <c r="X256">
        <v>3</v>
      </c>
      <c r="Y256">
        <v>1</v>
      </c>
      <c r="Z256">
        <v>1</v>
      </c>
      <c r="AA256">
        <v>3</v>
      </c>
      <c r="AB256">
        <v>1</v>
      </c>
    </row>
    <row r="257" spans="1:28" x14ac:dyDescent="0.35">
      <c r="A257" t="s">
        <v>1189</v>
      </c>
      <c r="B257" t="s">
        <v>2261</v>
      </c>
      <c r="C257" t="s">
        <v>851</v>
      </c>
      <c r="D257">
        <v>2022</v>
      </c>
      <c r="E257">
        <v>2019</v>
      </c>
      <c r="F257" t="s">
        <v>1951</v>
      </c>
      <c r="G257">
        <v>2020</v>
      </c>
      <c r="H257" t="s">
        <v>1953</v>
      </c>
      <c r="I257" t="s">
        <v>1672</v>
      </c>
      <c r="J257" s="66">
        <v>2045</v>
      </c>
      <c r="P257" s="87"/>
      <c r="R257" s="95">
        <f>$AU$121/$AR$121 * 1000/$AK$90</f>
        <v>25.181397507395225</v>
      </c>
      <c r="S257" s="95">
        <f>$AU$120/$AR$120 * 1000/$AK$90</f>
        <v>34.374421665464631</v>
      </c>
      <c r="T257" s="95">
        <f>$AU$119/$AR$119 * 1000/$AK$90</f>
        <v>32.905763119625554</v>
      </c>
      <c r="U257" s="95">
        <f>$AU$118/$AR$118 * 1000/$AK$90</f>
        <v>17.990456627903807</v>
      </c>
      <c r="W257" s="66" t="s">
        <v>1973</v>
      </c>
      <c r="X257">
        <v>3</v>
      </c>
      <c r="Y257">
        <v>1</v>
      </c>
      <c r="Z257">
        <v>1</v>
      </c>
      <c r="AA257">
        <v>3</v>
      </c>
      <c r="AB257">
        <v>1</v>
      </c>
    </row>
    <row r="258" spans="1:28" x14ac:dyDescent="0.35">
      <c r="A258" t="s">
        <v>1189</v>
      </c>
      <c r="B258" t="s">
        <v>2261</v>
      </c>
      <c r="C258" t="s">
        <v>851</v>
      </c>
      <c r="D258">
        <v>2022</v>
      </c>
      <c r="E258">
        <v>2019</v>
      </c>
      <c r="F258" t="s">
        <v>1951</v>
      </c>
      <c r="G258">
        <v>2020</v>
      </c>
      <c r="H258" t="s">
        <v>1953</v>
      </c>
      <c r="I258" t="s">
        <v>1672</v>
      </c>
      <c r="J258" s="66">
        <v>2050</v>
      </c>
      <c r="P258" s="87"/>
      <c r="S258" s="95">
        <f>$AU$121/$AR$121 * 1000/$AK$90</f>
        <v>25.181397507395225</v>
      </c>
      <c r="T258" s="95">
        <f>$AU$120/$AR$120 * 1000/$AK$90</f>
        <v>34.374421665464631</v>
      </c>
      <c r="U258" s="95">
        <f>$AU$119/$AR$119 * 1000/$AK$90</f>
        <v>32.905763119625554</v>
      </c>
      <c r="V258" s="406">
        <f>$AU$118/$AR$118 * 1000/$AK$90</f>
        <v>17.990456627903807</v>
      </c>
      <c r="W258" s="66" t="s">
        <v>1973</v>
      </c>
      <c r="X258">
        <v>3</v>
      </c>
      <c r="Y258">
        <v>1</v>
      </c>
      <c r="Z258">
        <v>1</v>
      </c>
      <c r="AA258">
        <v>3</v>
      </c>
      <c r="AB258">
        <v>1</v>
      </c>
    </row>
    <row r="259" spans="1:28" x14ac:dyDescent="0.35">
      <c r="A259" t="s">
        <v>1190</v>
      </c>
      <c r="B259" t="s">
        <v>2261</v>
      </c>
      <c r="C259" t="s">
        <v>851</v>
      </c>
      <c r="D259">
        <v>2022</v>
      </c>
      <c r="E259">
        <v>2019</v>
      </c>
      <c r="F259" t="s">
        <v>1951</v>
      </c>
      <c r="G259">
        <v>2020</v>
      </c>
      <c r="H259" t="s">
        <v>1953</v>
      </c>
      <c r="I259" t="s">
        <v>1672</v>
      </c>
      <c r="J259" s="66">
        <v>2021</v>
      </c>
      <c r="P259" s="407">
        <f>$AV$118/$AR$118 * 1000/$AK$90</f>
        <v>18.836144186451381</v>
      </c>
      <c r="W259" s="66" t="s">
        <v>1973</v>
      </c>
      <c r="X259">
        <v>3</v>
      </c>
      <c r="Y259">
        <v>1</v>
      </c>
      <c r="Z259">
        <v>1</v>
      </c>
      <c r="AA259">
        <v>3</v>
      </c>
      <c r="AB259">
        <v>1</v>
      </c>
    </row>
    <row r="260" spans="1:28" x14ac:dyDescent="0.35">
      <c r="A260" t="s">
        <v>1190</v>
      </c>
      <c r="B260" t="s">
        <v>2261</v>
      </c>
      <c r="C260" t="s">
        <v>851</v>
      </c>
      <c r="D260">
        <v>2022</v>
      </c>
      <c r="E260">
        <v>2019</v>
      </c>
      <c r="F260" t="s">
        <v>1951</v>
      </c>
      <c r="G260">
        <v>2020</v>
      </c>
      <c r="H260" t="s">
        <v>1953</v>
      </c>
      <c r="I260" t="s">
        <v>1672</v>
      </c>
      <c r="J260" s="66">
        <v>2025</v>
      </c>
      <c r="P260" s="407">
        <f>$AV$119/$AR$119 * 1000/$AK$90</f>
        <v>36.149263998133222</v>
      </c>
      <c r="Q260" s="95">
        <f>$AV$118/$AR$118 * 1000/$AK$90</f>
        <v>18.836144186451381</v>
      </c>
      <c r="W260" s="66" t="s">
        <v>1973</v>
      </c>
      <c r="X260">
        <v>3</v>
      </c>
      <c r="Y260">
        <v>1</v>
      </c>
      <c r="Z260">
        <v>1</v>
      </c>
      <c r="AA260">
        <v>3</v>
      </c>
      <c r="AB260">
        <v>1</v>
      </c>
    </row>
    <row r="261" spans="1:28" x14ac:dyDescent="0.35">
      <c r="A261" t="s">
        <v>1190</v>
      </c>
      <c r="B261" t="s">
        <v>2261</v>
      </c>
      <c r="C261" t="s">
        <v>851</v>
      </c>
      <c r="D261">
        <v>2022</v>
      </c>
      <c r="E261">
        <v>2019</v>
      </c>
      <c r="F261" t="s">
        <v>1951</v>
      </c>
      <c r="G261">
        <v>2020</v>
      </c>
      <c r="H261" t="s">
        <v>1953</v>
      </c>
      <c r="I261" t="s">
        <v>1672</v>
      </c>
      <c r="J261" s="66">
        <v>2030</v>
      </c>
      <c r="P261" s="407">
        <f>$AV$120/$AR$120 * 1000/$AK$90</f>
        <v>38.560244058068946</v>
      </c>
      <c r="Q261" s="95">
        <f>$AV$119/$AR$119 * 1000/$AK$90</f>
        <v>36.149263998133222</v>
      </c>
      <c r="R261" s="95">
        <f>$AV$118/$AR$118 * 1000/$AK$90</f>
        <v>18.836144186451381</v>
      </c>
      <c r="W261" s="66" t="s">
        <v>1973</v>
      </c>
      <c r="X261">
        <v>3</v>
      </c>
      <c r="Y261">
        <v>1</v>
      </c>
      <c r="Z261">
        <v>1</v>
      </c>
      <c r="AA261">
        <v>3</v>
      </c>
      <c r="AB261">
        <v>1</v>
      </c>
    </row>
    <row r="262" spans="1:28" x14ac:dyDescent="0.35">
      <c r="A262" t="s">
        <v>1190</v>
      </c>
      <c r="B262" t="s">
        <v>2261</v>
      </c>
      <c r="C262" t="s">
        <v>851</v>
      </c>
      <c r="D262">
        <v>2022</v>
      </c>
      <c r="E262">
        <v>2019</v>
      </c>
      <c r="F262" t="s">
        <v>1951</v>
      </c>
      <c r="G262">
        <v>2020</v>
      </c>
      <c r="H262" t="s">
        <v>1953</v>
      </c>
      <c r="I262" t="s">
        <v>1672</v>
      </c>
      <c r="J262" s="66">
        <v>2035</v>
      </c>
      <c r="P262" s="407">
        <f>$AV$121/$AR$121 * 1000/$AK$90</f>
        <v>29.69036776290886</v>
      </c>
      <c r="Q262" s="95">
        <f>$AV$120/$AR$120 * 1000/$AK$90</f>
        <v>38.560244058068946</v>
      </c>
      <c r="R262" s="95">
        <f>$AV$119/$AR$119 * 1000/$AK$90</f>
        <v>36.149263998133222</v>
      </c>
      <c r="S262" s="95">
        <f>$AV$118/$AR$118 * 1000/$AK$90</f>
        <v>18.836144186451381</v>
      </c>
      <c r="W262" s="66" t="s">
        <v>1973</v>
      </c>
      <c r="X262">
        <v>3</v>
      </c>
      <c r="Y262">
        <v>1</v>
      </c>
      <c r="Z262">
        <v>1</v>
      </c>
      <c r="AA262">
        <v>3</v>
      </c>
      <c r="AB262">
        <v>1</v>
      </c>
    </row>
    <row r="263" spans="1:28" x14ac:dyDescent="0.35">
      <c r="A263" t="s">
        <v>1190</v>
      </c>
      <c r="B263" t="s">
        <v>2261</v>
      </c>
      <c r="C263" t="s">
        <v>851</v>
      </c>
      <c r="D263">
        <v>2022</v>
      </c>
      <c r="E263">
        <v>2019</v>
      </c>
      <c r="F263" t="s">
        <v>1951</v>
      </c>
      <c r="G263">
        <v>2020</v>
      </c>
      <c r="H263" t="s">
        <v>1953</v>
      </c>
      <c r="I263" t="s">
        <v>1672</v>
      </c>
      <c r="J263" s="66">
        <v>2040</v>
      </c>
      <c r="P263" s="87"/>
      <c r="Q263" s="95">
        <f>$AV$121/$AR$121 * 1000/$AK$90</f>
        <v>29.69036776290886</v>
      </c>
      <c r="R263" s="95">
        <f>$AV$120/$AR$120 * 1000/$AK$90</f>
        <v>38.560244058068946</v>
      </c>
      <c r="S263" s="95">
        <f>$AV$119/$AR$119 * 1000/$AK$90</f>
        <v>36.149263998133222</v>
      </c>
      <c r="T263" s="95">
        <f>$AV$118/$AR$118 * 1000/$AK$90</f>
        <v>18.836144186451381</v>
      </c>
      <c r="W263" s="66" t="s">
        <v>1973</v>
      </c>
      <c r="X263">
        <v>3</v>
      </c>
      <c r="Y263">
        <v>1</v>
      </c>
      <c r="Z263">
        <v>1</v>
      </c>
      <c r="AA263">
        <v>3</v>
      </c>
      <c r="AB263">
        <v>1</v>
      </c>
    </row>
    <row r="264" spans="1:28" x14ac:dyDescent="0.35">
      <c r="A264" t="s">
        <v>1190</v>
      </c>
      <c r="B264" t="s">
        <v>2261</v>
      </c>
      <c r="C264" t="s">
        <v>851</v>
      </c>
      <c r="D264">
        <v>2022</v>
      </c>
      <c r="E264">
        <v>2019</v>
      </c>
      <c r="F264" t="s">
        <v>1951</v>
      </c>
      <c r="G264">
        <v>2020</v>
      </c>
      <c r="H264" t="s">
        <v>1953</v>
      </c>
      <c r="I264" t="s">
        <v>1672</v>
      </c>
      <c r="J264" s="66">
        <v>2045</v>
      </c>
      <c r="P264" s="87"/>
      <c r="R264" s="95">
        <f>$AV$121/$AR$121 * 1000/$AK$90</f>
        <v>29.69036776290886</v>
      </c>
      <c r="S264" s="95">
        <f>$AV$120/$AR$120 * 1000/$AK$90</f>
        <v>38.560244058068946</v>
      </c>
      <c r="T264" s="95">
        <f>$AV$119/$AR$119 * 1000/$AK$90</f>
        <v>36.149263998133222</v>
      </c>
      <c r="U264" s="95">
        <f>$AV$118/$AR$118 * 1000/$AK$90</f>
        <v>18.836144186451381</v>
      </c>
      <c r="W264" s="66" t="s">
        <v>1973</v>
      </c>
      <c r="X264">
        <v>3</v>
      </c>
      <c r="Y264">
        <v>1</v>
      </c>
      <c r="Z264">
        <v>1</v>
      </c>
      <c r="AA264">
        <v>3</v>
      </c>
      <c r="AB264">
        <v>1</v>
      </c>
    </row>
    <row r="265" spans="1:28" x14ac:dyDescent="0.35">
      <c r="A265" t="s">
        <v>1190</v>
      </c>
      <c r="B265" t="s">
        <v>2261</v>
      </c>
      <c r="C265" t="s">
        <v>851</v>
      </c>
      <c r="D265">
        <v>2022</v>
      </c>
      <c r="E265">
        <v>2019</v>
      </c>
      <c r="F265" t="s">
        <v>1951</v>
      </c>
      <c r="G265">
        <v>2020</v>
      </c>
      <c r="H265" t="s">
        <v>1953</v>
      </c>
      <c r="I265" t="s">
        <v>1672</v>
      </c>
      <c r="J265" s="66">
        <v>2050</v>
      </c>
      <c r="P265" s="87"/>
      <c r="S265" s="95">
        <f>$AV$121/$AR$121 * 1000/$AK$90</f>
        <v>29.69036776290886</v>
      </c>
      <c r="T265" s="95">
        <f>$AV$120/$AR$120 * 1000/$AK$90</f>
        <v>38.560244058068946</v>
      </c>
      <c r="U265" s="95">
        <f>$AV$119/$AR$119 * 1000/$AK$90</f>
        <v>36.149263998133222</v>
      </c>
      <c r="V265" s="406">
        <f>$AV$118/$AR$118 * 1000/$AK$90</f>
        <v>18.836144186451381</v>
      </c>
      <c r="W265" s="66" t="s">
        <v>1973</v>
      </c>
      <c r="X265">
        <v>3</v>
      </c>
      <c r="Y265">
        <v>1</v>
      </c>
      <c r="Z265">
        <v>1</v>
      </c>
      <c r="AA265">
        <v>3</v>
      </c>
      <c r="AB265">
        <v>1</v>
      </c>
    </row>
    <row r="266" spans="1:28" x14ac:dyDescent="0.35">
      <c r="A266" t="s">
        <v>1191</v>
      </c>
      <c r="B266" t="s">
        <v>2261</v>
      </c>
      <c r="C266" t="s">
        <v>851</v>
      </c>
      <c r="D266">
        <v>2022</v>
      </c>
      <c r="E266">
        <v>2019</v>
      </c>
      <c r="F266" t="s">
        <v>1951</v>
      </c>
      <c r="G266">
        <v>2020</v>
      </c>
      <c r="H266" t="s">
        <v>1953</v>
      </c>
      <c r="I266" t="s">
        <v>1672</v>
      </c>
      <c r="J266" s="66">
        <v>2021</v>
      </c>
      <c r="P266" s="407">
        <f>$AW$118/$AR$118 * 1000/$AK$90</f>
        <v>20.116564232017286</v>
      </c>
      <c r="W266" s="66" t="s">
        <v>1973</v>
      </c>
      <c r="X266">
        <v>3</v>
      </c>
      <c r="Y266">
        <v>1</v>
      </c>
      <c r="Z266">
        <v>1</v>
      </c>
      <c r="AA266">
        <v>3</v>
      </c>
      <c r="AB266">
        <v>1</v>
      </c>
    </row>
    <row r="267" spans="1:28" x14ac:dyDescent="0.35">
      <c r="A267" t="s">
        <v>1191</v>
      </c>
      <c r="B267" t="s">
        <v>2261</v>
      </c>
      <c r="C267" t="s">
        <v>851</v>
      </c>
      <c r="D267">
        <v>2022</v>
      </c>
      <c r="E267">
        <v>2019</v>
      </c>
      <c r="F267" t="s">
        <v>1951</v>
      </c>
      <c r="G267">
        <v>2020</v>
      </c>
      <c r="H267" t="s">
        <v>1953</v>
      </c>
      <c r="I267" t="s">
        <v>1672</v>
      </c>
      <c r="J267" s="66">
        <v>2025</v>
      </c>
      <c r="P267" s="407">
        <f>$AW$119/$AR$119 * 1000/$AK$90</f>
        <v>41.051031778944363</v>
      </c>
      <c r="Q267" s="95">
        <f>$AW$118/$AR$118 * 1000/$AK$90</f>
        <v>20.116564232017286</v>
      </c>
      <c r="W267" s="66" t="s">
        <v>1973</v>
      </c>
      <c r="X267">
        <v>3</v>
      </c>
      <c r="Y267">
        <v>1</v>
      </c>
      <c r="Z267">
        <v>1</v>
      </c>
      <c r="AA267">
        <v>3</v>
      </c>
      <c r="AB267">
        <v>1</v>
      </c>
    </row>
    <row r="268" spans="1:28" x14ac:dyDescent="0.35">
      <c r="A268" t="s">
        <v>1191</v>
      </c>
      <c r="B268" t="s">
        <v>2261</v>
      </c>
      <c r="C268" t="s">
        <v>851</v>
      </c>
      <c r="D268">
        <v>2022</v>
      </c>
      <c r="E268">
        <v>2019</v>
      </c>
      <c r="F268" t="s">
        <v>1951</v>
      </c>
      <c r="G268">
        <v>2020</v>
      </c>
      <c r="H268" t="s">
        <v>1953</v>
      </c>
      <c r="I268" t="s">
        <v>1672</v>
      </c>
      <c r="J268" s="66">
        <v>2030</v>
      </c>
      <c r="P268" s="407">
        <f>$AW$120/$AR$120 * 1000/$AK$90</f>
        <v>44.891709295450632</v>
      </c>
      <c r="Q268" s="95">
        <f>$AW$119/$AR$119 * 1000/$AK$90</f>
        <v>41.051031778944363</v>
      </c>
      <c r="R268" s="95">
        <f>$AW$118/$AR$118 * 1000/$AK$90</f>
        <v>20.116564232017286</v>
      </c>
      <c r="W268" s="66" t="s">
        <v>1973</v>
      </c>
      <c r="X268">
        <v>3</v>
      </c>
      <c r="Y268">
        <v>1</v>
      </c>
      <c r="Z268">
        <v>1</v>
      </c>
      <c r="AA268">
        <v>3</v>
      </c>
      <c r="AB268">
        <v>1</v>
      </c>
    </row>
    <row r="269" spans="1:28" x14ac:dyDescent="0.35">
      <c r="A269" t="s">
        <v>1191</v>
      </c>
      <c r="B269" t="s">
        <v>2261</v>
      </c>
      <c r="C269" t="s">
        <v>851</v>
      </c>
      <c r="D269">
        <v>2022</v>
      </c>
      <c r="E269">
        <v>2019</v>
      </c>
      <c r="F269" t="s">
        <v>1951</v>
      </c>
      <c r="G269">
        <v>2020</v>
      </c>
      <c r="H269" t="s">
        <v>1953</v>
      </c>
      <c r="I269" t="s">
        <v>1672</v>
      </c>
      <c r="J269" s="66">
        <v>2035</v>
      </c>
      <c r="P269" s="407">
        <f>$AW$121/$AR$121 * 1000/$AK$90</f>
        <v>36.520081524752321</v>
      </c>
      <c r="Q269" s="95">
        <f>$AW$120/$AR$120 * 1000/$AK$90</f>
        <v>44.891709295450632</v>
      </c>
      <c r="R269" s="95">
        <f>$AW$119/$AR$119 * 1000/$AK$90</f>
        <v>41.051031778944363</v>
      </c>
      <c r="S269" s="95">
        <f>$AW$118/$AR$118 * 1000/$AK$90</f>
        <v>20.116564232017286</v>
      </c>
      <c r="W269" s="66" t="s">
        <v>1973</v>
      </c>
      <c r="X269">
        <v>3</v>
      </c>
      <c r="Y269">
        <v>1</v>
      </c>
      <c r="Z269">
        <v>1</v>
      </c>
      <c r="AA269">
        <v>3</v>
      </c>
      <c r="AB269">
        <v>1</v>
      </c>
    </row>
    <row r="270" spans="1:28" x14ac:dyDescent="0.35">
      <c r="A270" t="s">
        <v>1191</v>
      </c>
      <c r="B270" t="s">
        <v>2261</v>
      </c>
      <c r="C270" t="s">
        <v>851</v>
      </c>
      <c r="D270">
        <v>2022</v>
      </c>
      <c r="E270">
        <v>2019</v>
      </c>
      <c r="F270" t="s">
        <v>1951</v>
      </c>
      <c r="G270">
        <v>2020</v>
      </c>
      <c r="H270" t="s">
        <v>1953</v>
      </c>
      <c r="I270" t="s">
        <v>1672</v>
      </c>
      <c r="J270" s="66">
        <v>2040</v>
      </c>
      <c r="P270" s="87"/>
      <c r="Q270" s="95">
        <f>$AW$121/$AR$121 * 1000/$AK$90</f>
        <v>36.520081524752321</v>
      </c>
      <c r="R270" s="95">
        <f>$AW$120/$AR$120 * 1000/$AK$90</f>
        <v>44.891709295450632</v>
      </c>
      <c r="S270" s="95">
        <f>$AW$119/$AR$119 * 1000/$AK$90</f>
        <v>41.051031778944363</v>
      </c>
      <c r="T270" s="95">
        <f>$AW$118/$AR$118 * 1000/$AK$90</f>
        <v>20.116564232017286</v>
      </c>
      <c r="W270" s="66" t="s">
        <v>1973</v>
      </c>
      <c r="X270">
        <v>3</v>
      </c>
      <c r="Y270">
        <v>1</v>
      </c>
      <c r="Z270">
        <v>1</v>
      </c>
      <c r="AA270">
        <v>3</v>
      </c>
      <c r="AB270">
        <v>1</v>
      </c>
    </row>
    <row r="271" spans="1:28" x14ac:dyDescent="0.35">
      <c r="A271" t="s">
        <v>1191</v>
      </c>
      <c r="B271" t="s">
        <v>2261</v>
      </c>
      <c r="C271" t="s">
        <v>851</v>
      </c>
      <c r="D271">
        <v>2022</v>
      </c>
      <c r="E271">
        <v>2019</v>
      </c>
      <c r="F271" t="s">
        <v>1951</v>
      </c>
      <c r="G271">
        <v>2020</v>
      </c>
      <c r="H271" t="s">
        <v>1953</v>
      </c>
      <c r="I271" t="s">
        <v>1672</v>
      </c>
      <c r="J271" s="66">
        <v>2045</v>
      </c>
      <c r="P271" s="87"/>
      <c r="R271" s="95">
        <f>$AW$121/$AR$121 * 1000/$AK$90</f>
        <v>36.520081524752321</v>
      </c>
      <c r="S271" s="95">
        <f>$AW$120/$AR$120 * 1000/$AK$90</f>
        <v>44.891709295450632</v>
      </c>
      <c r="T271" s="95">
        <f>$AW$119/$AR$119 * 1000/$AK$90</f>
        <v>41.051031778944363</v>
      </c>
      <c r="U271" s="95">
        <f>$AW$118/$AR$118 * 1000/$AK$90</f>
        <v>20.116564232017286</v>
      </c>
      <c r="W271" s="66" t="s">
        <v>1973</v>
      </c>
      <c r="X271">
        <v>3</v>
      </c>
      <c r="Y271">
        <v>1</v>
      </c>
      <c r="Z271">
        <v>1</v>
      </c>
      <c r="AA271">
        <v>3</v>
      </c>
      <c r="AB271">
        <v>1</v>
      </c>
    </row>
    <row r="272" spans="1:28" x14ac:dyDescent="0.35">
      <c r="A272" t="s">
        <v>1191</v>
      </c>
      <c r="B272" t="s">
        <v>2261</v>
      </c>
      <c r="C272" t="s">
        <v>851</v>
      </c>
      <c r="D272">
        <v>2022</v>
      </c>
      <c r="E272">
        <v>2019</v>
      </c>
      <c r="F272" t="s">
        <v>1951</v>
      </c>
      <c r="G272">
        <v>2020</v>
      </c>
      <c r="H272" t="s">
        <v>1953</v>
      </c>
      <c r="I272" t="s">
        <v>1672</v>
      </c>
      <c r="J272" s="66">
        <v>2050</v>
      </c>
      <c r="P272" s="87"/>
      <c r="S272" s="95">
        <f>$AW$121/$AR$121 * 1000/$AK$90</f>
        <v>36.520081524752321</v>
      </c>
      <c r="T272" s="95">
        <f>$AW$120/$AR$120 * 1000/$AK$90</f>
        <v>44.891709295450632</v>
      </c>
      <c r="U272" s="95">
        <f>$AW$119/$AR$119 * 1000/$AK$90</f>
        <v>41.051031778944363</v>
      </c>
      <c r="V272" s="406">
        <f>$AW$118/$AR$118 * 1000/$AK$90</f>
        <v>20.116564232017286</v>
      </c>
      <c r="W272" s="66" t="s">
        <v>1973</v>
      </c>
      <c r="X272">
        <v>3</v>
      </c>
      <c r="Y272">
        <v>1</v>
      </c>
      <c r="Z272">
        <v>1</v>
      </c>
      <c r="AA272">
        <v>3</v>
      </c>
      <c r="AB272">
        <v>1</v>
      </c>
    </row>
    <row r="273" spans="1:28" x14ac:dyDescent="0.35">
      <c r="A273" t="s">
        <v>1192</v>
      </c>
      <c r="B273" t="s">
        <v>2261</v>
      </c>
      <c r="C273" t="s">
        <v>851</v>
      </c>
      <c r="D273">
        <v>2022</v>
      </c>
      <c r="E273">
        <v>2019</v>
      </c>
      <c r="F273" t="s">
        <v>1951</v>
      </c>
      <c r="G273">
        <v>2020</v>
      </c>
      <c r="H273" t="s">
        <v>1953</v>
      </c>
      <c r="I273" t="s">
        <v>1672</v>
      </c>
      <c r="J273" s="66">
        <v>2021</v>
      </c>
      <c r="P273" s="407">
        <f>$BB$118/$AR$118 * 1000/$AK$90</f>
        <v>19.012466165646075</v>
      </c>
      <c r="W273" s="66" t="s">
        <v>1973</v>
      </c>
      <c r="X273">
        <v>3</v>
      </c>
      <c r="Y273">
        <v>1</v>
      </c>
      <c r="Z273">
        <v>1</v>
      </c>
      <c r="AA273">
        <v>3</v>
      </c>
      <c r="AB273">
        <v>1</v>
      </c>
    </row>
    <row r="274" spans="1:28" x14ac:dyDescent="0.35">
      <c r="A274" t="s">
        <v>1192</v>
      </c>
      <c r="B274" t="s">
        <v>2261</v>
      </c>
      <c r="C274" t="s">
        <v>851</v>
      </c>
      <c r="D274">
        <v>2022</v>
      </c>
      <c r="E274">
        <v>2019</v>
      </c>
      <c r="F274" t="s">
        <v>1951</v>
      </c>
      <c r="G274">
        <v>2020</v>
      </c>
      <c r="H274" t="s">
        <v>1953</v>
      </c>
      <c r="I274" t="s">
        <v>1672</v>
      </c>
      <c r="J274" s="66">
        <v>2025</v>
      </c>
      <c r="P274" s="407">
        <f>$BB$119/$AR$119 * 1000/$AK$90</f>
        <v>34.801584990802112</v>
      </c>
      <c r="Q274" s="95">
        <f>$BB$118/$AR$118 * 1000/$AK$90</f>
        <v>19.012466165646075</v>
      </c>
      <c r="W274" s="66" t="s">
        <v>1973</v>
      </c>
      <c r="X274">
        <v>3</v>
      </c>
      <c r="Y274">
        <v>1</v>
      </c>
      <c r="Z274">
        <v>1</v>
      </c>
      <c r="AA274">
        <v>3</v>
      </c>
      <c r="AB274">
        <v>1</v>
      </c>
    </row>
    <row r="275" spans="1:28" x14ac:dyDescent="0.35">
      <c r="A275" t="s">
        <v>1192</v>
      </c>
      <c r="B275" t="s">
        <v>2261</v>
      </c>
      <c r="C275" t="s">
        <v>851</v>
      </c>
      <c r="D275">
        <v>2022</v>
      </c>
      <c r="E275">
        <v>2019</v>
      </c>
      <c r="F275" t="s">
        <v>1951</v>
      </c>
      <c r="G275">
        <v>2020</v>
      </c>
      <c r="H275" t="s">
        <v>1953</v>
      </c>
      <c r="I275" t="s">
        <v>1672</v>
      </c>
      <c r="J275" s="66">
        <v>2030</v>
      </c>
      <c r="P275" s="407">
        <f>$BB$120/$AR$120 * 1000/$AK$90</f>
        <v>36.628292495551023</v>
      </c>
      <c r="Q275" s="95">
        <f>$BB$119/$AR$119 * 1000/$AK$90</f>
        <v>34.801584990802112</v>
      </c>
      <c r="R275" s="95">
        <f>$BB$118/$AR$118 * 1000/$AK$90</f>
        <v>19.012466165646075</v>
      </c>
      <c r="W275" s="66" t="s">
        <v>1973</v>
      </c>
      <c r="X275">
        <v>3</v>
      </c>
      <c r="Y275">
        <v>1</v>
      </c>
      <c r="Z275">
        <v>1</v>
      </c>
      <c r="AA275">
        <v>3</v>
      </c>
      <c r="AB275">
        <v>1</v>
      </c>
    </row>
    <row r="276" spans="1:28" x14ac:dyDescent="0.35">
      <c r="A276" t="s">
        <v>1192</v>
      </c>
      <c r="B276" t="s">
        <v>2261</v>
      </c>
      <c r="C276" t="s">
        <v>851</v>
      </c>
      <c r="D276">
        <v>2022</v>
      </c>
      <c r="E276">
        <v>2019</v>
      </c>
      <c r="F276" t="s">
        <v>1951</v>
      </c>
      <c r="G276">
        <v>2020</v>
      </c>
      <c r="H276" t="s">
        <v>1953</v>
      </c>
      <c r="I276" t="s">
        <v>1672</v>
      </c>
      <c r="J276" s="66">
        <v>2035</v>
      </c>
      <c r="P276" s="407">
        <f>$BB$121/$AR$121 * 1000/$AK$90</f>
        <v>24.732734455559971</v>
      </c>
      <c r="Q276" s="95">
        <f>$BB$120/$AR$120 * 1000/$AK$90</f>
        <v>36.628292495551023</v>
      </c>
      <c r="R276" s="95">
        <f>$BB$119/$AR$119 * 1000/$AK$90</f>
        <v>34.801584990802112</v>
      </c>
      <c r="S276" s="95">
        <f>$BB$118/$AR$118 * 1000/$AK$90</f>
        <v>19.012466165646075</v>
      </c>
      <c r="W276" s="66" t="s">
        <v>1973</v>
      </c>
      <c r="X276">
        <v>3</v>
      </c>
      <c r="Y276">
        <v>1</v>
      </c>
      <c r="Z276">
        <v>1</v>
      </c>
      <c r="AA276">
        <v>3</v>
      </c>
      <c r="AB276">
        <v>1</v>
      </c>
    </row>
    <row r="277" spans="1:28" x14ac:dyDescent="0.35">
      <c r="A277" t="s">
        <v>1192</v>
      </c>
      <c r="B277" t="s">
        <v>2261</v>
      </c>
      <c r="C277" t="s">
        <v>851</v>
      </c>
      <c r="D277">
        <v>2022</v>
      </c>
      <c r="E277">
        <v>2019</v>
      </c>
      <c r="F277" t="s">
        <v>1951</v>
      </c>
      <c r="G277">
        <v>2020</v>
      </c>
      <c r="H277" t="s">
        <v>1953</v>
      </c>
      <c r="I277" t="s">
        <v>1672</v>
      </c>
      <c r="J277" s="66">
        <v>2040</v>
      </c>
      <c r="P277" s="87"/>
      <c r="Q277" s="95">
        <f>$BB$121/$AR$121 * 1000/$AK$90</f>
        <v>24.732734455559971</v>
      </c>
      <c r="R277" s="95">
        <f>$BB$120/$AR$120 * 1000/$AK$90</f>
        <v>36.628292495551023</v>
      </c>
      <c r="S277" s="95">
        <f>$BB$119/$AR$119 * 1000/$AK$90</f>
        <v>34.801584990802112</v>
      </c>
      <c r="T277" s="95">
        <f>$BB$118/$AR$118 * 1000/$AK$90</f>
        <v>19.012466165646075</v>
      </c>
      <c r="W277" s="66" t="s">
        <v>1973</v>
      </c>
      <c r="X277">
        <v>3</v>
      </c>
      <c r="Y277">
        <v>1</v>
      </c>
      <c r="Z277">
        <v>1</v>
      </c>
      <c r="AA277">
        <v>3</v>
      </c>
      <c r="AB277">
        <v>1</v>
      </c>
    </row>
    <row r="278" spans="1:28" x14ac:dyDescent="0.35">
      <c r="A278" t="s">
        <v>1192</v>
      </c>
      <c r="B278" t="s">
        <v>2261</v>
      </c>
      <c r="C278" t="s">
        <v>851</v>
      </c>
      <c r="D278">
        <v>2022</v>
      </c>
      <c r="E278">
        <v>2019</v>
      </c>
      <c r="F278" t="s">
        <v>1951</v>
      </c>
      <c r="G278">
        <v>2020</v>
      </c>
      <c r="H278" t="s">
        <v>1953</v>
      </c>
      <c r="I278" t="s">
        <v>1672</v>
      </c>
      <c r="J278" s="66">
        <v>2045</v>
      </c>
      <c r="P278" s="87"/>
      <c r="R278" s="95">
        <f>$BB$121/$AR$121 * 1000/$AK$90</f>
        <v>24.732734455559971</v>
      </c>
      <c r="S278" s="95">
        <f>$BB$120/$AR$120 * 1000/$AK$90</f>
        <v>36.628292495551023</v>
      </c>
      <c r="T278" s="95">
        <f>$BB$119/$AR$119 * 1000/$AK$90</f>
        <v>34.801584990802112</v>
      </c>
      <c r="U278" s="95">
        <f>$BB$118/$AR$118 * 1000/$AK$90</f>
        <v>19.012466165646075</v>
      </c>
      <c r="W278" s="66" t="s">
        <v>1973</v>
      </c>
      <c r="X278">
        <v>3</v>
      </c>
      <c r="Y278">
        <v>1</v>
      </c>
      <c r="Z278">
        <v>1</v>
      </c>
      <c r="AA278">
        <v>3</v>
      </c>
      <c r="AB278">
        <v>1</v>
      </c>
    </row>
    <row r="279" spans="1:28" x14ac:dyDescent="0.35">
      <c r="A279" t="s">
        <v>1192</v>
      </c>
      <c r="B279" t="s">
        <v>2261</v>
      </c>
      <c r="C279" t="s">
        <v>851</v>
      </c>
      <c r="D279">
        <v>2022</v>
      </c>
      <c r="E279">
        <v>2019</v>
      </c>
      <c r="F279" t="s">
        <v>1951</v>
      </c>
      <c r="G279">
        <v>2020</v>
      </c>
      <c r="H279" t="s">
        <v>1953</v>
      </c>
      <c r="I279" t="s">
        <v>1672</v>
      </c>
      <c r="J279" s="66">
        <v>2050</v>
      </c>
      <c r="P279" s="87"/>
      <c r="S279" s="95">
        <f>$BB$121/$AR$121 * 1000/$AK$90</f>
        <v>24.732734455559971</v>
      </c>
      <c r="T279" s="95">
        <f>$BB$120/$AR$120 * 1000/$AK$90</f>
        <v>36.628292495551023</v>
      </c>
      <c r="U279" s="95">
        <f>$BB$119/$AR$119 * 1000/$AK$90</f>
        <v>34.801584990802112</v>
      </c>
      <c r="V279" s="406">
        <f>$BB$118/$AR$118 * 1000/$AK$90</f>
        <v>19.012466165646075</v>
      </c>
      <c r="W279" s="66" t="s">
        <v>1973</v>
      </c>
      <c r="X279">
        <v>3</v>
      </c>
      <c r="Y279">
        <v>1</v>
      </c>
      <c r="Z279">
        <v>1</v>
      </c>
      <c r="AA279">
        <v>3</v>
      </c>
      <c r="AB279">
        <v>1</v>
      </c>
    </row>
    <row r="280" spans="1:28" x14ac:dyDescent="0.35">
      <c r="A280" t="s">
        <v>1193</v>
      </c>
      <c r="B280" t="s">
        <v>2261</v>
      </c>
      <c r="C280" t="s">
        <v>851</v>
      </c>
      <c r="D280">
        <v>2022</v>
      </c>
      <c r="E280">
        <v>2019</v>
      </c>
      <c r="F280" t="s">
        <v>1951</v>
      </c>
      <c r="G280">
        <v>2020</v>
      </c>
      <c r="H280" t="s">
        <v>1953</v>
      </c>
      <c r="I280" t="s">
        <v>1672</v>
      </c>
      <c r="J280" s="66">
        <v>2021</v>
      </c>
      <c r="P280" s="407">
        <f>$BC$118/$AR$118 * 1000/$AK$90</f>
        <v>19.113464910029641</v>
      </c>
      <c r="W280" s="66" t="s">
        <v>1973</v>
      </c>
      <c r="X280">
        <v>3</v>
      </c>
      <c r="Y280">
        <v>1</v>
      </c>
      <c r="Z280">
        <v>1</v>
      </c>
      <c r="AA280">
        <v>3</v>
      </c>
      <c r="AB280">
        <v>1</v>
      </c>
    </row>
    <row r="281" spans="1:28" x14ac:dyDescent="0.35">
      <c r="A281" t="s">
        <v>1193</v>
      </c>
      <c r="B281" t="s">
        <v>2261</v>
      </c>
      <c r="C281" t="s">
        <v>851</v>
      </c>
      <c r="D281">
        <v>2022</v>
      </c>
      <c r="E281">
        <v>2019</v>
      </c>
      <c r="F281" t="s">
        <v>1951</v>
      </c>
      <c r="G281">
        <v>2020</v>
      </c>
      <c r="H281" t="s">
        <v>1953</v>
      </c>
      <c r="I281" t="s">
        <v>1672</v>
      </c>
      <c r="J281" s="66">
        <v>2025</v>
      </c>
      <c r="P281" s="407">
        <f>$BC$119/$AR$119 * 1000/$AK$90</f>
        <v>35.187429501514821</v>
      </c>
      <c r="Q281" s="95">
        <f>$BC$118/$AR$118 * 1000/$AK$90</f>
        <v>19.113464910029641</v>
      </c>
      <c r="W281" s="66" t="s">
        <v>1973</v>
      </c>
      <c r="X281">
        <v>3</v>
      </c>
      <c r="Y281">
        <v>1</v>
      </c>
      <c r="Z281">
        <v>1</v>
      </c>
      <c r="AA281">
        <v>3</v>
      </c>
      <c r="AB281">
        <v>1</v>
      </c>
    </row>
    <row r="282" spans="1:28" x14ac:dyDescent="0.35">
      <c r="A282" t="s">
        <v>1193</v>
      </c>
      <c r="B282" t="s">
        <v>2261</v>
      </c>
      <c r="C282" t="s">
        <v>851</v>
      </c>
      <c r="D282">
        <v>2022</v>
      </c>
      <c r="E282">
        <v>2019</v>
      </c>
      <c r="F282" t="s">
        <v>1951</v>
      </c>
      <c r="G282">
        <v>2020</v>
      </c>
      <c r="H282" t="s">
        <v>1953</v>
      </c>
      <c r="I282" t="s">
        <v>1672</v>
      </c>
      <c r="J282" s="66">
        <v>2030</v>
      </c>
      <c r="P282" s="407">
        <f>$BC$120/$AR$120 * 1000/$AK$90</f>
        <v>37.127173413855687</v>
      </c>
      <c r="Q282" s="95">
        <f>$BC$119/$AR$119 * 1000/$AK$90</f>
        <v>35.187429501514821</v>
      </c>
      <c r="R282" s="95">
        <f>$BC$118/$AR$118 * 1000/$AK$90</f>
        <v>19.113464910029641</v>
      </c>
      <c r="W282" s="66" t="s">
        <v>1973</v>
      </c>
      <c r="X282">
        <v>3</v>
      </c>
      <c r="Y282">
        <v>1</v>
      </c>
      <c r="Z282">
        <v>1</v>
      </c>
      <c r="AA282">
        <v>3</v>
      </c>
      <c r="AB282">
        <v>1</v>
      </c>
    </row>
    <row r="283" spans="1:28" x14ac:dyDescent="0.35">
      <c r="A283" t="s">
        <v>1193</v>
      </c>
      <c r="B283" t="s">
        <v>2261</v>
      </c>
      <c r="C283" t="s">
        <v>851</v>
      </c>
      <c r="D283">
        <v>2022</v>
      </c>
      <c r="E283">
        <v>2019</v>
      </c>
      <c r="F283" t="s">
        <v>1951</v>
      </c>
      <c r="G283">
        <v>2020</v>
      </c>
      <c r="H283" t="s">
        <v>1953</v>
      </c>
      <c r="I283" t="s">
        <v>1672</v>
      </c>
      <c r="J283" s="66">
        <v>2035</v>
      </c>
      <c r="P283" s="407">
        <f>$BC$121/$AR$121 * 1000/$AK$90</f>
        <v>25.271712245039989</v>
      </c>
      <c r="Q283" s="95">
        <f>$BC$120/$AR$120 * 1000/$AK$90</f>
        <v>37.127173413855687</v>
      </c>
      <c r="R283" s="95">
        <f>$BC$119/$AR$119 * 1000/$AK$90</f>
        <v>35.187429501514821</v>
      </c>
      <c r="S283" s="95">
        <f>$BC$118/$AR$118 * 1000/$AK$90</f>
        <v>19.113464910029641</v>
      </c>
      <c r="W283" s="66" t="s">
        <v>1973</v>
      </c>
      <c r="X283">
        <v>3</v>
      </c>
      <c r="Y283">
        <v>1</v>
      </c>
      <c r="Z283">
        <v>1</v>
      </c>
      <c r="AA283">
        <v>3</v>
      </c>
      <c r="AB283">
        <v>1</v>
      </c>
    </row>
    <row r="284" spans="1:28" x14ac:dyDescent="0.35">
      <c r="A284" t="s">
        <v>1193</v>
      </c>
      <c r="B284" t="s">
        <v>2261</v>
      </c>
      <c r="C284" t="s">
        <v>851</v>
      </c>
      <c r="D284">
        <v>2022</v>
      </c>
      <c r="E284">
        <v>2019</v>
      </c>
      <c r="F284" t="s">
        <v>1951</v>
      </c>
      <c r="G284">
        <v>2020</v>
      </c>
      <c r="H284" t="s">
        <v>1953</v>
      </c>
      <c r="I284" t="s">
        <v>1672</v>
      </c>
      <c r="J284" s="66">
        <v>2040</v>
      </c>
      <c r="P284" s="87"/>
      <c r="Q284" s="95">
        <f>$BC$121/$AR$121 * 1000/$AK$90</f>
        <v>25.271712245039989</v>
      </c>
      <c r="R284" s="95">
        <f>$BC$120/$AR$120 * 1000/$AK$90</f>
        <v>37.127173413855687</v>
      </c>
      <c r="S284" s="95">
        <f>$BC$119/$AR$119 * 1000/$AK$90</f>
        <v>35.187429501514821</v>
      </c>
      <c r="T284" s="95">
        <f>$BC$118/$AR$118 * 1000/$AK$90</f>
        <v>19.113464910029641</v>
      </c>
      <c r="W284" s="66" t="s">
        <v>1973</v>
      </c>
      <c r="X284">
        <v>3</v>
      </c>
      <c r="Y284">
        <v>1</v>
      </c>
      <c r="Z284">
        <v>1</v>
      </c>
      <c r="AA284">
        <v>3</v>
      </c>
      <c r="AB284">
        <v>1</v>
      </c>
    </row>
    <row r="285" spans="1:28" x14ac:dyDescent="0.35">
      <c r="A285" t="s">
        <v>1193</v>
      </c>
      <c r="B285" t="s">
        <v>2261</v>
      </c>
      <c r="C285" t="s">
        <v>851</v>
      </c>
      <c r="D285">
        <v>2022</v>
      </c>
      <c r="E285">
        <v>2019</v>
      </c>
      <c r="F285" t="s">
        <v>1951</v>
      </c>
      <c r="G285">
        <v>2020</v>
      </c>
      <c r="H285" t="s">
        <v>1953</v>
      </c>
      <c r="I285" t="s">
        <v>1672</v>
      </c>
      <c r="J285" s="66">
        <v>2045</v>
      </c>
      <c r="P285" s="87"/>
      <c r="R285" s="95">
        <f>$BC$121/$AR$121 * 1000/$AK$90</f>
        <v>25.271712245039989</v>
      </c>
      <c r="S285" s="95">
        <f>$BC$120/$AR$120 * 1000/$AK$90</f>
        <v>37.127173413855687</v>
      </c>
      <c r="T285" s="95">
        <f>$BC$119/$AR$119 * 1000/$AK$90</f>
        <v>35.187429501514821</v>
      </c>
      <c r="U285" s="95">
        <f>$BC$118/$AR$118 * 1000/$AK$90</f>
        <v>19.113464910029641</v>
      </c>
      <c r="W285" s="66" t="s">
        <v>1973</v>
      </c>
      <c r="X285">
        <v>3</v>
      </c>
      <c r="Y285">
        <v>1</v>
      </c>
      <c r="Z285">
        <v>1</v>
      </c>
      <c r="AA285">
        <v>3</v>
      </c>
      <c r="AB285">
        <v>1</v>
      </c>
    </row>
    <row r="286" spans="1:28" x14ac:dyDescent="0.35">
      <c r="A286" t="s">
        <v>1193</v>
      </c>
      <c r="B286" t="s">
        <v>2261</v>
      </c>
      <c r="C286" t="s">
        <v>851</v>
      </c>
      <c r="D286">
        <v>2022</v>
      </c>
      <c r="E286">
        <v>2019</v>
      </c>
      <c r="F286" t="s">
        <v>1951</v>
      </c>
      <c r="G286">
        <v>2020</v>
      </c>
      <c r="H286" t="s">
        <v>1953</v>
      </c>
      <c r="I286" t="s">
        <v>1672</v>
      </c>
      <c r="J286" s="66">
        <v>2050</v>
      </c>
      <c r="P286" s="87"/>
      <c r="S286" s="95">
        <f>$BC$121/$AR$121 * 1000/$AK$90</f>
        <v>25.271712245039989</v>
      </c>
      <c r="T286" s="95">
        <f>$BC$120/$AR$120 * 1000/$AK$90</f>
        <v>37.127173413855687</v>
      </c>
      <c r="U286" s="95">
        <f>$BC$119/$AR$119 * 1000/$AK$90</f>
        <v>35.187429501514821</v>
      </c>
      <c r="V286" s="406">
        <f>$BC$118/$AR$118 * 1000/$AK$90</f>
        <v>19.113464910029641</v>
      </c>
      <c r="W286" s="66" t="s">
        <v>1973</v>
      </c>
      <c r="X286">
        <v>3</v>
      </c>
      <c r="Y286">
        <v>1</v>
      </c>
      <c r="Z286">
        <v>1</v>
      </c>
      <c r="AA286">
        <v>3</v>
      </c>
      <c r="AB286">
        <v>1</v>
      </c>
    </row>
    <row r="287" spans="1:28" x14ac:dyDescent="0.35">
      <c r="A287" t="s">
        <v>1203</v>
      </c>
      <c r="B287" t="s">
        <v>2261</v>
      </c>
      <c r="C287" t="s">
        <v>851</v>
      </c>
      <c r="D287">
        <v>2022</v>
      </c>
      <c r="E287">
        <v>2019</v>
      </c>
      <c r="F287" t="s">
        <v>1951</v>
      </c>
      <c r="G287">
        <v>2020</v>
      </c>
      <c r="H287" t="s">
        <v>1953</v>
      </c>
      <c r="I287" t="s">
        <v>1683</v>
      </c>
      <c r="J287" s="66">
        <v>2021</v>
      </c>
      <c r="P287" s="407">
        <f>$AZ$118/$AR$118 * 1000/$AK$91</f>
        <v>82.135739785979453</v>
      </c>
      <c r="W287" s="66" t="s">
        <v>1973</v>
      </c>
      <c r="X287">
        <v>3</v>
      </c>
      <c r="Y287">
        <v>1</v>
      </c>
      <c r="Z287">
        <v>1</v>
      </c>
      <c r="AA287">
        <v>3</v>
      </c>
      <c r="AB287">
        <v>1</v>
      </c>
    </row>
    <row r="288" spans="1:28" x14ac:dyDescent="0.35">
      <c r="A288" t="s">
        <v>1203</v>
      </c>
      <c r="B288" t="s">
        <v>2261</v>
      </c>
      <c r="C288" t="s">
        <v>851</v>
      </c>
      <c r="D288">
        <v>2022</v>
      </c>
      <c r="E288">
        <v>2019</v>
      </c>
      <c r="F288" t="s">
        <v>1951</v>
      </c>
      <c r="G288">
        <v>2020</v>
      </c>
      <c r="H288" t="s">
        <v>1953</v>
      </c>
      <c r="I288" t="s">
        <v>1683</v>
      </c>
      <c r="J288" s="66">
        <v>2025</v>
      </c>
      <c r="P288" s="407">
        <f>$AZ$119/$AR$119 * 1000/$AK$91</f>
        <v>170.63093373954845</v>
      </c>
      <c r="Q288" s="95">
        <f>$AZ$118/$AR$118 * 1000/$AK$91</f>
        <v>82.135739785979453</v>
      </c>
      <c r="W288" s="66" t="s">
        <v>1973</v>
      </c>
      <c r="X288">
        <v>3</v>
      </c>
      <c r="Y288">
        <v>1</v>
      </c>
      <c r="Z288">
        <v>1</v>
      </c>
      <c r="AA288">
        <v>3</v>
      </c>
      <c r="AB288">
        <v>1</v>
      </c>
    </row>
    <row r="289" spans="1:28" x14ac:dyDescent="0.35">
      <c r="A289" t="s">
        <v>1203</v>
      </c>
      <c r="B289" t="s">
        <v>2261</v>
      </c>
      <c r="C289" t="s">
        <v>851</v>
      </c>
      <c r="D289">
        <v>2022</v>
      </c>
      <c r="E289">
        <v>2019</v>
      </c>
      <c r="F289" t="s">
        <v>1951</v>
      </c>
      <c r="G289">
        <v>2020</v>
      </c>
      <c r="H289" t="s">
        <v>1953</v>
      </c>
      <c r="I289" t="s">
        <v>1683</v>
      </c>
      <c r="J289" s="66">
        <v>2030</v>
      </c>
      <c r="P289" s="407">
        <f>$AZ$120/$AR$120 * 1000/$AK$91</f>
        <v>171.73000807432393</v>
      </c>
      <c r="Q289" s="95">
        <f>$AZ$119/$AR$119 * 1000/$AK$91</f>
        <v>170.63093373954845</v>
      </c>
      <c r="R289" s="95">
        <f>$AZ$118/$AR$118 * 1000/$AK$91</f>
        <v>82.135739785979453</v>
      </c>
      <c r="W289" s="66" t="s">
        <v>1973</v>
      </c>
      <c r="X289">
        <v>3</v>
      </c>
      <c r="Y289">
        <v>1</v>
      </c>
      <c r="Z289">
        <v>1</v>
      </c>
      <c r="AA289">
        <v>3</v>
      </c>
      <c r="AB289">
        <v>1</v>
      </c>
    </row>
    <row r="290" spans="1:28" x14ac:dyDescent="0.35">
      <c r="A290" t="s">
        <v>1203</v>
      </c>
      <c r="B290" t="s">
        <v>2261</v>
      </c>
      <c r="C290" t="s">
        <v>851</v>
      </c>
      <c r="D290">
        <v>2022</v>
      </c>
      <c r="E290">
        <v>2019</v>
      </c>
      <c r="F290" t="s">
        <v>1951</v>
      </c>
      <c r="G290">
        <v>2020</v>
      </c>
      <c r="H290" t="s">
        <v>1953</v>
      </c>
      <c r="I290" t="s">
        <v>1683</v>
      </c>
      <c r="J290" s="66">
        <v>2035</v>
      </c>
      <c r="P290" s="407">
        <f>$AZ$121/$AR$121 * 1000/$AK$91</f>
        <v>94.494166721341486</v>
      </c>
      <c r="Q290" s="95">
        <f>$AZ$120/$AR$120 * 1000/$AK$91</f>
        <v>171.73000807432393</v>
      </c>
      <c r="R290" s="95">
        <f>$AZ$119/$AR$119 * 1000/$AK$91</f>
        <v>170.63093373954845</v>
      </c>
      <c r="S290" s="95">
        <f>$AZ$118/$AR$118 * 1000/$AK$91</f>
        <v>82.135739785979453</v>
      </c>
      <c r="W290" s="66" t="s">
        <v>1973</v>
      </c>
      <c r="X290">
        <v>3</v>
      </c>
      <c r="Y290">
        <v>1</v>
      </c>
      <c r="Z290">
        <v>1</v>
      </c>
      <c r="AA290">
        <v>3</v>
      </c>
      <c r="AB290">
        <v>1</v>
      </c>
    </row>
    <row r="291" spans="1:28" x14ac:dyDescent="0.35">
      <c r="A291" t="s">
        <v>1203</v>
      </c>
      <c r="B291" t="s">
        <v>2261</v>
      </c>
      <c r="C291" t="s">
        <v>851</v>
      </c>
      <c r="D291">
        <v>2022</v>
      </c>
      <c r="E291">
        <v>2019</v>
      </c>
      <c r="F291" t="s">
        <v>1951</v>
      </c>
      <c r="G291">
        <v>2020</v>
      </c>
      <c r="H291" t="s">
        <v>1953</v>
      </c>
      <c r="I291" t="s">
        <v>1683</v>
      </c>
      <c r="J291" s="66">
        <v>2040</v>
      </c>
      <c r="P291" s="87"/>
      <c r="Q291" s="95">
        <f>$AZ$121/$AR$121 * 1000/$AK$91</f>
        <v>94.494166721341486</v>
      </c>
      <c r="R291" s="95">
        <f>$AZ$120/$AR$120 * 1000/$AK$91</f>
        <v>171.73000807432393</v>
      </c>
      <c r="S291" s="95">
        <f>$AZ$119/$AR$119 * 1000/$AK$91</f>
        <v>170.63093373954845</v>
      </c>
      <c r="T291" s="95">
        <f>$AZ$118/$AR$118 * 1000/$AK$91</f>
        <v>82.135739785979453</v>
      </c>
      <c r="W291" s="66" t="s">
        <v>1973</v>
      </c>
      <c r="X291">
        <v>3</v>
      </c>
      <c r="Y291">
        <v>1</v>
      </c>
      <c r="Z291">
        <v>1</v>
      </c>
      <c r="AA291">
        <v>3</v>
      </c>
      <c r="AB291">
        <v>1</v>
      </c>
    </row>
    <row r="292" spans="1:28" x14ac:dyDescent="0.35">
      <c r="A292" t="s">
        <v>1203</v>
      </c>
      <c r="B292" t="s">
        <v>2261</v>
      </c>
      <c r="C292" t="s">
        <v>851</v>
      </c>
      <c r="D292">
        <v>2022</v>
      </c>
      <c r="E292">
        <v>2019</v>
      </c>
      <c r="F292" t="s">
        <v>1951</v>
      </c>
      <c r="G292">
        <v>2020</v>
      </c>
      <c r="H292" t="s">
        <v>1953</v>
      </c>
      <c r="I292" t="s">
        <v>1683</v>
      </c>
      <c r="J292" s="66">
        <v>2045</v>
      </c>
      <c r="P292" s="87"/>
      <c r="R292" s="95">
        <f>$AZ$121/$AR$121 * 1000/$AK$91</f>
        <v>94.494166721341486</v>
      </c>
      <c r="S292" s="95">
        <f>$AZ$120/$AR$120 * 1000/$AK$91</f>
        <v>171.73000807432393</v>
      </c>
      <c r="T292" s="95">
        <f>$AZ$119/$AR$119 * 1000/$AK$91</f>
        <v>170.63093373954845</v>
      </c>
      <c r="U292" s="95">
        <f>$AZ$118/$AR$118 * 1000/$AK$91</f>
        <v>82.135739785979453</v>
      </c>
      <c r="W292" s="66" t="s">
        <v>1973</v>
      </c>
      <c r="X292">
        <v>3</v>
      </c>
      <c r="Y292">
        <v>1</v>
      </c>
      <c r="Z292">
        <v>1</v>
      </c>
      <c r="AA292">
        <v>3</v>
      </c>
      <c r="AB292">
        <v>1</v>
      </c>
    </row>
    <row r="293" spans="1:28" x14ac:dyDescent="0.35">
      <c r="A293" t="s">
        <v>1203</v>
      </c>
      <c r="B293" t="s">
        <v>2261</v>
      </c>
      <c r="C293" t="s">
        <v>851</v>
      </c>
      <c r="D293">
        <v>2022</v>
      </c>
      <c r="E293">
        <v>2019</v>
      </c>
      <c r="F293" t="s">
        <v>1951</v>
      </c>
      <c r="G293">
        <v>2020</v>
      </c>
      <c r="H293" t="s">
        <v>1953</v>
      </c>
      <c r="I293" t="s">
        <v>1683</v>
      </c>
      <c r="J293" s="66">
        <v>2050</v>
      </c>
      <c r="P293" s="87"/>
      <c r="S293" s="95">
        <f>$AZ$121/$AR$121 * 1000/$AK$91</f>
        <v>94.494166721341486</v>
      </c>
      <c r="T293" s="95">
        <f>$AZ$120/$AR$120 * 1000/$AK$91</f>
        <v>171.73000807432393</v>
      </c>
      <c r="U293" s="95">
        <f>$AZ$119/$AR$119 * 1000/$AK$91</f>
        <v>170.63093373954845</v>
      </c>
      <c r="V293" s="406">
        <f>$AZ$118/$AR$118 * 1000/$AK$91</f>
        <v>82.135739785979453</v>
      </c>
      <c r="W293" s="66" t="s">
        <v>1973</v>
      </c>
      <c r="X293">
        <v>3</v>
      </c>
      <c r="Y293">
        <v>1</v>
      </c>
      <c r="Z293">
        <v>1</v>
      </c>
      <c r="AA293">
        <v>3</v>
      </c>
      <c r="AB293">
        <v>1</v>
      </c>
    </row>
    <row r="294" spans="1:28" x14ac:dyDescent="0.35">
      <c r="A294" t="s">
        <v>1204</v>
      </c>
      <c r="B294" t="s">
        <v>2261</v>
      </c>
      <c r="C294" t="s">
        <v>851</v>
      </c>
      <c r="D294">
        <v>2022</v>
      </c>
      <c r="E294">
        <v>2019</v>
      </c>
      <c r="F294" t="s">
        <v>1951</v>
      </c>
      <c r="G294">
        <v>2020</v>
      </c>
      <c r="H294" t="s">
        <v>1953</v>
      </c>
      <c r="I294" t="s">
        <v>1683</v>
      </c>
      <c r="J294" s="66">
        <v>2021</v>
      </c>
      <c r="P294" s="407">
        <f>$AX$118/$AR$118 * 1000/$AK$91</f>
        <v>83.5277227673906</v>
      </c>
      <c r="W294" s="66" t="s">
        <v>1973</v>
      </c>
      <c r="X294">
        <v>3</v>
      </c>
      <c r="Y294">
        <v>1</v>
      </c>
      <c r="Z294">
        <v>1</v>
      </c>
      <c r="AA294">
        <v>3</v>
      </c>
      <c r="AB294">
        <v>1</v>
      </c>
    </row>
    <row r="295" spans="1:28" x14ac:dyDescent="0.35">
      <c r="A295" t="s">
        <v>1204</v>
      </c>
      <c r="B295" t="s">
        <v>2261</v>
      </c>
      <c r="C295" t="s">
        <v>851</v>
      </c>
      <c r="D295">
        <v>2022</v>
      </c>
      <c r="E295">
        <v>2019</v>
      </c>
      <c r="F295" t="s">
        <v>1951</v>
      </c>
      <c r="G295">
        <v>2020</v>
      </c>
      <c r="H295" t="s">
        <v>1953</v>
      </c>
      <c r="I295" t="s">
        <v>1683</v>
      </c>
      <c r="J295" s="66">
        <v>2025</v>
      </c>
      <c r="P295" s="407">
        <f>$AX$119/$AR$119 * 1000/$AK$91</f>
        <v>175.97794072517016</v>
      </c>
      <c r="Q295" s="95">
        <f>$AX$118/$AR$118 * 1000/$AK$91</f>
        <v>83.5277227673906</v>
      </c>
      <c r="W295" s="66" t="s">
        <v>1973</v>
      </c>
      <c r="X295">
        <v>3</v>
      </c>
      <c r="Y295">
        <v>1</v>
      </c>
      <c r="Z295">
        <v>1</v>
      </c>
      <c r="AA295">
        <v>3</v>
      </c>
      <c r="AB295">
        <v>1</v>
      </c>
    </row>
    <row r="296" spans="1:28" x14ac:dyDescent="0.35">
      <c r="A296" t="s">
        <v>1204</v>
      </c>
      <c r="B296" t="s">
        <v>2261</v>
      </c>
      <c r="C296" t="s">
        <v>851</v>
      </c>
      <c r="D296">
        <v>2022</v>
      </c>
      <c r="E296">
        <v>2019</v>
      </c>
      <c r="F296" t="s">
        <v>1951</v>
      </c>
      <c r="G296">
        <v>2020</v>
      </c>
      <c r="H296" t="s">
        <v>1953</v>
      </c>
      <c r="I296" t="s">
        <v>1683</v>
      </c>
      <c r="J296" s="66">
        <v>2030</v>
      </c>
      <c r="P296" s="407">
        <f>$AX$120/$AR$120 * 1000/$AK$91</f>
        <v>178.62535030337386</v>
      </c>
      <c r="Q296" s="95">
        <f>$AX$119/$AR$119 * 1000/$AK$91</f>
        <v>175.97794072517016</v>
      </c>
      <c r="R296" s="95">
        <f>$AX$118/$AR$118 * 1000/$AK$91</f>
        <v>83.5277227673906</v>
      </c>
      <c r="W296" s="66" t="s">
        <v>1973</v>
      </c>
      <c r="X296">
        <v>3</v>
      </c>
      <c r="Y296">
        <v>1</v>
      </c>
      <c r="Z296">
        <v>1</v>
      </c>
      <c r="AA296">
        <v>3</v>
      </c>
      <c r="AB296">
        <v>1</v>
      </c>
    </row>
    <row r="297" spans="1:28" x14ac:dyDescent="0.35">
      <c r="A297" t="s">
        <v>1204</v>
      </c>
      <c r="B297" t="s">
        <v>2261</v>
      </c>
      <c r="C297" t="s">
        <v>851</v>
      </c>
      <c r="D297">
        <v>2022</v>
      </c>
      <c r="E297">
        <v>2019</v>
      </c>
      <c r="F297" t="s">
        <v>1951</v>
      </c>
      <c r="G297">
        <v>2020</v>
      </c>
      <c r="H297" t="s">
        <v>1953</v>
      </c>
      <c r="I297" t="s">
        <v>1683</v>
      </c>
      <c r="J297" s="66">
        <v>2035</v>
      </c>
      <c r="P297" s="407">
        <f>$AX$121/$AR$121 * 1000/$AK$91</f>
        <v>101.91321506566968</v>
      </c>
      <c r="Q297" s="95">
        <f>$AX$120/$AR$120 * 1000/$AK$91</f>
        <v>178.62535030337386</v>
      </c>
      <c r="R297" s="95">
        <f>$AX$119/$AR$119 * 1000/$AK$91</f>
        <v>175.97794072517016</v>
      </c>
      <c r="S297" s="95">
        <f>$AX$118/$AR$118 * 1000/$AK$91</f>
        <v>83.5277227673906</v>
      </c>
      <c r="W297" s="66" t="s">
        <v>1973</v>
      </c>
      <c r="X297">
        <v>3</v>
      </c>
      <c r="Y297">
        <v>1</v>
      </c>
      <c r="Z297">
        <v>1</v>
      </c>
      <c r="AA297">
        <v>3</v>
      </c>
      <c r="AB297">
        <v>1</v>
      </c>
    </row>
    <row r="298" spans="1:28" x14ac:dyDescent="0.35">
      <c r="A298" t="s">
        <v>1204</v>
      </c>
      <c r="B298" t="s">
        <v>2261</v>
      </c>
      <c r="C298" t="s">
        <v>851</v>
      </c>
      <c r="D298">
        <v>2022</v>
      </c>
      <c r="E298">
        <v>2019</v>
      </c>
      <c r="F298" t="s">
        <v>1951</v>
      </c>
      <c r="G298">
        <v>2020</v>
      </c>
      <c r="H298" t="s">
        <v>1953</v>
      </c>
      <c r="I298" t="s">
        <v>1683</v>
      </c>
      <c r="J298" s="66">
        <v>2040</v>
      </c>
      <c r="P298" s="87"/>
      <c r="Q298" s="95">
        <f>$AX$121/$AR$121 * 1000/$AK$91</f>
        <v>101.91321506566968</v>
      </c>
      <c r="R298" s="95">
        <f>$AX$120/$AR$120 * 1000/$AK$91</f>
        <v>178.62535030337386</v>
      </c>
      <c r="S298" s="95">
        <f>$AX$119/$AR$119 * 1000/$AK$91</f>
        <v>175.97794072517016</v>
      </c>
      <c r="T298" s="95">
        <f>$AX$118/$AR$118 * 1000/$AK$91</f>
        <v>83.5277227673906</v>
      </c>
      <c r="W298" s="66" t="s">
        <v>1973</v>
      </c>
      <c r="X298">
        <v>3</v>
      </c>
      <c r="Y298">
        <v>1</v>
      </c>
      <c r="Z298">
        <v>1</v>
      </c>
      <c r="AA298">
        <v>3</v>
      </c>
      <c r="AB298">
        <v>1</v>
      </c>
    </row>
    <row r="299" spans="1:28" x14ac:dyDescent="0.35">
      <c r="A299" t="s">
        <v>1204</v>
      </c>
      <c r="B299" t="s">
        <v>2261</v>
      </c>
      <c r="C299" t="s">
        <v>851</v>
      </c>
      <c r="D299">
        <v>2022</v>
      </c>
      <c r="E299">
        <v>2019</v>
      </c>
      <c r="F299" t="s">
        <v>1951</v>
      </c>
      <c r="G299">
        <v>2020</v>
      </c>
      <c r="H299" t="s">
        <v>1953</v>
      </c>
      <c r="I299" t="s">
        <v>1683</v>
      </c>
      <c r="J299" s="66">
        <v>2045</v>
      </c>
      <c r="P299" s="87"/>
      <c r="R299" s="95">
        <f>$AX$121/$AR$121 * 1000/$AK$91</f>
        <v>101.91321506566968</v>
      </c>
      <c r="S299" s="95">
        <f>$AX$120/$AR$120 * 1000/$AK$91</f>
        <v>178.62535030337386</v>
      </c>
      <c r="T299" s="95">
        <f>$AX$119/$AR$119 * 1000/$AK$91</f>
        <v>175.97794072517016</v>
      </c>
      <c r="U299" s="95">
        <f>$AX$118/$AR$118 * 1000/$AK$91</f>
        <v>83.5277227673906</v>
      </c>
      <c r="W299" s="66" t="s">
        <v>1973</v>
      </c>
      <c r="X299">
        <v>3</v>
      </c>
      <c r="Y299">
        <v>1</v>
      </c>
      <c r="Z299">
        <v>1</v>
      </c>
      <c r="AA299">
        <v>3</v>
      </c>
      <c r="AB299">
        <v>1</v>
      </c>
    </row>
    <row r="300" spans="1:28" x14ac:dyDescent="0.35">
      <c r="A300" t="s">
        <v>1204</v>
      </c>
      <c r="B300" t="s">
        <v>2261</v>
      </c>
      <c r="C300" t="s">
        <v>851</v>
      </c>
      <c r="D300">
        <v>2022</v>
      </c>
      <c r="E300">
        <v>2019</v>
      </c>
      <c r="F300" t="s">
        <v>1951</v>
      </c>
      <c r="G300">
        <v>2020</v>
      </c>
      <c r="H300" t="s">
        <v>1953</v>
      </c>
      <c r="I300" t="s">
        <v>1683</v>
      </c>
      <c r="J300" s="66">
        <v>2050</v>
      </c>
      <c r="P300" s="87"/>
      <c r="S300" s="95">
        <f>$AX$121/$AR$121 * 1000/$AK$91</f>
        <v>101.91321506566968</v>
      </c>
      <c r="T300" s="95">
        <f>$AX$120/$AR$120 * 1000/$AK$91</f>
        <v>178.62535030337386</v>
      </c>
      <c r="U300" s="95">
        <f>$AX$119/$AR$119 * 1000/$AK$91</f>
        <v>175.97794072517016</v>
      </c>
      <c r="V300" s="406">
        <f>$AX$118/$AR$118 * 1000/$AK$91</f>
        <v>83.5277227673906</v>
      </c>
      <c r="W300" s="66" t="s">
        <v>1973</v>
      </c>
      <c r="X300">
        <v>3</v>
      </c>
      <c r="Y300">
        <v>1</v>
      </c>
      <c r="Z300">
        <v>1</v>
      </c>
      <c r="AA300">
        <v>3</v>
      </c>
      <c r="AB300">
        <v>1</v>
      </c>
    </row>
    <row r="301" spans="1:28" x14ac:dyDescent="0.35">
      <c r="A301" t="s">
        <v>1205</v>
      </c>
      <c r="B301" t="s">
        <v>2261</v>
      </c>
      <c r="C301" t="s">
        <v>851</v>
      </c>
      <c r="D301">
        <v>2022</v>
      </c>
      <c r="E301">
        <v>2019</v>
      </c>
      <c r="F301" t="s">
        <v>1951</v>
      </c>
      <c r="G301">
        <v>2020</v>
      </c>
      <c r="H301" t="s">
        <v>1953</v>
      </c>
      <c r="I301" t="s">
        <v>1683</v>
      </c>
      <c r="J301" s="66">
        <v>2021</v>
      </c>
      <c r="P301" s="407">
        <f>$AY$118/$AR$118 * 1000/$AK$91</f>
        <v>80.366284769629104</v>
      </c>
      <c r="W301" s="66" t="s">
        <v>1973</v>
      </c>
      <c r="X301">
        <v>3</v>
      </c>
      <c r="Y301">
        <v>1</v>
      </c>
      <c r="Z301">
        <v>1</v>
      </c>
      <c r="AA301">
        <v>3</v>
      </c>
      <c r="AB301">
        <v>1</v>
      </c>
    </row>
    <row r="302" spans="1:28" x14ac:dyDescent="0.35">
      <c r="A302" t="s">
        <v>1205</v>
      </c>
      <c r="B302" t="s">
        <v>2261</v>
      </c>
      <c r="C302" t="s">
        <v>851</v>
      </c>
      <c r="D302">
        <v>2022</v>
      </c>
      <c r="E302">
        <v>2019</v>
      </c>
      <c r="F302" t="s">
        <v>1951</v>
      </c>
      <c r="G302">
        <v>2020</v>
      </c>
      <c r="H302" t="s">
        <v>1953</v>
      </c>
      <c r="I302" t="s">
        <v>1683</v>
      </c>
      <c r="J302" s="66">
        <v>2025</v>
      </c>
      <c r="P302" s="407">
        <f>$AY$119/$AR$119 * 1000/$AK$91</f>
        <v>175.05002248710082</v>
      </c>
      <c r="Q302" s="95">
        <f>$AY$118/$AR$118 * 1000/$AK$91</f>
        <v>80.366284769629104</v>
      </c>
      <c r="W302" s="66" t="s">
        <v>1973</v>
      </c>
      <c r="X302">
        <v>3</v>
      </c>
      <c r="Y302">
        <v>1</v>
      </c>
      <c r="Z302">
        <v>1</v>
      </c>
      <c r="AA302">
        <v>3</v>
      </c>
      <c r="AB302">
        <v>1</v>
      </c>
    </row>
    <row r="303" spans="1:28" x14ac:dyDescent="0.35">
      <c r="A303" t="s">
        <v>1205</v>
      </c>
      <c r="B303" t="s">
        <v>2261</v>
      </c>
      <c r="C303" t="s">
        <v>851</v>
      </c>
      <c r="D303">
        <v>2022</v>
      </c>
      <c r="E303">
        <v>2019</v>
      </c>
      <c r="F303" t="s">
        <v>1951</v>
      </c>
      <c r="G303">
        <v>2020</v>
      </c>
      <c r="H303" t="s">
        <v>1953</v>
      </c>
      <c r="I303" t="s">
        <v>1683</v>
      </c>
      <c r="J303" s="66">
        <v>2030</v>
      </c>
      <c r="P303" s="407">
        <f>$AY$120/$AR$120 * 1000/$AK$91</f>
        <v>178.37524312666815</v>
      </c>
      <c r="Q303" s="95">
        <f>$AY$119/$AR$119 * 1000/$AK$91</f>
        <v>175.05002248710082</v>
      </c>
      <c r="R303" s="95">
        <f>$AY$118/$AR$118 * 1000/$AK$91</f>
        <v>80.366284769629104</v>
      </c>
      <c r="W303" s="66" t="s">
        <v>1973</v>
      </c>
      <c r="X303">
        <v>3</v>
      </c>
      <c r="Y303">
        <v>1</v>
      </c>
      <c r="Z303">
        <v>1</v>
      </c>
      <c r="AA303">
        <v>3</v>
      </c>
      <c r="AB303">
        <v>1</v>
      </c>
    </row>
    <row r="304" spans="1:28" x14ac:dyDescent="0.35">
      <c r="A304" t="s">
        <v>1205</v>
      </c>
      <c r="B304" t="s">
        <v>2261</v>
      </c>
      <c r="C304" t="s">
        <v>851</v>
      </c>
      <c r="D304">
        <v>2022</v>
      </c>
      <c r="E304">
        <v>2019</v>
      </c>
      <c r="F304" t="s">
        <v>1951</v>
      </c>
      <c r="G304">
        <v>2020</v>
      </c>
      <c r="H304" t="s">
        <v>1953</v>
      </c>
      <c r="I304" t="s">
        <v>1683</v>
      </c>
      <c r="J304" s="66">
        <v>2035</v>
      </c>
      <c r="P304" s="407">
        <f>$AY$121/$AR$121 * 1000/$AK$91</f>
        <v>105.93581064803379</v>
      </c>
      <c r="Q304" s="95">
        <f>$AY$120/$AR$120 * 1000/$AK$91</f>
        <v>178.37524312666815</v>
      </c>
      <c r="R304" s="95">
        <f>$AY$119/$AR$119 * 1000/$AK$91</f>
        <v>175.05002248710082</v>
      </c>
      <c r="S304" s="95">
        <f>$AY$118/$AR$118 * 1000/$AK$91</f>
        <v>80.366284769629104</v>
      </c>
      <c r="W304" s="66" t="s">
        <v>1973</v>
      </c>
      <c r="X304">
        <v>3</v>
      </c>
      <c r="Y304">
        <v>1</v>
      </c>
      <c r="Z304">
        <v>1</v>
      </c>
      <c r="AA304">
        <v>3</v>
      </c>
      <c r="AB304">
        <v>1</v>
      </c>
    </row>
    <row r="305" spans="1:28" x14ac:dyDescent="0.35">
      <c r="A305" t="s">
        <v>1205</v>
      </c>
      <c r="B305" t="s">
        <v>2261</v>
      </c>
      <c r="C305" t="s">
        <v>851</v>
      </c>
      <c r="D305">
        <v>2022</v>
      </c>
      <c r="E305">
        <v>2019</v>
      </c>
      <c r="F305" t="s">
        <v>1951</v>
      </c>
      <c r="G305">
        <v>2020</v>
      </c>
      <c r="H305" t="s">
        <v>1953</v>
      </c>
      <c r="I305" t="s">
        <v>1683</v>
      </c>
      <c r="J305" s="66">
        <v>2040</v>
      </c>
      <c r="P305" s="87"/>
      <c r="Q305" s="95">
        <f>$AY$121/$AR$121 * 1000/$AK$91</f>
        <v>105.93581064803379</v>
      </c>
      <c r="R305" s="95">
        <f>$AY$120/$AR$120 * 1000/$AK$91</f>
        <v>178.37524312666815</v>
      </c>
      <c r="S305" s="95">
        <f>$AY$119/$AR$119 * 1000/$AK$91</f>
        <v>175.05002248710082</v>
      </c>
      <c r="T305" s="95">
        <f>$AY$118/$AR$118 * 1000/$AK$91</f>
        <v>80.366284769629104</v>
      </c>
      <c r="W305" s="66" t="s">
        <v>1973</v>
      </c>
      <c r="X305">
        <v>3</v>
      </c>
      <c r="Y305">
        <v>1</v>
      </c>
      <c r="Z305">
        <v>1</v>
      </c>
      <c r="AA305">
        <v>3</v>
      </c>
      <c r="AB305">
        <v>1</v>
      </c>
    </row>
    <row r="306" spans="1:28" x14ac:dyDescent="0.35">
      <c r="A306" t="s">
        <v>1205</v>
      </c>
      <c r="B306" t="s">
        <v>2261</v>
      </c>
      <c r="C306" t="s">
        <v>851</v>
      </c>
      <c r="D306">
        <v>2022</v>
      </c>
      <c r="E306">
        <v>2019</v>
      </c>
      <c r="F306" t="s">
        <v>1951</v>
      </c>
      <c r="G306">
        <v>2020</v>
      </c>
      <c r="H306" t="s">
        <v>1953</v>
      </c>
      <c r="I306" t="s">
        <v>1683</v>
      </c>
      <c r="J306" s="66">
        <v>2045</v>
      </c>
      <c r="P306" s="87"/>
      <c r="R306" s="95">
        <f>$AY$121/$AR$121 * 1000/$AK$91</f>
        <v>105.93581064803379</v>
      </c>
      <c r="S306" s="95">
        <f>$AY$120/$AR$120 * 1000/$AK$91</f>
        <v>178.37524312666815</v>
      </c>
      <c r="T306" s="95">
        <f>$AY$119/$AR$119 * 1000/$AK$91</f>
        <v>175.05002248710082</v>
      </c>
      <c r="U306" s="95">
        <f>$AY$118/$AR$118 * 1000/$AK$91</f>
        <v>80.366284769629104</v>
      </c>
      <c r="W306" s="66" t="s">
        <v>1973</v>
      </c>
      <c r="X306">
        <v>3</v>
      </c>
      <c r="Y306">
        <v>1</v>
      </c>
      <c r="Z306">
        <v>1</v>
      </c>
      <c r="AA306">
        <v>3</v>
      </c>
      <c r="AB306">
        <v>1</v>
      </c>
    </row>
    <row r="307" spans="1:28" x14ac:dyDescent="0.35">
      <c r="A307" t="s">
        <v>1205</v>
      </c>
      <c r="B307" t="s">
        <v>2261</v>
      </c>
      <c r="C307" t="s">
        <v>851</v>
      </c>
      <c r="D307">
        <v>2022</v>
      </c>
      <c r="E307">
        <v>2019</v>
      </c>
      <c r="F307" t="s">
        <v>1951</v>
      </c>
      <c r="G307">
        <v>2020</v>
      </c>
      <c r="H307" t="s">
        <v>1953</v>
      </c>
      <c r="I307" t="s">
        <v>1683</v>
      </c>
      <c r="J307" s="66">
        <v>2050</v>
      </c>
      <c r="P307" s="87"/>
      <c r="S307" s="95">
        <f>$AY$121/$AR$121 * 1000/$AK$91</f>
        <v>105.93581064803379</v>
      </c>
      <c r="T307" s="95">
        <f>$AY$120/$AR$120 * 1000/$AK$91</f>
        <v>178.37524312666815</v>
      </c>
      <c r="U307" s="95">
        <f>$AY$119/$AR$119 * 1000/$AK$91</f>
        <v>175.05002248710082</v>
      </c>
      <c r="V307" s="406">
        <f>$AY$118/$AR$118 * 1000/$AK$91</f>
        <v>80.366284769629104</v>
      </c>
      <c r="W307" s="66" t="s">
        <v>1973</v>
      </c>
      <c r="X307">
        <v>3</v>
      </c>
      <c r="Y307">
        <v>1</v>
      </c>
      <c r="Z307">
        <v>1</v>
      </c>
      <c r="AA307">
        <v>3</v>
      </c>
      <c r="AB307">
        <v>1</v>
      </c>
    </row>
    <row r="308" spans="1:28" x14ac:dyDescent="0.35">
      <c r="A308" t="s">
        <v>1206</v>
      </c>
      <c r="B308" t="s">
        <v>2261</v>
      </c>
      <c r="C308" t="s">
        <v>851</v>
      </c>
      <c r="D308">
        <v>2022</v>
      </c>
      <c r="E308">
        <v>2019</v>
      </c>
      <c r="F308" t="s">
        <v>1951</v>
      </c>
      <c r="G308">
        <v>2020</v>
      </c>
      <c r="H308" t="s">
        <v>1953</v>
      </c>
      <c r="I308" t="s">
        <v>1683</v>
      </c>
      <c r="J308" s="66">
        <v>2021</v>
      </c>
      <c r="P308" s="407">
        <f>$BD$118/$AR$118 * 1000/$AK$91</f>
        <v>77.245510125583351</v>
      </c>
      <c r="W308" s="66" t="s">
        <v>1973</v>
      </c>
      <c r="X308">
        <v>3</v>
      </c>
      <c r="Y308">
        <v>1</v>
      </c>
      <c r="Z308">
        <v>1</v>
      </c>
      <c r="AA308">
        <v>3</v>
      </c>
      <c r="AB308">
        <v>1</v>
      </c>
    </row>
    <row r="309" spans="1:28" x14ac:dyDescent="0.35">
      <c r="A309" t="s">
        <v>1206</v>
      </c>
      <c r="B309" t="s">
        <v>2261</v>
      </c>
      <c r="C309" t="s">
        <v>851</v>
      </c>
      <c r="D309">
        <v>2022</v>
      </c>
      <c r="E309">
        <v>2019</v>
      </c>
      <c r="F309" t="s">
        <v>1951</v>
      </c>
      <c r="G309">
        <v>2020</v>
      </c>
      <c r="H309" t="s">
        <v>1953</v>
      </c>
      <c r="I309" t="s">
        <v>1683</v>
      </c>
      <c r="J309" s="66">
        <v>2025</v>
      </c>
      <c r="P309" s="407">
        <f>$BD$119/$AR$119 * 1000/$AK$91</f>
        <v>169.92195851670922</v>
      </c>
      <c r="Q309" s="95">
        <f>$BD$118/$AR$118 * 1000/$AK$91</f>
        <v>77.245510125583351</v>
      </c>
      <c r="W309" s="66" t="s">
        <v>1973</v>
      </c>
      <c r="X309">
        <v>3</v>
      </c>
      <c r="Y309">
        <v>1</v>
      </c>
      <c r="Z309">
        <v>1</v>
      </c>
      <c r="AA309">
        <v>3</v>
      </c>
      <c r="AB309">
        <v>1</v>
      </c>
    </row>
    <row r="310" spans="1:28" x14ac:dyDescent="0.35">
      <c r="A310" t="s">
        <v>1206</v>
      </c>
      <c r="B310" t="s">
        <v>2261</v>
      </c>
      <c r="C310" t="s">
        <v>851</v>
      </c>
      <c r="D310">
        <v>2022</v>
      </c>
      <c r="E310">
        <v>2019</v>
      </c>
      <c r="F310" t="s">
        <v>1951</v>
      </c>
      <c r="G310">
        <v>2020</v>
      </c>
      <c r="H310" t="s">
        <v>1953</v>
      </c>
      <c r="I310" t="s">
        <v>1683</v>
      </c>
      <c r="J310" s="66">
        <v>2030</v>
      </c>
      <c r="P310" s="407">
        <f>$BD$120/$AR$120 * 1000/$AK$91</f>
        <v>115.00615579751127</v>
      </c>
      <c r="Q310" s="95">
        <f>$BD$119/$AR$119 * 1000/$AK$91</f>
        <v>169.92195851670922</v>
      </c>
      <c r="R310" s="95">
        <f>$BD$118/$AR$118 * 1000/$AK$91</f>
        <v>77.245510125583351</v>
      </c>
      <c r="W310" s="66" t="s">
        <v>1973</v>
      </c>
      <c r="X310">
        <v>3</v>
      </c>
      <c r="Y310">
        <v>1</v>
      </c>
      <c r="Z310">
        <v>1</v>
      </c>
      <c r="AA310">
        <v>3</v>
      </c>
      <c r="AB310">
        <v>1</v>
      </c>
    </row>
    <row r="311" spans="1:28" x14ac:dyDescent="0.35">
      <c r="A311" t="s">
        <v>1206</v>
      </c>
      <c r="B311" t="s">
        <v>2261</v>
      </c>
      <c r="C311" t="s">
        <v>851</v>
      </c>
      <c r="D311">
        <v>2022</v>
      </c>
      <c r="E311">
        <v>2019</v>
      </c>
      <c r="F311" t="s">
        <v>1951</v>
      </c>
      <c r="G311">
        <v>2020</v>
      </c>
      <c r="H311" t="s">
        <v>1953</v>
      </c>
      <c r="I311" t="s">
        <v>1683</v>
      </c>
      <c r="J311" s="66">
        <v>2035</v>
      </c>
      <c r="P311" s="407">
        <f>$BD$121/$AR$121 * 1000/$AK$91</f>
        <v>194.55008842933583</v>
      </c>
      <c r="Q311" s="95">
        <f>$BD$120/$AR$120 * 1000/$AK$91</f>
        <v>115.00615579751127</v>
      </c>
      <c r="R311" s="95">
        <f>$BD$119/$AR$119 * 1000/$AK$91</f>
        <v>169.92195851670922</v>
      </c>
      <c r="S311" s="95">
        <f>$BD$118/$AR$118 * 1000/$AK$91</f>
        <v>77.245510125583351</v>
      </c>
      <c r="W311" s="66" t="s">
        <v>1973</v>
      </c>
      <c r="X311">
        <v>3</v>
      </c>
      <c r="Y311">
        <v>1</v>
      </c>
      <c r="Z311">
        <v>1</v>
      </c>
      <c r="AA311">
        <v>3</v>
      </c>
      <c r="AB311">
        <v>1</v>
      </c>
    </row>
    <row r="312" spans="1:28" x14ac:dyDescent="0.35">
      <c r="A312" t="s">
        <v>1206</v>
      </c>
      <c r="B312" t="s">
        <v>2261</v>
      </c>
      <c r="C312" t="s">
        <v>851</v>
      </c>
      <c r="D312">
        <v>2022</v>
      </c>
      <c r="E312">
        <v>2019</v>
      </c>
      <c r="F312" t="s">
        <v>1951</v>
      </c>
      <c r="G312">
        <v>2020</v>
      </c>
      <c r="H312" t="s">
        <v>1953</v>
      </c>
      <c r="I312" t="s">
        <v>1683</v>
      </c>
      <c r="J312" s="66">
        <v>2040</v>
      </c>
      <c r="P312" s="87"/>
      <c r="Q312" s="95">
        <f>$BD$121/$AR$121 * 1000/$AK$91</f>
        <v>194.55008842933583</v>
      </c>
      <c r="R312" s="95">
        <f>$BD$120/$AR$120 * 1000/$AK$91</f>
        <v>115.00615579751127</v>
      </c>
      <c r="S312" s="95">
        <f>$BD$119/$AR$119 * 1000/$AK$91</f>
        <v>169.92195851670922</v>
      </c>
      <c r="T312" s="95">
        <f>$BD$118/$AR$118 * 1000/$AK$91</f>
        <v>77.245510125583351</v>
      </c>
      <c r="W312" s="66" t="s">
        <v>1973</v>
      </c>
      <c r="X312">
        <v>3</v>
      </c>
      <c r="Y312">
        <v>1</v>
      </c>
      <c r="Z312">
        <v>1</v>
      </c>
      <c r="AA312">
        <v>3</v>
      </c>
      <c r="AB312">
        <v>1</v>
      </c>
    </row>
    <row r="313" spans="1:28" x14ac:dyDescent="0.35">
      <c r="A313" t="s">
        <v>1206</v>
      </c>
      <c r="B313" t="s">
        <v>2261</v>
      </c>
      <c r="C313" t="s">
        <v>851</v>
      </c>
      <c r="D313">
        <v>2022</v>
      </c>
      <c r="E313">
        <v>2019</v>
      </c>
      <c r="F313" t="s">
        <v>1951</v>
      </c>
      <c r="G313">
        <v>2020</v>
      </c>
      <c r="H313" t="s">
        <v>1953</v>
      </c>
      <c r="I313" t="s">
        <v>1683</v>
      </c>
      <c r="J313" s="66">
        <v>2045</v>
      </c>
      <c r="P313" s="87"/>
      <c r="R313" s="95">
        <f>$BD$121/$AR$121 * 1000/$AK$91</f>
        <v>194.55008842933583</v>
      </c>
      <c r="S313" s="95">
        <f>$BD$120/$AR$120 * 1000/$AK$91</f>
        <v>115.00615579751127</v>
      </c>
      <c r="T313" s="95">
        <f>$BD$119/$AR$119 * 1000/$AK$91</f>
        <v>169.92195851670922</v>
      </c>
      <c r="U313" s="95">
        <f>$BD$118/$AR$118 * 1000/$AK$91</f>
        <v>77.245510125583351</v>
      </c>
      <c r="W313" s="66" t="s">
        <v>1973</v>
      </c>
      <c r="X313">
        <v>3</v>
      </c>
      <c r="Y313">
        <v>1</v>
      </c>
      <c r="Z313">
        <v>1</v>
      </c>
      <c r="AA313">
        <v>3</v>
      </c>
      <c r="AB313">
        <v>1</v>
      </c>
    </row>
    <row r="314" spans="1:28" x14ac:dyDescent="0.35">
      <c r="A314" t="s">
        <v>1206</v>
      </c>
      <c r="B314" t="s">
        <v>2261</v>
      </c>
      <c r="C314" t="s">
        <v>851</v>
      </c>
      <c r="D314">
        <v>2022</v>
      </c>
      <c r="E314">
        <v>2019</v>
      </c>
      <c r="F314" t="s">
        <v>1951</v>
      </c>
      <c r="G314">
        <v>2020</v>
      </c>
      <c r="H314" t="s">
        <v>1953</v>
      </c>
      <c r="I314" t="s">
        <v>1683</v>
      </c>
      <c r="J314" s="66">
        <v>2050</v>
      </c>
      <c r="P314" s="87"/>
      <c r="S314" s="95">
        <f>$BD$121/$AR$121 * 1000/$AK$91</f>
        <v>194.55008842933583</v>
      </c>
      <c r="T314" s="95">
        <f>$BD$120/$AR$120 * 1000/$AK$91</f>
        <v>115.00615579751127</v>
      </c>
      <c r="U314" s="95">
        <f>$BD$119/$AR$119 * 1000/$AK$91</f>
        <v>169.92195851670922</v>
      </c>
      <c r="V314" s="406">
        <f>$BD$118/$AR$118 * 1000/$AK$91</f>
        <v>77.245510125583351</v>
      </c>
      <c r="W314" s="66" t="s">
        <v>1973</v>
      </c>
      <c r="X314">
        <v>3</v>
      </c>
      <c r="Y314">
        <v>1</v>
      </c>
      <c r="Z314">
        <v>1</v>
      </c>
      <c r="AA314">
        <v>3</v>
      </c>
      <c r="AB314">
        <v>1</v>
      </c>
    </row>
    <row r="315" spans="1:28" x14ac:dyDescent="0.35">
      <c r="A315" t="s">
        <v>1207</v>
      </c>
      <c r="B315" t="s">
        <v>2261</v>
      </c>
      <c r="C315" t="s">
        <v>851</v>
      </c>
      <c r="D315">
        <v>2022</v>
      </c>
      <c r="E315">
        <v>2019</v>
      </c>
      <c r="F315" t="s">
        <v>1951</v>
      </c>
      <c r="G315">
        <v>2020</v>
      </c>
      <c r="H315" t="s">
        <v>1953</v>
      </c>
      <c r="I315" t="s">
        <v>1683</v>
      </c>
      <c r="J315" s="66">
        <v>2021</v>
      </c>
      <c r="P315" s="407">
        <f>$BE$118/$AR$118 * 1000/$AK$91</f>
        <v>73.447842188547398</v>
      </c>
      <c r="W315" s="66" t="s">
        <v>1973</v>
      </c>
      <c r="X315">
        <v>3</v>
      </c>
      <c r="Y315">
        <v>1</v>
      </c>
      <c r="Z315">
        <v>1</v>
      </c>
      <c r="AA315">
        <v>3</v>
      </c>
      <c r="AB315">
        <v>1</v>
      </c>
    </row>
    <row r="316" spans="1:28" x14ac:dyDescent="0.35">
      <c r="A316" t="s">
        <v>1207</v>
      </c>
      <c r="B316" t="s">
        <v>2261</v>
      </c>
      <c r="C316" t="s">
        <v>851</v>
      </c>
      <c r="D316">
        <v>2022</v>
      </c>
      <c r="E316">
        <v>2019</v>
      </c>
      <c r="F316" t="s">
        <v>1951</v>
      </c>
      <c r="G316">
        <v>2020</v>
      </c>
      <c r="H316" t="s">
        <v>1953</v>
      </c>
      <c r="I316" t="s">
        <v>1683</v>
      </c>
      <c r="J316" s="66">
        <v>2025</v>
      </c>
      <c r="P316" s="407">
        <f>$BE$119/$AR$119 * 1000/$AK$91</f>
        <v>152.7326101397403</v>
      </c>
      <c r="Q316" s="95">
        <f>$BE$118/$AR$118 * 1000/$AK$91</f>
        <v>73.447842188547398</v>
      </c>
      <c r="W316" s="66" t="s">
        <v>1973</v>
      </c>
      <c r="X316">
        <v>3</v>
      </c>
      <c r="Y316">
        <v>1</v>
      </c>
      <c r="Z316">
        <v>1</v>
      </c>
      <c r="AA316">
        <v>3</v>
      </c>
      <c r="AB316">
        <v>1</v>
      </c>
    </row>
    <row r="317" spans="1:28" x14ac:dyDescent="0.35">
      <c r="A317" t="s">
        <v>1207</v>
      </c>
      <c r="B317" t="s">
        <v>2261</v>
      </c>
      <c r="C317" t="s">
        <v>851</v>
      </c>
      <c r="D317">
        <v>2022</v>
      </c>
      <c r="E317">
        <v>2019</v>
      </c>
      <c r="F317" t="s">
        <v>1951</v>
      </c>
      <c r="G317">
        <v>2020</v>
      </c>
      <c r="H317" t="s">
        <v>1953</v>
      </c>
      <c r="I317" t="s">
        <v>1683</v>
      </c>
      <c r="J317" s="66">
        <v>2030</v>
      </c>
      <c r="P317" s="407">
        <f>$BE$120/$AR$120 * 1000/$AK$91</f>
        <v>131.08974648204978</v>
      </c>
      <c r="Q317" s="95">
        <f>$BE$119/$AR$119 * 1000/$AK$91</f>
        <v>152.7326101397403</v>
      </c>
      <c r="R317" s="95">
        <f>$BE$118/$AR$118 * 1000/$AK$91</f>
        <v>73.447842188547398</v>
      </c>
      <c r="W317" s="66" t="s">
        <v>1973</v>
      </c>
      <c r="X317">
        <v>3</v>
      </c>
      <c r="Y317">
        <v>1</v>
      </c>
      <c r="Z317">
        <v>1</v>
      </c>
      <c r="AA317">
        <v>3</v>
      </c>
      <c r="AB317">
        <v>1</v>
      </c>
    </row>
    <row r="318" spans="1:28" x14ac:dyDescent="0.35">
      <c r="A318" t="s">
        <v>1207</v>
      </c>
      <c r="B318" t="s">
        <v>2261</v>
      </c>
      <c r="C318" t="s">
        <v>851</v>
      </c>
      <c r="D318">
        <v>2022</v>
      </c>
      <c r="E318">
        <v>2019</v>
      </c>
      <c r="F318" t="s">
        <v>1951</v>
      </c>
      <c r="G318">
        <v>2020</v>
      </c>
      <c r="H318" t="s">
        <v>1953</v>
      </c>
      <c r="I318" t="s">
        <v>1683</v>
      </c>
      <c r="J318" s="66">
        <v>2035</v>
      </c>
      <c r="P318" s="407">
        <f>$BE$121/$AR$121 * 1000/$AK$91</f>
        <v>193.11313465637167</v>
      </c>
      <c r="Q318" s="95">
        <f>$BE$120/$AR$120 * 1000/$AK$91</f>
        <v>131.08974648204978</v>
      </c>
      <c r="R318" s="95">
        <f>$BE$119/$AR$119 * 1000/$AK$91</f>
        <v>152.7326101397403</v>
      </c>
      <c r="S318" s="95">
        <f>$BE$118/$AR$118 * 1000/$AK$91</f>
        <v>73.447842188547398</v>
      </c>
      <c r="W318" s="66" t="s">
        <v>1973</v>
      </c>
      <c r="X318">
        <v>3</v>
      </c>
      <c r="Y318">
        <v>1</v>
      </c>
      <c r="Z318">
        <v>1</v>
      </c>
      <c r="AA318">
        <v>3</v>
      </c>
      <c r="AB318">
        <v>1</v>
      </c>
    </row>
    <row r="319" spans="1:28" x14ac:dyDescent="0.35">
      <c r="A319" t="s">
        <v>1207</v>
      </c>
      <c r="B319" t="s">
        <v>2261</v>
      </c>
      <c r="C319" t="s">
        <v>851</v>
      </c>
      <c r="D319">
        <v>2022</v>
      </c>
      <c r="E319">
        <v>2019</v>
      </c>
      <c r="F319" t="s">
        <v>1951</v>
      </c>
      <c r="G319">
        <v>2020</v>
      </c>
      <c r="H319" t="s">
        <v>1953</v>
      </c>
      <c r="I319" t="s">
        <v>1683</v>
      </c>
      <c r="J319" s="66">
        <v>2040</v>
      </c>
      <c r="P319" s="87"/>
      <c r="Q319" s="95">
        <f>$BE$121/$AR$121 * 1000/$AK$91</f>
        <v>193.11313465637167</v>
      </c>
      <c r="R319" s="95">
        <f>$BE$120/$AR$120 * 1000/$AK$91</f>
        <v>131.08974648204978</v>
      </c>
      <c r="S319" s="95">
        <f>$BE$119/$AR$119 * 1000/$AK$91</f>
        <v>152.7326101397403</v>
      </c>
      <c r="T319" s="95">
        <f>$BE$118/$AR$118 * 1000/$AK$91</f>
        <v>73.447842188547398</v>
      </c>
      <c r="W319" s="66" t="s">
        <v>1973</v>
      </c>
      <c r="X319">
        <v>3</v>
      </c>
      <c r="Y319">
        <v>1</v>
      </c>
      <c r="Z319">
        <v>1</v>
      </c>
      <c r="AA319">
        <v>3</v>
      </c>
      <c r="AB319">
        <v>1</v>
      </c>
    </row>
    <row r="320" spans="1:28" x14ac:dyDescent="0.35">
      <c r="A320" t="s">
        <v>1207</v>
      </c>
      <c r="B320" t="s">
        <v>2261</v>
      </c>
      <c r="C320" t="s">
        <v>851</v>
      </c>
      <c r="D320">
        <v>2022</v>
      </c>
      <c r="E320">
        <v>2019</v>
      </c>
      <c r="F320" t="s">
        <v>1951</v>
      </c>
      <c r="G320">
        <v>2020</v>
      </c>
      <c r="H320" t="s">
        <v>1953</v>
      </c>
      <c r="I320" t="s">
        <v>1683</v>
      </c>
      <c r="J320" s="66">
        <v>2045</v>
      </c>
      <c r="P320" s="87"/>
      <c r="R320" s="95">
        <f>$BE$121/$AR$121 * 1000/$AK$91</f>
        <v>193.11313465637167</v>
      </c>
      <c r="S320" s="95">
        <f>$BE$120/$AR$120 * 1000/$AK$91</f>
        <v>131.08974648204978</v>
      </c>
      <c r="T320" s="95">
        <f>$BE$119/$AR$119 * 1000/$AK$91</f>
        <v>152.7326101397403</v>
      </c>
      <c r="U320" s="95">
        <f>$BE$118/$AR$118 * 1000/$AK$91</f>
        <v>73.447842188547398</v>
      </c>
      <c r="W320" s="66" t="s">
        <v>1973</v>
      </c>
      <c r="X320">
        <v>3</v>
      </c>
      <c r="Y320">
        <v>1</v>
      </c>
      <c r="Z320">
        <v>1</v>
      </c>
      <c r="AA320">
        <v>3</v>
      </c>
      <c r="AB320">
        <v>1</v>
      </c>
    </row>
    <row r="321" spans="1:28" x14ac:dyDescent="0.35">
      <c r="A321" t="s">
        <v>1207</v>
      </c>
      <c r="B321" t="s">
        <v>2261</v>
      </c>
      <c r="C321" t="s">
        <v>851</v>
      </c>
      <c r="D321">
        <v>2022</v>
      </c>
      <c r="E321">
        <v>2019</v>
      </c>
      <c r="F321" t="s">
        <v>1951</v>
      </c>
      <c r="G321">
        <v>2020</v>
      </c>
      <c r="H321" t="s">
        <v>1953</v>
      </c>
      <c r="I321" t="s">
        <v>1683</v>
      </c>
      <c r="J321" s="66">
        <v>2050</v>
      </c>
      <c r="P321" s="87"/>
      <c r="S321" s="95">
        <f>$BE$121/$AR$121 * 1000/$AK$91</f>
        <v>193.11313465637167</v>
      </c>
      <c r="T321" s="95">
        <f>$BE$120/$AR$120 * 1000/$AK$91</f>
        <v>131.08974648204978</v>
      </c>
      <c r="U321" s="95">
        <f>$BE$119/$AR$119 * 1000/$AK$91</f>
        <v>152.7326101397403</v>
      </c>
      <c r="V321" s="406">
        <f>$BE$118/$AR$118 * 1000/$AK$91</f>
        <v>73.447842188547398</v>
      </c>
      <c r="W321" s="66" t="s">
        <v>1973</v>
      </c>
      <c r="X321">
        <v>3</v>
      </c>
      <c r="Y321">
        <v>1</v>
      </c>
      <c r="Z321">
        <v>1</v>
      </c>
      <c r="AA321">
        <v>3</v>
      </c>
      <c r="AB321">
        <v>1</v>
      </c>
    </row>
    <row r="322" spans="1:28" x14ac:dyDescent="0.35">
      <c r="A322" t="s">
        <v>1208</v>
      </c>
      <c r="B322" t="s">
        <v>2261</v>
      </c>
      <c r="C322" t="s">
        <v>851</v>
      </c>
      <c r="D322">
        <v>2022</v>
      </c>
      <c r="E322">
        <v>2019</v>
      </c>
      <c r="F322" t="s">
        <v>1951</v>
      </c>
      <c r="G322">
        <v>2020</v>
      </c>
      <c r="H322" t="s">
        <v>1953</v>
      </c>
      <c r="I322" t="s">
        <v>1683</v>
      </c>
      <c r="J322" s="66">
        <v>2021</v>
      </c>
      <c r="P322" s="407">
        <f>$BA$118/$AR$118 * 1000/$AK$91</f>
        <v>74.525502755453928</v>
      </c>
      <c r="W322" s="66" t="s">
        <v>1973</v>
      </c>
      <c r="X322">
        <v>3</v>
      </c>
      <c r="Y322">
        <v>1</v>
      </c>
      <c r="Z322">
        <v>1</v>
      </c>
      <c r="AA322">
        <v>3</v>
      </c>
      <c r="AB322">
        <v>1</v>
      </c>
    </row>
    <row r="323" spans="1:28" x14ac:dyDescent="0.35">
      <c r="A323" t="s">
        <v>1208</v>
      </c>
      <c r="B323" t="s">
        <v>2261</v>
      </c>
      <c r="C323" t="s">
        <v>851</v>
      </c>
      <c r="D323">
        <v>2022</v>
      </c>
      <c r="E323">
        <v>2019</v>
      </c>
      <c r="F323" t="s">
        <v>1951</v>
      </c>
      <c r="G323">
        <v>2020</v>
      </c>
      <c r="H323" t="s">
        <v>1953</v>
      </c>
      <c r="I323" t="s">
        <v>1683</v>
      </c>
      <c r="J323" s="66">
        <v>2025</v>
      </c>
      <c r="P323" s="407">
        <f>$BA$119/$AR$119 * 1000/$AK$91</f>
        <v>156.87670162462024</v>
      </c>
      <c r="Q323" s="95">
        <f>$BA$118/$AR$118 * 1000/$AK$91</f>
        <v>74.525502755453928</v>
      </c>
      <c r="W323" s="66" t="s">
        <v>1973</v>
      </c>
      <c r="X323">
        <v>3</v>
      </c>
      <c r="Y323">
        <v>1</v>
      </c>
      <c r="Z323">
        <v>1</v>
      </c>
      <c r="AA323">
        <v>3</v>
      </c>
      <c r="AB323">
        <v>1</v>
      </c>
    </row>
    <row r="324" spans="1:28" x14ac:dyDescent="0.35">
      <c r="A324" t="s">
        <v>1208</v>
      </c>
      <c r="B324" t="s">
        <v>2261</v>
      </c>
      <c r="C324" t="s">
        <v>851</v>
      </c>
      <c r="D324">
        <v>2022</v>
      </c>
      <c r="E324">
        <v>2019</v>
      </c>
      <c r="F324" t="s">
        <v>1951</v>
      </c>
      <c r="G324">
        <v>2020</v>
      </c>
      <c r="H324" t="s">
        <v>1953</v>
      </c>
      <c r="I324" t="s">
        <v>1683</v>
      </c>
      <c r="J324" s="66">
        <v>2030</v>
      </c>
      <c r="P324" s="407">
        <f>$BA$120/$AR$120 * 1000/$AK$91</f>
        <v>136.43107839201741</v>
      </c>
      <c r="Q324" s="95">
        <f>$BA$119/$AR$119 * 1000/$AK$91</f>
        <v>156.87670162462024</v>
      </c>
      <c r="R324" s="95">
        <f>$BA$118/$AR$118 * 1000/$AK$91</f>
        <v>74.525502755453928</v>
      </c>
      <c r="W324" s="66" t="s">
        <v>1973</v>
      </c>
      <c r="X324">
        <v>3</v>
      </c>
      <c r="Y324">
        <v>1</v>
      </c>
      <c r="Z324">
        <v>1</v>
      </c>
      <c r="AA324">
        <v>3</v>
      </c>
      <c r="AB324">
        <v>1</v>
      </c>
    </row>
    <row r="325" spans="1:28" x14ac:dyDescent="0.35">
      <c r="A325" t="s">
        <v>1208</v>
      </c>
      <c r="B325" t="s">
        <v>2261</v>
      </c>
      <c r="C325" t="s">
        <v>851</v>
      </c>
      <c r="D325">
        <v>2022</v>
      </c>
      <c r="E325">
        <v>2019</v>
      </c>
      <c r="F325" t="s">
        <v>1951</v>
      </c>
      <c r="G325">
        <v>2020</v>
      </c>
      <c r="H325" t="s">
        <v>1953</v>
      </c>
      <c r="I325" t="s">
        <v>1683</v>
      </c>
      <c r="J325" s="66">
        <v>2035</v>
      </c>
      <c r="P325" s="407">
        <f>$BA$121/$AR$121 * 1000/$AK$91</f>
        <v>198.8554756602139</v>
      </c>
      <c r="Q325" s="95">
        <f>$BA$120/$AR$120 * 1000/$AK$91</f>
        <v>136.43107839201741</v>
      </c>
      <c r="R325" s="95">
        <f>$BA$119/$AR$119 * 1000/$AK$91</f>
        <v>156.87670162462024</v>
      </c>
      <c r="S325" s="95">
        <f>$BA$118/$AR$118 * 1000/$AK$91</f>
        <v>74.525502755453928</v>
      </c>
      <c r="W325" s="66" t="s">
        <v>1973</v>
      </c>
      <c r="X325">
        <v>3</v>
      </c>
      <c r="Y325">
        <v>1</v>
      </c>
      <c r="Z325">
        <v>1</v>
      </c>
      <c r="AA325">
        <v>3</v>
      </c>
      <c r="AB325">
        <v>1</v>
      </c>
    </row>
    <row r="326" spans="1:28" x14ac:dyDescent="0.35">
      <c r="A326" t="s">
        <v>1208</v>
      </c>
      <c r="B326" t="s">
        <v>2261</v>
      </c>
      <c r="C326" t="s">
        <v>851</v>
      </c>
      <c r="D326">
        <v>2022</v>
      </c>
      <c r="E326">
        <v>2019</v>
      </c>
      <c r="F326" t="s">
        <v>1951</v>
      </c>
      <c r="G326">
        <v>2020</v>
      </c>
      <c r="H326" t="s">
        <v>1953</v>
      </c>
      <c r="I326" t="s">
        <v>1683</v>
      </c>
      <c r="J326" s="66">
        <v>2040</v>
      </c>
      <c r="P326" s="87"/>
      <c r="Q326" s="95">
        <f>$BA$121/$AR$121 * 1000/$AK$91</f>
        <v>198.8554756602139</v>
      </c>
      <c r="R326" s="95">
        <f>$BA$120/$AR$120 * 1000/$AK$91</f>
        <v>136.43107839201741</v>
      </c>
      <c r="S326" s="95">
        <f>$BA$119/$AR$119 * 1000/$AK$91</f>
        <v>156.87670162462024</v>
      </c>
      <c r="T326" s="95">
        <f>$BA$118/$AR$118 * 1000/$AK$91</f>
        <v>74.525502755453928</v>
      </c>
      <c r="W326" s="66" t="s">
        <v>1973</v>
      </c>
      <c r="X326">
        <v>3</v>
      </c>
      <c r="Y326">
        <v>1</v>
      </c>
      <c r="Z326">
        <v>1</v>
      </c>
      <c r="AA326">
        <v>3</v>
      </c>
      <c r="AB326">
        <v>1</v>
      </c>
    </row>
    <row r="327" spans="1:28" x14ac:dyDescent="0.35">
      <c r="A327" t="s">
        <v>1208</v>
      </c>
      <c r="B327" t="s">
        <v>2261</v>
      </c>
      <c r="C327" t="s">
        <v>851</v>
      </c>
      <c r="D327">
        <v>2022</v>
      </c>
      <c r="E327">
        <v>2019</v>
      </c>
      <c r="F327" t="s">
        <v>1951</v>
      </c>
      <c r="G327">
        <v>2020</v>
      </c>
      <c r="H327" t="s">
        <v>1953</v>
      </c>
      <c r="I327" t="s">
        <v>1683</v>
      </c>
      <c r="J327" s="66">
        <v>2045</v>
      </c>
      <c r="P327" s="87"/>
      <c r="R327" s="95">
        <f>$BA$121/$AR$121 * 1000/$AK$91</f>
        <v>198.8554756602139</v>
      </c>
      <c r="S327" s="95">
        <f>$BA$120/$AR$120 * 1000/$AK$91</f>
        <v>136.43107839201741</v>
      </c>
      <c r="T327" s="95">
        <f>$BA$119/$AR$119 * 1000/$AK$91</f>
        <v>156.87670162462024</v>
      </c>
      <c r="U327" s="95">
        <f>$BA$118/$AR$118 * 1000/$AK$91</f>
        <v>74.525502755453928</v>
      </c>
      <c r="W327" s="66" t="s">
        <v>1973</v>
      </c>
      <c r="X327">
        <v>3</v>
      </c>
      <c r="Y327">
        <v>1</v>
      </c>
      <c r="Z327">
        <v>1</v>
      </c>
      <c r="AA327">
        <v>3</v>
      </c>
      <c r="AB327">
        <v>1</v>
      </c>
    </row>
    <row r="328" spans="1:28" x14ac:dyDescent="0.35">
      <c r="A328" t="s">
        <v>1208</v>
      </c>
      <c r="B328" t="s">
        <v>2261</v>
      </c>
      <c r="C328" t="s">
        <v>851</v>
      </c>
      <c r="D328">
        <v>2022</v>
      </c>
      <c r="E328">
        <v>2019</v>
      </c>
      <c r="F328" t="s">
        <v>1951</v>
      </c>
      <c r="G328">
        <v>2020</v>
      </c>
      <c r="H328" t="s">
        <v>1953</v>
      </c>
      <c r="I328" t="s">
        <v>1683</v>
      </c>
      <c r="J328" s="66">
        <v>2050</v>
      </c>
      <c r="P328" s="87"/>
      <c r="S328" s="95">
        <f>$BA$121/$AR$121 * 1000/$AK$91</f>
        <v>198.8554756602139</v>
      </c>
      <c r="T328" s="95">
        <f>$BA$120/$AR$120 * 1000/$AK$91</f>
        <v>136.43107839201741</v>
      </c>
      <c r="U328" s="95">
        <f>$BA$119/$AR$119 * 1000/$AK$91</f>
        <v>156.87670162462024</v>
      </c>
      <c r="V328" s="406">
        <f>$BA$118/$AR$118 * 1000/$AK$91</f>
        <v>74.525502755453928</v>
      </c>
      <c r="W328" s="66" t="s">
        <v>1973</v>
      </c>
      <c r="X328">
        <v>3</v>
      </c>
      <c r="Y328">
        <v>1</v>
      </c>
      <c r="Z328">
        <v>1</v>
      </c>
      <c r="AA328">
        <v>3</v>
      </c>
      <c r="AB328">
        <v>1</v>
      </c>
    </row>
    <row r="329" spans="1:28" x14ac:dyDescent="0.35">
      <c r="A329" t="s">
        <v>1209</v>
      </c>
      <c r="B329" t="s">
        <v>2261</v>
      </c>
      <c r="C329" t="s">
        <v>851</v>
      </c>
      <c r="D329">
        <v>2022</v>
      </c>
      <c r="E329">
        <v>2019</v>
      </c>
      <c r="F329" t="s">
        <v>1951</v>
      </c>
      <c r="G329">
        <v>2020</v>
      </c>
      <c r="H329" t="s">
        <v>1953</v>
      </c>
      <c r="I329" t="s">
        <v>1683</v>
      </c>
      <c r="J329" s="66">
        <v>2021</v>
      </c>
      <c r="P329" s="407">
        <f>$AT$118/$AR$118 * 1000/$AK$91</f>
        <v>54.285610651259468</v>
      </c>
      <c r="W329" s="66" t="s">
        <v>1973</v>
      </c>
      <c r="X329">
        <v>3</v>
      </c>
      <c r="Y329">
        <v>1</v>
      </c>
      <c r="Z329">
        <v>1</v>
      </c>
      <c r="AA329">
        <v>3</v>
      </c>
      <c r="AB329">
        <v>1</v>
      </c>
    </row>
    <row r="330" spans="1:28" x14ac:dyDescent="0.35">
      <c r="A330" t="s">
        <v>1209</v>
      </c>
      <c r="B330" t="s">
        <v>2261</v>
      </c>
      <c r="C330" t="s">
        <v>851</v>
      </c>
      <c r="D330">
        <v>2022</v>
      </c>
      <c r="E330">
        <v>2019</v>
      </c>
      <c r="F330" t="s">
        <v>1951</v>
      </c>
      <c r="G330">
        <v>2020</v>
      </c>
      <c r="H330" t="s">
        <v>1953</v>
      </c>
      <c r="I330" t="s">
        <v>1683</v>
      </c>
      <c r="J330" s="66">
        <v>2025</v>
      </c>
      <c r="P330" s="407">
        <f>$AT$119/$AR$119 * 1000/$AK$91</f>
        <v>96.167214239482519</v>
      </c>
      <c r="Q330" s="95">
        <f>$AT$118/$AR$118 * 1000/$AK$91</f>
        <v>54.285610651259468</v>
      </c>
      <c r="W330" s="66" t="s">
        <v>1973</v>
      </c>
      <c r="X330">
        <v>3</v>
      </c>
      <c r="Y330">
        <v>1</v>
      </c>
      <c r="Z330">
        <v>1</v>
      </c>
      <c r="AA330">
        <v>3</v>
      </c>
      <c r="AB330">
        <v>1</v>
      </c>
    </row>
    <row r="331" spans="1:28" x14ac:dyDescent="0.35">
      <c r="A331" t="s">
        <v>1209</v>
      </c>
      <c r="B331" t="s">
        <v>2261</v>
      </c>
      <c r="C331" t="s">
        <v>851</v>
      </c>
      <c r="D331">
        <v>2022</v>
      </c>
      <c r="E331">
        <v>2019</v>
      </c>
      <c r="F331" t="s">
        <v>1951</v>
      </c>
      <c r="G331">
        <v>2020</v>
      </c>
      <c r="H331" t="s">
        <v>1953</v>
      </c>
      <c r="I331" t="s">
        <v>1683</v>
      </c>
      <c r="J331" s="66">
        <v>2030</v>
      </c>
      <c r="P331" s="407">
        <f>$AT$120/$AR$120 * 1000/$AK$91</f>
        <v>98.996513902556515</v>
      </c>
      <c r="Q331" s="95">
        <f>$AT$119/$AR$119 * 1000/$AK$91</f>
        <v>96.167214239482519</v>
      </c>
      <c r="R331" s="95">
        <f>$AT$118/$AR$118 * 1000/$AK$91</f>
        <v>54.285610651259468</v>
      </c>
      <c r="W331" s="66" t="s">
        <v>1973</v>
      </c>
      <c r="X331">
        <v>3</v>
      </c>
      <c r="Y331">
        <v>1</v>
      </c>
      <c r="Z331">
        <v>1</v>
      </c>
      <c r="AA331">
        <v>3</v>
      </c>
      <c r="AB331">
        <v>1</v>
      </c>
    </row>
    <row r="332" spans="1:28" x14ac:dyDescent="0.35">
      <c r="A332" t="s">
        <v>1209</v>
      </c>
      <c r="B332" t="s">
        <v>2261</v>
      </c>
      <c r="C332" t="s">
        <v>851</v>
      </c>
      <c r="D332">
        <v>2022</v>
      </c>
      <c r="E332">
        <v>2019</v>
      </c>
      <c r="F332" t="s">
        <v>1951</v>
      </c>
      <c r="G332">
        <v>2020</v>
      </c>
      <c r="H332" t="s">
        <v>1953</v>
      </c>
      <c r="I332" t="s">
        <v>1683</v>
      </c>
      <c r="J332" s="66">
        <v>2035</v>
      </c>
      <c r="P332" s="407">
        <f>$AT$121/$AR$121 * 1000/$AK$91</f>
        <v>69.876099953623722</v>
      </c>
      <c r="Q332" s="95">
        <f>$AT$120/$AR$120 * 1000/$AK$91</f>
        <v>98.996513902556515</v>
      </c>
      <c r="R332" s="95">
        <f>$AT$119/$AR$119 * 1000/$AK$91</f>
        <v>96.167214239482519</v>
      </c>
      <c r="S332" s="95">
        <f>$AT$118/$AR$118 * 1000/$AK$91</f>
        <v>54.285610651259468</v>
      </c>
      <c r="W332" s="66" t="s">
        <v>1973</v>
      </c>
      <c r="X332">
        <v>3</v>
      </c>
      <c r="Y332">
        <v>1</v>
      </c>
      <c r="Z332">
        <v>1</v>
      </c>
      <c r="AA332">
        <v>3</v>
      </c>
      <c r="AB332">
        <v>1</v>
      </c>
    </row>
    <row r="333" spans="1:28" x14ac:dyDescent="0.35">
      <c r="A333" t="s">
        <v>1209</v>
      </c>
      <c r="B333" t="s">
        <v>2261</v>
      </c>
      <c r="C333" t="s">
        <v>851</v>
      </c>
      <c r="D333">
        <v>2022</v>
      </c>
      <c r="E333">
        <v>2019</v>
      </c>
      <c r="F333" t="s">
        <v>1951</v>
      </c>
      <c r="G333">
        <v>2020</v>
      </c>
      <c r="H333" t="s">
        <v>1953</v>
      </c>
      <c r="I333" t="s">
        <v>1683</v>
      </c>
      <c r="J333" s="66">
        <v>2040</v>
      </c>
      <c r="P333" s="87"/>
      <c r="Q333" s="95">
        <f>$AT$121/$AR$121 * 1000/$AK$91</f>
        <v>69.876099953623722</v>
      </c>
      <c r="R333" s="95">
        <f>$AT$120/$AR$120 * 1000/$AK$91</f>
        <v>98.996513902556515</v>
      </c>
      <c r="S333" s="95">
        <f>$AT$119/$AR$119 * 1000/$AK$91</f>
        <v>96.167214239482519</v>
      </c>
      <c r="T333" s="95">
        <f>$AT$118/$AR$118 * 1000/$AK$91</f>
        <v>54.285610651259468</v>
      </c>
      <c r="W333" s="66" t="s">
        <v>1973</v>
      </c>
      <c r="X333">
        <v>3</v>
      </c>
      <c r="Y333">
        <v>1</v>
      </c>
      <c r="Z333">
        <v>1</v>
      </c>
      <c r="AA333">
        <v>3</v>
      </c>
      <c r="AB333">
        <v>1</v>
      </c>
    </row>
    <row r="334" spans="1:28" x14ac:dyDescent="0.35">
      <c r="A334" t="s">
        <v>1209</v>
      </c>
      <c r="B334" t="s">
        <v>2261</v>
      </c>
      <c r="C334" t="s">
        <v>851</v>
      </c>
      <c r="D334">
        <v>2022</v>
      </c>
      <c r="E334">
        <v>2019</v>
      </c>
      <c r="F334" t="s">
        <v>1951</v>
      </c>
      <c r="G334">
        <v>2020</v>
      </c>
      <c r="H334" t="s">
        <v>1953</v>
      </c>
      <c r="I334" t="s">
        <v>1683</v>
      </c>
      <c r="J334" s="66">
        <v>2045</v>
      </c>
      <c r="P334" s="87"/>
      <c r="R334" s="95">
        <f>$AT$121/$AR$121 * 1000/$AK$91</f>
        <v>69.876099953623722</v>
      </c>
      <c r="S334" s="95">
        <f>$AT$120/$AR$120 * 1000/$AK$91</f>
        <v>98.996513902556515</v>
      </c>
      <c r="T334" s="95">
        <f>$AT$119/$AR$119 * 1000/$AK$91</f>
        <v>96.167214239482519</v>
      </c>
      <c r="U334" s="95">
        <f>$AT$118/$AR$118 * 1000/$AK$91</f>
        <v>54.285610651259468</v>
      </c>
      <c r="W334" s="66" t="s">
        <v>1973</v>
      </c>
      <c r="X334">
        <v>3</v>
      </c>
      <c r="Y334">
        <v>1</v>
      </c>
      <c r="Z334">
        <v>1</v>
      </c>
      <c r="AA334">
        <v>3</v>
      </c>
      <c r="AB334">
        <v>1</v>
      </c>
    </row>
    <row r="335" spans="1:28" x14ac:dyDescent="0.35">
      <c r="A335" t="s">
        <v>1209</v>
      </c>
      <c r="B335" t="s">
        <v>2261</v>
      </c>
      <c r="C335" t="s">
        <v>851</v>
      </c>
      <c r="D335">
        <v>2022</v>
      </c>
      <c r="E335">
        <v>2019</v>
      </c>
      <c r="F335" t="s">
        <v>1951</v>
      </c>
      <c r="G335">
        <v>2020</v>
      </c>
      <c r="H335" t="s">
        <v>1953</v>
      </c>
      <c r="I335" t="s">
        <v>1683</v>
      </c>
      <c r="J335" s="66">
        <v>2050</v>
      </c>
      <c r="P335" s="87"/>
      <c r="S335" s="95">
        <f>$AT$121/$AR$121 * 1000/$AK$91</f>
        <v>69.876099953623722</v>
      </c>
      <c r="T335" s="95">
        <f>$AT$120/$AR$120 * 1000/$AK$91</f>
        <v>98.996513902556515</v>
      </c>
      <c r="U335" s="95">
        <f>$AT$119/$AR$119 * 1000/$AK$91</f>
        <v>96.167214239482519</v>
      </c>
      <c r="V335" s="406">
        <f>$AT$118/$AR$118 * 1000/$AK$91</f>
        <v>54.285610651259468</v>
      </c>
      <c r="W335" s="66" t="s">
        <v>1973</v>
      </c>
      <c r="X335">
        <v>3</v>
      </c>
      <c r="Y335">
        <v>1</v>
      </c>
      <c r="Z335">
        <v>1</v>
      </c>
      <c r="AA335">
        <v>3</v>
      </c>
      <c r="AB335">
        <v>1</v>
      </c>
    </row>
    <row r="336" spans="1:28" x14ac:dyDescent="0.35">
      <c r="A336" t="s">
        <v>1210</v>
      </c>
      <c r="B336" t="s">
        <v>2261</v>
      </c>
      <c r="C336" t="s">
        <v>851</v>
      </c>
      <c r="D336">
        <v>2022</v>
      </c>
      <c r="E336">
        <v>2019</v>
      </c>
      <c r="F336" t="s">
        <v>1951</v>
      </c>
      <c r="G336">
        <v>2020</v>
      </c>
      <c r="H336" t="s">
        <v>1953</v>
      </c>
      <c r="I336" t="s">
        <v>1683</v>
      </c>
      <c r="J336" s="66">
        <v>2021</v>
      </c>
      <c r="P336" s="407">
        <f>$AU$118/$AR$118 * 1000/$AK$91</f>
        <v>55.83957411164085</v>
      </c>
      <c r="W336" s="66" t="s">
        <v>1973</v>
      </c>
      <c r="X336">
        <v>3</v>
      </c>
      <c r="Y336">
        <v>1</v>
      </c>
      <c r="Z336">
        <v>1</v>
      </c>
      <c r="AA336">
        <v>3</v>
      </c>
      <c r="AB336">
        <v>1</v>
      </c>
    </row>
    <row r="337" spans="1:28" x14ac:dyDescent="0.35">
      <c r="A337" t="s">
        <v>1210</v>
      </c>
      <c r="B337" t="s">
        <v>2261</v>
      </c>
      <c r="C337" t="s">
        <v>851</v>
      </c>
      <c r="D337">
        <v>2022</v>
      </c>
      <c r="E337">
        <v>2019</v>
      </c>
      <c r="F337" t="s">
        <v>1951</v>
      </c>
      <c r="G337">
        <v>2020</v>
      </c>
      <c r="H337" t="s">
        <v>1953</v>
      </c>
      <c r="I337" t="s">
        <v>1683</v>
      </c>
      <c r="J337" s="66">
        <v>2025</v>
      </c>
      <c r="P337" s="407">
        <f>$AU$119/$AR$119 * 1000/$AK$91</f>
        <v>102.13436136848755</v>
      </c>
      <c r="Q337" s="95">
        <f>$AU$118/$AR$118 * 1000/$AK$91</f>
        <v>55.83957411164085</v>
      </c>
      <c r="W337" s="66" t="s">
        <v>1973</v>
      </c>
      <c r="X337">
        <v>3</v>
      </c>
      <c r="Y337">
        <v>1</v>
      </c>
      <c r="Z337">
        <v>1</v>
      </c>
      <c r="AA337">
        <v>3</v>
      </c>
      <c r="AB337">
        <v>1</v>
      </c>
    </row>
    <row r="338" spans="1:28" x14ac:dyDescent="0.35">
      <c r="A338" t="s">
        <v>1210</v>
      </c>
      <c r="B338" t="s">
        <v>2261</v>
      </c>
      <c r="C338" t="s">
        <v>851</v>
      </c>
      <c r="D338">
        <v>2022</v>
      </c>
      <c r="E338">
        <v>2019</v>
      </c>
      <c r="F338" t="s">
        <v>1951</v>
      </c>
      <c r="G338">
        <v>2020</v>
      </c>
      <c r="H338" t="s">
        <v>1953</v>
      </c>
      <c r="I338" t="s">
        <v>1683</v>
      </c>
      <c r="J338" s="66">
        <v>2030</v>
      </c>
      <c r="P338" s="407">
        <f>$AU$120/$AR$120 * 1000/$AK$91</f>
        <v>106.69284864934269</v>
      </c>
      <c r="Q338" s="95">
        <f>$AU$119/$AR$119 * 1000/$AK$91</f>
        <v>102.13436136848755</v>
      </c>
      <c r="R338" s="95">
        <f>$AU$118/$AR$118 * 1000/$AK$91</f>
        <v>55.83957411164085</v>
      </c>
      <c r="W338" s="66" t="s">
        <v>1973</v>
      </c>
      <c r="X338">
        <v>3</v>
      </c>
      <c r="Y338">
        <v>1</v>
      </c>
      <c r="Z338">
        <v>1</v>
      </c>
      <c r="AA338">
        <v>3</v>
      </c>
      <c r="AB338">
        <v>1</v>
      </c>
    </row>
    <row r="339" spans="1:28" x14ac:dyDescent="0.35">
      <c r="A339" t="s">
        <v>1210</v>
      </c>
      <c r="B339" t="s">
        <v>2261</v>
      </c>
      <c r="C339" t="s">
        <v>851</v>
      </c>
      <c r="D339">
        <v>2022</v>
      </c>
      <c r="E339">
        <v>2019</v>
      </c>
      <c r="F339" t="s">
        <v>1951</v>
      </c>
      <c r="G339">
        <v>2020</v>
      </c>
      <c r="H339" t="s">
        <v>1953</v>
      </c>
      <c r="I339" t="s">
        <v>1683</v>
      </c>
      <c r="J339" s="66">
        <v>2035</v>
      </c>
      <c r="P339" s="407">
        <f>$AU$121/$AR$121 * 1000/$AK$91</f>
        <v>78.159134113802665</v>
      </c>
      <c r="Q339" s="95">
        <f>$AU$120/$AR$120 * 1000/$AK$91</f>
        <v>106.69284864934269</v>
      </c>
      <c r="R339" s="95">
        <f>$AU$119/$AR$119 * 1000/$AK$91</f>
        <v>102.13436136848755</v>
      </c>
      <c r="S339" s="95">
        <f>$AU$118/$AR$118 * 1000/$AK$91</f>
        <v>55.83957411164085</v>
      </c>
      <c r="W339" s="66" t="s">
        <v>1973</v>
      </c>
      <c r="X339">
        <v>3</v>
      </c>
      <c r="Y339">
        <v>1</v>
      </c>
      <c r="Z339">
        <v>1</v>
      </c>
      <c r="AA339">
        <v>3</v>
      </c>
      <c r="AB339">
        <v>1</v>
      </c>
    </row>
    <row r="340" spans="1:28" x14ac:dyDescent="0.35">
      <c r="A340" t="s">
        <v>1210</v>
      </c>
      <c r="B340" t="s">
        <v>2261</v>
      </c>
      <c r="C340" t="s">
        <v>851</v>
      </c>
      <c r="D340">
        <v>2022</v>
      </c>
      <c r="E340">
        <v>2019</v>
      </c>
      <c r="F340" t="s">
        <v>1951</v>
      </c>
      <c r="G340">
        <v>2020</v>
      </c>
      <c r="H340" t="s">
        <v>1953</v>
      </c>
      <c r="I340" t="s">
        <v>1683</v>
      </c>
      <c r="J340" s="66">
        <v>2040</v>
      </c>
      <c r="P340" s="87"/>
      <c r="Q340" s="95">
        <f>$AU$121/$AR$121 * 1000/$AK$91</f>
        <v>78.159134113802665</v>
      </c>
      <c r="R340" s="95">
        <f>$AU$120/$AR$120 * 1000/$AK$91</f>
        <v>106.69284864934269</v>
      </c>
      <c r="S340" s="95">
        <f>$AU$119/$AR$119 * 1000/$AK$91</f>
        <v>102.13436136848755</v>
      </c>
      <c r="T340" s="95">
        <f>$AU$118/$AR$118 * 1000/$AK$91</f>
        <v>55.83957411164085</v>
      </c>
      <c r="W340" s="66" t="s">
        <v>1973</v>
      </c>
      <c r="X340">
        <v>3</v>
      </c>
      <c r="Y340">
        <v>1</v>
      </c>
      <c r="Z340">
        <v>1</v>
      </c>
      <c r="AA340">
        <v>3</v>
      </c>
      <c r="AB340">
        <v>1</v>
      </c>
    </row>
    <row r="341" spans="1:28" x14ac:dyDescent="0.35">
      <c r="A341" t="s">
        <v>1210</v>
      </c>
      <c r="B341" t="s">
        <v>2261</v>
      </c>
      <c r="C341" t="s">
        <v>851</v>
      </c>
      <c r="D341">
        <v>2022</v>
      </c>
      <c r="E341">
        <v>2019</v>
      </c>
      <c r="F341" t="s">
        <v>1951</v>
      </c>
      <c r="G341">
        <v>2020</v>
      </c>
      <c r="H341" t="s">
        <v>1953</v>
      </c>
      <c r="I341" t="s">
        <v>1683</v>
      </c>
      <c r="J341" s="66">
        <v>2045</v>
      </c>
      <c r="P341" s="87"/>
      <c r="R341" s="95">
        <f>$AU$121/$AR$121 * 1000/$AK$91</f>
        <v>78.159134113802665</v>
      </c>
      <c r="S341" s="95">
        <f>$AU$120/$AR$120 * 1000/$AK$91</f>
        <v>106.69284864934269</v>
      </c>
      <c r="T341" s="95">
        <f>$AU$119/$AR$119 * 1000/$AK$91</f>
        <v>102.13436136848755</v>
      </c>
      <c r="U341" s="95">
        <f>$AU$118/$AR$118 * 1000/$AK$91</f>
        <v>55.83957411164085</v>
      </c>
      <c r="W341" s="66" t="s">
        <v>1973</v>
      </c>
      <c r="X341">
        <v>3</v>
      </c>
      <c r="Y341">
        <v>1</v>
      </c>
      <c r="Z341">
        <v>1</v>
      </c>
      <c r="AA341">
        <v>3</v>
      </c>
      <c r="AB341">
        <v>1</v>
      </c>
    </row>
    <row r="342" spans="1:28" x14ac:dyDescent="0.35">
      <c r="A342" t="s">
        <v>1210</v>
      </c>
      <c r="B342" t="s">
        <v>2261</v>
      </c>
      <c r="C342" t="s">
        <v>851</v>
      </c>
      <c r="D342">
        <v>2022</v>
      </c>
      <c r="E342">
        <v>2019</v>
      </c>
      <c r="F342" t="s">
        <v>1951</v>
      </c>
      <c r="G342">
        <v>2020</v>
      </c>
      <c r="H342" t="s">
        <v>1953</v>
      </c>
      <c r="I342" t="s">
        <v>1683</v>
      </c>
      <c r="J342" s="66">
        <v>2050</v>
      </c>
      <c r="P342" s="87"/>
      <c r="S342" s="95">
        <f>$AU$121/$AR$121 * 1000/$AK$91</f>
        <v>78.159134113802665</v>
      </c>
      <c r="T342" s="95">
        <f>$AU$120/$AR$120 * 1000/$AK$91</f>
        <v>106.69284864934269</v>
      </c>
      <c r="U342" s="95">
        <f>$AU$119/$AR$119 * 1000/$AK$91</f>
        <v>102.13436136848755</v>
      </c>
      <c r="V342" s="406">
        <f>$AU$118/$AR$118 * 1000/$AK$91</f>
        <v>55.83957411164085</v>
      </c>
      <c r="W342" s="66" t="s">
        <v>1973</v>
      </c>
      <c r="X342">
        <v>3</v>
      </c>
      <c r="Y342">
        <v>1</v>
      </c>
      <c r="Z342">
        <v>1</v>
      </c>
      <c r="AA342">
        <v>3</v>
      </c>
      <c r="AB342">
        <v>1</v>
      </c>
    </row>
    <row r="343" spans="1:28" x14ac:dyDescent="0.35">
      <c r="A343" t="s">
        <v>1211</v>
      </c>
      <c r="B343" t="s">
        <v>2261</v>
      </c>
      <c r="C343" t="s">
        <v>851</v>
      </c>
      <c r="D343">
        <v>2022</v>
      </c>
      <c r="E343">
        <v>2019</v>
      </c>
      <c r="F343" t="s">
        <v>1951</v>
      </c>
      <c r="G343">
        <v>2020</v>
      </c>
      <c r="H343" t="s">
        <v>1953</v>
      </c>
      <c r="I343" t="s">
        <v>1683</v>
      </c>
      <c r="J343" s="66">
        <v>2021</v>
      </c>
      <c r="P343" s="407">
        <f>$AV$118/$AR$118 * 1000/$AK$91</f>
        <v>58.464456518881462</v>
      </c>
      <c r="W343" s="66" t="s">
        <v>1973</v>
      </c>
      <c r="X343">
        <v>3</v>
      </c>
      <c r="Y343">
        <v>1</v>
      </c>
      <c r="Z343">
        <v>1</v>
      </c>
      <c r="AA343">
        <v>3</v>
      </c>
      <c r="AB343">
        <v>1</v>
      </c>
    </row>
    <row r="344" spans="1:28" x14ac:dyDescent="0.35">
      <c r="A344" t="s">
        <v>1211</v>
      </c>
      <c r="B344" t="s">
        <v>2261</v>
      </c>
      <c r="C344" t="s">
        <v>851</v>
      </c>
      <c r="D344">
        <v>2022</v>
      </c>
      <c r="E344">
        <v>2019</v>
      </c>
      <c r="F344" t="s">
        <v>1951</v>
      </c>
      <c r="G344">
        <v>2020</v>
      </c>
      <c r="H344" t="s">
        <v>1953</v>
      </c>
      <c r="I344" t="s">
        <v>1683</v>
      </c>
      <c r="J344" s="66">
        <v>2025</v>
      </c>
      <c r="P344" s="407">
        <f>$AV$119/$AR$119 * 1000/$AK$91</f>
        <v>112.20168269515608</v>
      </c>
      <c r="Q344" s="95">
        <f>$AV$118/$AR$118 * 1000/$AK$91</f>
        <v>58.464456518881462</v>
      </c>
      <c r="W344" s="66" t="s">
        <v>1973</v>
      </c>
      <c r="X344">
        <v>3</v>
      </c>
      <c r="Y344">
        <v>1</v>
      </c>
      <c r="Z344">
        <v>1</v>
      </c>
      <c r="AA344">
        <v>3</v>
      </c>
      <c r="AB344">
        <v>1</v>
      </c>
    </row>
    <row r="345" spans="1:28" x14ac:dyDescent="0.35">
      <c r="A345" t="s">
        <v>1211</v>
      </c>
      <c r="B345" t="s">
        <v>2261</v>
      </c>
      <c r="C345" t="s">
        <v>851</v>
      </c>
      <c r="D345">
        <v>2022</v>
      </c>
      <c r="E345">
        <v>2019</v>
      </c>
      <c r="F345" t="s">
        <v>1951</v>
      </c>
      <c r="G345">
        <v>2020</v>
      </c>
      <c r="H345" t="s">
        <v>1953</v>
      </c>
      <c r="I345" t="s">
        <v>1683</v>
      </c>
      <c r="J345" s="66">
        <v>2030</v>
      </c>
      <c r="P345" s="407">
        <f>$AV$120/$AR$120 * 1000/$AK$91</f>
        <v>119.68498912383539</v>
      </c>
      <c r="Q345" s="95">
        <f>$AV$119/$AR$119 * 1000/$AK$91</f>
        <v>112.20168269515608</v>
      </c>
      <c r="R345" s="95">
        <f>$AV$118/$AR$118 * 1000/$AK$91</f>
        <v>58.464456518881462</v>
      </c>
      <c r="W345" s="66" t="s">
        <v>1973</v>
      </c>
      <c r="X345">
        <v>3</v>
      </c>
      <c r="Y345">
        <v>1</v>
      </c>
      <c r="Z345">
        <v>1</v>
      </c>
      <c r="AA345">
        <v>3</v>
      </c>
      <c r="AB345">
        <v>1</v>
      </c>
    </row>
    <row r="346" spans="1:28" x14ac:dyDescent="0.35">
      <c r="A346" t="s">
        <v>1211</v>
      </c>
      <c r="B346" t="s">
        <v>2261</v>
      </c>
      <c r="C346" t="s">
        <v>851</v>
      </c>
      <c r="D346">
        <v>2022</v>
      </c>
      <c r="E346">
        <v>2019</v>
      </c>
      <c r="F346" t="s">
        <v>1951</v>
      </c>
      <c r="G346">
        <v>2020</v>
      </c>
      <c r="H346" t="s">
        <v>1953</v>
      </c>
      <c r="I346" t="s">
        <v>1683</v>
      </c>
      <c r="J346" s="66">
        <v>2035</v>
      </c>
      <c r="P346" s="407">
        <f>$AV$121/$AR$121 * 1000/$AK$91</f>
        <v>92.15427520207389</v>
      </c>
      <c r="Q346" s="95">
        <f>$AV$120/$AR$120 * 1000/$AK$91</f>
        <v>119.68498912383539</v>
      </c>
      <c r="R346" s="95">
        <f>$AV$119/$AR$119 * 1000/$AK$91</f>
        <v>112.20168269515608</v>
      </c>
      <c r="S346" s="95">
        <f>$AV$118/$AR$118 * 1000/$AK$91</f>
        <v>58.464456518881462</v>
      </c>
      <c r="W346" s="66" t="s">
        <v>1973</v>
      </c>
      <c r="X346">
        <v>3</v>
      </c>
      <c r="Y346">
        <v>1</v>
      </c>
      <c r="Z346">
        <v>1</v>
      </c>
      <c r="AA346">
        <v>3</v>
      </c>
      <c r="AB346">
        <v>1</v>
      </c>
    </row>
    <row r="347" spans="1:28" x14ac:dyDescent="0.35">
      <c r="A347" t="s">
        <v>1211</v>
      </c>
      <c r="B347" t="s">
        <v>2261</v>
      </c>
      <c r="C347" t="s">
        <v>851</v>
      </c>
      <c r="D347">
        <v>2022</v>
      </c>
      <c r="E347">
        <v>2019</v>
      </c>
      <c r="F347" t="s">
        <v>1951</v>
      </c>
      <c r="G347">
        <v>2020</v>
      </c>
      <c r="H347" t="s">
        <v>1953</v>
      </c>
      <c r="I347" t="s">
        <v>1683</v>
      </c>
      <c r="J347" s="66">
        <v>2040</v>
      </c>
      <c r="P347" s="87"/>
      <c r="Q347" s="95">
        <f>$AV$121/$AR$121 * 1000/$AK$91</f>
        <v>92.15427520207389</v>
      </c>
      <c r="R347" s="95">
        <f>$AV$120/$AR$120 * 1000/$AK$91</f>
        <v>119.68498912383539</v>
      </c>
      <c r="S347" s="95">
        <f>$AV$119/$AR$119 * 1000/$AK$91</f>
        <v>112.20168269515608</v>
      </c>
      <c r="T347" s="95">
        <f>$AV$118/$AR$118 * 1000/$AK$91</f>
        <v>58.464456518881462</v>
      </c>
      <c r="W347" s="66" t="s">
        <v>1973</v>
      </c>
      <c r="X347">
        <v>3</v>
      </c>
      <c r="Y347">
        <v>1</v>
      </c>
      <c r="Z347">
        <v>1</v>
      </c>
      <c r="AA347">
        <v>3</v>
      </c>
      <c r="AB347">
        <v>1</v>
      </c>
    </row>
    <row r="348" spans="1:28" x14ac:dyDescent="0.35">
      <c r="A348" t="s">
        <v>1211</v>
      </c>
      <c r="B348" t="s">
        <v>2261</v>
      </c>
      <c r="C348" t="s">
        <v>851</v>
      </c>
      <c r="D348">
        <v>2022</v>
      </c>
      <c r="E348">
        <v>2019</v>
      </c>
      <c r="F348" t="s">
        <v>1951</v>
      </c>
      <c r="G348">
        <v>2020</v>
      </c>
      <c r="H348" t="s">
        <v>1953</v>
      </c>
      <c r="I348" t="s">
        <v>1683</v>
      </c>
      <c r="J348" s="66">
        <v>2045</v>
      </c>
      <c r="P348" s="87"/>
      <c r="R348" s="95">
        <f>$AV$121/$AR$121 * 1000/$AK$91</f>
        <v>92.15427520207389</v>
      </c>
      <c r="S348" s="95">
        <f>$AV$120/$AR$120 * 1000/$AK$91</f>
        <v>119.68498912383539</v>
      </c>
      <c r="T348" s="95">
        <f>$AV$119/$AR$119 * 1000/$AK$91</f>
        <v>112.20168269515608</v>
      </c>
      <c r="U348" s="95">
        <f>$AV$118/$AR$118 * 1000/$AK$91</f>
        <v>58.464456518881462</v>
      </c>
      <c r="W348" s="66" t="s">
        <v>1973</v>
      </c>
      <c r="X348">
        <v>3</v>
      </c>
      <c r="Y348">
        <v>1</v>
      </c>
      <c r="Z348">
        <v>1</v>
      </c>
      <c r="AA348">
        <v>3</v>
      </c>
      <c r="AB348">
        <v>1</v>
      </c>
    </row>
    <row r="349" spans="1:28" x14ac:dyDescent="0.35">
      <c r="A349" t="s">
        <v>1211</v>
      </c>
      <c r="B349" t="s">
        <v>2261</v>
      </c>
      <c r="C349" t="s">
        <v>851</v>
      </c>
      <c r="D349">
        <v>2022</v>
      </c>
      <c r="E349">
        <v>2019</v>
      </c>
      <c r="F349" t="s">
        <v>1951</v>
      </c>
      <c r="G349">
        <v>2020</v>
      </c>
      <c r="H349" t="s">
        <v>1953</v>
      </c>
      <c r="I349" t="s">
        <v>1683</v>
      </c>
      <c r="J349" s="66">
        <v>2050</v>
      </c>
      <c r="P349" s="87"/>
      <c r="S349" s="95">
        <f>$AV$121/$AR$121 * 1000/$AK$91</f>
        <v>92.15427520207389</v>
      </c>
      <c r="T349" s="95">
        <f>$AV$120/$AR$120 * 1000/$AK$91</f>
        <v>119.68498912383539</v>
      </c>
      <c r="U349" s="95">
        <f>$AV$119/$AR$119 * 1000/$AK$91</f>
        <v>112.20168269515608</v>
      </c>
      <c r="V349" s="406">
        <f>$AV$118/$AR$118 * 1000/$AK$91</f>
        <v>58.464456518881462</v>
      </c>
      <c r="W349" s="66" t="s">
        <v>1973</v>
      </c>
      <c r="X349">
        <v>3</v>
      </c>
      <c r="Y349">
        <v>1</v>
      </c>
      <c r="Z349">
        <v>1</v>
      </c>
      <c r="AA349">
        <v>3</v>
      </c>
      <c r="AB349">
        <v>1</v>
      </c>
    </row>
    <row r="350" spans="1:28" x14ac:dyDescent="0.35">
      <c r="A350" t="s">
        <v>1212</v>
      </c>
      <c r="B350" t="s">
        <v>2261</v>
      </c>
      <c r="C350" t="s">
        <v>851</v>
      </c>
      <c r="D350">
        <v>2022</v>
      </c>
      <c r="E350">
        <v>2019</v>
      </c>
      <c r="F350" t="s">
        <v>1951</v>
      </c>
      <c r="G350">
        <v>2020</v>
      </c>
      <c r="H350" t="s">
        <v>1953</v>
      </c>
      <c r="I350" t="s">
        <v>1683</v>
      </c>
      <c r="J350" s="66">
        <v>2021</v>
      </c>
      <c r="P350" s="407">
        <f>$AW$118/$AR$118 * 1000/$AK$91</f>
        <v>62.438680826090646</v>
      </c>
      <c r="W350" s="66" t="s">
        <v>1973</v>
      </c>
      <c r="X350">
        <v>3</v>
      </c>
      <c r="Y350">
        <v>1</v>
      </c>
      <c r="Z350">
        <v>1</v>
      </c>
      <c r="AA350">
        <v>3</v>
      </c>
      <c r="AB350">
        <v>1</v>
      </c>
    </row>
    <row r="351" spans="1:28" x14ac:dyDescent="0.35">
      <c r="A351" t="s">
        <v>1212</v>
      </c>
      <c r="B351" t="s">
        <v>2261</v>
      </c>
      <c r="C351" t="s">
        <v>851</v>
      </c>
      <c r="D351">
        <v>2022</v>
      </c>
      <c r="E351">
        <v>2019</v>
      </c>
      <c r="F351" t="s">
        <v>1951</v>
      </c>
      <c r="G351">
        <v>2020</v>
      </c>
      <c r="H351" t="s">
        <v>1953</v>
      </c>
      <c r="I351" t="s">
        <v>1683</v>
      </c>
      <c r="J351" s="66">
        <v>2025</v>
      </c>
      <c r="P351" s="407">
        <f>$AW$119/$AR$119 * 1000/$AK$91</f>
        <v>127.41600609649316</v>
      </c>
      <c r="Q351" s="95">
        <f>$AW$118/$AR$118 * 1000/$AK$91</f>
        <v>62.438680826090646</v>
      </c>
      <c r="W351" s="66" t="s">
        <v>1973</v>
      </c>
      <c r="X351">
        <v>3</v>
      </c>
      <c r="Y351">
        <v>1</v>
      </c>
      <c r="Z351">
        <v>1</v>
      </c>
      <c r="AA351">
        <v>3</v>
      </c>
      <c r="AB351">
        <v>1</v>
      </c>
    </row>
    <row r="352" spans="1:28" x14ac:dyDescent="0.35">
      <c r="A352" t="s">
        <v>1212</v>
      </c>
      <c r="B352" t="s">
        <v>2261</v>
      </c>
      <c r="C352" t="s">
        <v>851</v>
      </c>
      <c r="D352">
        <v>2022</v>
      </c>
      <c r="E352">
        <v>2019</v>
      </c>
      <c r="F352" t="s">
        <v>1951</v>
      </c>
      <c r="G352">
        <v>2020</v>
      </c>
      <c r="H352" t="s">
        <v>1953</v>
      </c>
      <c r="I352" t="s">
        <v>1683</v>
      </c>
      <c r="J352" s="66">
        <v>2030</v>
      </c>
      <c r="P352" s="407">
        <f>$AW$120/$AR$120 * 1000/$AK$91</f>
        <v>139.33687065582998</v>
      </c>
      <c r="Q352" s="95">
        <f>$AW$119/$AR$119 * 1000/$AK$91</f>
        <v>127.41600609649316</v>
      </c>
      <c r="R352" s="95">
        <f>$AW$118/$AR$118 * 1000/$AK$91</f>
        <v>62.438680826090646</v>
      </c>
      <c r="W352" s="66" t="s">
        <v>1973</v>
      </c>
      <c r="X352">
        <v>3</v>
      </c>
      <c r="Y352">
        <v>1</v>
      </c>
      <c r="Z352">
        <v>1</v>
      </c>
      <c r="AA352">
        <v>3</v>
      </c>
      <c r="AB352">
        <v>1</v>
      </c>
    </row>
    <row r="353" spans="1:28" x14ac:dyDescent="0.35">
      <c r="A353" t="s">
        <v>1212</v>
      </c>
      <c r="B353" t="s">
        <v>2261</v>
      </c>
      <c r="C353" t="s">
        <v>851</v>
      </c>
      <c r="D353">
        <v>2022</v>
      </c>
      <c r="E353">
        <v>2019</v>
      </c>
      <c r="F353" t="s">
        <v>1951</v>
      </c>
      <c r="G353">
        <v>2020</v>
      </c>
      <c r="H353" t="s">
        <v>1953</v>
      </c>
      <c r="I353" t="s">
        <v>1683</v>
      </c>
      <c r="J353" s="66">
        <v>2035</v>
      </c>
      <c r="P353" s="407">
        <f>$AW$121/$AR$121 * 1000/$AK$91</f>
        <v>113.35264251723342</v>
      </c>
      <c r="Q353" s="95">
        <f>$AW$120/$AR$120 * 1000/$AK$91</f>
        <v>139.33687065582998</v>
      </c>
      <c r="R353" s="95">
        <f>$AW$119/$AR$119 * 1000/$AK$91</f>
        <v>127.41600609649316</v>
      </c>
      <c r="S353" s="95">
        <f>$AW$118/$AR$118 * 1000/$AK$91</f>
        <v>62.438680826090646</v>
      </c>
      <c r="W353" s="66" t="s">
        <v>1973</v>
      </c>
      <c r="X353">
        <v>3</v>
      </c>
      <c r="Y353">
        <v>1</v>
      </c>
      <c r="Z353">
        <v>1</v>
      </c>
      <c r="AA353">
        <v>3</v>
      </c>
      <c r="AB353">
        <v>1</v>
      </c>
    </row>
    <row r="354" spans="1:28" x14ac:dyDescent="0.35">
      <c r="A354" t="s">
        <v>1212</v>
      </c>
      <c r="B354" t="s">
        <v>2261</v>
      </c>
      <c r="C354" t="s">
        <v>851</v>
      </c>
      <c r="D354">
        <v>2022</v>
      </c>
      <c r="E354">
        <v>2019</v>
      </c>
      <c r="F354" t="s">
        <v>1951</v>
      </c>
      <c r="G354">
        <v>2020</v>
      </c>
      <c r="H354" t="s">
        <v>1953</v>
      </c>
      <c r="I354" t="s">
        <v>1683</v>
      </c>
      <c r="J354" s="66">
        <v>2040</v>
      </c>
      <c r="P354" s="87"/>
      <c r="Q354" s="95">
        <f>$AW$121/$AR$121 * 1000/$AK$91</f>
        <v>113.35264251723342</v>
      </c>
      <c r="R354" s="95">
        <f>$AW$120/$AR$120 * 1000/$AK$91</f>
        <v>139.33687065582998</v>
      </c>
      <c r="S354" s="95">
        <f>$AW$119/$AR$119 * 1000/$AK$91</f>
        <v>127.41600609649316</v>
      </c>
      <c r="T354" s="95">
        <f>$AW$118/$AR$118 * 1000/$AK$91</f>
        <v>62.438680826090646</v>
      </c>
      <c r="W354" s="66" t="s">
        <v>1973</v>
      </c>
      <c r="X354">
        <v>3</v>
      </c>
      <c r="Y354">
        <v>1</v>
      </c>
      <c r="Z354">
        <v>1</v>
      </c>
      <c r="AA354">
        <v>3</v>
      </c>
      <c r="AB354">
        <v>1</v>
      </c>
    </row>
    <row r="355" spans="1:28" x14ac:dyDescent="0.35">
      <c r="A355" t="s">
        <v>1212</v>
      </c>
      <c r="B355" t="s">
        <v>2261</v>
      </c>
      <c r="C355" t="s">
        <v>851</v>
      </c>
      <c r="D355">
        <v>2022</v>
      </c>
      <c r="E355">
        <v>2019</v>
      </c>
      <c r="F355" t="s">
        <v>1951</v>
      </c>
      <c r="G355">
        <v>2020</v>
      </c>
      <c r="H355" t="s">
        <v>1953</v>
      </c>
      <c r="I355" t="s">
        <v>1683</v>
      </c>
      <c r="J355" s="66">
        <v>2045</v>
      </c>
      <c r="P355" s="87"/>
      <c r="R355" s="95">
        <f>$AW$121/$AR$121 * 1000/$AK$91</f>
        <v>113.35264251723342</v>
      </c>
      <c r="S355" s="95">
        <f>$AW$120/$AR$120 * 1000/$AK$91</f>
        <v>139.33687065582998</v>
      </c>
      <c r="T355" s="95">
        <f>$AW$119/$AR$119 * 1000/$AK$91</f>
        <v>127.41600609649316</v>
      </c>
      <c r="U355" s="95">
        <f>$AW$118/$AR$118 * 1000/$AK$91</f>
        <v>62.438680826090646</v>
      </c>
      <c r="W355" s="66" t="s">
        <v>1973</v>
      </c>
      <c r="X355">
        <v>3</v>
      </c>
      <c r="Y355">
        <v>1</v>
      </c>
      <c r="Z355">
        <v>1</v>
      </c>
      <c r="AA355">
        <v>3</v>
      </c>
      <c r="AB355">
        <v>1</v>
      </c>
    </row>
    <row r="356" spans="1:28" x14ac:dyDescent="0.35">
      <c r="A356" t="s">
        <v>1212</v>
      </c>
      <c r="B356" t="s">
        <v>2261</v>
      </c>
      <c r="C356" t="s">
        <v>851</v>
      </c>
      <c r="D356">
        <v>2022</v>
      </c>
      <c r="E356">
        <v>2019</v>
      </c>
      <c r="F356" t="s">
        <v>1951</v>
      </c>
      <c r="G356">
        <v>2020</v>
      </c>
      <c r="H356" t="s">
        <v>1953</v>
      </c>
      <c r="I356" t="s">
        <v>1683</v>
      </c>
      <c r="J356" s="66">
        <v>2050</v>
      </c>
      <c r="P356" s="87"/>
      <c r="S356" s="95">
        <f>$AW$121/$AR$121 * 1000/$AK$91</f>
        <v>113.35264251723342</v>
      </c>
      <c r="T356" s="95">
        <f>$AW$120/$AR$120 * 1000/$AK$91</f>
        <v>139.33687065582998</v>
      </c>
      <c r="U356" s="95">
        <f>$AW$119/$AR$119 * 1000/$AK$91</f>
        <v>127.41600609649316</v>
      </c>
      <c r="V356" s="406">
        <f>$AW$118/$AR$118 * 1000/$AK$91</f>
        <v>62.438680826090646</v>
      </c>
      <c r="W356" s="66" t="s">
        <v>1973</v>
      </c>
      <c r="X356">
        <v>3</v>
      </c>
      <c r="Y356">
        <v>1</v>
      </c>
      <c r="Z356">
        <v>1</v>
      </c>
      <c r="AA356">
        <v>3</v>
      </c>
      <c r="AB356">
        <v>1</v>
      </c>
    </row>
    <row r="357" spans="1:28" x14ac:dyDescent="0.35">
      <c r="A357" t="s">
        <v>1213</v>
      </c>
      <c r="B357" t="s">
        <v>2261</v>
      </c>
      <c r="C357" t="s">
        <v>851</v>
      </c>
      <c r="D357">
        <v>2022</v>
      </c>
      <c r="E357">
        <v>2019</v>
      </c>
      <c r="F357" t="s">
        <v>1951</v>
      </c>
      <c r="G357">
        <v>2020</v>
      </c>
      <c r="H357" t="s">
        <v>1953</v>
      </c>
      <c r="I357" t="s">
        <v>1683</v>
      </c>
      <c r="J357" s="66">
        <v>2021</v>
      </c>
      <c r="P357" s="407">
        <f>$BB$118/$AR$118 * 1000/$AK$91</f>
        <v>59.011732467924475</v>
      </c>
      <c r="W357" s="66" t="s">
        <v>1973</v>
      </c>
      <c r="X357">
        <v>3</v>
      </c>
      <c r="Y357">
        <v>1</v>
      </c>
      <c r="Z357">
        <v>1</v>
      </c>
      <c r="AA357">
        <v>3</v>
      </c>
      <c r="AB357">
        <v>1</v>
      </c>
    </row>
    <row r="358" spans="1:28" x14ac:dyDescent="0.35">
      <c r="A358" t="s">
        <v>1213</v>
      </c>
      <c r="B358" t="s">
        <v>2261</v>
      </c>
      <c r="C358" t="s">
        <v>851</v>
      </c>
      <c r="D358">
        <v>2022</v>
      </c>
      <c r="E358">
        <v>2019</v>
      </c>
      <c r="F358" t="s">
        <v>1951</v>
      </c>
      <c r="G358">
        <v>2020</v>
      </c>
      <c r="H358" t="s">
        <v>1953</v>
      </c>
      <c r="I358" t="s">
        <v>1683</v>
      </c>
      <c r="J358" s="66">
        <v>2025</v>
      </c>
      <c r="P358" s="407">
        <f>$BB$119/$AR$119 * 1000/$AK$91</f>
        <v>108.01869705087582</v>
      </c>
      <c r="Q358" s="95">
        <f>$BB$118/$AR$118 * 1000/$AK$91</f>
        <v>59.011732467924475</v>
      </c>
      <c r="W358" s="66" t="s">
        <v>1973</v>
      </c>
      <c r="X358">
        <v>3</v>
      </c>
      <c r="Y358">
        <v>1</v>
      </c>
      <c r="Z358">
        <v>1</v>
      </c>
      <c r="AA358">
        <v>3</v>
      </c>
      <c r="AB358">
        <v>1</v>
      </c>
    </row>
    <row r="359" spans="1:28" x14ac:dyDescent="0.35">
      <c r="A359" t="s">
        <v>1213</v>
      </c>
      <c r="B359" t="s">
        <v>2261</v>
      </c>
      <c r="C359" t="s">
        <v>851</v>
      </c>
      <c r="D359">
        <v>2022</v>
      </c>
      <c r="E359">
        <v>2019</v>
      </c>
      <c r="F359" t="s">
        <v>1951</v>
      </c>
      <c r="G359">
        <v>2020</v>
      </c>
      <c r="H359" t="s">
        <v>1953</v>
      </c>
      <c r="I359" t="s">
        <v>1683</v>
      </c>
      <c r="J359" s="66">
        <v>2030</v>
      </c>
      <c r="P359" s="407">
        <f>$BB$120/$AR$120 * 1000/$AK$91</f>
        <v>113.68851250922877</v>
      </c>
      <c r="Q359" s="95">
        <f>$BB$119/$AR$119 * 1000/$AK$91</f>
        <v>108.01869705087582</v>
      </c>
      <c r="R359" s="95">
        <f>$BB$118/$AR$118 * 1000/$AK$91</f>
        <v>59.011732467924475</v>
      </c>
      <c r="W359" s="66" t="s">
        <v>1973</v>
      </c>
      <c r="X359">
        <v>3</v>
      </c>
      <c r="Y359">
        <v>1</v>
      </c>
      <c r="Z359">
        <v>1</v>
      </c>
      <c r="AA359">
        <v>3</v>
      </c>
      <c r="AB359">
        <v>1</v>
      </c>
    </row>
    <row r="360" spans="1:28" x14ac:dyDescent="0.35">
      <c r="A360" t="s">
        <v>1213</v>
      </c>
      <c r="B360" t="s">
        <v>2261</v>
      </c>
      <c r="C360" t="s">
        <v>851</v>
      </c>
      <c r="D360">
        <v>2022</v>
      </c>
      <c r="E360">
        <v>2019</v>
      </c>
      <c r="F360" t="s">
        <v>1951</v>
      </c>
      <c r="G360">
        <v>2020</v>
      </c>
      <c r="H360" t="s">
        <v>1953</v>
      </c>
      <c r="I360" t="s">
        <v>1683</v>
      </c>
      <c r="J360" s="66">
        <v>2035</v>
      </c>
      <c r="P360" s="407">
        <f>$BB$121/$AR$121 * 1000/$AK$91</f>
        <v>76.766553911294011</v>
      </c>
      <c r="Q360" s="95">
        <f>$BB$120/$AR$120 * 1000/$AK$91</f>
        <v>113.68851250922877</v>
      </c>
      <c r="R360" s="95">
        <f>$BB$119/$AR$119 * 1000/$AK$91</f>
        <v>108.01869705087582</v>
      </c>
      <c r="S360" s="95">
        <f>$BB$118/$AR$118 * 1000/$AK$91</f>
        <v>59.011732467924475</v>
      </c>
      <c r="W360" s="66" t="s">
        <v>1973</v>
      </c>
      <c r="X360">
        <v>3</v>
      </c>
      <c r="Y360">
        <v>1</v>
      </c>
      <c r="Z360">
        <v>1</v>
      </c>
      <c r="AA360">
        <v>3</v>
      </c>
      <c r="AB360">
        <v>1</v>
      </c>
    </row>
    <row r="361" spans="1:28" x14ac:dyDescent="0.35">
      <c r="A361" t="s">
        <v>1213</v>
      </c>
      <c r="B361" t="s">
        <v>2261</v>
      </c>
      <c r="C361" t="s">
        <v>851</v>
      </c>
      <c r="D361">
        <v>2022</v>
      </c>
      <c r="E361">
        <v>2019</v>
      </c>
      <c r="F361" t="s">
        <v>1951</v>
      </c>
      <c r="G361">
        <v>2020</v>
      </c>
      <c r="H361" t="s">
        <v>1953</v>
      </c>
      <c r="I361" t="s">
        <v>1683</v>
      </c>
      <c r="J361" s="66">
        <v>2040</v>
      </c>
      <c r="P361" s="87"/>
      <c r="Q361" s="95">
        <f>$BB$121/$AR$121 * 1000/$AK$91</f>
        <v>76.766553911294011</v>
      </c>
      <c r="R361" s="95">
        <f>$BB$120/$AR$120 * 1000/$AK$91</f>
        <v>113.68851250922877</v>
      </c>
      <c r="S361" s="95">
        <f>$BB$119/$AR$119 * 1000/$AK$91</f>
        <v>108.01869705087582</v>
      </c>
      <c r="T361" s="95">
        <f>$BB$118/$AR$118 * 1000/$AK$91</f>
        <v>59.011732467924475</v>
      </c>
      <c r="W361" s="66" t="s">
        <v>1973</v>
      </c>
      <c r="X361">
        <v>3</v>
      </c>
      <c r="Y361">
        <v>1</v>
      </c>
      <c r="Z361">
        <v>1</v>
      </c>
      <c r="AA361">
        <v>3</v>
      </c>
      <c r="AB361">
        <v>1</v>
      </c>
    </row>
    <row r="362" spans="1:28" x14ac:dyDescent="0.35">
      <c r="A362" t="s">
        <v>1213</v>
      </c>
      <c r="B362" t="s">
        <v>2261</v>
      </c>
      <c r="C362" t="s">
        <v>851</v>
      </c>
      <c r="D362">
        <v>2022</v>
      </c>
      <c r="E362">
        <v>2019</v>
      </c>
      <c r="F362" t="s">
        <v>1951</v>
      </c>
      <c r="G362">
        <v>2020</v>
      </c>
      <c r="H362" t="s">
        <v>1953</v>
      </c>
      <c r="I362" t="s">
        <v>1683</v>
      </c>
      <c r="J362" s="66">
        <v>2045</v>
      </c>
      <c r="P362" s="87"/>
      <c r="R362" s="95">
        <f>$BB$121/$AR$121 * 1000/$AK$91</f>
        <v>76.766553911294011</v>
      </c>
      <c r="S362" s="95">
        <f>$BB$120/$AR$120 * 1000/$AK$91</f>
        <v>113.68851250922877</v>
      </c>
      <c r="T362" s="95">
        <f>$BB$119/$AR$119 * 1000/$AK$91</f>
        <v>108.01869705087582</v>
      </c>
      <c r="U362" s="95">
        <f>$BB$118/$AR$118 * 1000/$AK$91</f>
        <v>59.011732467924475</v>
      </c>
      <c r="W362" s="66" t="s">
        <v>1973</v>
      </c>
      <c r="X362">
        <v>3</v>
      </c>
      <c r="Y362">
        <v>1</v>
      </c>
      <c r="Z362">
        <v>1</v>
      </c>
      <c r="AA362">
        <v>3</v>
      </c>
      <c r="AB362">
        <v>1</v>
      </c>
    </row>
    <row r="363" spans="1:28" x14ac:dyDescent="0.35">
      <c r="A363" t="s">
        <v>1213</v>
      </c>
      <c r="B363" t="s">
        <v>2261</v>
      </c>
      <c r="C363" t="s">
        <v>851</v>
      </c>
      <c r="D363">
        <v>2022</v>
      </c>
      <c r="E363">
        <v>2019</v>
      </c>
      <c r="F363" t="s">
        <v>1951</v>
      </c>
      <c r="G363">
        <v>2020</v>
      </c>
      <c r="H363" t="s">
        <v>1953</v>
      </c>
      <c r="I363" t="s">
        <v>1683</v>
      </c>
      <c r="J363" s="66">
        <v>2050</v>
      </c>
      <c r="P363" s="87"/>
      <c r="S363" s="95">
        <f>$BB$121/$AR$121 * 1000/$AK$91</f>
        <v>76.766553911294011</v>
      </c>
      <c r="T363" s="95">
        <f>$BB$120/$AR$120 * 1000/$AK$91</f>
        <v>113.68851250922877</v>
      </c>
      <c r="U363" s="95">
        <f>$BB$119/$AR$119 * 1000/$AK$91</f>
        <v>108.01869705087582</v>
      </c>
      <c r="V363" s="406">
        <f>$BB$118/$AR$118 * 1000/$AK$91</f>
        <v>59.011732467924475</v>
      </c>
      <c r="W363" s="66" t="s">
        <v>1973</v>
      </c>
      <c r="X363">
        <v>3</v>
      </c>
      <c r="Y363">
        <v>1</v>
      </c>
      <c r="Z363">
        <v>1</v>
      </c>
      <c r="AA363">
        <v>3</v>
      </c>
      <c r="AB363">
        <v>1</v>
      </c>
    </row>
    <row r="364" spans="1:28" x14ac:dyDescent="0.35">
      <c r="A364" t="s">
        <v>1214</v>
      </c>
      <c r="B364" t="s">
        <v>2261</v>
      </c>
      <c r="C364" t="s">
        <v>851</v>
      </c>
      <c r="D364">
        <v>2022</v>
      </c>
      <c r="E364">
        <v>2019</v>
      </c>
      <c r="F364" t="s">
        <v>1951</v>
      </c>
      <c r="G364">
        <v>2020</v>
      </c>
      <c r="H364" t="s">
        <v>1953</v>
      </c>
      <c r="I364" t="s">
        <v>1683</v>
      </c>
      <c r="J364" s="66">
        <v>2021</v>
      </c>
      <c r="P364" s="407">
        <f>$BC$118/$AR$118 * 1000/$AK$91</f>
        <v>59.325216832931723</v>
      </c>
      <c r="W364" s="66" t="s">
        <v>1973</v>
      </c>
      <c r="X364">
        <v>3</v>
      </c>
      <c r="Y364">
        <v>1</v>
      </c>
      <c r="Z364">
        <v>1</v>
      </c>
      <c r="AA364">
        <v>3</v>
      </c>
      <c r="AB364">
        <v>1</v>
      </c>
    </row>
    <row r="365" spans="1:28" x14ac:dyDescent="0.35">
      <c r="A365" t="s">
        <v>1214</v>
      </c>
      <c r="B365" t="s">
        <v>2261</v>
      </c>
      <c r="C365" t="s">
        <v>851</v>
      </c>
      <c r="D365">
        <v>2022</v>
      </c>
      <c r="E365">
        <v>2019</v>
      </c>
      <c r="F365" t="s">
        <v>1951</v>
      </c>
      <c r="G365">
        <v>2020</v>
      </c>
      <c r="H365" t="s">
        <v>1953</v>
      </c>
      <c r="I365" t="s">
        <v>1683</v>
      </c>
      <c r="J365" s="66">
        <v>2025</v>
      </c>
      <c r="P365" s="407">
        <f>$BC$119/$AR$119 * 1000/$AK$91</f>
        <v>109.21629829008475</v>
      </c>
      <c r="Q365" s="95">
        <f>$BC$118/$AR$118 * 1000/$AK$91</f>
        <v>59.325216832931723</v>
      </c>
      <c r="W365" s="66" t="s">
        <v>1973</v>
      </c>
      <c r="X365">
        <v>3</v>
      </c>
      <c r="Y365">
        <v>1</v>
      </c>
      <c r="Z365">
        <v>1</v>
      </c>
      <c r="AA365">
        <v>3</v>
      </c>
      <c r="AB365">
        <v>1</v>
      </c>
    </row>
    <row r="366" spans="1:28" x14ac:dyDescent="0.35">
      <c r="A366" t="s">
        <v>1214</v>
      </c>
      <c r="B366" t="s">
        <v>2261</v>
      </c>
      <c r="C366" t="s">
        <v>851</v>
      </c>
      <c r="D366">
        <v>2022</v>
      </c>
      <c r="E366">
        <v>2019</v>
      </c>
      <c r="F366" t="s">
        <v>1951</v>
      </c>
      <c r="G366">
        <v>2020</v>
      </c>
      <c r="H366" t="s">
        <v>1953</v>
      </c>
      <c r="I366" t="s">
        <v>1683</v>
      </c>
      <c r="J366" s="66">
        <v>2030</v>
      </c>
      <c r="P366" s="407">
        <f>$BC$120/$AR$120 * 1000/$AK$91</f>
        <v>115.23696114434286</v>
      </c>
      <c r="Q366" s="95">
        <f>$BC$119/$AR$119 * 1000/$AK$91</f>
        <v>109.21629829008475</v>
      </c>
      <c r="R366" s="95">
        <f>$BC$118/$AR$118 * 1000/$AK$91</f>
        <v>59.325216832931723</v>
      </c>
      <c r="W366" s="66" t="s">
        <v>1973</v>
      </c>
      <c r="X366">
        <v>3</v>
      </c>
      <c r="Y366">
        <v>1</v>
      </c>
      <c r="Z366">
        <v>1</v>
      </c>
      <c r="AA366">
        <v>3</v>
      </c>
      <c r="AB366">
        <v>1</v>
      </c>
    </row>
    <row r="367" spans="1:28" x14ac:dyDescent="0.35">
      <c r="A367" t="s">
        <v>1214</v>
      </c>
      <c r="B367" t="s">
        <v>2261</v>
      </c>
      <c r="C367" t="s">
        <v>851</v>
      </c>
      <c r="D367">
        <v>2022</v>
      </c>
      <c r="E367">
        <v>2019</v>
      </c>
      <c r="F367" t="s">
        <v>1951</v>
      </c>
      <c r="G367">
        <v>2020</v>
      </c>
      <c r="H367" t="s">
        <v>1953</v>
      </c>
      <c r="I367" t="s">
        <v>1683</v>
      </c>
      <c r="J367" s="66">
        <v>2035</v>
      </c>
      <c r="P367" s="407">
        <f>$BC$121/$AR$121 * 1000/$AK$91</f>
        <v>78.439456986667736</v>
      </c>
      <c r="Q367" s="95">
        <f>$BC$120/$AR$120 * 1000/$AK$91</f>
        <v>115.23696114434286</v>
      </c>
      <c r="R367" s="95">
        <f>$BC$119/$AR$119 * 1000/$AK$91</f>
        <v>109.21629829008475</v>
      </c>
      <c r="S367" s="95">
        <f>$BC$118/$AR$118 * 1000/$AK$91</f>
        <v>59.325216832931723</v>
      </c>
      <c r="W367" s="66" t="s">
        <v>1973</v>
      </c>
      <c r="X367">
        <v>3</v>
      </c>
      <c r="Y367">
        <v>1</v>
      </c>
      <c r="Z367">
        <v>1</v>
      </c>
      <c r="AA367">
        <v>3</v>
      </c>
      <c r="AB367">
        <v>1</v>
      </c>
    </row>
    <row r="368" spans="1:28" x14ac:dyDescent="0.35">
      <c r="A368" t="s">
        <v>1214</v>
      </c>
      <c r="B368" t="s">
        <v>2261</v>
      </c>
      <c r="C368" t="s">
        <v>851</v>
      </c>
      <c r="D368">
        <v>2022</v>
      </c>
      <c r="E368">
        <v>2019</v>
      </c>
      <c r="F368" t="s">
        <v>1951</v>
      </c>
      <c r="G368">
        <v>2020</v>
      </c>
      <c r="H368" t="s">
        <v>1953</v>
      </c>
      <c r="I368" t="s">
        <v>1683</v>
      </c>
      <c r="J368" s="66">
        <v>2040</v>
      </c>
      <c r="P368" s="87"/>
      <c r="Q368" s="95">
        <f>$BC$121/$AR$121 * 1000/$AK$91</f>
        <v>78.439456986667736</v>
      </c>
      <c r="R368" s="95">
        <f>$BC$120/$AR$120 * 1000/$AK$91</f>
        <v>115.23696114434286</v>
      </c>
      <c r="S368" s="95">
        <f>$BC$119/$AR$119 * 1000/$AK$91</f>
        <v>109.21629829008475</v>
      </c>
      <c r="T368" s="95">
        <f>$BC$118/$AR$118 * 1000/$AK$91</f>
        <v>59.325216832931723</v>
      </c>
      <c r="W368" s="66" t="s">
        <v>1973</v>
      </c>
      <c r="X368">
        <v>3</v>
      </c>
      <c r="Y368">
        <v>1</v>
      </c>
      <c r="Z368">
        <v>1</v>
      </c>
      <c r="AA368">
        <v>3</v>
      </c>
      <c r="AB368">
        <v>1</v>
      </c>
    </row>
    <row r="369" spans="1:28" x14ac:dyDescent="0.35">
      <c r="A369" t="s">
        <v>1214</v>
      </c>
      <c r="B369" t="s">
        <v>2261</v>
      </c>
      <c r="C369" t="s">
        <v>851</v>
      </c>
      <c r="D369">
        <v>2022</v>
      </c>
      <c r="E369">
        <v>2019</v>
      </c>
      <c r="F369" t="s">
        <v>1951</v>
      </c>
      <c r="G369">
        <v>2020</v>
      </c>
      <c r="H369" t="s">
        <v>1953</v>
      </c>
      <c r="I369" t="s">
        <v>1683</v>
      </c>
      <c r="J369" s="66">
        <v>2045</v>
      </c>
      <c r="P369" s="87"/>
      <c r="R369" s="95">
        <f>$BC$121/$AR$121 * 1000/$AK$91</f>
        <v>78.439456986667736</v>
      </c>
      <c r="S369" s="95">
        <f>$BC$120/$AR$120 * 1000/$AK$91</f>
        <v>115.23696114434286</v>
      </c>
      <c r="T369" s="95">
        <f>$BC$119/$AR$119 * 1000/$AK$91</f>
        <v>109.21629829008475</v>
      </c>
      <c r="U369" s="95">
        <f>$BC$118/$AR$118 * 1000/$AK$91</f>
        <v>59.325216832931723</v>
      </c>
      <c r="W369" s="66" t="s">
        <v>1973</v>
      </c>
      <c r="X369">
        <v>3</v>
      </c>
      <c r="Y369">
        <v>1</v>
      </c>
      <c r="Z369">
        <v>1</v>
      </c>
      <c r="AA369">
        <v>3</v>
      </c>
      <c r="AB369">
        <v>1</v>
      </c>
    </row>
    <row r="370" spans="1:28" x14ac:dyDescent="0.35">
      <c r="A370" t="s">
        <v>1214</v>
      </c>
      <c r="B370" t="s">
        <v>2261</v>
      </c>
      <c r="C370" t="s">
        <v>851</v>
      </c>
      <c r="D370">
        <v>2022</v>
      </c>
      <c r="E370">
        <v>2019</v>
      </c>
      <c r="F370" t="s">
        <v>1951</v>
      </c>
      <c r="G370">
        <v>2020</v>
      </c>
      <c r="H370" t="s">
        <v>1953</v>
      </c>
      <c r="I370" t="s">
        <v>1683</v>
      </c>
      <c r="J370" s="66">
        <v>2050</v>
      </c>
      <c r="P370" s="87"/>
      <c r="S370" s="95">
        <f>$BC$121/$AR$121 * 1000/$AK$91</f>
        <v>78.439456986667736</v>
      </c>
      <c r="T370" s="95">
        <f>$BC$120/$AR$120 * 1000/$AK$91</f>
        <v>115.23696114434286</v>
      </c>
      <c r="U370" s="95">
        <f>$BC$119/$AR$119 * 1000/$AK$91</f>
        <v>109.21629829008475</v>
      </c>
      <c r="V370" s="406">
        <f>$BC$118/$AR$118 * 1000/$AK$91</f>
        <v>59.325216832931723</v>
      </c>
      <c r="W370" s="66" t="s">
        <v>1973</v>
      </c>
      <c r="X370">
        <v>3</v>
      </c>
      <c r="Y370">
        <v>1</v>
      </c>
      <c r="Z370">
        <v>1</v>
      </c>
      <c r="AA370">
        <v>3</v>
      </c>
      <c r="AB370">
        <v>1</v>
      </c>
    </row>
    <row r="371" spans="1:28" x14ac:dyDescent="0.35">
      <c r="A371" t="s">
        <v>1194</v>
      </c>
      <c r="B371" t="s">
        <v>2261</v>
      </c>
      <c r="C371" t="s">
        <v>851</v>
      </c>
      <c r="D371">
        <v>2022</v>
      </c>
      <c r="E371">
        <v>2019</v>
      </c>
      <c r="F371" t="s">
        <v>1951</v>
      </c>
      <c r="G371">
        <v>2020</v>
      </c>
      <c r="H371" t="s">
        <v>1953</v>
      </c>
      <c r="I371" t="s">
        <v>1683</v>
      </c>
      <c r="J371" s="66">
        <v>2021</v>
      </c>
      <c r="P371" s="95">
        <f>P378*$BP$135</f>
        <v>138.02236908622126</v>
      </c>
      <c r="W371" s="66" t="s">
        <v>1974</v>
      </c>
      <c r="X371">
        <v>3</v>
      </c>
      <c r="Y371">
        <v>1</v>
      </c>
      <c r="Z371">
        <v>1</v>
      </c>
      <c r="AA371">
        <v>3</v>
      </c>
      <c r="AB371">
        <v>2</v>
      </c>
    </row>
    <row r="372" spans="1:28" x14ac:dyDescent="0.35">
      <c r="A372" t="s">
        <v>1194</v>
      </c>
      <c r="B372" t="s">
        <v>2261</v>
      </c>
      <c r="C372" t="s">
        <v>851</v>
      </c>
      <c r="D372">
        <v>2022</v>
      </c>
      <c r="E372">
        <v>2019</v>
      </c>
      <c r="F372" t="s">
        <v>1951</v>
      </c>
      <c r="G372">
        <v>2020</v>
      </c>
      <c r="H372" t="s">
        <v>1953</v>
      </c>
      <c r="I372" t="s">
        <v>1683</v>
      </c>
      <c r="J372" s="66">
        <v>2025</v>
      </c>
      <c r="P372" s="95">
        <f t="shared" ref="P372:Q375" si="55">P379*$BP$135</f>
        <v>220.09769173236793</v>
      </c>
      <c r="Q372" s="95">
        <f>Q379*$BP$135</f>
        <v>138.02236908622126</v>
      </c>
      <c r="W372" s="66" t="s">
        <v>1974</v>
      </c>
      <c r="X372">
        <v>3</v>
      </c>
      <c r="Y372">
        <v>1</v>
      </c>
      <c r="Z372">
        <v>1</v>
      </c>
      <c r="AA372">
        <v>3</v>
      </c>
      <c r="AB372">
        <v>2</v>
      </c>
    </row>
    <row r="373" spans="1:28" x14ac:dyDescent="0.35">
      <c r="A373" t="s">
        <v>1194</v>
      </c>
      <c r="B373" t="s">
        <v>2261</v>
      </c>
      <c r="C373" t="s">
        <v>851</v>
      </c>
      <c r="D373">
        <v>2022</v>
      </c>
      <c r="E373">
        <v>2019</v>
      </c>
      <c r="F373" t="s">
        <v>1951</v>
      </c>
      <c r="G373">
        <v>2020</v>
      </c>
      <c r="H373" t="s">
        <v>1953</v>
      </c>
      <c r="I373" t="s">
        <v>1683</v>
      </c>
      <c r="J373" s="66">
        <v>2030</v>
      </c>
      <c r="P373" s="95">
        <f t="shared" si="55"/>
        <v>262.83111175817021</v>
      </c>
      <c r="Q373" s="95">
        <f t="shared" si="55"/>
        <v>220.09769173236793</v>
      </c>
      <c r="R373" s="95">
        <f>R380*$BP$135</f>
        <v>138.02236908622126</v>
      </c>
      <c r="W373" s="66" t="s">
        <v>1974</v>
      </c>
      <c r="X373">
        <v>3</v>
      </c>
      <c r="Y373">
        <v>1</v>
      </c>
      <c r="Z373">
        <v>1</v>
      </c>
      <c r="AA373">
        <v>3</v>
      </c>
      <c r="AB373">
        <v>2</v>
      </c>
    </row>
    <row r="374" spans="1:28" x14ac:dyDescent="0.35">
      <c r="A374" t="s">
        <v>1194</v>
      </c>
      <c r="B374" t="s">
        <v>2261</v>
      </c>
      <c r="C374" t="s">
        <v>851</v>
      </c>
      <c r="D374">
        <v>2022</v>
      </c>
      <c r="E374">
        <v>2019</v>
      </c>
      <c r="F374" t="s">
        <v>1951</v>
      </c>
      <c r="G374">
        <v>2020</v>
      </c>
      <c r="H374" t="s">
        <v>1953</v>
      </c>
      <c r="I374" t="s">
        <v>1683</v>
      </c>
      <c r="J374" s="66">
        <v>2035</v>
      </c>
      <c r="P374" s="95">
        <f t="shared" si="55"/>
        <v>277.57987832599048</v>
      </c>
      <c r="Q374" s="95">
        <f t="shared" si="55"/>
        <v>262.83111175817021</v>
      </c>
      <c r="R374" s="95">
        <f t="shared" ref="R374" si="56">R381*$BP$135</f>
        <v>220.09769173236793</v>
      </c>
      <c r="S374" s="95">
        <f>S381*$BP$135</f>
        <v>138.02236908622126</v>
      </c>
      <c r="W374" s="66" t="s">
        <v>1974</v>
      </c>
      <c r="X374">
        <v>3</v>
      </c>
      <c r="Y374">
        <v>1</v>
      </c>
      <c r="Z374">
        <v>1</v>
      </c>
      <c r="AA374">
        <v>3</v>
      </c>
      <c r="AB374">
        <v>2</v>
      </c>
    </row>
    <row r="375" spans="1:28" x14ac:dyDescent="0.35">
      <c r="A375" t="s">
        <v>1194</v>
      </c>
      <c r="B375" t="s">
        <v>2261</v>
      </c>
      <c r="C375" t="s">
        <v>851</v>
      </c>
      <c r="D375">
        <v>2022</v>
      </c>
      <c r="E375">
        <v>2019</v>
      </c>
      <c r="F375" t="s">
        <v>1951</v>
      </c>
      <c r="G375">
        <v>2020</v>
      </c>
      <c r="H375" t="s">
        <v>1953</v>
      </c>
      <c r="I375" t="s">
        <v>1683</v>
      </c>
      <c r="J375" s="66">
        <v>2040</v>
      </c>
      <c r="Q375" s="95">
        <f t="shared" si="55"/>
        <v>277.57987832599048</v>
      </c>
      <c r="R375" s="95">
        <f t="shared" ref="R375:S375" si="57">R382*$BP$135</f>
        <v>262.83111175817021</v>
      </c>
      <c r="S375" s="95">
        <f t="shared" si="57"/>
        <v>220.09769173236793</v>
      </c>
      <c r="T375" s="95">
        <f t="shared" ref="T375" si="58">T382*$BP$135</f>
        <v>138.02236908622126</v>
      </c>
      <c r="W375" s="66" t="s">
        <v>1974</v>
      </c>
      <c r="X375">
        <v>3</v>
      </c>
      <c r="Y375">
        <v>1</v>
      </c>
      <c r="Z375">
        <v>1</v>
      </c>
      <c r="AA375">
        <v>3</v>
      </c>
      <c r="AB375">
        <v>2</v>
      </c>
    </row>
    <row r="376" spans="1:28" x14ac:dyDescent="0.35">
      <c r="A376" t="s">
        <v>1194</v>
      </c>
      <c r="B376" t="s">
        <v>2261</v>
      </c>
      <c r="C376" t="s">
        <v>851</v>
      </c>
      <c r="D376">
        <v>2022</v>
      </c>
      <c r="E376">
        <v>2019</v>
      </c>
      <c r="F376" t="s">
        <v>1951</v>
      </c>
      <c r="G376">
        <v>2020</v>
      </c>
      <c r="H376" t="s">
        <v>1953</v>
      </c>
      <c r="I376" t="s">
        <v>1683</v>
      </c>
      <c r="J376" s="66">
        <v>2045</v>
      </c>
      <c r="R376" s="95">
        <f t="shared" ref="R376:S376" si="59">R383*$BP$135</f>
        <v>277.57987832599048</v>
      </c>
      <c r="S376" s="95">
        <f t="shared" si="59"/>
        <v>262.83111175817021</v>
      </c>
      <c r="T376" s="95">
        <f t="shared" ref="T376:U376" si="60">T383*$BP$135</f>
        <v>220.09769173236793</v>
      </c>
      <c r="U376" s="95">
        <f t="shared" si="60"/>
        <v>138.02236908622126</v>
      </c>
      <c r="W376" s="66" t="s">
        <v>1974</v>
      </c>
      <c r="X376">
        <v>3</v>
      </c>
      <c r="Y376">
        <v>1</v>
      </c>
      <c r="Z376">
        <v>1</v>
      </c>
      <c r="AA376">
        <v>3</v>
      </c>
      <c r="AB376">
        <v>2</v>
      </c>
    </row>
    <row r="377" spans="1:28" x14ac:dyDescent="0.35">
      <c r="A377" t="s">
        <v>1194</v>
      </c>
      <c r="B377" t="s">
        <v>2261</v>
      </c>
      <c r="C377" t="s">
        <v>851</v>
      </c>
      <c r="D377">
        <v>2022</v>
      </c>
      <c r="E377">
        <v>2019</v>
      </c>
      <c r="F377" t="s">
        <v>1951</v>
      </c>
      <c r="G377">
        <v>2020</v>
      </c>
      <c r="H377" t="s">
        <v>1953</v>
      </c>
      <c r="I377" t="s">
        <v>1683</v>
      </c>
      <c r="J377" s="66">
        <v>2050</v>
      </c>
      <c r="S377" s="95">
        <f t="shared" ref="S377:T377" si="61">S384*$BP$135</f>
        <v>277.57987832599048</v>
      </c>
      <c r="T377" s="95">
        <f t="shared" si="61"/>
        <v>262.83111175817021</v>
      </c>
      <c r="U377" s="95">
        <f t="shared" ref="U377:V377" si="62">U384*$BP$135</f>
        <v>220.09769173236793</v>
      </c>
      <c r="V377" s="95">
        <f t="shared" si="62"/>
        <v>138.02236908622126</v>
      </c>
      <c r="W377" s="66" t="s">
        <v>1974</v>
      </c>
      <c r="X377">
        <v>3</v>
      </c>
      <c r="Y377">
        <v>1</v>
      </c>
      <c r="Z377">
        <v>1</v>
      </c>
      <c r="AA377">
        <v>3</v>
      </c>
      <c r="AB377">
        <v>2</v>
      </c>
    </row>
    <row r="378" spans="1:28" x14ac:dyDescent="0.35">
      <c r="A378" t="s">
        <v>1215</v>
      </c>
      <c r="B378" t="s">
        <v>2261</v>
      </c>
      <c r="C378" t="s">
        <v>851</v>
      </c>
      <c r="D378">
        <v>2022</v>
      </c>
      <c r="E378">
        <v>2019</v>
      </c>
      <c r="F378" t="s">
        <v>1951</v>
      </c>
      <c r="G378">
        <v>2020</v>
      </c>
      <c r="H378" t="s">
        <v>1953</v>
      </c>
      <c r="I378" t="s">
        <v>1683</v>
      </c>
      <c r="J378" s="66">
        <v>2021</v>
      </c>
      <c r="P378" s="95">
        <f>$BJ$135/$BH$135 * 1000/$AK$92</f>
        <v>210.00817365274182</v>
      </c>
      <c r="T378" s="95"/>
      <c r="W378" s="66" t="s">
        <v>1975</v>
      </c>
      <c r="X378">
        <v>3</v>
      </c>
      <c r="Y378">
        <v>1</v>
      </c>
      <c r="Z378">
        <v>1</v>
      </c>
      <c r="AA378">
        <v>3</v>
      </c>
      <c r="AB378">
        <v>1</v>
      </c>
    </row>
    <row r="379" spans="1:28" x14ac:dyDescent="0.35">
      <c r="A379" t="s">
        <v>1215</v>
      </c>
      <c r="B379" t="s">
        <v>2261</v>
      </c>
      <c r="C379" t="s">
        <v>851</v>
      </c>
      <c r="D379">
        <v>2022</v>
      </c>
      <c r="E379">
        <v>2019</v>
      </c>
      <c r="F379" t="s">
        <v>1951</v>
      </c>
      <c r="G379">
        <v>2020</v>
      </c>
      <c r="H379" t="s">
        <v>1953</v>
      </c>
      <c r="I379" t="s">
        <v>1683</v>
      </c>
      <c r="J379" s="66">
        <v>2025</v>
      </c>
      <c r="P379" s="95">
        <f>$BJ$136/$BH$136 * 1000/$AK$92</f>
        <v>334.89002233416323</v>
      </c>
      <c r="Q379" s="95">
        <f>$BJ$135/$BH$135 * 1000/$AK$92</f>
        <v>210.00817365274182</v>
      </c>
      <c r="W379" s="66" t="s">
        <v>1975</v>
      </c>
      <c r="X379">
        <v>3</v>
      </c>
      <c r="Y379">
        <v>1</v>
      </c>
      <c r="Z379">
        <v>1</v>
      </c>
      <c r="AA379">
        <v>3</v>
      </c>
      <c r="AB379">
        <v>1</v>
      </c>
    </row>
    <row r="380" spans="1:28" x14ac:dyDescent="0.35">
      <c r="A380" t="s">
        <v>1215</v>
      </c>
      <c r="B380" t="s">
        <v>2261</v>
      </c>
      <c r="C380" t="s">
        <v>851</v>
      </c>
      <c r="D380">
        <v>2022</v>
      </c>
      <c r="E380">
        <v>2019</v>
      </c>
      <c r="F380" t="s">
        <v>1951</v>
      </c>
      <c r="G380">
        <v>2020</v>
      </c>
      <c r="H380" t="s">
        <v>1953</v>
      </c>
      <c r="I380" t="s">
        <v>1683</v>
      </c>
      <c r="J380" s="66">
        <v>2030</v>
      </c>
      <c r="P380" s="95">
        <f>$BJ$137/$BH$137 * 1000/$AK$92</f>
        <v>399.91113125273307</v>
      </c>
      <c r="Q380" s="95">
        <f>$BJ$136/$BH$136 * 1000/$AK$92</f>
        <v>334.89002233416323</v>
      </c>
      <c r="R380" s="95">
        <f>$BJ$135/$BH$135 * 1000/$AK$92</f>
        <v>210.00817365274182</v>
      </c>
      <c r="W380" s="66" t="s">
        <v>1975</v>
      </c>
      <c r="X380">
        <v>3</v>
      </c>
      <c r="Y380">
        <v>1</v>
      </c>
      <c r="Z380">
        <v>1</v>
      </c>
      <c r="AA380">
        <v>3</v>
      </c>
      <c r="AB380">
        <v>1</v>
      </c>
    </row>
    <row r="381" spans="1:28" x14ac:dyDescent="0.35">
      <c r="A381" t="s">
        <v>1215</v>
      </c>
      <c r="B381" t="s">
        <v>2261</v>
      </c>
      <c r="C381" t="s">
        <v>851</v>
      </c>
      <c r="D381">
        <v>2022</v>
      </c>
      <c r="E381">
        <v>2019</v>
      </c>
      <c r="F381" t="s">
        <v>1951</v>
      </c>
      <c r="G381">
        <v>2020</v>
      </c>
      <c r="H381" t="s">
        <v>1953</v>
      </c>
      <c r="I381" t="s">
        <v>1683</v>
      </c>
      <c r="J381" s="66">
        <v>2035</v>
      </c>
      <c r="P381" s="95">
        <f>$BJ$138/$BH$138 * 1000/$AK$92</f>
        <v>422.35214245290791</v>
      </c>
      <c r="Q381" s="95">
        <f>$BJ$137/$BH$137 * 1000/$AK$92</f>
        <v>399.91113125273307</v>
      </c>
      <c r="R381" s="95">
        <f>$BJ$136/$BH$136 * 1000/$AK$92</f>
        <v>334.89002233416323</v>
      </c>
      <c r="S381" s="95">
        <f>$BJ$135/$BH$135 * 1000/$AK$92</f>
        <v>210.00817365274182</v>
      </c>
      <c r="W381" s="66" t="s">
        <v>1975</v>
      </c>
      <c r="X381">
        <v>3</v>
      </c>
      <c r="Y381">
        <v>1</v>
      </c>
      <c r="Z381">
        <v>1</v>
      </c>
      <c r="AA381">
        <v>3</v>
      </c>
      <c r="AB381">
        <v>1</v>
      </c>
    </row>
    <row r="382" spans="1:28" x14ac:dyDescent="0.35">
      <c r="A382" t="s">
        <v>1215</v>
      </c>
      <c r="B382" t="s">
        <v>2261</v>
      </c>
      <c r="C382" t="s">
        <v>851</v>
      </c>
      <c r="D382">
        <v>2022</v>
      </c>
      <c r="E382">
        <v>2019</v>
      </c>
      <c r="F382" t="s">
        <v>1951</v>
      </c>
      <c r="G382">
        <v>2020</v>
      </c>
      <c r="H382" t="s">
        <v>1953</v>
      </c>
      <c r="I382" t="s">
        <v>1683</v>
      </c>
      <c r="J382" s="66">
        <v>2040</v>
      </c>
      <c r="Q382" s="95">
        <f>$BJ$138/$BH$138 * 1000/$AK$92</f>
        <v>422.35214245290791</v>
      </c>
      <c r="R382" s="95">
        <f>$BJ$137/$BH$137 * 1000/$AK$92</f>
        <v>399.91113125273307</v>
      </c>
      <c r="S382" s="95">
        <f>$BJ$136/$BH$136 * 1000/$AK$92</f>
        <v>334.89002233416323</v>
      </c>
      <c r="T382" s="95">
        <f>$BJ$135/$BH$135 * 1000/$AK$92</f>
        <v>210.00817365274182</v>
      </c>
      <c r="W382" s="66" t="s">
        <v>1975</v>
      </c>
      <c r="X382">
        <v>3</v>
      </c>
      <c r="Y382">
        <v>1</v>
      </c>
      <c r="Z382">
        <v>1</v>
      </c>
      <c r="AA382">
        <v>3</v>
      </c>
      <c r="AB382">
        <v>1</v>
      </c>
    </row>
    <row r="383" spans="1:28" x14ac:dyDescent="0.35">
      <c r="A383" t="s">
        <v>1215</v>
      </c>
      <c r="B383" t="s">
        <v>2261</v>
      </c>
      <c r="C383" t="s">
        <v>851</v>
      </c>
      <c r="D383">
        <v>2022</v>
      </c>
      <c r="E383">
        <v>2019</v>
      </c>
      <c r="F383" t="s">
        <v>1951</v>
      </c>
      <c r="G383">
        <v>2020</v>
      </c>
      <c r="H383" t="s">
        <v>1953</v>
      </c>
      <c r="I383" t="s">
        <v>1683</v>
      </c>
      <c r="J383" s="66">
        <v>2045</v>
      </c>
      <c r="R383" s="95">
        <f>$BJ$138/$BH$138 * 1000/$AK$92</f>
        <v>422.35214245290791</v>
      </c>
      <c r="S383" s="95">
        <f>$BJ$137/$BH$137 * 1000/$AK$92</f>
        <v>399.91113125273307</v>
      </c>
      <c r="T383" s="95">
        <f>$BJ$136/$BH$136 * 1000/$AK$92</f>
        <v>334.89002233416323</v>
      </c>
      <c r="U383" s="95">
        <f>$BJ$135/$BH$135 * 1000/$AK$92</f>
        <v>210.00817365274182</v>
      </c>
      <c r="W383" s="66" t="s">
        <v>1975</v>
      </c>
      <c r="X383">
        <v>3</v>
      </c>
      <c r="Y383">
        <v>1</v>
      </c>
      <c r="Z383">
        <v>1</v>
      </c>
      <c r="AA383">
        <v>3</v>
      </c>
      <c r="AB383">
        <v>1</v>
      </c>
    </row>
    <row r="384" spans="1:28" x14ac:dyDescent="0.35">
      <c r="A384" t="s">
        <v>1215</v>
      </c>
      <c r="B384" t="s">
        <v>2261</v>
      </c>
      <c r="C384" t="s">
        <v>851</v>
      </c>
      <c r="D384">
        <v>2022</v>
      </c>
      <c r="E384">
        <v>2019</v>
      </c>
      <c r="F384" t="s">
        <v>1951</v>
      </c>
      <c r="G384">
        <v>2020</v>
      </c>
      <c r="H384" t="s">
        <v>1953</v>
      </c>
      <c r="I384" t="s">
        <v>1683</v>
      </c>
      <c r="J384" s="66">
        <v>2050</v>
      </c>
      <c r="S384" s="95">
        <f>$BJ$138/$BH$138 * 1000/$AK$92</f>
        <v>422.35214245290791</v>
      </c>
      <c r="T384" s="95">
        <f>$BJ$137/$BH$137 * 1000/$AK$92</f>
        <v>399.91113125273307</v>
      </c>
      <c r="U384" s="95">
        <f>$BJ$136/$BH$136 * 1000/$AK$92</f>
        <v>334.89002233416323</v>
      </c>
      <c r="V384" s="95">
        <f>$BJ$135/$BH$135 * 1000/$AK$92</f>
        <v>210.00817365274182</v>
      </c>
      <c r="W384" s="66" t="s">
        <v>1975</v>
      </c>
      <c r="X384">
        <v>3</v>
      </c>
      <c r="Y384">
        <v>1</v>
      </c>
      <c r="Z384">
        <v>1</v>
      </c>
      <c r="AA384">
        <v>3</v>
      </c>
      <c r="AB384">
        <v>1</v>
      </c>
    </row>
    <row r="385" spans="1:28" x14ac:dyDescent="0.35">
      <c r="A385" t="s">
        <v>1217</v>
      </c>
      <c r="B385" t="s">
        <v>2261</v>
      </c>
      <c r="C385" t="s">
        <v>851</v>
      </c>
      <c r="D385">
        <v>2022</v>
      </c>
      <c r="E385">
        <v>2019</v>
      </c>
      <c r="F385" t="s">
        <v>1951</v>
      </c>
      <c r="G385">
        <v>2020</v>
      </c>
      <c r="H385" t="s">
        <v>1953</v>
      </c>
      <c r="I385" t="s">
        <v>1683</v>
      </c>
      <c r="J385" s="66">
        <v>2021</v>
      </c>
      <c r="P385" s="95">
        <f>$BK$135/$BH$135 * 1000/$AK$92</f>
        <v>182.70711107788534</v>
      </c>
      <c r="T385" s="95"/>
      <c r="W385" s="66" t="s">
        <v>1975</v>
      </c>
      <c r="X385">
        <v>3</v>
      </c>
      <c r="Y385">
        <v>1</v>
      </c>
      <c r="Z385">
        <v>1</v>
      </c>
      <c r="AA385">
        <v>3</v>
      </c>
      <c r="AB385">
        <v>1</v>
      </c>
    </row>
    <row r="386" spans="1:28" x14ac:dyDescent="0.35">
      <c r="A386" t="s">
        <v>1217</v>
      </c>
      <c r="B386" t="s">
        <v>2261</v>
      </c>
      <c r="C386" t="s">
        <v>851</v>
      </c>
      <c r="D386">
        <v>2022</v>
      </c>
      <c r="E386">
        <v>2019</v>
      </c>
      <c r="F386" t="s">
        <v>1951</v>
      </c>
      <c r="G386">
        <v>2020</v>
      </c>
      <c r="H386" t="s">
        <v>1953</v>
      </c>
      <c r="I386" t="s">
        <v>1683</v>
      </c>
      <c r="J386" s="66">
        <v>2025</v>
      </c>
      <c r="P386" s="95">
        <f>$BK$136/$BH$136 * 1000/$AK$92</f>
        <v>291.35431943072194</v>
      </c>
      <c r="Q386" s="95">
        <f>$BK$135/$BH$135 * 1000/$AK$92</f>
        <v>182.70711107788534</v>
      </c>
      <c r="W386" s="66" t="s">
        <v>1975</v>
      </c>
      <c r="X386">
        <v>3</v>
      </c>
      <c r="Y386">
        <v>1</v>
      </c>
      <c r="Z386">
        <v>1</v>
      </c>
      <c r="AA386">
        <v>3</v>
      </c>
      <c r="AB386">
        <v>1</v>
      </c>
    </row>
    <row r="387" spans="1:28" x14ac:dyDescent="0.35">
      <c r="A387" t="s">
        <v>1217</v>
      </c>
      <c r="B387" t="s">
        <v>2261</v>
      </c>
      <c r="C387" t="s">
        <v>851</v>
      </c>
      <c r="D387">
        <v>2022</v>
      </c>
      <c r="E387">
        <v>2019</v>
      </c>
      <c r="F387" t="s">
        <v>1951</v>
      </c>
      <c r="G387">
        <v>2020</v>
      </c>
      <c r="H387" t="s">
        <v>1953</v>
      </c>
      <c r="I387" t="s">
        <v>1683</v>
      </c>
      <c r="J387" s="66">
        <v>2030</v>
      </c>
      <c r="P387" s="95">
        <f>$BK$137/$BH$137 * 1000/$AK$92</f>
        <v>347.92268418987783</v>
      </c>
      <c r="Q387" s="95">
        <f>$BK$136/$BH$136 * 1000/$AK$92</f>
        <v>291.35431943072194</v>
      </c>
      <c r="R387" s="95">
        <f>$BK$135/$BH$135 * 1000/$AK$92</f>
        <v>182.70711107788534</v>
      </c>
      <c r="W387" s="66" t="s">
        <v>1975</v>
      </c>
      <c r="X387">
        <v>3</v>
      </c>
      <c r="Y387">
        <v>1</v>
      </c>
      <c r="Z387">
        <v>1</v>
      </c>
      <c r="AA387">
        <v>3</v>
      </c>
      <c r="AB387">
        <v>1</v>
      </c>
    </row>
    <row r="388" spans="1:28" x14ac:dyDescent="0.35">
      <c r="A388" t="s">
        <v>1217</v>
      </c>
      <c r="B388" t="s">
        <v>2261</v>
      </c>
      <c r="C388" t="s">
        <v>851</v>
      </c>
      <c r="D388">
        <v>2022</v>
      </c>
      <c r="E388">
        <v>2019</v>
      </c>
      <c r="F388" t="s">
        <v>1951</v>
      </c>
      <c r="G388">
        <v>2020</v>
      </c>
      <c r="H388" t="s">
        <v>1953</v>
      </c>
      <c r="I388" t="s">
        <v>1683</v>
      </c>
      <c r="J388" s="66">
        <v>2035</v>
      </c>
      <c r="P388" s="95">
        <f>$BK$138/$BH$138 * 1000/$AK$92</f>
        <v>367.44636393402999</v>
      </c>
      <c r="Q388" s="95">
        <f>$BK$137/$BH$137 * 1000/$AK$92</f>
        <v>347.92268418987783</v>
      </c>
      <c r="R388" s="95">
        <f>$BK$136/$BH$136 * 1000/$AK$92</f>
        <v>291.35431943072194</v>
      </c>
      <c r="S388" s="95">
        <f>$BK$135/$BH$135 * 1000/$AK$92</f>
        <v>182.70711107788534</v>
      </c>
      <c r="W388" s="66" t="s">
        <v>1975</v>
      </c>
      <c r="X388">
        <v>3</v>
      </c>
      <c r="Y388">
        <v>1</v>
      </c>
      <c r="Z388">
        <v>1</v>
      </c>
      <c r="AA388">
        <v>3</v>
      </c>
      <c r="AB388">
        <v>1</v>
      </c>
    </row>
    <row r="389" spans="1:28" x14ac:dyDescent="0.35">
      <c r="A389" t="s">
        <v>1217</v>
      </c>
      <c r="B389" t="s">
        <v>2261</v>
      </c>
      <c r="C389" t="s">
        <v>851</v>
      </c>
      <c r="D389">
        <v>2022</v>
      </c>
      <c r="E389">
        <v>2019</v>
      </c>
      <c r="F389" t="s">
        <v>1951</v>
      </c>
      <c r="G389">
        <v>2020</v>
      </c>
      <c r="H389" t="s">
        <v>1953</v>
      </c>
      <c r="I389" t="s">
        <v>1683</v>
      </c>
      <c r="J389" s="66">
        <v>2040</v>
      </c>
      <c r="Q389" s="95">
        <f>$BK$138/$BH$138 * 1000/$AK$92</f>
        <v>367.44636393402999</v>
      </c>
      <c r="R389" s="95">
        <f>$BK$137/$BH$137 * 1000/$AK$92</f>
        <v>347.92268418987783</v>
      </c>
      <c r="S389" s="95">
        <f>$BK$136/$BH$136 * 1000/$AK$92</f>
        <v>291.35431943072194</v>
      </c>
      <c r="T389" s="95">
        <f>$BK$135/$BH$135 * 1000/$AK$92</f>
        <v>182.70711107788534</v>
      </c>
      <c r="W389" s="66" t="s">
        <v>1975</v>
      </c>
      <c r="X389">
        <v>3</v>
      </c>
      <c r="Y389">
        <v>1</v>
      </c>
      <c r="Z389">
        <v>1</v>
      </c>
      <c r="AA389">
        <v>3</v>
      </c>
      <c r="AB389">
        <v>1</v>
      </c>
    </row>
    <row r="390" spans="1:28" x14ac:dyDescent="0.35">
      <c r="A390" t="s">
        <v>1217</v>
      </c>
      <c r="B390" t="s">
        <v>2261</v>
      </c>
      <c r="C390" t="s">
        <v>851</v>
      </c>
      <c r="D390">
        <v>2022</v>
      </c>
      <c r="E390">
        <v>2019</v>
      </c>
      <c r="F390" t="s">
        <v>1951</v>
      </c>
      <c r="G390">
        <v>2020</v>
      </c>
      <c r="H390" t="s">
        <v>1953</v>
      </c>
      <c r="I390" t="s">
        <v>1683</v>
      </c>
      <c r="J390" s="66">
        <v>2045</v>
      </c>
      <c r="R390" s="95">
        <f>$BK$138/$BH$138 * 1000/$AK$92</f>
        <v>367.44636393402999</v>
      </c>
      <c r="S390" s="95">
        <f>$BK$137/$BH$137 * 1000/$AK$92</f>
        <v>347.92268418987783</v>
      </c>
      <c r="T390" s="95">
        <f>$BK$136/$BH$136 * 1000/$AK$92</f>
        <v>291.35431943072194</v>
      </c>
      <c r="U390" s="95">
        <f>$BK$135/$BH$135 * 1000/$AK$92</f>
        <v>182.70711107788534</v>
      </c>
      <c r="W390" s="66" t="s">
        <v>1975</v>
      </c>
      <c r="X390">
        <v>3</v>
      </c>
      <c r="Y390">
        <v>1</v>
      </c>
      <c r="Z390">
        <v>1</v>
      </c>
      <c r="AA390">
        <v>3</v>
      </c>
      <c r="AB390">
        <v>1</v>
      </c>
    </row>
    <row r="391" spans="1:28" x14ac:dyDescent="0.35">
      <c r="A391" t="s">
        <v>1217</v>
      </c>
      <c r="B391" t="s">
        <v>2261</v>
      </c>
      <c r="C391" t="s">
        <v>851</v>
      </c>
      <c r="D391">
        <v>2022</v>
      </c>
      <c r="E391">
        <v>2019</v>
      </c>
      <c r="F391" t="s">
        <v>1951</v>
      </c>
      <c r="G391">
        <v>2020</v>
      </c>
      <c r="H391" t="s">
        <v>1953</v>
      </c>
      <c r="I391" t="s">
        <v>1683</v>
      </c>
      <c r="J391" s="66">
        <v>2050</v>
      </c>
      <c r="S391" s="95">
        <f>$BK$138/$BH$138 * 1000/$AK$92</f>
        <v>367.44636393402999</v>
      </c>
      <c r="T391" s="95">
        <f>$BK$137/$BH$137 * 1000/$AK$92</f>
        <v>347.92268418987783</v>
      </c>
      <c r="U391" s="95">
        <f>$BK$136/$BH$136 * 1000/$AK$92</f>
        <v>291.35431943072194</v>
      </c>
      <c r="V391" s="95">
        <f>$BK$135/$BH$135 * 1000/$AK$92</f>
        <v>182.70711107788534</v>
      </c>
      <c r="W391" s="66" t="s">
        <v>1975</v>
      </c>
      <c r="X391">
        <v>3</v>
      </c>
      <c r="Y391">
        <v>1</v>
      </c>
      <c r="Z391">
        <v>1</v>
      </c>
      <c r="AA391">
        <v>3</v>
      </c>
      <c r="AB391">
        <v>1</v>
      </c>
    </row>
    <row r="392" spans="1:28" x14ac:dyDescent="0.35">
      <c r="A392" t="s">
        <v>1218</v>
      </c>
      <c r="B392" t="s">
        <v>2261</v>
      </c>
      <c r="C392" t="s">
        <v>851</v>
      </c>
      <c r="D392">
        <v>2022</v>
      </c>
      <c r="E392">
        <v>2019</v>
      </c>
      <c r="F392" t="s">
        <v>1951</v>
      </c>
      <c r="G392">
        <v>2020</v>
      </c>
      <c r="H392" t="s">
        <v>1953</v>
      </c>
      <c r="I392" t="s">
        <v>1683</v>
      </c>
      <c r="J392" s="66">
        <v>2021</v>
      </c>
      <c r="P392" s="95">
        <f>$BL$135/$BH$135 * 1000/$AK$92</f>
        <v>176.4068658683031</v>
      </c>
      <c r="T392" s="95"/>
      <c r="W392" s="66" t="s">
        <v>1975</v>
      </c>
      <c r="X392">
        <v>3</v>
      </c>
      <c r="Y392">
        <v>1</v>
      </c>
      <c r="Z392">
        <v>1</v>
      </c>
      <c r="AA392">
        <v>3</v>
      </c>
      <c r="AB392">
        <v>1</v>
      </c>
    </row>
    <row r="393" spans="1:28" x14ac:dyDescent="0.35">
      <c r="A393" t="s">
        <v>1218</v>
      </c>
      <c r="B393" t="s">
        <v>2261</v>
      </c>
      <c r="C393" t="s">
        <v>851</v>
      </c>
      <c r="D393">
        <v>2022</v>
      </c>
      <c r="E393">
        <v>2019</v>
      </c>
      <c r="F393" t="s">
        <v>1951</v>
      </c>
      <c r="G393">
        <v>2020</v>
      </c>
      <c r="H393" t="s">
        <v>1953</v>
      </c>
      <c r="I393" t="s">
        <v>1683</v>
      </c>
      <c r="J393" s="66">
        <v>2025</v>
      </c>
      <c r="P393" s="95">
        <f>$BL$136/$BH$136 * 1000/$AK$92</f>
        <v>281.30761876069704</v>
      </c>
      <c r="Q393" s="95">
        <f>$BL$135/$BH$135 * 1000/$AK$92</f>
        <v>176.4068658683031</v>
      </c>
      <c r="W393" s="66" t="s">
        <v>1975</v>
      </c>
      <c r="X393">
        <v>3</v>
      </c>
      <c r="Y393">
        <v>1</v>
      </c>
      <c r="Z393">
        <v>1</v>
      </c>
      <c r="AA393">
        <v>3</v>
      </c>
      <c r="AB393">
        <v>1</v>
      </c>
    </row>
    <row r="394" spans="1:28" x14ac:dyDescent="0.35">
      <c r="A394" t="s">
        <v>1218</v>
      </c>
      <c r="B394" t="s">
        <v>2261</v>
      </c>
      <c r="C394" t="s">
        <v>851</v>
      </c>
      <c r="D394">
        <v>2022</v>
      </c>
      <c r="E394">
        <v>2019</v>
      </c>
      <c r="F394" t="s">
        <v>1951</v>
      </c>
      <c r="G394">
        <v>2020</v>
      </c>
      <c r="H394" t="s">
        <v>1953</v>
      </c>
      <c r="I394" t="s">
        <v>1683</v>
      </c>
      <c r="J394" s="66">
        <v>2030</v>
      </c>
      <c r="P394" s="95">
        <f>$BL$137/$BH$137 * 1000/$AK$92</f>
        <v>335.9253502522958</v>
      </c>
      <c r="Q394" s="95">
        <f>$BL$136/$BH$136 * 1000/$AK$92</f>
        <v>281.30761876069704</v>
      </c>
      <c r="R394" s="95">
        <f>$BL$135/$BH$135 * 1000/$AK$92</f>
        <v>176.4068658683031</v>
      </c>
      <c r="W394" s="66" t="s">
        <v>1975</v>
      </c>
      <c r="X394">
        <v>3</v>
      </c>
      <c r="Y394">
        <v>1</v>
      </c>
      <c r="Z394">
        <v>1</v>
      </c>
      <c r="AA394">
        <v>3</v>
      </c>
      <c r="AB394">
        <v>1</v>
      </c>
    </row>
    <row r="395" spans="1:28" x14ac:dyDescent="0.35">
      <c r="A395" t="s">
        <v>1218</v>
      </c>
      <c r="B395" t="s">
        <v>2261</v>
      </c>
      <c r="C395" t="s">
        <v>851</v>
      </c>
      <c r="D395">
        <v>2022</v>
      </c>
      <c r="E395">
        <v>2019</v>
      </c>
      <c r="F395" t="s">
        <v>1951</v>
      </c>
      <c r="G395">
        <v>2020</v>
      </c>
      <c r="H395" t="s">
        <v>1953</v>
      </c>
      <c r="I395" t="s">
        <v>1683</v>
      </c>
      <c r="J395" s="66">
        <v>2035</v>
      </c>
      <c r="P395" s="95">
        <f>$BL$138/$BH$138 * 1000/$AK$92</f>
        <v>354.77579966044271</v>
      </c>
      <c r="Q395" s="95">
        <f>$BL$137/$BH$137 * 1000/$AK$92</f>
        <v>335.9253502522958</v>
      </c>
      <c r="R395" s="95">
        <f>$BL$136/$BH$136 * 1000/$AK$92</f>
        <v>281.30761876069704</v>
      </c>
      <c r="S395" s="95">
        <f>$BL$135/$BH$135 * 1000/$AK$92</f>
        <v>176.4068658683031</v>
      </c>
      <c r="W395" s="66" t="s">
        <v>1975</v>
      </c>
      <c r="X395">
        <v>3</v>
      </c>
      <c r="Y395">
        <v>1</v>
      </c>
      <c r="Z395">
        <v>1</v>
      </c>
      <c r="AA395">
        <v>3</v>
      </c>
      <c r="AB395">
        <v>1</v>
      </c>
    </row>
    <row r="396" spans="1:28" x14ac:dyDescent="0.35">
      <c r="A396" t="s">
        <v>1218</v>
      </c>
      <c r="B396" t="s">
        <v>2261</v>
      </c>
      <c r="C396" t="s">
        <v>851</v>
      </c>
      <c r="D396">
        <v>2022</v>
      </c>
      <c r="E396">
        <v>2019</v>
      </c>
      <c r="F396" t="s">
        <v>1951</v>
      </c>
      <c r="G396">
        <v>2020</v>
      </c>
      <c r="H396" t="s">
        <v>1953</v>
      </c>
      <c r="I396" t="s">
        <v>1683</v>
      </c>
      <c r="J396" s="66">
        <v>2040</v>
      </c>
      <c r="Q396" s="95">
        <f>$BL$138/$BH$138 * 1000/$AK$92</f>
        <v>354.77579966044271</v>
      </c>
      <c r="R396" s="95">
        <f>$BL$137/$BH$137 * 1000/$AK$92</f>
        <v>335.9253502522958</v>
      </c>
      <c r="S396" s="95">
        <f>$BL$136/$BH$136 * 1000/$AK$92</f>
        <v>281.30761876069704</v>
      </c>
      <c r="T396" s="95">
        <f>$BL$135/$BH$135 * 1000/$AK$92</f>
        <v>176.4068658683031</v>
      </c>
      <c r="W396" s="66" t="s">
        <v>1975</v>
      </c>
      <c r="X396">
        <v>3</v>
      </c>
      <c r="Y396">
        <v>1</v>
      </c>
      <c r="Z396">
        <v>1</v>
      </c>
      <c r="AA396">
        <v>3</v>
      </c>
      <c r="AB396">
        <v>1</v>
      </c>
    </row>
    <row r="397" spans="1:28" x14ac:dyDescent="0.35">
      <c r="A397" t="s">
        <v>1218</v>
      </c>
      <c r="B397" t="s">
        <v>2261</v>
      </c>
      <c r="C397" t="s">
        <v>851</v>
      </c>
      <c r="D397">
        <v>2022</v>
      </c>
      <c r="E397">
        <v>2019</v>
      </c>
      <c r="F397" t="s">
        <v>1951</v>
      </c>
      <c r="G397">
        <v>2020</v>
      </c>
      <c r="H397" t="s">
        <v>1953</v>
      </c>
      <c r="I397" t="s">
        <v>1683</v>
      </c>
      <c r="J397" s="66">
        <v>2045</v>
      </c>
      <c r="R397" s="95">
        <f>$BL$138/$BH$138 * 1000/$AK$92</f>
        <v>354.77579966044271</v>
      </c>
      <c r="S397" s="95">
        <f>$BL$137/$BH$137 * 1000/$AK$92</f>
        <v>335.9253502522958</v>
      </c>
      <c r="T397" s="95">
        <f>$BL$136/$BH$136 * 1000/$AK$92</f>
        <v>281.30761876069704</v>
      </c>
      <c r="U397" s="95">
        <f>$BL$135/$BH$135 * 1000/$AK$92</f>
        <v>176.4068658683031</v>
      </c>
      <c r="W397" s="66" t="s">
        <v>1975</v>
      </c>
      <c r="X397">
        <v>3</v>
      </c>
      <c r="Y397">
        <v>1</v>
      </c>
      <c r="Z397">
        <v>1</v>
      </c>
      <c r="AA397">
        <v>3</v>
      </c>
      <c r="AB397">
        <v>1</v>
      </c>
    </row>
    <row r="398" spans="1:28" x14ac:dyDescent="0.35">
      <c r="A398" t="s">
        <v>1218</v>
      </c>
      <c r="B398" t="s">
        <v>2261</v>
      </c>
      <c r="C398" t="s">
        <v>851</v>
      </c>
      <c r="D398">
        <v>2022</v>
      </c>
      <c r="E398">
        <v>2019</v>
      </c>
      <c r="F398" t="s">
        <v>1951</v>
      </c>
      <c r="G398">
        <v>2020</v>
      </c>
      <c r="H398" t="s">
        <v>1953</v>
      </c>
      <c r="I398" t="s">
        <v>1683</v>
      </c>
      <c r="J398" s="66">
        <v>2050</v>
      </c>
      <c r="S398" s="95">
        <f>$BL$138/$BH$138 * 1000/$AK$92</f>
        <v>354.77579966044271</v>
      </c>
      <c r="T398" s="95">
        <f>$BL$137/$BH$137 * 1000/$AK$92</f>
        <v>335.9253502522958</v>
      </c>
      <c r="U398" s="95">
        <f>$BL$136/$BH$136 * 1000/$AK$92</f>
        <v>281.30761876069704</v>
      </c>
      <c r="V398" s="95">
        <f>$BL$135/$BH$135 * 1000/$AK$92</f>
        <v>176.4068658683031</v>
      </c>
      <c r="W398" s="66" t="s">
        <v>1975</v>
      </c>
      <c r="X398">
        <v>3</v>
      </c>
      <c r="Y398">
        <v>1</v>
      </c>
      <c r="Z398">
        <v>1</v>
      </c>
      <c r="AA398">
        <v>3</v>
      </c>
      <c r="AB398">
        <v>1</v>
      </c>
    </row>
    <row r="399" spans="1:28" x14ac:dyDescent="0.35">
      <c r="A399" t="s">
        <v>1245</v>
      </c>
      <c r="B399" t="s">
        <v>2261</v>
      </c>
      <c r="C399" t="s">
        <v>851</v>
      </c>
      <c r="D399">
        <v>2022</v>
      </c>
      <c r="E399">
        <v>2019</v>
      </c>
      <c r="F399" t="s">
        <v>1951</v>
      </c>
      <c r="G399">
        <v>2020</v>
      </c>
      <c r="H399" t="s">
        <v>1953</v>
      </c>
      <c r="I399" t="s">
        <v>1683</v>
      </c>
      <c r="J399" s="66">
        <v>2021</v>
      </c>
      <c r="P399" s="95">
        <f>$BO$135/$BH$135 * 1000/$AK$92</f>
        <v>126.00490419164508</v>
      </c>
      <c r="T399" s="95"/>
      <c r="W399" s="66" t="s">
        <v>1975</v>
      </c>
      <c r="X399">
        <v>3</v>
      </c>
      <c r="Y399">
        <v>1</v>
      </c>
      <c r="Z399">
        <v>1</v>
      </c>
      <c r="AA399">
        <v>3</v>
      </c>
      <c r="AB399">
        <v>1</v>
      </c>
    </row>
    <row r="400" spans="1:28" x14ac:dyDescent="0.35">
      <c r="A400" t="s">
        <v>1245</v>
      </c>
      <c r="B400" t="s">
        <v>2261</v>
      </c>
      <c r="C400" t="s">
        <v>851</v>
      </c>
      <c r="D400">
        <v>2022</v>
      </c>
      <c r="E400">
        <v>2019</v>
      </c>
      <c r="F400" t="s">
        <v>1951</v>
      </c>
      <c r="G400">
        <v>2020</v>
      </c>
      <c r="H400" t="s">
        <v>1953</v>
      </c>
      <c r="I400" t="s">
        <v>1683</v>
      </c>
      <c r="J400" s="66">
        <v>2025</v>
      </c>
      <c r="P400" s="95">
        <f>$BO$136/$BH$136 * 1000/$AK$92</f>
        <v>200.93401340049792</v>
      </c>
      <c r="Q400" s="95">
        <f>$BO$135/$BH$135 * 1000/$AK$92</f>
        <v>126.00490419164508</v>
      </c>
      <c r="W400" s="66" t="s">
        <v>1975</v>
      </c>
      <c r="X400">
        <v>3</v>
      </c>
      <c r="Y400">
        <v>1</v>
      </c>
      <c r="Z400">
        <v>1</v>
      </c>
      <c r="AA400">
        <v>3</v>
      </c>
      <c r="AB400">
        <v>1</v>
      </c>
    </row>
    <row r="401" spans="1:28" x14ac:dyDescent="0.35">
      <c r="A401" t="s">
        <v>1245</v>
      </c>
      <c r="B401" t="s">
        <v>2261</v>
      </c>
      <c r="C401" t="s">
        <v>851</v>
      </c>
      <c r="D401">
        <v>2022</v>
      </c>
      <c r="E401">
        <v>2019</v>
      </c>
      <c r="F401" t="s">
        <v>1951</v>
      </c>
      <c r="G401">
        <v>2020</v>
      </c>
      <c r="H401" t="s">
        <v>1953</v>
      </c>
      <c r="I401" t="s">
        <v>1683</v>
      </c>
      <c r="J401" s="66">
        <v>2030</v>
      </c>
      <c r="P401" s="95">
        <f>$BO$137/$BH$137 * 1000/$AK$92</f>
        <v>239.94667875163987</v>
      </c>
      <c r="Q401" s="95">
        <f>$BO$136/$BH$136 * 1000/$AK$92</f>
        <v>200.93401340049792</v>
      </c>
      <c r="R401" s="95">
        <f>$BO$135/$BH$135 * 1000/$AK$92</f>
        <v>126.00490419164508</v>
      </c>
      <c r="W401" s="66" t="s">
        <v>1975</v>
      </c>
      <c r="X401">
        <v>3</v>
      </c>
      <c r="Y401">
        <v>1</v>
      </c>
      <c r="Z401">
        <v>1</v>
      </c>
      <c r="AA401">
        <v>3</v>
      </c>
      <c r="AB401">
        <v>1</v>
      </c>
    </row>
    <row r="402" spans="1:28" x14ac:dyDescent="0.35">
      <c r="A402" t="s">
        <v>1245</v>
      </c>
      <c r="B402" t="s">
        <v>2261</v>
      </c>
      <c r="C402" t="s">
        <v>851</v>
      </c>
      <c r="D402">
        <v>2022</v>
      </c>
      <c r="E402">
        <v>2019</v>
      </c>
      <c r="F402" t="s">
        <v>1951</v>
      </c>
      <c r="G402">
        <v>2020</v>
      </c>
      <c r="H402" t="s">
        <v>1953</v>
      </c>
      <c r="I402" t="s">
        <v>1683</v>
      </c>
      <c r="J402" s="66">
        <v>2035</v>
      </c>
      <c r="P402" s="95">
        <f>$BO$138/$BH$138 * 1000/$AK$92</f>
        <v>253.4112854717448</v>
      </c>
      <c r="Q402" s="95">
        <f>$BO$137/$BH$137 * 1000/$AK$92</f>
        <v>239.94667875163987</v>
      </c>
      <c r="R402" s="95">
        <f>$BO$136/$BH$136 * 1000/$AK$92</f>
        <v>200.93401340049792</v>
      </c>
      <c r="S402" s="95">
        <f>$BO$135/$BH$135 * 1000/$AK$92</f>
        <v>126.00490419164508</v>
      </c>
      <c r="W402" s="66" t="s">
        <v>1975</v>
      </c>
      <c r="X402">
        <v>3</v>
      </c>
      <c r="Y402">
        <v>1</v>
      </c>
      <c r="Z402">
        <v>1</v>
      </c>
      <c r="AA402">
        <v>3</v>
      </c>
      <c r="AB402">
        <v>1</v>
      </c>
    </row>
    <row r="403" spans="1:28" x14ac:dyDescent="0.35">
      <c r="A403" t="s">
        <v>1245</v>
      </c>
      <c r="B403" t="s">
        <v>2261</v>
      </c>
      <c r="C403" t="s">
        <v>851</v>
      </c>
      <c r="D403">
        <v>2022</v>
      </c>
      <c r="E403">
        <v>2019</v>
      </c>
      <c r="F403" t="s">
        <v>1951</v>
      </c>
      <c r="G403">
        <v>2020</v>
      </c>
      <c r="H403" t="s">
        <v>1953</v>
      </c>
      <c r="I403" t="s">
        <v>1683</v>
      </c>
      <c r="J403" s="66">
        <v>2040</v>
      </c>
      <c r="Q403" s="95">
        <f>$BO$138/$BH$138 * 1000/$AK$92</f>
        <v>253.4112854717448</v>
      </c>
      <c r="R403" s="95">
        <f>$BO$137/$BH$137 * 1000/$AK$92</f>
        <v>239.94667875163987</v>
      </c>
      <c r="S403" s="95">
        <f>$BO$136/$BH$136 * 1000/$AK$92</f>
        <v>200.93401340049792</v>
      </c>
      <c r="T403" s="95">
        <f>$BO$135/$BH$135 * 1000/$AK$92</f>
        <v>126.00490419164508</v>
      </c>
      <c r="W403" s="66" t="s">
        <v>1975</v>
      </c>
      <c r="X403">
        <v>3</v>
      </c>
      <c r="Y403">
        <v>1</v>
      </c>
      <c r="Z403">
        <v>1</v>
      </c>
      <c r="AA403">
        <v>3</v>
      </c>
      <c r="AB403">
        <v>1</v>
      </c>
    </row>
    <row r="404" spans="1:28" x14ac:dyDescent="0.35">
      <c r="A404" t="s">
        <v>1245</v>
      </c>
      <c r="B404" t="s">
        <v>2261</v>
      </c>
      <c r="C404" t="s">
        <v>851</v>
      </c>
      <c r="D404">
        <v>2022</v>
      </c>
      <c r="E404">
        <v>2019</v>
      </c>
      <c r="F404" t="s">
        <v>1951</v>
      </c>
      <c r="G404">
        <v>2020</v>
      </c>
      <c r="H404" t="s">
        <v>1953</v>
      </c>
      <c r="I404" t="s">
        <v>1683</v>
      </c>
      <c r="J404" s="66">
        <v>2045</v>
      </c>
      <c r="R404" s="95">
        <f>$BO$138/$BH$138 * 1000/$AK$92</f>
        <v>253.4112854717448</v>
      </c>
      <c r="S404" s="95">
        <f>$BO$137/$BH$137 * 1000/$AK$92</f>
        <v>239.94667875163987</v>
      </c>
      <c r="T404" s="95">
        <f>$BO$136/$BH$136 * 1000/$AK$92</f>
        <v>200.93401340049792</v>
      </c>
      <c r="U404" s="95">
        <f>$BO$135/$BH$135 * 1000/$AK$92</f>
        <v>126.00490419164508</v>
      </c>
      <c r="W404" s="66" t="s">
        <v>1975</v>
      </c>
      <c r="X404">
        <v>3</v>
      </c>
      <c r="Y404">
        <v>1</v>
      </c>
      <c r="Z404">
        <v>1</v>
      </c>
      <c r="AA404">
        <v>3</v>
      </c>
      <c r="AB404">
        <v>1</v>
      </c>
    </row>
    <row r="405" spans="1:28" x14ac:dyDescent="0.35">
      <c r="A405" t="s">
        <v>1245</v>
      </c>
      <c r="B405" t="s">
        <v>2261</v>
      </c>
      <c r="C405" t="s">
        <v>851</v>
      </c>
      <c r="D405">
        <v>2022</v>
      </c>
      <c r="E405">
        <v>2019</v>
      </c>
      <c r="F405" t="s">
        <v>1951</v>
      </c>
      <c r="G405">
        <v>2020</v>
      </c>
      <c r="H405" t="s">
        <v>1953</v>
      </c>
      <c r="I405" t="s">
        <v>1683</v>
      </c>
      <c r="J405" s="66">
        <v>2050</v>
      </c>
      <c r="S405" s="95">
        <f>$BO$138/$BH$138 * 1000/$AK$92</f>
        <v>253.4112854717448</v>
      </c>
      <c r="T405" s="95">
        <f>$BO$137/$BH$137 * 1000/$AK$92</f>
        <v>239.94667875163987</v>
      </c>
      <c r="U405" s="95">
        <f>$BO$136/$BH$136 * 1000/$AK$92</f>
        <v>200.93401340049792</v>
      </c>
      <c r="V405" s="95">
        <f>$BO$135/$BH$135 * 1000/$AK$92</f>
        <v>126.00490419164508</v>
      </c>
      <c r="W405" s="66" t="s">
        <v>1975</v>
      </c>
      <c r="X405">
        <v>3</v>
      </c>
      <c r="Y405">
        <v>1</v>
      </c>
      <c r="Z405">
        <v>1</v>
      </c>
      <c r="AA405">
        <v>3</v>
      </c>
      <c r="AB405">
        <v>1</v>
      </c>
    </row>
    <row r="406" spans="1:28" x14ac:dyDescent="0.35">
      <c r="A406" t="s">
        <v>1246</v>
      </c>
      <c r="B406" t="s">
        <v>2261</v>
      </c>
      <c r="C406" t="s">
        <v>851</v>
      </c>
      <c r="D406">
        <v>2022</v>
      </c>
      <c r="E406">
        <v>2019</v>
      </c>
      <c r="F406" t="s">
        <v>1951</v>
      </c>
      <c r="G406">
        <v>2020</v>
      </c>
      <c r="H406" t="s">
        <v>1953</v>
      </c>
      <c r="I406" t="s">
        <v>1683</v>
      </c>
      <c r="J406" s="66">
        <v>2021</v>
      </c>
      <c r="P406" s="95">
        <f>$BM$135/$BH$135 * 1000/$AK$92</f>
        <v>126.00490419164508</v>
      </c>
      <c r="T406" s="95"/>
      <c r="W406" s="66" t="s">
        <v>1975</v>
      </c>
      <c r="X406">
        <v>3</v>
      </c>
      <c r="Y406">
        <v>1</v>
      </c>
      <c r="Z406">
        <v>1</v>
      </c>
      <c r="AA406">
        <v>3</v>
      </c>
      <c r="AB406">
        <v>1</v>
      </c>
    </row>
    <row r="407" spans="1:28" x14ac:dyDescent="0.35">
      <c r="A407" t="s">
        <v>1246</v>
      </c>
      <c r="B407" t="s">
        <v>2261</v>
      </c>
      <c r="C407" t="s">
        <v>851</v>
      </c>
      <c r="D407">
        <v>2022</v>
      </c>
      <c r="E407">
        <v>2019</v>
      </c>
      <c r="F407" t="s">
        <v>1951</v>
      </c>
      <c r="G407">
        <v>2020</v>
      </c>
      <c r="H407" t="s">
        <v>1953</v>
      </c>
      <c r="I407" t="s">
        <v>1683</v>
      </c>
      <c r="J407" s="66">
        <v>2025</v>
      </c>
      <c r="P407" s="95">
        <f>$BM$136/$BH$136 * 1000/$AK$92</f>
        <v>200.93401340049792</v>
      </c>
      <c r="Q407" s="95">
        <f>$BM$135/$BH$135 * 1000/$AK$92</f>
        <v>126.00490419164508</v>
      </c>
      <c r="W407" s="66" t="s">
        <v>1975</v>
      </c>
      <c r="X407">
        <v>3</v>
      </c>
      <c r="Y407">
        <v>1</v>
      </c>
      <c r="Z407">
        <v>1</v>
      </c>
      <c r="AA407">
        <v>3</v>
      </c>
      <c r="AB407">
        <v>1</v>
      </c>
    </row>
    <row r="408" spans="1:28" x14ac:dyDescent="0.35">
      <c r="A408" t="s">
        <v>1246</v>
      </c>
      <c r="B408" t="s">
        <v>2261</v>
      </c>
      <c r="C408" t="s">
        <v>851</v>
      </c>
      <c r="D408">
        <v>2022</v>
      </c>
      <c r="E408">
        <v>2019</v>
      </c>
      <c r="F408" t="s">
        <v>1951</v>
      </c>
      <c r="G408">
        <v>2020</v>
      </c>
      <c r="H408" t="s">
        <v>1953</v>
      </c>
      <c r="I408" t="s">
        <v>1683</v>
      </c>
      <c r="J408" s="66">
        <v>2030</v>
      </c>
      <c r="P408" s="95">
        <f>$BM$137/$BH$137 * 1000/$AK$92</f>
        <v>239.94667875163987</v>
      </c>
      <c r="Q408" s="95">
        <f>$BM$136/$BH$136 * 1000/$AK$92</f>
        <v>200.93401340049792</v>
      </c>
      <c r="R408" s="95">
        <f>$BM$135/$BH$135 * 1000/$AK$92</f>
        <v>126.00490419164508</v>
      </c>
      <c r="W408" s="66" t="s">
        <v>1975</v>
      </c>
      <c r="X408">
        <v>3</v>
      </c>
      <c r="Y408">
        <v>1</v>
      </c>
      <c r="Z408">
        <v>1</v>
      </c>
      <c r="AA408">
        <v>3</v>
      </c>
      <c r="AB408">
        <v>1</v>
      </c>
    </row>
    <row r="409" spans="1:28" x14ac:dyDescent="0.35">
      <c r="A409" t="s">
        <v>1246</v>
      </c>
      <c r="B409" t="s">
        <v>2261</v>
      </c>
      <c r="C409" t="s">
        <v>851</v>
      </c>
      <c r="D409">
        <v>2022</v>
      </c>
      <c r="E409">
        <v>2019</v>
      </c>
      <c r="F409" t="s">
        <v>1951</v>
      </c>
      <c r="G409">
        <v>2020</v>
      </c>
      <c r="H409" t="s">
        <v>1953</v>
      </c>
      <c r="I409" t="s">
        <v>1683</v>
      </c>
      <c r="J409" s="66">
        <v>2035</v>
      </c>
      <c r="P409" s="95">
        <f>$BM$138/$BH$138 * 1000/$AK$92</f>
        <v>253.4112854717448</v>
      </c>
      <c r="Q409" s="95">
        <f>$BM$137/$BH$137 * 1000/$AK$92</f>
        <v>239.94667875163987</v>
      </c>
      <c r="R409" s="95">
        <f>$BM$136/$BH$136 * 1000/$AK$92</f>
        <v>200.93401340049792</v>
      </c>
      <c r="S409" s="95">
        <f>$BM$135/$BH$135 * 1000/$AK$92</f>
        <v>126.00490419164508</v>
      </c>
      <c r="W409" s="66" t="s">
        <v>1975</v>
      </c>
      <c r="X409">
        <v>3</v>
      </c>
      <c r="Y409">
        <v>1</v>
      </c>
      <c r="Z409">
        <v>1</v>
      </c>
      <c r="AA409">
        <v>3</v>
      </c>
      <c r="AB409">
        <v>1</v>
      </c>
    </row>
    <row r="410" spans="1:28" x14ac:dyDescent="0.35">
      <c r="A410" t="s">
        <v>1246</v>
      </c>
      <c r="B410" t="s">
        <v>2261</v>
      </c>
      <c r="C410" t="s">
        <v>851</v>
      </c>
      <c r="D410">
        <v>2022</v>
      </c>
      <c r="E410">
        <v>2019</v>
      </c>
      <c r="F410" t="s">
        <v>1951</v>
      </c>
      <c r="G410">
        <v>2020</v>
      </c>
      <c r="H410" t="s">
        <v>1953</v>
      </c>
      <c r="I410" t="s">
        <v>1683</v>
      </c>
      <c r="J410" s="66">
        <v>2040</v>
      </c>
      <c r="Q410" s="95">
        <f>$BM$138/$BH$138 * 1000/$AK$92</f>
        <v>253.4112854717448</v>
      </c>
      <c r="R410" s="95">
        <f>$BM$137/$BH$137 * 1000/$AK$92</f>
        <v>239.94667875163987</v>
      </c>
      <c r="S410" s="95">
        <f>$BM$136/$BH$136 * 1000/$AK$92</f>
        <v>200.93401340049792</v>
      </c>
      <c r="T410" s="95">
        <f>$BM$135/$BH$135 * 1000/$AK$92</f>
        <v>126.00490419164508</v>
      </c>
      <c r="W410" s="66" t="s">
        <v>1975</v>
      </c>
      <c r="X410">
        <v>3</v>
      </c>
      <c r="Y410">
        <v>1</v>
      </c>
      <c r="Z410">
        <v>1</v>
      </c>
      <c r="AA410">
        <v>3</v>
      </c>
      <c r="AB410">
        <v>1</v>
      </c>
    </row>
    <row r="411" spans="1:28" x14ac:dyDescent="0.35">
      <c r="A411" t="s">
        <v>1246</v>
      </c>
      <c r="B411" t="s">
        <v>2261</v>
      </c>
      <c r="C411" t="s">
        <v>851</v>
      </c>
      <c r="D411">
        <v>2022</v>
      </c>
      <c r="E411">
        <v>2019</v>
      </c>
      <c r="F411" t="s">
        <v>1951</v>
      </c>
      <c r="G411">
        <v>2020</v>
      </c>
      <c r="H411" t="s">
        <v>1953</v>
      </c>
      <c r="I411" t="s">
        <v>1683</v>
      </c>
      <c r="J411" s="66">
        <v>2045</v>
      </c>
      <c r="R411" s="95">
        <f>$BM$138/$BH$138 * 1000/$AK$92</f>
        <v>253.4112854717448</v>
      </c>
      <c r="S411" s="95">
        <f>$BM$137/$BH$137 * 1000/$AK$92</f>
        <v>239.94667875163987</v>
      </c>
      <c r="T411" s="95">
        <f>$BM$136/$BH$136 * 1000/$AK$92</f>
        <v>200.93401340049792</v>
      </c>
      <c r="U411" s="95">
        <f>$BM$135/$BH$135 * 1000/$AK$92</f>
        <v>126.00490419164508</v>
      </c>
      <c r="W411" s="66" t="s">
        <v>1975</v>
      </c>
      <c r="X411">
        <v>3</v>
      </c>
      <c r="Y411">
        <v>1</v>
      </c>
      <c r="Z411">
        <v>1</v>
      </c>
      <c r="AA411">
        <v>3</v>
      </c>
      <c r="AB411">
        <v>1</v>
      </c>
    </row>
    <row r="412" spans="1:28" x14ac:dyDescent="0.35">
      <c r="A412" t="s">
        <v>1246</v>
      </c>
      <c r="B412" t="s">
        <v>2261</v>
      </c>
      <c r="C412" t="s">
        <v>851</v>
      </c>
      <c r="D412">
        <v>2022</v>
      </c>
      <c r="E412">
        <v>2019</v>
      </c>
      <c r="F412" t="s">
        <v>1951</v>
      </c>
      <c r="G412">
        <v>2020</v>
      </c>
      <c r="H412" t="s">
        <v>1953</v>
      </c>
      <c r="I412" t="s">
        <v>1683</v>
      </c>
      <c r="J412" s="66">
        <v>2050</v>
      </c>
      <c r="S412" s="95">
        <f>$BM$138/$BH$138 * 1000/$AK$92</f>
        <v>253.4112854717448</v>
      </c>
      <c r="T412" s="95">
        <f>$BM$137/$BH$137 * 1000/$AK$92</f>
        <v>239.94667875163987</v>
      </c>
      <c r="U412" s="95">
        <f>$BM$136/$BH$136 * 1000/$AK$92</f>
        <v>200.93401340049792</v>
      </c>
      <c r="V412" s="95">
        <f>$BM$135/$BH$135 * 1000/$AK$92</f>
        <v>126.00490419164508</v>
      </c>
      <c r="W412" s="66" t="s">
        <v>1975</v>
      </c>
      <c r="X412">
        <v>3</v>
      </c>
      <c r="Y412">
        <v>1</v>
      </c>
      <c r="Z412">
        <v>1</v>
      </c>
      <c r="AA412">
        <v>3</v>
      </c>
      <c r="AB412">
        <v>1</v>
      </c>
    </row>
    <row r="413" spans="1:28" x14ac:dyDescent="0.35">
      <c r="A413" t="s">
        <v>1247</v>
      </c>
      <c r="B413" t="s">
        <v>2261</v>
      </c>
      <c r="C413" t="s">
        <v>851</v>
      </c>
      <c r="D413">
        <v>2022</v>
      </c>
      <c r="E413">
        <v>2019</v>
      </c>
      <c r="F413" t="s">
        <v>1951</v>
      </c>
      <c r="G413">
        <v>2020</v>
      </c>
      <c r="H413" t="s">
        <v>1953</v>
      </c>
      <c r="I413" t="s">
        <v>1683</v>
      </c>
      <c r="J413" s="66">
        <v>2021</v>
      </c>
      <c r="P413" s="95">
        <f>$BN$135/$BH$135 * 1000/$AK$92</f>
        <v>126.00490419164508</v>
      </c>
      <c r="T413" s="95"/>
      <c r="W413" s="66" t="s">
        <v>1975</v>
      </c>
      <c r="X413">
        <v>3</v>
      </c>
      <c r="Y413">
        <v>1</v>
      </c>
      <c r="Z413">
        <v>1</v>
      </c>
      <c r="AA413">
        <v>3</v>
      </c>
      <c r="AB413">
        <v>1</v>
      </c>
    </row>
    <row r="414" spans="1:28" x14ac:dyDescent="0.35">
      <c r="A414" t="s">
        <v>1247</v>
      </c>
      <c r="B414" t="s">
        <v>2261</v>
      </c>
      <c r="C414" t="s">
        <v>851</v>
      </c>
      <c r="D414">
        <v>2022</v>
      </c>
      <c r="E414">
        <v>2019</v>
      </c>
      <c r="F414" t="s">
        <v>1951</v>
      </c>
      <c r="G414">
        <v>2020</v>
      </c>
      <c r="H414" t="s">
        <v>1953</v>
      </c>
      <c r="I414" t="s">
        <v>1683</v>
      </c>
      <c r="J414" s="66">
        <v>2025</v>
      </c>
      <c r="P414" s="95">
        <f>$BN$136/$BH$136 * 1000/$AK$92</f>
        <v>200.93401340049792</v>
      </c>
      <c r="Q414" s="95">
        <f>$BN$135/$BH$135 * 1000/$AK$92</f>
        <v>126.00490419164508</v>
      </c>
      <c r="W414" s="66" t="s">
        <v>1975</v>
      </c>
      <c r="X414">
        <v>3</v>
      </c>
      <c r="Y414">
        <v>1</v>
      </c>
      <c r="Z414">
        <v>1</v>
      </c>
      <c r="AA414">
        <v>3</v>
      </c>
      <c r="AB414">
        <v>1</v>
      </c>
    </row>
    <row r="415" spans="1:28" x14ac:dyDescent="0.35">
      <c r="A415" t="s">
        <v>1247</v>
      </c>
      <c r="B415" t="s">
        <v>2261</v>
      </c>
      <c r="C415" t="s">
        <v>851</v>
      </c>
      <c r="D415">
        <v>2022</v>
      </c>
      <c r="E415">
        <v>2019</v>
      </c>
      <c r="F415" t="s">
        <v>1951</v>
      </c>
      <c r="G415">
        <v>2020</v>
      </c>
      <c r="H415" t="s">
        <v>1953</v>
      </c>
      <c r="I415" t="s">
        <v>1683</v>
      </c>
      <c r="J415" s="66">
        <v>2030</v>
      </c>
      <c r="P415" s="95">
        <f>$BN$137/$BH$137 * 1000/$AK$92</f>
        <v>239.94667875163987</v>
      </c>
      <c r="Q415" s="95">
        <f>$BN$136/$BH$136 * 1000/$AK$92</f>
        <v>200.93401340049792</v>
      </c>
      <c r="R415" s="95">
        <f>$BN$135/$BH$135 * 1000/$AK$92</f>
        <v>126.00490419164508</v>
      </c>
      <c r="W415" s="66" t="s">
        <v>1975</v>
      </c>
      <c r="X415">
        <v>3</v>
      </c>
      <c r="Y415">
        <v>1</v>
      </c>
      <c r="Z415">
        <v>1</v>
      </c>
      <c r="AA415">
        <v>3</v>
      </c>
      <c r="AB415">
        <v>1</v>
      </c>
    </row>
    <row r="416" spans="1:28" x14ac:dyDescent="0.35">
      <c r="A416" t="s">
        <v>1247</v>
      </c>
      <c r="B416" t="s">
        <v>2261</v>
      </c>
      <c r="C416" t="s">
        <v>851</v>
      </c>
      <c r="D416">
        <v>2022</v>
      </c>
      <c r="E416">
        <v>2019</v>
      </c>
      <c r="F416" t="s">
        <v>1951</v>
      </c>
      <c r="G416">
        <v>2020</v>
      </c>
      <c r="H416" t="s">
        <v>1953</v>
      </c>
      <c r="I416" t="s">
        <v>1683</v>
      </c>
      <c r="J416" s="66">
        <v>2035</v>
      </c>
      <c r="P416" s="95">
        <f>$BN$138/$BH$138 * 1000/$AK$92</f>
        <v>253.4112854717448</v>
      </c>
      <c r="Q416" s="95">
        <f>$BN$137/$BH$137 * 1000/$AK$92</f>
        <v>239.94667875163987</v>
      </c>
      <c r="R416" s="95">
        <f>$BN$136/$BH$136 * 1000/$AK$92</f>
        <v>200.93401340049792</v>
      </c>
      <c r="S416" s="95">
        <f>$BN$135/$BH$135 * 1000/$AK$92</f>
        <v>126.00490419164508</v>
      </c>
      <c r="W416" s="66" t="s">
        <v>1975</v>
      </c>
      <c r="X416">
        <v>3</v>
      </c>
      <c r="Y416">
        <v>1</v>
      </c>
      <c r="Z416">
        <v>1</v>
      </c>
      <c r="AA416">
        <v>3</v>
      </c>
      <c r="AB416">
        <v>1</v>
      </c>
    </row>
    <row r="417" spans="1:28" x14ac:dyDescent="0.35">
      <c r="A417" t="s">
        <v>1247</v>
      </c>
      <c r="B417" t="s">
        <v>2261</v>
      </c>
      <c r="C417" t="s">
        <v>851</v>
      </c>
      <c r="D417">
        <v>2022</v>
      </c>
      <c r="E417">
        <v>2019</v>
      </c>
      <c r="F417" t="s">
        <v>1951</v>
      </c>
      <c r="G417">
        <v>2020</v>
      </c>
      <c r="H417" t="s">
        <v>1953</v>
      </c>
      <c r="I417" t="s">
        <v>1683</v>
      </c>
      <c r="J417" s="66">
        <v>2040</v>
      </c>
      <c r="Q417" s="95">
        <f>$BN$138/$BH$138 * 1000/$AK$92</f>
        <v>253.4112854717448</v>
      </c>
      <c r="R417" s="95">
        <f>$BN$137/$BH$137 * 1000/$AK$92</f>
        <v>239.94667875163987</v>
      </c>
      <c r="S417" s="95">
        <f>$BN$136/$BH$136 * 1000/$AK$92</f>
        <v>200.93401340049792</v>
      </c>
      <c r="T417" s="95">
        <f>$BN$135/$BH$135 * 1000/$AK$92</f>
        <v>126.00490419164508</v>
      </c>
      <c r="W417" s="66" t="s">
        <v>1975</v>
      </c>
      <c r="X417">
        <v>3</v>
      </c>
      <c r="Y417">
        <v>1</v>
      </c>
      <c r="Z417">
        <v>1</v>
      </c>
      <c r="AA417">
        <v>3</v>
      </c>
      <c r="AB417">
        <v>1</v>
      </c>
    </row>
    <row r="418" spans="1:28" x14ac:dyDescent="0.35">
      <c r="A418" t="s">
        <v>1247</v>
      </c>
      <c r="B418" t="s">
        <v>2261</v>
      </c>
      <c r="C418" t="s">
        <v>851</v>
      </c>
      <c r="D418">
        <v>2022</v>
      </c>
      <c r="E418">
        <v>2019</v>
      </c>
      <c r="F418" t="s">
        <v>1951</v>
      </c>
      <c r="G418">
        <v>2020</v>
      </c>
      <c r="H418" t="s">
        <v>1953</v>
      </c>
      <c r="I418" t="s">
        <v>1683</v>
      </c>
      <c r="J418" s="66">
        <v>2045</v>
      </c>
      <c r="R418" s="95">
        <f>$BN$138/$BH$138 * 1000/$AK$92</f>
        <v>253.4112854717448</v>
      </c>
      <c r="S418" s="95">
        <f>$BN$137/$BH$137 * 1000/$AK$92</f>
        <v>239.94667875163987</v>
      </c>
      <c r="T418" s="95">
        <f>$BN$136/$BH$136 * 1000/$AK$92</f>
        <v>200.93401340049792</v>
      </c>
      <c r="U418" s="95">
        <f>$BN$135/$BH$135 * 1000/$AK$92</f>
        <v>126.00490419164508</v>
      </c>
      <c r="W418" s="66" t="s">
        <v>1975</v>
      </c>
      <c r="X418">
        <v>3</v>
      </c>
      <c r="Y418">
        <v>1</v>
      </c>
      <c r="Z418">
        <v>1</v>
      </c>
      <c r="AA418">
        <v>3</v>
      </c>
      <c r="AB418">
        <v>1</v>
      </c>
    </row>
    <row r="419" spans="1:28" x14ac:dyDescent="0.35">
      <c r="A419" t="s">
        <v>1247</v>
      </c>
      <c r="B419" t="s">
        <v>2261</v>
      </c>
      <c r="C419" t="s">
        <v>851</v>
      </c>
      <c r="D419">
        <v>2022</v>
      </c>
      <c r="E419">
        <v>2019</v>
      </c>
      <c r="F419" t="s">
        <v>1951</v>
      </c>
      <c r="G419">
        <v>2020</v>
      </c>
      <c r="H419" t="s">
        <v>1953</v>
      </c>
      <c r="I419" t="s">
        <v>1683</v>
      </c>
      <c r="J419" s="66">
        <v>2050</v>
      </c>
      <c r="S419" s="95">
        <f>$BN$138/$BH$138 * 1000/$AK$92</f>
        <v>253.4112854717448</v>
      </c>
      <c r="T419" s="95">
        <f>$BN$137/$BH$137 * 1000/$AK$92</f>
        <v>239.94667875163987</v>
      </c>
      <c r="U419" s="95">
        <f>$BN$136/$BH$136 * 1000/$AK$92</f>
        <v>200.93401340049792</v>
      </c>
      <c r="V419" s="95">
        <f>$BN$135/$BH$135 * 1000/$AK$92</f>
        <v>126.00490419164508</v>
      </c>
      <c r="W419" s="66" t="s">
        <v>1975</v>
      </c>
      <c r="X419">
        <v>3</v>
      </c>
      <c r="Y419">
        <v>1</v>
      </c>
      <c r="Z419">
        <v>1</v>
      </c>
      <c r="AA419">
        <v>3</v>
      </c>
      <c r="AB419">
        <v>1</v>
      </c>
    </row>
    <row r="420" spans="1:28" x14ac:dyDescent="0.35">
      <c r="A420" t="s">
        <v>1249</v>
      </c>
      <c r="B420" t="s">
        <v>2261</v>
      </c>
      <c r="C420" t="s">
        <v>851</v>
      </c>
      <c r="D420">
        <v>2022</v>
      </c>
      <c r="E420">
        <v>2019</v>
      </c>
      <c r="F420" t="s">
        <v>1951</v>
      </c>
      <c r="G420">
        <v>2020</v>
      </c>
      <c r="H420" t="s">
        <v>1953</v>
      </c>
      <c r="I420" t="s">
        <v>1683</v>
      </c>
      <c r="J420" s="66">
        <v>2021</v>
      </c>
      <c r="P420" s="95">
        <f>$BJ$140/$BH$140 * 1000/$AK$93</f>
        <v>17.291224343236781</v>
      </c>
      <c r="W420" s="66" t="s">
        <v>1976</v>
      </c>
      <c r="X420">
        <v>3</v>
      </c>
      <c r="Y420">
        <v>1</v>
      </c>
      <c r="Z420">
        <v>1</v>
      </c>
      <c r="AA420">
        <v>3</v>
      </c>
      <c r="AB420">
        <v>1</v>
      </c>
    </row>
    <row r="421" spans="1:28" x14ac:dyDescent="0.35">
      <c r="A421" t="s">
        <v>1249</v>
      </c>
      <c r="B421" t="s">
        <v>2261</v>
      </c>
      <c r="C421" t="s">
        <v>851</v>
      </c>
      <c r="D421">
        <v>2022</v>
      </c>
      <c r="E421">
        <v>2019</v>
      </c>
      <c r="F421" t="s">
        <v>1951</v>
      </c>
      <c r="G421">
        <v>2020</v>
      </c>
      <c r="H421" t="s">
        <v>1953</v>
      </c>
      <c r="I421" t="s">
        <v>1683</v>
      </c>
      <c r="J421" s="66">
        <v>2025</v>
      </c>
      <c r="P421" s="95">
        <f>$BJ$141/$BH$141 * 1000/$AK$93</f>
        <v>25.096521561516976</v>
      </c>
      <c r="Q421" s="95">
        <f>$BJ$140/$BH$140 * 1000/$AK$93</f>
        <v>17.291224343236781</v>
      </c>
      <c r="W421" s="66" t="s">
        <v>1976</v>
      </c>
      <c r="X421">
        <v>3</v>
      </c>
      <c r="Y421">
        <v>1</v>
      </c>
      <c r="Z421">
        <v>1</v>
      </c>
      <c r="AA421">
        <v>3</v>
      </c>
      <c r="AB421">
        <v>1</v>
      </c>
    </row>
    <row r="422" spans="1:28" x14ac:dyDescent="0.35">
      <c r="A422" t="s">
        <v>1249</v>
      </c>
      <c r="B422" t="s">
        <v>2261</v>
      </c>
      <c r="C422" t="s">
        <v>851</v>
      </c>
      <c r="D422">
        <v>2022</v>
      </c>
      <c r="E422">
        <v>2019</v>
      </c>
      <c r="F422" t="s">
        <v>1951</v>
      </c>
      <c r="G422">
        <v>2020</v>
      </c>
      <c r="H422" t="s">
        <v>1953</v>
      </c>
      <c r="I422" t="s">
        <v>1683</v>
      </c>
      <c r="J422" s="66">
        <v>2030</v>
      </c>
      <c r="P422" s="95">
        <f>$BJ$142/$BH$142 * 1000/$AK$93</f>
        <v>28.810028101578236</v>
      </c>
      <c r="Q422" s="95">
        <f>$BJ$141/$BH$141 * 1000/$AK$93</f>
        <v>25.096521561516976</v>
      </c>
      <c r="R422" s="95">
        <f>$BJ$140/$BH$140 * 1000/$AK$93</f>
        <v>17.291224343236781</v>
      </c>
      <c r="W422" s="66" t="s">
        <v>1976</v>
      </c>
      <c r="X422">
        <v>3</v>
      </c>
      <c r="Y422">
        <v>1</v>
      </c>
      <c r="Z422">
        <v>1</v>
      </c>
      <c r="AA422">
        <v>3</v>
      </c>
      <c r="AB422">
        <v>1</v>
      </c>
    </row>
    <row r="423" spans="1:28" x14ac:dyDescent="0.35">
      <c r="A423" t="s">
        <v>1249</v>
      </c>
      <c r="B423" t="s">
        <v>2261</v>
      </c>
      <c r="C423" t="s">
        <v>851</v>
      </c>
      <c r="D423">
        <v>2022</v>
      </c>
      <c r="E423">
        <v>2019</v>
      </c>
      <c r="F423" t="s">
        <v>1951</v>
      </c>
      <c r="G423">
        <v>2020</v>
      </c>
      <c r="H423" t="s">
        <v>1953</v>
      </c>
      <c r="I423" t="s">
        <v>1683</v>
      </c>
      <c r="J423" s="66">
        <v>2035</v>
      </c>
      <c r="P423" s="95">
        <f>$BJ$143/$BH$143 * 1000/$AK$93</f>
        <v>29.769207707003211</v>
      </c>
      <c r="Q423" s="95">
        <f>$BJ$142/$BH$142 * 1000/$AK$93</f>
        <v>28.810028101578236</v>
      </c>
      <c r="R423" s="95">
        <f>$BJ$141/$BH$141 * 1000/$AK$93</f>
        <v>25.096521561516976</v>
      </c>
      <c r="S423" s="95">
        <f>$BJ$140/$BH$140 * 1000/$AK$93</f>
        <v>17.291224343236781</v>
      </c>
      <c r="W423" s="66" t="s">
        <v>1976</v>
      </c>
      <c r="X423">
        <v>3</v>
      </c>
      <c r="Y423">
        <v>1</v>
      </c>
      <c r="Z423">
        <v>1</v>
      </c>
      <c r="AA423">
        <v>3</v>
      </c>
      <c r="AB423">
        <v>1</v>
      </c>
    </row>
    <row r="424" spans="1:28" x14ac:dyDescent="0.35">
      <c r="A424" t="s">
        <v>1249</v>
      </c>
      <c r="B424" t="s">
        <v>2261</v>
      </c>
      <c r="C424" t="s">
        <v>851</v>
      </c>
      <c r="D424">
        <v>2022</v>
      </c>
      <c r="E424">
        <v>2019</v>
      </c>
      <c r="F424" t="s">
        <v>1951</v>
      </c>
      <c r="G424">
        <v>2020</v>
      </c>
      <c r="H424" t="s">
        <v>1953</v>
      </c>
      <c r="I424" t="s">
        <v>1683</v>
      </c>
      <c r="J424" s="66">
        <v>2040</v>
      </c>
      <c r="Q424" s="95">
        <f>$BJ$143/$BH$143 * 1000/$AK$93</f>
        <v>29.769207707003211</v>
      </c>
      <c r="R424" s="95">
        <f>$BJ$142/$BH$142 * 1000/$AK$93</f>
        <v>28.810028101578236</v>
      </c>
      <c r="S424" s="95">
        <f>$BJ$141/$BH$141 * 1000/$AK$93</f>
        <v>25.096521561516976</v>
      </c>
      <c r="T424" s="95">
        <f>$BJ$140/$BH$140 * 1000/$AK$93</f>
        <v>17.291224343236781</v>
      </c>
      <c r="W424" s="66" t="s">
        <v>1976</v>
      </c>
      <c r="X424">
        <v>3</v>
      </c>
      <c r="Y424">
        <v>1</v>
      </c>
      <c r="Z424">
        <v>1</v>
      </c>
      <c r="AA424">
        <v>3</v>
      </c>
      <c r="AB424">
        <v>1</v>
      </c>
    </row>
    <row r="425" spans="1:28" x14ac:dyDescent="0.35">
      <c r="A425" t="s">
        <v>1249</v>
      </c>
      <c r="B425" t="s">
        <v>2261</v>
      </c>
      <c r="C425" t="s">
        <v>851</v>
      </c>
      <c r="D425">
        <v>2022</v>
      </c>
      <c r="E425">
        <v>2019</v>
      </c>
      <c r="F425" t="s">
        <v>1951</v>
      </c>
      <c r="G425">
        <v>2020</v>
      </c>
      <c r="H425" t="s">
        <v>1953</v>
      </c>
      <c r="I425" t="s">
        <v>1683</v>
      </c>
      <c r="J425" s="66">
        <v>2045</v>
      </c>
      <c r="R425" s="95">
        <f>$BJ$143/$BH$143 * 1000/$AK$93</f>
        <v>29.769207707003211</v>
      </c>
      <c r="S425" s="95">
        <f>$BJ$142/$BH$142 * 1000/$AK$93</f>
        <v>28.810028101578236</v>
      </c>
      <c r="T425" s="95">
        <f>$BJ$141/$BH$141 * 1000/$AK$93</f>
        <v>25.096521561516976</v>
      </c>
      <c r="U425" s="95">
        <f>$BJ$140/$BH$140 * 1000/$AK$93</f>
        <v>17.291224343236781</v>
      </c>
      <c r="W425" s="66" t="s">
        <v>1976</v>
      </c>
      <c r="X425">
        <v>3</v>
      </c>
      <c r="Y425">
        <v>1</v>
      </c>
      <c r="Z425">
        <v>1</v>
      </c>
      <c r="AA425">
        <v>3</v>
      </c>
      <c r="AB425">
        <v>1</v>
      </c>
    </row>
    <row r="426" spans="1:28" x14ac:dyDescent="0.35">
      <c r="A426" t="s">
        <v>1249</v>
      </c>
      <c r="B426" t="s">
        <v>2261</v>
      </c>
      <c r="C426" t="s">
        <v>851</v>
      </c>
      <c r="D426">
        <v>2022</v>
      </c>
      <c r="E426">
        <v>2019</v>
      </c>
      <c r="F426" t="s">
        <v>1951</v>
      </c>
      <c r="G426">
        <v>2020</v>
      </c>
      <c r="H426" t="s">
        <v>1953</v>
      </c>
      <c r="I426" t="s">
        <v>1683</v>
      </c>
      <c r="J426" s="66">
        <v>2050</v>
      </c>
      <c r="S426" s="95">
        <f>$BJ$143/$BH$143 * 1000/$AK$93</f>
        <v>29.769207707003211</v>
      </c>
      <c r="T426" s="95">
        <f>$BJ$142/$BH$142 * 1000/$AK$93</f>
        <v>28.810028101578236</v>
      </c>
      <c r="U426" s="95">
        <f>$BJ$141/$BH$141 * 1000/$AK$93</f>
        <v>25.096521561516976</v>
      </c>
      <c r="V426" s="95">
        <f>$BJ$140/$BH$140 * 1000/$AK$93</f>
        <v>17.291224343236781</v>
      </c>
      <c r="W426" s="66" t="s">
        <v>1976</v>
      </c>
      <c r="X426">
        <v>3</v>
      </c>
      <c r="Y426">
        <v>1</v>
      </c>
      <c r="Z426">
        <v>1</v>
      </c>
      <c r="AA426">
        <v>3</v>
      </c>
      <c r="AB426">
        <v>1</v>
      </c>
    </row>
    <row r="427" spans="1:28" x14ac:dyDescent="0.35">
      <c r="A427" t="s">
        <v>1250</v>
      </c>
      <c r="B427" t="s">
        <v>2261</v>
      </c>
      <c r="C427" t="s">
        <v>851</v>
      </c>
      <c r="D427">
        <v>2022</v>
      </c>
      <c r="E427">
        <v>2019</v>
      </c>
      <c r="F427" t="s">
        <v>1951</v>
      </c>
      <c r="G427">
        <v>2020</v>
      </c>
      <c r="H427" t="s">
        <v>1953</v>
      </c>
      <c r="I427" t="s">
        <v>1683</v>
      </c>
      <c r="J427" s="66">
        <v>2021</v>
      </c>
      <c r="P427" s="95">
        <f>$BK$140/$BH$140 * 1000/$AK$93</f>
        <v>15.043365178615995</v>
      </c>
      <c r="W427" s="66" t="s">
        <v>1976</v>
      </c>
      <c r="X427">
        <v>3</v>
      </c>
      <c r="Y427">
        <v>1</v>
      </c>
      <c r="Z427">
        <v>1</v>
      </c>
      <c r="AA427">
        <v>3</v>
      </c>
      <c r="AB427">
        <v>1</v>
      </c>
    </row>
    <row r="428" spans="1:28" x14ac:dyDescent="0.35">
      <c r="A428" t="s">
        <v>1250</v>
      </c>
      <c r="B428" t="s">
        <v>2261</v>
      </c>
      <c r="C428" t="s">
        <v>851</v>
      </c>
      <c r="D428">
        <v>2022</v>
      </c>
      <c r="E428">
        <v>2019</v>
      </c>
      <c r="F428" t="s">
        <v>1951</v>
      </c>
      <c r="G428">
        <v>2020</v>
      </c>
      <c r="H428" t="s">
        <v>1953</v>
      </c>
      <c r="I428" t="s">
        <v>1683</v>
      </c>
      <c r="J428" s="66">
        <v>2025</v>
      </c>
      <c r="P428" s="95">
        <f>$BK$141/$BH$141 * 1000/$AK$93</f>
        <v>21.833973758519768</v>
      </c>
      <c r="Q428" s="95">
        <f>$BK$140/$BH$140 * 1000/$AK$93</f>
        <v>15.043365178615995</v>
      </c>
      <c r="W428" s="66" t="s">
        <v>1976</v>
      </c>
      <c r="X428">
        <v>3</v>
      </c>
      <c r="Y428">
        <v>1</v>
      </c>
      <c r="Z428">
        <v>1</v>
      </c>
      <c r="AA428">
        <v>3</v>
      </c>
      <c r="AB428">
        <v>1</v>
      </c>
    </row>
    <row r="429" spans="1:28" x14ac:dyDescent="0.35">
      <c r="A429" t="s">
        <v>1250</v>
      </c>
      <c r="B429" t="s">
        <v>2261</v>
      </c>
      <c r="C429" t="s">
        <v>851</v>
      </c>
      <c r="D429">
        <v>2022</v>
      </c>
      <c r="E429">
        <v>2019</v>
      </c>
      <c r="F429" t="s">
        <v>1951</v>
      </c>
      <c r="G429">
        <v>2020</v>
      </c>
      <c r="H429" t="s">
        <v>1953</v>
      </c>
      <c r="I429" t="s">
        <v>1683</v>
      </c>
      <c r="J429" s="66">
        <v>2030</v>
      </c>
      <c r="P429" s="95">
        <f>$BK$142/$BH$142 * 1000/$AK$93</f>
        <v>25.06472444837306</v>
      </c>
      <c r="Q429" s="95">
        <f>$BK$141/$BH$141 * 1000/$AK$93</f>
        <v>21.833973758519768</v>
      </c>
      <c r="R429" s="95">
        <f>$BK$140/$BH$140 * 1000/$AK$93</f>
        <v>15.043365178615995</v>
      </c>
      <c r="W429" s="66" t="s">
        <v>1976</v>
      </c>
      <c r="X429">
        <v>3</v>
      </c>
      <c r="Y429">
        <v>1</v>
      </c>
      <c r="Z429">
        <v>1</v>
      </c>
      <c r="AA429">
        <v>3</v>
      </c>
      <c r="AB429">
        <v>1</v>
      </c>
    </row>
    <row r="430" spans="1:28" x14ac:dyDescent="0.35">
      <c r="A430" t="s">
        <v>1250</v>
      </c>
      <c r="B430" t="s">
        <v>2261</v>
      </c>
      <c r="C430" t="s">
        <v>851</v>
      </c>
      <c r="D430">
        <v>2022</v>
      </c>
      <c r="E430">
        <v>2019</v>
      </c>
      <c r="F430" t="s">
        <v>1951</v>
      </c>
      <c r="G430">
        <v>2020</v>
      </c>
      <c r="H430" t="s">
        <v>1953</v>
      </c>
      <c r="I430" t="s">
        <v>1683</v>
      </c>
      <c r="J430" s="66">
        <v>2035</v>
      </c>
      <c r="P430" s="95">
        <f>$BK$143/$BH$143 * 1000/$AK$93</f>
        <v>25.899210705092791</v>
      </c>
      <c r="Q430" s="95">
        <f>$BK$142/$BH$142 * 1000/$AK$93</f>
        <v>25.06472444837306</v>
      </c>
      <c r="R430" s="95">
        <f>$BK$141/$BH$141 * 1000/$AK$93</f>
        <v>21.833973758519768</v>
      </c>
      <c r="S430" s="95">
        <f>$BK$140/$BH$140 * 1000/$AK$93</f>
        <v>15.043365178615995</v>
      </c>
      <c r="W430" s="66" t="s">
        <v>1976</v>
      </c>
      <c r="X430">
        <v>3</v>
      </c>
      <c r="Y430">
        <v>1</v>
      </c>
      <c r="Z430">
        <v>1</v>
      </c>
      <c r="AA430">
        <v>3</v>
      </c>
      <c r="AB430">
        <v>1</v>
      </c>
    </row>
    <row r="431" spans="1:28" x14ac:dyDescent="0.35">
      <c r="A431" t="s">
        <v>1250</v>
      </c>
      <c r="B431" t="s">
        <v>2261</v>
      </c>
      <c r="C431" t="s">
        <v>851</v>
      </c>
      <c r="D431">
        <v>2022</v>
      </c>
      <c r="E431">
        <v>2019</v>
      </c>
      <c r="F431" t="s">
        <v>1951</v>
      </c>
      <c r="G431">
        <v>2020</v>
      </c>
      <c r="H431" t="s">
        <v>1953</v>
      </c>
      <c r="I431" t="s">
        <v>1683</v>
      </c>
      <c r="J431" s="66">
        <v>2040</v>
      </c>
      <c r="Q431" s="95">
        <f>$BK$143/$BH$143 * 1000/$AK$93</f>
        <v>25.899210705092791</v>
      </c>
      <c r="R431" s="95">
        <f>$BK$142/$BH$142 * 1000/$AK$93</f>
        <v>25.06472444837306</v>
      </c>
      <c r="S431" s="95">
        <f>$BK$141/$BH$141 * 1000/$AK$93</f>
        <v>21.833973758519768</v>
      </c>
      <c r="T431" s="95">
        <f>$BK$140/$BH$140 * 1000/$AK$93</f>
        <v>15.043365178615995</v>
      </c>
      <c r="W431" s="66" t="s">
        <v>1976</v>
      </c>
      <c r="X431">
        <v>3</v>
      </c>
      <c r="Y431">
        <v>1</v>
      </c>
      <c r="Z431">
        <v>1</v>
      </c>
      <c r="AA431">
        <v>3</v>
      </c>
      <c r="AB431">
        <v>1</v>
      </c>
    </row>
    <row r="432" spans="1:28" x14ac:dyDescent="0.35">
      <c r="A432" t="s">
        <v>1250</v>
      </c>
      <c r="B432" t="s">
        <v>2261</v>
      </c>
      <c r="C432" t="s">
        <v>851</v>
      </c>
      <c r="D432">
        <v>2022</v>
      </c>
      <c r="E432">
        <v>2019</v>
      </c>
      <c r="F432" t="s">
        <v>1951</v>
      </c>
      <c r="G432">
        <v>2020</v>
      </c>
      <c r="H432" t="s">
        <v>1953</v>
      </c>
      <c r="I432" t="s">
        <v>1683</v>
      </c>
      <c r="J432" s="66">
        <v>2045</v>
      </c>
      <c r="R432" s="95">
        <f>$BK$143/$BH$143 * 1000/$AK$93</f>
        <v>25.899210705092791</v>
      </c>
      <c r="S432" s="95">
        <f>$BK$142/$BH$142 * 1000/$AK$93</f>
        <v>25.06472444837306</v>
      </c>
      <c r="T432" s="95">
        <f>$BK$141/$BH$141 * 1000/$AK$93</f>
        <v>21.833973758519768</v>
      </c>
      <c r="U432" s="95">
        <f>$BK$140/$BH$140 * 1000/$AK$93</f>
        <v>15.043365178615995</v>
      </c>
      <c r="W432" s="66" t="s">
        <v>1976</v>
      </c>
      <c r="X432">
        <v>3</v>
      </c>
      <c r="Y432">
        <v>1</v>
      </c>
      <c r="Z432">
        <v>1</v>
      </c>
      <c r="AA432">
        <v>3</v>
      </c>
      <c r="AB432">
        <v>1</v>
      </c>
    </row>
    <row r="433" spans="1:28" x14ac:dyDescent="0.35">
      <c r="A433" t="s">
        <v>1250</v>
      </c>
      <c r="B433" t="s">
        <v>2261</v>
      </c>
      <c r="C433" t="s">
        <v>851</v>
      </c>
      <c r="D433">
        <v>2022</v>
      </c>
      <c r="E433">
        <v>2019</v>
      </c>
      <c r="F433" t="s">
        <v>1951</v>
      </c>
      <c r="G433">
        <v>2020</v>
      </c>
      <c r="H433" t="s">
        <v>1953</v>
      </c>
      <c r="I433" t="s">
        <v>1683</v>
      </c>
      <c r="J433" s="66">
        <v>2050</v>
      </c>
      <c r="S433" s="95">
        <f>$BK$143/$BH$143 * 1000/$AK$93</f>
        <v>25.899210705092791</v>
      </c>
      <c r="T433" s="95">
        <f>$BK$142/$BH$142 * 1000/$AK$93</f>
        <v>25.06472444837306</v>
      </c>
      <c r="U433" s="95">
        <f>$BK$141/$BH$141 * 1000/$AK$93</f>
        <v>21.833973758519768</v>
      </c>
      <c r="V433" s="95">
        <f>$BK$140/$BH$140 * 1000/$AK$93</f>
        <v>15.043365178615995</v>
      </c>
      <c r="W433" s="66" t="s">
        <v>1976</v>
      </c>
      <c r="X433">
        <v>3</v>
      </c>
      <c r="Y433">
        <v>1</v>
      </c>
      <c r="Z433">
        <v>1</v>
      </c>
      <c r="AA433">
        <v>3</v>
      </c>
      <c r="AB433">
        <v>1</v>
      </c>
    </row>
    <row r="434" spans="1:28" x14ac:dyDescent="0.35">
      <c r="A434" t="s">
        <v>1251</v>
      </c>
      <c r="B434" t="s">
        <v>2261</v>
      </c>
      <c r="C434" t="s">
        <v>851</v>
      </c>
      <c r="D434">
        <v>2022</v>
      </c>
      <c r="E434">
        <v>2019</v>
      </c>
      <c r="F434" t="s">
        <v>1951</v>
      </c>
      <c r="G434">
        <v>2020</v>
      </c>
      <c r="H434" t="s">
        <v>1953</v>
      </c>
      <c r="I434" t="s">
        <v>1683</v>
      </c>
      <c r="J434" s="66">
        <v>2021</v>
      </c>
      <c r="P434" s="95">
        <f>$BL$140/$BH$140 * 1000/$AK$93</f>
        <v>14.524628448318893</v>
      </c>
      <c r="W434" s="66" t="s">
        <v>1976</v>
      </c>
      <c r="X434">
        <v>3</v>
      </c>
      <c r="Y434">
        <v>1</v>
      </c>
      <c r="Z434">
        <v>1</v>
      </c>
      <c r="AA434">
        <v>3</v>
      </c>
      <c r="AB434">
        <v>1</v>
      </c>
    </row>
    <row r="435" spans="1:28" x14ac:dyDescent="0.35">
      <c r="A435" t="s">
        <v>1251</v>
      </c>
      <c r="B435" t="s">
        <v>2261</v>
      </c>
      <c r="C435" t="s">
        <v>851</v>
      </c>
      <c r="D435">
        <v>2022</v>
      </c>
      <c r="E435">
        <v>2019</v>
      </c>
      <c r="F435" t="s">
        <v>1951</v>
      </c>
      <c r="G435">
        <v>2020</v>
      </c>
      <c r="H435" t="s">
        <v>1953</v>
      </c>
      <c r="I435" t="s">
        <v>1683</v>
      </c>
      <c r="J435" s="66">
        <v>2025</v>
      </c>
      <c r="P435" s="95">
        <f>$BL$141/$BH$141 * 1000/$AK$93</f>
        <v>21.081078111674255</v>
      </c>
      <c r="Q435" s="95">
        <f>$BL$140/$BH$140 * 1000/$AK$93</f>
        <v>14.524628448318893</v>
      </c>
      <c r="W435" s="66" t="s">
        <v>1976</v>
      </c>
      <c r="X435">
        <v>3</v>
      </c>
      <c r="Y435">
        <v>1</v>
      </c>
      <c r="Z435">
        <v>1</v>
      </c>
      <c r="AA435">
        <v>3</v>
      </c>
      <c r="AB435">
        <v>1</v>
      </c>
    </row>
    <row r="436" spans="1:28" x14ac:dyDescent="0.35">
      <c r="A436" t="s">
        <v>1251</v>
      </c>
      <c r="B436" t="s">
        <v>2261</v>
      </c>
      <c r="C436" t="s">
        <v>851</v>
      </c>
      <c r="D436">
        <v>2022</v>
      </c>
      <c r="E436">
        <v>2019</v>
      </c>
      <c r="F436" t="s">
        <v>1951</v>
      </c>
      <c r="G436">
        <v>2020</v>
      </c>
      <c r="H436" t="s">
        <v>1953</v>
      </c>
      <c r="I436" t="s">
        <v>1683</v>
      </c>
      <c r="J436" s="66">
        <v>2030</v>
      </c>
      <c r="P436" s="95">
        <f>$BL$142/$BH$142 * 1000/$AK$93</f>
        <v>24.200423605325717</v>
      </c>
      <c r="Q436" s="95">
        <f>$BL$141/$BH$141 * 1000/$AK$93</f>
        <v>21.081078111674255</v>
      </c>
      <c r="R436" s="95">
        <f>$BL$140/$BH$140 * 1000/$AK$93</f>
        <v>14.524628448318893</v>
      </c>
      <c r="W436" s="66" t="s">
        <v>1976</v>
      </c>
      <c r="X436">
        <v>3</v>
      </c>
      <c r="Y436">
        <v>1</v>
      </c>
      <c r="Z436">
        <v>1</v>
      </c>
      <c r="AA436">
        <v>3</v>
      </c>
      <c r="AB436">
        <v>1</v>
      </c>
    </row>
    <row r="437" spans="1:28" x14ac:dyDescent="0.35">
      <c r="A437" t="s">
        <v>1251</v>
      </c>
      <c r="B437" t="s">
        <v>2261</v>
      </c>
      <c r="C437" t="s">
        <v>851</v>
      </c>
      <c r="D437">
        <v>2022</v>
      </c>
      <c r="E437">
        <v>2019</v>
      </c>
      <c r="F437" t="s">
        <v>1951</v>
      </c>
      <c r="G437">
        <v>2020</v>
      </c>
      <c r="H437" t="s">
        <v>1953</v>
      </c>
      <c r="I437" t="s">
        <v>1683</v>
      </c>
      <c r="J437" s="66">
        <v>2035</v>
      </c>
      <c r="P437" s="95">
        <f>$BL$143/$BH$143 * 1000/$AK$93</f>
        <v>25.006134473882703</v>
      </c>
      <c r="Q437" s="95">
        <f>$BL$142/$BH$142 * 1000/$AK$93</f>
        <v>24.200423605325717</v>
      </c>
      <c r="R437" s="95">
        <f>$BL$141/$BH$141 * 1000/$AK$93</f>
        <v>21.081078111674255</v>
      </c>
      <c r="S437" s="95">
        <f>$BL$140/$BH$140 * 1000/$AK$93</f>
        <v>14.524628448318893</v>
      </c>
      <c r="W437" s="66" t="s">
        <v>1976</v>
      </c>
      <c r="X437">
        <v>3</v>
      </c>
      <c r="Y437">
        <v>1</v>
      </c>
      <c r="Z437">
        <v>1</v>
      </c>
      <c r="AA437">
        <v>3</v>
      </c>
      <c r="AB437">
        <v>1</v>
      </c>
    </row>
    <row r="438" spans="1:28" x14ac:dyDescent="0.35">
      <c r="A438" t="s">
        <v>1251</v>
      </c>
      <c r="B438" t="s">
        <v>2261</v>
      </c>
      <c r="C438" t="s">
        <v>851</v>
      </c>
      <c r="D438">
        <v>2022</v>
      </c>
      <c r="E438">
        <v>2019</v>
      </c>
      <c r="F438" t="s">
        <v>1951</v>
      </c>
      <c r="G438">
        <v>2020</v>
      </c>
      <c r="H438" t="s">
        <v>1953</v>
      </c>
      <c r="I438" t="s">
        <v>1683</v>
      </c>
      <c r="J438" s="66">
        <v>2040</v>
      </c>
      <c r="Q438" s="95">
        <f>$BL$143/$BH$143 * 1000/$AK$93</f>
        <v>25.006134473882703</v>
      </c>
      <c r="R438" s="95">
        <f>$BL$142/$BH$142 * 1000/$AK$93</f>
        <v>24.200423605325717</v>
      </c>
      <c r="S438" s="95">
        <f>$BL$141/$BH$141 * 1000/$AK$93</f>
        <v>21.081078111674255</v>
      </c>
      <c r="T438" s="95">
        <f>$BL$140/$BH$140 * 1000/$AK$93</f>
        <v>14.524628448318893</v>
      </c>
      <c r="W438" s="66" t="s">
        <v>1976</v>
      </c>
      <c r="X438">
        <v>3</v>
      </c>
      <c r="Y438">
        <v>1</v>
      </c>
      <c r="Z438">
        <v>1</v>
      </c>
      <c r="AA438">
        <v>3</v>
      </c>
      <c r="AB438">
        <v>1</v>
      </c>
    </row>
    <row r="439" spans="1:28" x14ac:dyDescent="0.35">
      <c r="A439" t="s">
        <v>1251</v>
      </c>
      <c r="B439" t="s">
        <v>2261</v>
      </c>
      <c r="C439" t="s">
        <v>851</v>
      </c>
      <c r="D439">
        <v>2022</v>
      </c>
      <c r="E439">
        <v>2019</v>
      </c>
      <c r="F439" t="s">
        <v>1951</v>
      </c>
      <c r="G439">
        <v>2020</v>
      </c>
      <c r="H439" t="s">
        <v>1953</v>
      </c>
      <c r="I439" t="s">
        <v>1683</v>
      </c>
      <c r="J439" s="66">
        <v>2045</v>
      </c>
      <c r="R439" s="95">
        <f>$BL$143/$BH$143 * 1000/$AK$93</f>
        <v>25.006134473882703</v>
      </c>
      <c r="S439" s="95">
        <f>$BL$142/$BH$142 * 1000/$AK$93</f>
        <v>24.200423605325717</v>
      </c>
      <c r="T439" s="95">
        <f>$BL$141/$BH$141 * 1000/$AK$93</f>
        <v>21.081078111674255</v>
      </c>
      <c r="U439" s="95">
        <f>$BL$140/$BH$140 * 1000/$AK$93</f>
        <v>14.524628448318893</v>
      </c>
      <c r="W439" s="66" t="s">
        <v>1976</v>
      </c>
      <c r="X439">
        <v>3</v>
      </c>
      <c r="Y439">
        <v>1</v>
      </c>
      <c r="Z439">
        <v>1</v>
      </c>
      <c r="AA439">
        <v>3</v>
      </c>
      <c r="AB439">
        <v>1</v>
      </c>
    </row>
    <row r="440" spans="1:28" x14ac:dyDescent="0.35">
      <c r="A440" t="s">
        <v>1251</v>
      </c>
      <c r="B440" t="s">
        <v>2261</v>
      </c>
      <c r="C440" t="s">
        <v>851</v>
      </c>
      <c r="D440">
        <v>2022</v>
      </c>
      <c r="E440">
        <v>2019</v>
      </c>
      <c r="F440" t="s">
        <v>1951</v>
      </c>
      <c r="G440">
        <v>2020</v>
      </c>
      <c r="H440" t="s">
        <v>1953</v>
      </c>
      <c r="I440" t="s">
        <v>1683</v>
      </c>
      <c r="J440" s="66">
        <v>2050</v>
      </c>
      <c r="S440" s="95">
        <f>$BL$143/$BH$143 * 1000/$AK$93</f>
        <v>25.006134473882703</v>
      </c>
      <c r="T440" s="95">
        <f>$BL$142/$BH$142 * 1000/$AK$93</f>
        <v>24.200423605325717</v>
      </c>
      <c r="U440" s="95">
        <f>$BL$141/$BH$141 * 1000/$AK$93</f>
        <v>21.081078111674255</v>
      </c>
      <c r="V440" s="95">
        <f>$BL$140/$BH$140 * 1000/$AK$93</f>
        <v>14.524628448318893</v>
      </c>
      <c r="W440" s="66" t="s">
        <v>1976</v>
      </c>
      <c r="X440">
        <v>3</v>
      </c>
      <c r="Y440">
        <v>1</v>
      </c>
      <c r="Z440">
        <v>1</v>
      </c>
      <c r="AA440">
        <v>3</v>
      </c>
      <c r="AB440">
        <v>1</v>
      </c>
    </row>
    <row r="441" spans="1:28" x14ac:dyDescent="0.35">
      <c r="A441" t="s">
        <v>1252</v>
      </c>
      <c r="B441" t="s">
        <v>2261</v>
      </c>
      <c r="C441" t="s">
        <v>851</v>
      </c>
      <c r="D441">
        <v>2022</v>
      </c>
      <c r="E441">
        <v>2019</v>
      </c>
      <c r="F441" t="s">
        <v>1951</v>
      </c>
      <c r="G441">
        <v>2020</v>
      </c>
      <c r="H441" t="s">
        <v>1953</v>
      </c>
      <c r="I441" t="s">
        <v>1683</v>
      </c>
      <c r="J441" s="66">
        <v>2021</v>
      </c>
      <c r="P441" s="95">
        <f>$BO$140/$BH$140 * 1000/$AK$93</f>
        <v>10.374734605942068</v>
      </c>
      <c r="W441" s="66" t="s">
        <v>1976</v>
      </c>
      <c r="X441">
        <v>3</v>
      </c>
      <c r="Y441">
        <v>1</v>
      </c>
      <c r="Z441">
        <v>1</v>
      </c>
      <c r="AA441">
        <v>3</v>
      </c>
      <c r="AB441">
        <v>1</v>
      </c>
    </row>
    <row r="442" spans="1:28" x14ac:dyDescent="0.35">
      <c r="A442" t="s">
        <v>1252</v>
      </c>
      <c r="B442" t="s">
        <v>2261</v>
      </c>
      <c r="C442" t="s">
        <v>851</v>
      </c>
      <c r="D442">
        <v>2022</v>
      </c>
      <c r="E442">
        <v>2019</v>
      </c>
      <c r="F442" t="s">
        <v>1951</v>
      </c>
      <c r="G442">
        <v>2020</v>
      </c>
      <c r="H442" t="s">
        <v>1953</v>
      </c>
      <c r="I442" t="s">
        <v>1683</v>
      </c>
      <c r="J442" s="66">
        <v>2025</v>
      </c>
      <c r="P442" s="95">
        <f>$BO$141/$BH$141 * 1000/$AK$93</f>
        <v>15.057912936910187</v>
      </c>
      <c r="Q442" s="95">
        <f>$BO$140/$BH$140 * 1000/$AK$93</f>
        <v>10.374734605942068</v>
      </c>
      <c r="W442" s="66" t="s">
        <v>1976</v>
      </c>
      <c r="X442">
        <v>3</v>
      </c>
      <c r="Y442">
        <v>1</v>
      </c>
      <c r="Z442">
        <v>1</v>
      </c>
      <c r="AA442">
        <v>3</v>
      </c>
      <c r="AB442">
        <v>1</v>
      </c>
    </row>
    <row r="443" spans="1:28" x14ac:dyDescent="0.35">
      <c r="A443" t="s">
        <v>1252</v>
      </c>
      <c r="B443" t="s">
        <v>2261</v>
      </c>
      <c r="C443" t="s">
        <v>851</v>
      </c>
      <c r="D443">
        <v>2022</v>
      </c>
      <c r="E443">
        <v>2019</v>
      </c>
      <c r="F443" t="s">
        <v>1951</v>
      </c>
      <c r="G443">
        <v>2020</v>
      </c>
      <c r="H443" t="s">
        <v>1953</v>
      </c>
      <c r="I443" t="s">
        <v>1683</v>
      </c>
      <c r="J443" s="66">
        <v>2030</v>
      </c>
      <c r="P443" s="95">
        <f>$BO$142/$BH$142 * 1000/$AK$93</f>
        <v>17.28601686094694</v>
      </c>
      <c r="Q443" s="95">
        <f>$BO$141/$BH$141 * 1000/$AK$93</f>
        <v>15.057912936910187</v>
      </c>
      <c r="R443" s="95">
        <f>$BO$140/$BH$140 * 1000/$AK$93</f>
        <v>10.374734605942068</v>
      </c>
      <c r="W443" s="66" t="s">
        <v>1976</v>
      </c>
      <c r="X443">
        <v>3</v>
      </c>
      <c r="Y443">
        <v>1</v>
      </c>
      <c r="Z443">
        <v>1</v>
      </c>
      <c r="AA443">
        <v>3</v>
      </c>
      <c r="AB443">
        <v>1</v>
      </c>
    </row>
    <row r="444" spans="1:28" x14ac:dyDescent="0.35">
      <c r="A444" t="s">
        <v>1252</v>
      </c>
      <c r="B444" t="s">
        <v>2261</v>
      </c>
      <c r="C444" t="s">
        <v>851</v>
      </c>
      <c r="D444">
        <v>2022</v>
      </c>
      <c r="E444">
        <v>2019</v>
      </c>
      <c r="F444" t="s">
        <v>1951</v>
      </c>
      <c r="G444">
        <v>2020</v>
      </c>
      <c r="H444" t="s">
        <v>1953</v>
      </c>
      <c r="I444" t="s">
        <v>1683</v>
      </c>
      <c r="J444" s="66">
        <v>2035</v>
      </c>
      <c r="P444" s="95">
        <f>$BO$143/$BH$143 * 1000/$AK$93</f>
        <v>17.86152462420193</v>
      </c>
      <c r="Q444" s="95">
        <f>$BO$142/$BH$142 * 1000/$AK$93</f>
        <v>17.28601686094694</v>
      </c>
      <c r="R444" s="95">
        <f>$BO$141/$BH$141 * 1000/$AK$93</f>
        <v>15.057912936910187</v>
      </c>
      <c r="S444" s="95">
        <f>$BO$140/$BH$140 * 1000/$AK$93</f>
        <v>10.374734605942068</v>
      </c>
      <c r="W444" s="66" t="s">
        <v>1976</v>
      </c>
      <c r="X444">
        <v>3</v>
      </c>
      <c r="Y444">
        <v>1</v>
      </c>
      <c r="Z444">
        <v>1</v>
      </c>
      <c r="AA444">
        <v>3</v>
      </c>
      <c r="AB444">
        <v>1</v>
      </c>
    </row>
    <row r="445" spans="1:28" x14ac:dyDescent="0.35">
      <c r="A445" t="s">
        <v>1252</v>
      </c>
      <c r="B445" t="s">
        <v>2261</v>
      </c>
      <c r="C445" t="s">
        <v>851</v>
      </c>
      <c r="D445">
        <v>2022</v>
      </c>
      <c r="E445">
        <v>2019</v>
      </c>
      <c r="F445" t="s">
        <v>1951</v>
      </c>
      <c r="G445">
        <v>2020</v>
      </c>
      <c r="H445" t="s">
        <v>1953</v>
      </c>
      <c r="I445" t="s">
        <v>1683</v>
      </c>
      <c r="J445" s="66">
        <v>2040</v>
      </c>
      <c r="Q445" s="95">
        <f>$BO$143/$BH$143 * 1000/$AK$93</f>
        <v>17.86152462420193</v>
      </c>
      <c r="R445" s="95">
        <f>$BO$142/$BH$142 * 1000/$AK$93</f>
        <v>17.28601686094694</v>
      </c>
      <c r="S445" s="95">
        <f>$BO$141/$BH$141 * 1000/$AK$93</f>
        <v>15.057912936910187</v>
      </c>
      <c r="T445" s="95">
        <f>$BO$140/$BH$140 * 1000/$AK$93</f>
        <v>10.374734605942068</v>
      </c>
      <c r="W445" s="66" t="s">
        <v>1976</v>
      </c>
      <c r="X445">
        <v>3</v>
      </c>
      <c r="Y445">
        <v>1</v>
      </c>
      <c r="Z445">
        <v>1</v>
      </c>
      <c r="AA445">
        <v>3</v>
      </c>
      <c r="AB445">
        <v>1</v>
      </c>
    </row>
    <row r="446" spans="1:28" x14ac:dyDescent="0.35">
      <c r="A446" t="s">
        <v>1252</v>
      </c>
      <c r="B446" t="s">
        <v>2261</v>
      </c>
      <c r="C446" t="s">
        <v>851</v>
      </c>
      <c r="D446">
        <v>2022</v>
      </c>
      <c r="E446">
        <v>2019</v>
      </c>
      <c r="F446" t="s">
        <v>1951</v>
      </c>
      <c r="G446">
        <v>2020</v>
      </c>
      <c r="H446" t="s">
        <v>1953</v>
      </c>
      <c r="I446" t="s">
        <v>1683</v>
      </c>
      <c r="J446" s="66">
        <v>2045</v>
      </c>
      <c r="R446" s="95">
        <f>$BO$143/$BH$143 * 1000/$AK$93</f>
        <v>17.86152462420193</v>
      </c>
      <c r="S446" s="95">
        <f>$BO$142/$BH$142 * 1000/$AK$93</f>
        <v>17.28601686094694</v>
      </c>
      <c r="T446" s="95">
        <f>$BO$141/$BH$141 * 1000/$AK$93</f>
        <v>15.057912936910187</v>
      </c>
      <c r="U446" s="95">
        <f>$BO$140/$BH$140 * 1000/$AK$93</f>
        <v>10.374734605942068</v>
      </c>
      <c r="W446" s="66" t="s">
        <v>1976</v>
      </c>
      <c r="X446">
        <v>3</v>
      </c>
      <c r="Y446">
        <v>1</v>
      </c>
      <c r="Z446">
        <v>1</v>
      </c>
      <c r="AA446">
        <v>3</v>
      </c>
      <c r="AB446">
        <v>1</v>
      </c>
    </row>
    <row r="447" spans="1:28" x14ac:dyDescent="0.35">
      <c r="A447" t="s">
        <v>1252</v>
      </c>
      <c r="B447" t="s">
        <v>2261</v>
      </c>
      <c r="C447" t="s">
        <v>851</v>
      </c>
      <c r="D447">
        <v>2022</v>
      </c>
      <c r="E447">
        <v>2019</v>
      </c>
      <c r="F447" t="s">
        <v>1951</v>
      </c>
      <c r="G447">
        <v>2020</v>
      </c>
      <c r="H447" t="s">
        <v>1953</v>
      </c>
      <c r="I447" t="s">
        <v>1683</v>
      </c>
      <c r="J447" s="66">
        <v>2050</v>
      </c>
      <c r="S447" s="95">
        <f>$BO$143/$BH$143 * 1000/$AK$93</f>
        <v>17.86152462420193</v>
      </c>
      <c r="T447" s="95">
        <f>$BO$142/$BH$142 * 1000/$AK$93</f>
        <v>17.28601686094694</v>
      </c>
      <c r="U447" s="95">
        <f>$BO$141/$BH$141 * 1000/$AK$93</f>
        <v>15.057912936910187</v>
      </c>
      <c r="V447" s="95">
        <f>$BO$140/$BH$140 * 1000/$AK$93</f>
        <v>10.374734605942068</v>
      </c>
      <c r="W447" s="66" t="s">
        <v>1976</v>
      </c>
      <c r="X447">
        <v>3</v>
      </c>
      <c r="Y447">
        <v>1</v>
      </c>
      <c r="Z447">
        <v>1</v>
      </c>
      <c r="AA447">
        <v>3</v>
      </c>
      <c r="AB447">
        <v>1</v>
      </c>
    </row>
    <row r="448" spans="1:28" x14ac:dyDescent="0.35">
      <c r="A448" t="s">
        <v>1253</v>
      </c>
      <c r="B448" t="s">
        <v>2261</v>
      </c>
      <c r="C448" t="s">
        <v>851</v>
      </c>
      <c r="D448">
        <v>2022</v>
      </c>
      <c r="E448">
        <v>2019</v>
      </c>
      <c r="F448" t="s">
        <v>1951</v>
      </c>
      <c r="G448">
        <v>2020</v>
      </c>
      <c r="H448" t="s">
        <v>1953</v>
      </c>
      <c r="I448" t="s">
        <v>1683</v>
      </c>
      <c r="J448" s="66">
        <v>2021</v>
      </c>
      <c r="P448" s="95">
        <f>$BM$140/$BH$140 * 1000/$AK$93</f>
        <v>10.374734605942068</v>
      </c>
      <c r="W448" s="66" t="s">
        <v>1976</v>
      </c>
      <c r="X448">
        <v>3</v>
      </c>
      <c r="Y448">
        <v>1</v>
      </c>
      <c r="Z448">
        <v>1</v>
      </c>
      <c r="AA448">
        <v>3</v>
      </c>
      <c r="AB448">
        <v>1</v>
      </c>
    </row>
    <row r="449" spans="1:28" x14ac:dyDescent="0.35">
      <c r="A449" t="s">
        <v>1253</v>
      </c>
      <c r="B449" t="s">
        <v>2261</v>
      </c>
      <c r="C449" t="s">
        <v>851</v>
      </c>
      <c r="D449">
        <v>2022</v>
      </c>
      <c r="E449">
        <v>2019</v>
      </c>
      <c r="F449" t="s">
        <v>1951</v>
      </c>
      <c r="G449">
        <v>2020</v>
      </c>
      <c r="H449" t="s">
        <v>1953</v>
      </c>
      <c r="I449" t="s">
        <v>1683</v>
      </c>
      <c r="J449" s="66">
        <v>2025</v>
      </c>
      <c r="P449" s="95">
        <f>$BM$141/$BH$141 * 1000/$AK$93</f>
        <v>15.057912936910187</v>
      </c>
      <c r="Q449" s="95">
        <f>$BM$140/$BH$140 * 1000/$AK$93</f>
        <v>10.374734605942068</v>
      </c>
      <c r="W449" s="66" t="s">
        <v>1976</v>
      </c>
      <c r="X449">
        <v>3</v>
      </c>
      <c r="Y449">
        <v>1</v>
      </c>
      <c r="Z449">
        <v>1</v>
      </c>
      <c r="AA449">
        <v>3</v>
      </c>
      <c r="AB449">
        <v>1</v>
      </c>
    </row>
    <row r="450" spans="1:28" x14ac:dyDescent="0.35">
      <c r="A450" t="s">
        <v>1253</v>
      </c>
      <c r="B450" t="s">
        <v>2261</v>
      </c>
      <c r="C450" t="s">
        <v>851</v>
      </c>
      <c r="D450">
        <v>2022</v>
      </c>
      <c r="E450">
        <v>2019</v>
      </c>
      <c r="F450" t="s">
        <v>1951</v>
      </c>
      <c r="G450">
        <v>2020</v>
      </c>
      <c r="H450" t="s">
        <v>1953</v>
      </c>
      <c r="I450" t="s">
        <v>1683</v>
      </c>
      <c r="J450" s="66">
        <v>2030</v>
      </c>
      <c r="P450" s="95">
        <f>$BM$142/$BH$142 * 1000/$AK$93</f>
        <v>17.28601686094694</v>
      </c>
      <c r="Q450" s="95">
        <f>$BM$141/$BH$141 * 1000/$AK$93</f>
        <v>15.057912936910187</v>
      </c>
      <c r="R450" s="95">
        <f>$BM$140/$BH$140 * 1000/$AK$93</f>
        <v>10.374734605942068</v>
      </c>
      <c r="W450" s="66" t="s">
        <v>1976</v>
      </c>
      <c r="X450">
        <v>3</v>
      </c>
      <c r="Y450">
        <v>1</v>
      </c>
      <c r="Z450">
        <v>1</v>
      </c>
      <c r="AA450">
        <v>3</v>
      </c>
      <c r="AB450">
        <v>1</v>
      </c>
    </row>
    <row r="451" spans="1:28" x14ac:dyDescent="0.35">
      <c r="A451" t="s">
        <v>1253</v>
      </c>
      <c r="B451" t="s">
        <v>2261</v>
      </c>
      <c r="C451" t="s">
        <v>851</v>
      </c>
      <c r="D451">
        <v>2022</v>
      </c>
      <c r="E451">
        <v>2019</v>
      </c>
      <c r="F451" t="s">
        <v>1951</v>
      </c>
      <c r="G451">
        <v>2020</v>
      </c>
      <c r="H451" t="s">
        <v>1953</v>
      </c>
      <c r="I451" t="s">
        <v>1683</v>
      </c>
      <c r="J451" s="66">
        <v>2035</v>
      </c>
      <c r="P451" s="95">
        <f>$BM$143/$BH$143 * 1000/$AK$93</f>
        <v>17.86152462420193</v>
      </c>
      <c r="Q451" s="95">
        <f>$BM$142/$BH$142 * 1000/$AK$93</f>
        <v>17.28601686094694</v>
      </c>
      <c r="R451" s="95">
        <f>$BM$141/$BH$141 * 1000/$AK$93</f>
        <v>15.057912936910187</v>
      </c>
      <c r="S451" s="95">
        <f>$BM$140/$BH$140 * 1000/$AK$93</f>
        <v>10.374734605942068</v>
      </c>
      <c r="W451" s="66" t="s">
        <v>1976</v>
      </c>
      <c r="X451">
        <v>3</v>
      </c>
      <c r="Y451">
        <v>1</v>
      </c>
      <c r="Z451">
        <v>1</v>
      </c>
      <c r="AA451">
        <v>3</v>
      </c>
      <c r="AB451">
        <v>1</v>
      </c>
    </row>
    <row r="452" spans="1:28" x14ac:dyDescent="0.35">
      <c r="A452" t="s">
        <v>1253</v>
      </c>
      <c r="B452" t="s">
        <v>2261</v>
      </c>
      <c r="C452" t="s">
        <v>851</v>
      </c>
      <c r="D452">
        <v>2022</v>
      </c>
      <c r="E452">
        <v>2019</v>
      </c>
      <c r="F452" t="s">
        <v>1951</v>
      </c>
      <c r="G452">
        <v>2020</v>
      </c>
      <c r="H452" t="s">
        <v>1953</v>
      </c>
      <c r="I452" t="s">
        <v>1683</v>
      </c>
      <c r="J452" s="66">
        <v>2040</v>
      </c>
      <c r="Q452" s="95">
        <f>$BM$143/$BH$143 * 1000/$AK$93</f>
        <v>17.86152462420193</v>
      </c>
      <c r="R452" s="95">
        <f>$BM$142/$BH$142 * 1000/$AK$93</f>
        <v>17.28601686094694</v>
      </c>
      <c r="S452" s="95">
        <f>$BM$141/$BH$141 * 1000/$AK$93</f>
        <v>15.057912936910187</v>
      </c>
      <c r="T452" s="95">
        <f>$BM$140/$BH$140 * 1000/$AK$93</f>
        <v>10.374734605942068</v>
      </c>
      <c r="W452" s="66" t="s">
        <v>1976</v>
      </c>
      <c r="X452">
        <v>3</v>
      </c>
      <c r="Y452">
        <v>1</v>
      </c>
      <c r="Z452">
        <v>1</v>
      </c>
      <c r="AA452">
        <v>3</v>
      </c>
      <c r="AB452">
        <v>1</v>
      </c>
    </row>
    <row r="453" spans="1:28" x14ac:dyDescent="0.35">
      <c r="A453" t="s">
        <v>1253</v>
      </c>
      <c r="B453" t="s">
        <v>2261</v>
      </c>
      <c r="C453" t="s">
        <v>851</v>
      </c>
      <c r="D453">
        <v>2022</v>
      </c>
      <c r="E453">
        <v>2019</v>
      </c>
      <c r="F453" t="s">
        <v>1951</v>
      </c>
      <c r="G453">
        <v>2020</v>
      </c>
      <c r="H453" t="s">
        <v>1953</v>
      </c>
      <c r="I453" t="s">
        <v>1683</v>
      </c>
      <c r="J453" s="66">
        <v>2045</v>
      </c>
      <c r="R453" s="95">
        <f>$BM$143/$BH$143 * 1000/$AK$93</f>
        <v>17.86152462420193</v>
      </c>
      <c r="S453" s="95">
        <f>$BM$142/$BH$142 * 1000/$AK$93</f>
        <v>17.28601686094694</v>
      </c>
      <c r="T453" s="95">
        <f>$BM$141/$BH$141 * 1000/$AK$93</f>
        <v>15.057912936910187</v>
      </c>
      <c r="U453" s="95">
        <f>$BM$140/$BH$140 * 1000/$AK$93</f>
        <v>10.374734605942068</v>
      </c>
      <c r="W453" s="66" t="s">
        <v>1976</v>
      </c>
      <c r="X453">
        <v>3</v>
      </c>
      <c r="Y453">
        <v>1</v>
      </c>
      <c r="Z453">
        <v>1</v>
      </c>
      <c r="AA453">
        <v>3</v>
      </c>
      <c r="AB453">
        <v>1</v>
      </c>
    </row>
    <row r="454" spans="1:28" x14ac:dyDescent="0.35">
      <c r="A454" t="s">
        <v>1253</v>
      </c>
      <c r="B454" t="s">
        <v>2261</v>
      </c>
      <c r="C454" t="s">
        <v>851</v>
      </c>
      <c r="D454">
        <v>2022</v>
      </c>
      <c r="E454">
        <v>2019</v>
      </c>
      <c r="F454" t="s">
        <v>1951</v>
      </c>
      <c r="G454">
        <v>2020</v>
      </c>
      <c r="H454" t="s">
        <v>1953</v>
      </c>
      <c r="I454" t="s">
        <v>1683</v>
      </c>
      <c r="J454" s="66">
        <v>2050</v>
      </c>
      <c r="S454" s="95">
        <f>$BM$143/$BH$143 * 1000/$AK$93</f>
        <v>17.86152462420193</v>
      </c>
      <c r="T454" s="95">
        <f>$BM$142/$BH$142 * 1000/$AK$93</f>
        <v>17.28601686094694</v>
      </c>
      <c r="U454" s="95">
        <f>$BM$141/$BH$141 * 1000/$AK$93</f>
        <v>15.057912936910187</v>
      </c>
      <c r="V454" s="95">
        <f>$BM$140/$BH$140 * 1000/$AK$93</f>
        <v>10.374734605942068</v>
      </c>
      <c r="W454" s="66" t="s">
        <v>1976</v>
      </c>
      <c r="X454">
        <v>3</v>
      </c>
      <c r="Y454">
        <v>1</v>
      </c>
      <c r="Z454">
        <v>1</v>
      </c>
      <c r="AA454">
        <v>3</v>
      </c>
      <c r="AB454">
        <v>1</v>
      </c>
    </row>
    <row r="455" spans="1:28" x14ac:dyDescent="0.35">
      <c r="A455" t="s">
        <v>1254</v>
      </c>
      <c r="B455" t="s">
        <v>2261</v>
      </c>
      <c r="C455" t="s">
        <v>851</v>
      </c>
      <c r="D455">
        <v>2022</v>
      </c>
      <c r="E455">
        <v>2019</v>
      </c>
      <c r="F455" t="s">
        <v>1951</v>
      </c>
      <c r="G455">
        <v>2020</v>
      </c>
      <c r="H455" t="s">
        <v>1953</v>
      </c>
      <c r="I455" t="s">
        <v>1683</v>
      </c>
      <c r="J455" s="66">
        <v>2021</v>
      </c>
      <c r="P455" s="95">
        <f>$BN$140/$BH$140 * 1000/$AK$93</f>
        <v>10.374734605942068</v>
      </c>
      <c r="W455" s="66" t="s">
        <v>1976</v>
      </c>
      <c r="X455">
        <v>3</v>
      </c>
      <c r="Y455">
        <v>1</v>
      </c>
      <c r="Z455">
        <v>1</v>
      </c>
      <c r="AA455">
        <v>3</v>
      </c>
      <c r="AB455">
        <v>1</v>
      </c>
    </row>
    <row r="456" spans="1:28" x14ac:dyDescent="0.35">
      <c r="A456" t="s">
        <v>1254</v>
      </c>
      <c r="B456" t="s">
        <v>2261</v>
      </c>
      <c r="C456" t="s">
        <v>851</v>
      </c>
      <c r="D456">
        <v>2022</v>
      </c>
      <c r="E456">
        <v>2019</v>
      </c>
      <c r="F456" t="s">
        <v>1951</v>
      </c>
      <c r="G456">
        <v>2020</v>
      </c>
      <c r="H456" t="s">
        <v>1953</v>
      </c>
      <c r="I456" t="s">
        <v>1683</v>
      </c>
      <c r="J456" s="66">
        <v>2025</v>
      </c>
      <c r="P456" s="95">
        <f>$BN$141/$BH$141 * 1000/$AK$93</f>
        <v>15.057912936910187</v>
      </c>
      <c r="Q456" s="95">
        <f>$BN$140/$BH$140 * 1000/$AK$93</f>
        <v>10.374734605942068</v>
      </c>
      <c r="W456" s="66" t="s">
        <v>1976</v>
      </c>
      <c r="X456">
        <v>3</v>
      </c>
      <c r="Y456">
        <v>1</v>
      </c>
      <c r="Z456">
        <v>1</v>
      </c>
      <c r="AA456">
        <v>3</v>
      </c>
      <c r="AB456">
        <v>1</v>
      </c>
    </row>
    <row r="457" spans="1:28" x14ac:dyDescent="0.35">
      <c r="A457" t="s">
        <v>1254</v>
      </c>
      <c r="B457" t="s">
        <v>2261</v>
      </c>
      <c r="C457" t="s">
        <v>851</v>
      </c>
      <c r="D457">
        <v>2022</v>
      </c>
      <c r="E457">
        <v>2019</v>
      </c>
      <c r="F457" t="s">
        <v>1951</v>
      </c>
      <c r="G457">
        <v>2020</v>
      </c>
      <c r="H457" t="s">
        <v>1953</v>
      </c>
      <c r="I457" t="s">
        <v>1683</v>
      </c>
      <c r="J457" s="66">
        <v>2030</v>
      </c>
      <c r="P457" s="95">
        <f>$BN$142/$BH$142 * 1000/$AK$93</f>
        <v>17.28601686094694</v>
      </c>
      <c r="Q457" s="95">
        <f>$BN$141/$BH$141 * 1000/$AK$93</f>
        <v>15.057912936910187</v>
      </c>
      <c r="R457" s="95">
        <f>$BN$140/$BH$140 * 1000/$AK$93</f>
        <v>10.374734605942068</v>
      </c>
      <c r="W457" s="66" t="s">
        <v>1976</v>
      </c>
      <c r="X457">
        <v>3</v>
      </c>
      <c r="Y457">
        <v>1</v>
      </c>
      <c r="Z457">
        <v>1</v>
      </c>
      <c r="AA457">
        <v>3</v>
      </c>
      <c r="AB457">
        <v>1</v>
      </c>
    </row>
    <row r="458" spans="1:28" x14ac:dyDescent="0.35">
      <c r="A458" t="s">
        <v>1254</v>
      </c>
      <c r="B458" t="s">
        <v>2261</v>
      </c>
      <c r="C458" t="s">
        <v>851</v>
      </c>
      <c r="D458">
        <v>2022</v>
      </c>
      <c r="E458">
        <v>2019</v>
      </c>
      <c r="F458" t="s">
        <v>1951</v>
      </c>
      <c r="G458">
        <v>2020</v>
      </c>
      <c r="H458" t="s">
        <v>1953</v>
      </c>
      <c r="I458" t="s">
        <v>1683</v>
      </c>
      <c r="J458" s="66">
        <v>2035</v>
      </c>
      <c r="P458" s="95">
        <f>$BN$143/$BH$143 * 1000/$AK$93</f>
        <v>17.86152462420193</v>
      </c>
      <c r="Q458" s="95">
        <f>$BN$142/$BH$142 * 1000/$AK$93</f>
        <v>17.28601686094694</v>
      </c>
      <c r="R458" s="95">
        <f>$BN$141/$BH$141 * 1000/$AK$93</f>
        <v>15.057912936910187</v>
      </c>
      <c r="S458" s="95">
        <f>$BN$140/$BH$140 * 1000/$AK$93</f>
        <v>10.374734605942068</v>
      </c>
      <c r="W458" s="66" t="s">
        <v>1976</v>
      </c>
      <c r="X458">
        <v>3</v>
      </c>
      <c r="Y458">
        <v>1</v>
      </c>
      <c r="Z458">
        <v>1</v>
      </c>
      <c r="AA458">
        <v>3</v>
      </c>
      <c r="AB458">
        <v>1</v>
      </c>
    </row>
    <row r="459" spans="1:28" x14ac:dyDescent="0.35">
      <c r="A459" t="s">
        <v>1254</v>
      </c>
      <c r="B459" t="s">
        <v>2261</v>
      </c>
      <c r="C459" t="s">
        <v>851</v>
      </c>
      <c r="D459">
        <v>2022</v>
      </c>
      <c r="E459">
        <v>2019</v>
      </c>
      <c r="F459" t="s">
        <v>1951</v>
      </c>
      <c r="G459">
        <v>2020</v>
      </c>
      <c r="H459" t="s">
        <v>1953</v>
      </c>
      <c r="I459" t="s">
        <v>1683</v>
      </c>
      <c r="J459" s="66">
        <v>2040</v>
      </c>
      <c r="Q459" s="95">
        <f>$BN$143/$BH$143 * 1000/$AK$93</f>
        <v>17.86152462420193</v>
      </c>
      <c r="R459" s="95">
        <f>$BN$142/$BH$142 * 1000/$AK$93</f>
        <v>17.28601686094694</v>
      </c>
      <c r="S459" s="95">
        <f>$BN$141/$BH$141 * 1000/$AK$93</f>
        <v>15.057912936910187</v>
      </c>
      <c r="T459" s="95">
        <f>$BN$140/$BH$140 * 1000/$AK$93</f>
        <v>10.374734605942068</v>
      </c>
      <c r="W459" s="66" t="s">
        <v>1976</v>
      </c>
      <c r="X459">
        <v>3</v>
      </c>
      <c r="Y459">
        <v>1</v>
      </c>
      <c r="Z459">
        <v>1</v>
      </c>
      <c r="AA459">
        <v>3</v>
      </c>
      <c r="AB459">
        <v>1</v>
      </c>
    </row>
    <row r="460" spans="1:28" x14ac:dyDescent="0.35">
      <c r="A460" t="s">
        <v>1254</v>
      </c>
      <c r="B460" t="s">
        <v>2261</v>
      </c>
      <c r="C460" t="s">
        <v>851</v>
      </c>
      <c r="D460">
        <v>2022</v>
      </c>
      <c r="E460">
        <v>2019</v>
      </c>
      <c r="F460" t="s">
        <v>1951</v>
      </c>
      <c r="G460">
        <v>2020</v>
      </c>
      <c r="H460" t="s">
        <v>1953</v>
      </c>
      <c r="I460" t="s">
        <v>1683</v>
      </c>
      <c r="J460" s="66">
        <v>2045</v>
      </c>
      <c r="R460" s="95">
        <f>$BN$143/$BH$143 * 1000/$AK$93</f>
        <v>17.86152462420193</v>
      </c>
      <c r="S460" s="95">
        <f>$BN$142/$BH$142 * 1000/$AK$93</f>
        <v>17.28601686094694</v>
      </c>
      <c r="T460" s="95">
        <f>$BN$141/$BH$141 * 1000/$AK$93</f>
        <v>15.057912936910187</v>
      </c>
      <c r="U460" s="95">
        <f>$BN$140/$BH$140 * 1000/$AK$93</f>
        <v>10.374734605942068</v>
      </c>
      <c r="W460" s="66" t="s">
        <v>1976</v>
      </c>
      <c r="X460">
        <v>3</v>
      </c>
      <c r="Y460">
        <v>1</v>
      </c>
      <c r="Z460">
        <v>1</v>
      </c>
      <c r="AA460">
        <v>3</v>
      </c>
      <c r="AB460">
        <v>1</v>
      </c>
    </row>
    <row r="461" spans="1:28" x14ac:dyDescent="0.35">
      <c r="A461" t="s">
        <v>1254</v>
      </c>
      <c r="B461" t="s">
        <v>2261</v>
      </c>
      <c r="C461" t="s">
        <v>851</v>
      </c>
      <c r="D461">
        <v>2022</v>
      </c>
      <c r="E461">
        <v>2019</v>
      </c>
      <c r="F461" t="s">
        <v>1951</v>
      </c>
      <c r="G461">
        <v>2020</v>
      </c>
      <c r="H461" t="s">
        <v>1953</v>
      </c>
      <c r="I461" t="s">
        <v>1683</v>
      </c>
      <c r="J461" s="66">
        <v>2050</v>
      </c>
      <c r="S461" s="95">
        <f>$BN$143/$BH$143 * 1000/$AK$93</f>
        <v>17.86152462420193</v>
      </c>
      <c r="T461" s="95">
        <f>$BN$142/$BH$142 * 1000/$AK$93</f>
        <v>17.28601686094694</v>
      </c>
      <c r="U461" s="95">
        <f>$BN$141/$BH$141 * 1000/$AK$93</f>
        <v>15.057912936910187</v>
      </c>
      <c r="V461" s="95">
        <f>$BN$140/$BH$140 * 1000/$AK$93</f>
        <v>10.374734605942068</v>
      </c>
      <c r="W461" s="66" t="s">
        <v>1976</v>
      </c>
      <c r="X461">
        <v>3</v>
      </c>
      <c r="Y461">
        <v>1</v>
      </c>
      <c r="Z461">
        <v>1</v>
      </c>
      <c r="AA461">
        <v>3</v>
      </c>
      <c r="AB461">
        <v>1</v>
      </c>
    </row>
    <row r="462" spans="1:28" x14ac:dyDescent="0.35">
      <c r="A462" t="s">
        <v>1257</v>
      </c>
      <c r="B462" t="s">
        <v>2261</v>
      </c>
      <c r="C462" t="s">
        <v>1828</v>
      </c>
      <c r="D462">
        <v>2015</v>
      </c>
      <c r="E462">
        <v>2005</v>
      </c>
      <c r="F462" t="s">
        <v>1951</v>
      </c>
      <c r="G462">
        <v>2020</v>
      </c>
      <c r="H462" t="s">
        <v>1953</v>
      </c>
      <c r="I462" t="s">
        <v>1672</v>
      </c>
      <c r="J462" s="66">
        <v>2021</v>
      </c>
      <c r="P462" s="420">
        <f>AK$139*1000</f>
        <v>241.77467718525196</v>
      </c>
      <c r="Q462" s="420"/>
      <c r="R462" s="420"/>
      <c r="S462" s="420"/>
      <c r="T462" s="420"/>
      <c r="U462" s="420"/>
      <c r="V462" s="420"/>
      <c r="W462" s="66" t="s">
        <v>1958</v>
      </c>
      <c r="X462" s="87">
        <v>3</v>
      </c>
      <c r="Y462">
        <v>1</v>
      </c>
      <c r="Z462">
        <v>3</v>
      </c>
      <c r="AA462">
        <v>2</v>
      </c>
      <c r="AB462">
        <v>1</v>
      </c>
    </row>
    <row r="463" spans="1:28" x14ac:dyDescent="0.35">
      <c r="A463" t="s">
        <v>1257</v>
      </c>
      <c r="B463" t="s">
        <v>2261</v>
      </c>
      <c r="C463" t="s">
        <v>1828</v>
      </c>
      <c r="D463">
        <v>2015</v>
      </c>
      <c r="E463">
        <v>2005</v>
      </c>
      <c r="F463" t="s">
        <v>1951</v>
      </c>
      <c r="G463">
        <v>2020</v>
      </c>
      <c r="H463" t="s">
        <v>1953</v>
      </c>
      <c r="I463" t="s">
        <v>1672</v>
      </c>
      <c r="J463" s="66">
        <v>2025</v>
      </c>
      <c r="P463" s="420">
        <f t="shared" ref="P463:V468" si="63">AK$139*1000</f>
        <v>241.77467718525196</v>
      </c>
      <c r="Q463" s="420">
        <f>AL$139*1000</f>
        <v>241.77467718525196</v>
      </c>
      <c r="R463" s="420"/>
      <c r="S463" s="420"/>
      <c r="T463" s="420"/>
      <c r="U463" s="420"/>
      <c r="V463" s="420"/>
      <c r="W463" s="66" t="s">
        <v>1958</v>
      </c>
      <c r="X463" s="87">
        <v>3</v>
      </c>
      <c r="Y463">
        <v>1</v>
      </c>
      <c r="Z463">
        <v>3</v>
      </c>
      <c r="AA463">
        <v>2</v>
      </c>
      <c r="AB463">
        <v>1</v>
      </c>
    </row>
    <row r="464" spans="1:28" x14ac:dyDescent="0.35">
      <c r="A464" t="s">
        <v>1257</v>
      </c>
      <c r="B464" t="s">
        <v>2261</v>
      </c>
      <c r="C464" t="s">
        <v>1828</v>
      </c>
      <c r="D464">
        <v>2015</v>
      </c>
      <c r="E464">
        <v>2005</v>
      </c>
      <c r="F464" t="s">
        <v>1951</v>
      </c>
      <c r="G464">
        <v>2020</v>
      </c>
      <c r="H464" t="s">
        <v>1953</v>
      </c>
      <c r="I464" t="s">
        <v>1672</v>
      </c>
      <c r="J464" s="66">
        <v>2030</v>
      </c>
      <c r="P464" s="420">
        <f t="shared" si="63"/>
        <v>241.77467718525196</v>
      </c>
      <c r="Q464" s="420">
        <f t="shared" si="63"/>
        <v>241.77467718525196</v>
      </c>
      <c r="R464" s="420">
        <f>AM$139*1000</f>
        <v>241.77467718525196</v>
      </c>
      <c r="S464" s="420"/>
      <c r="T464" s="420"/>
      <c r="U464" s="420"/>
      <c r="V464" s="420"/>
      <c r="W464" s="66" t="s">
        <v>1958</v>
      </c>
      <c r="X464" s="87">
        <v>3</v>
      </c>
      <c r="Y464">
        <v>1</v>
      </c>
      <c r="Z464">
        <v>3</v>
      </c>
      <c r="AA464">
        <v>2</v>
      </c>
      <c r="AB464">
        <v>1</v>
      </c>
    </row>
    <row r="465" spans="1:28" x14ac:dyDescent="0.35">
      <c r="A465" t="s">
        <v>1257</v>
      </c>
      <c r="B465" t="s">
        <v>2261</v>
      </c>
      <c r="C465" t="s">
        <v>1828</v>
      </c>
      <c r="D465">
        <v>2015</v>
      </c>
      <c r="E465">
        <v>2005</v>
      </c>
      <c r="F465" t="s">
        <v>1951</v>
      </c>
      <c r="G465">
        <v>2020</v>
      </c>
      <c r="H465" t="s">
        <v>1953</v>
      </c>
      <c r="I465" t="s">
        <v>1672</v>
      </c>
      <c r="J465" s="66">
        <v>2035</v>
      </c>
      <c r="P465" s="420">
        <f t="shared" si="63"/>
        <v>241.77467718525196</v>
      </c>
      <c r="Q465" s="420">
        <f t="shared" si="63"/>
        <v>241.77467718525196</v>
      </c>
      <c r="R465" s="420">
        <f t="shared" si="63"/>
        <v>241.77467718525196</v>
      </c>
      <c r="S465" s="420">
        <f>AN$139*1000</f>
        <v>241.77467718525196</v>
      </c>
      <c r="T465" s="420"/>
      <c r="U465" s="420"/>
      <c r="V465" s="420"/>
      <c r="W465" s="66" t="s">
        <v>1958</v>
      </c>
      <c r="X465" s="87">
        <v>3</v>
      </c>
      <c r="Y465">
        <v>1</v>
      </c>
      <c r="Z465">
        <v>3</v>
      </c>
      <c r="AA465">
        <v>2</v>
      </c>
      <c r="AB465">
        <v>1</v>
      </c>
    </row>
    <row r="466" spans="1:28" x14ac:dyDescent="0.35">
      <c r="A466" t="s">
        <v>1257</v>
      </c>
      <c r="B466" t="s">
        <v>2261</v>
      </c>
      <c r="C466" t="s">
        <v>1828</v>
      </c>
      <c r="D466">
        <v>2015</v>
      </c>
      <c r="E466">
        <v>2005</v>
      </c>
      <c r="F466" t="s">
        <v>1951</v>
      </c>
      <c r="G466">
        <v>2020</v>
      </c>
      <c r="H466" t="s">
        <v>1953</v>
      </c>
      <c r="I466" t="s">
        <v>1672</v>
      </c>
      <c r="J466" s="66">
        <v>2040</v>
      </c>
      <c r="P466" s="420"/>
      <c r="Q466" s="420">
        <f t="shared" si="63"/>
        <v>241.77467718525196</v>
      </c>
      <c r="R466" s="420">
        <f t="shared" si="63"/>
        <v>241.77467718525196</v>
      </c>
      <c r="S466" s="420">
        <f t="shared" si="63"/>
        <v>241.77467718525196</v>
      </c>
      <c r="T466" s="420">
        <f t="shared" si="63"/>
        <v>241.77467718525196</v>
      </c>
      <c r="U466" s="420"/>
      <c r="V466" s="420"/>
      <c r="W466" s="66" t="s">
        <v>1958</v>
      </c>
      <c r="X466" s="87">
        <v>3</v>
      </c>
      <c r="Y466">
        <v>1</v>
      </c>
      <c r="Z466">
        <v>3</v>
      </c>
      <c r="AA466">
        <v>2</v>
      </c>
      <c r="AB466">
        <v>1</v>
      </c>
    </row>
    <row r="467" spans="1:28" x14ac:dyDescent="0.35">
      <c r="A467" t="s">
        <v>1257</v>
      </c>
      <c r="B467" t="s">
        <v>2261</v>
      </c>
      <c r="C467" t="s">
        <v>1828</v>
      </c>
      <c r="D467">
        <v>2015</v>
      </c>
      <c r="E467">
        <v>2005</v>
      </c>
      <c r="F467" t="s">
        <v>1951</v>
      </c>
      <c r="G467">
        <v>2020</v>
      </c>
      <c r="H467" t="s">
        <v>1953</v>
      </c>
      <c r="I467" t="s">
        <v>1672</v>
      </c>
      <c r="J467" s="66">
        <v>2045</v>
      </c>
      <c r="P467" s="420"/>
      <c r="Q467" s="420"/>
      <c r="R467" s="420">
        <f t="shared" si="63"/>
        <v>241.77467718525196</v>
      </c>
      <c r="S467" s="420">
        <f t="shared" si="63"/>
        <v>241.77467718525196</v>
      </c>
      <c r="T467" s="420">
        <f t="shared" si="63"/>
        <v>241.77467718525196</v>
      </c>
      <c r="U467" s="420">
        <f t="shared" si="63"/>
        <v>241.77467718525196</v>
      </c>
      <c r="V467" s="420"/>
      <c r="W467" s="66" t="s">
        <v>1958</v>
      </c>
      <c r="X467" s="87">
        <v>3</v>
      </c>
      <c r="Y467">
        <v>1</v>
      </c>
      <c r="Z467">
        <v>3</v>
      </c>
      <c r="AA467">
        <v>2</v>
      </c>
      <c r="AB467">
        <v>1</v>
      </c>
    </row>
    <row r="468" spans="1:28" x14ac:dyDescent="0.35">
      <c r="A468" t="s">
        <v>1257</v>
      </c>
      <c r="B468" t="s">
        <v>2261</v>
      </c>
      <c r="C468" t="s">
        <v>1828</v>
      </c>
      <c r="D468">
        <v>2015</v>
      </c>
      <c r="E468">
        <v>2005</v>
      </c>
      <c r="F468" t="s">
        <v>1951</v>
      </c>
      <c r="G468">
        <v>2020</v>
      </c>
      <c r="H468" t="s">
        <v>1953</v>
      </c>
      <c r="I468" t="s">
        <v>1672</v>
      </c>
      <c r="J468" s="66">
        <v>2050</v>
      </c>
      <c r="P468" s="420"/>
      <c r="Q468" s="420"/>
      <c r="R468" s="420"/>
      <c r="S468" s="420">
        <f t="shared" si="63"/>
        <v>241.77467718525196</v>
      </c>
      <c r="T468" s="420">
        <f t="shared" si="63"/>
        <v>241.77467718525196</v>
      </c>
      <c r="U468" s="420">
        <f t="shared" si="63"/>
        <v>241.77467718525196</v>
      </c>
      <c r="V468" s="420">
        <f t="shared" si="63"/>
        <v>241.77467718525196</v>
      </c>
      <c r="W468" s="66" t="s">
        <v>1958</v>
      </c>
      <c r="X468" s="87">
        <v>3</v>
      </c>
      <c r="Y468">
        <v>1</v>
      </c>
      <c r="Z468">
        <v>3</v>
      </c>
      <c r="AA468">
        <v>2</v>
      </c>
      <c r="AB468">
        <v>1</v>
      </c>
    </row>
    <row r="469" spans="1:28" x14ac:dyDescent="0.35">
      <c r="A469" t="s">
        <v>1258</v>
      </c>
      <c r="B469" t="s">
        <v>2261</v>
      </c>
      <c r="C469" t="s">
        <v>1828</v>
      </c>
      <c r="D469">
        <v>2015</v>
      </c>
      <c r="E469">
        <v>2005</v>
      </c>
      <c r="F469" t="s">
        <v>1951</v>
      </c>
      <c r="G469">
        <v>2020</v>
      </c>
      <c r="H469" t="s">
        <v>1953</v>
      </c>
      <c r="I469" t="s">
        <v>1672</v>
      </c>
      <c r="J469" s="66">
        <v>2021</v>
      </c>
      <c r="P469" s="420">
        <f>AK$140*1000</f>
        <v>193.4197417482016</v>
      </c>
      <c r="Q469" s="420"/>
      <c r="R469" s="420"/>
      <c r="S469" s="420"/>
      <c r="T469" s="420"/>
      <c r="U469" s="420"/>
      <c r="V469" s="420"/>
      <c r="W469" s="66" t="s">
        <v>1980</v>
      </c>
      <c r="X469" s="87">
        <v>3</v>
      </c>
      <c r="Y469">
        <v>1</v>
      </c>
      <c r="Z469">
        <v>3</v>
      </c>
      <c r="AA469">
        <v>2</v>
      </c>
      <c r="AB469">
        <v>1</v>
      </c>
    </row>
    <row r="470" spans="1:28" x14ac:dyDescent="0.35">
      <c r="A470" t="s">
        <v>1258</v>
      </c>
      <c r="B470" t="s">
        <v>2261</v>
      </c>
      <c r="C470" t="s">
        <v>1828</v>
      </c>
      <c r="D470">
        <v>2015</v>
      </c>
      <c r="E470">
        <v>2005</v>
      </c>
      <c r="F470" t="s">
        <v>1951</v>
      </c>
      <c r="G470">
        <v>2020</v>
      </c>
      <c r="H470" t="s">
        <v>1953</v>
      </c>
      <c r="I470" t="s">
        <v>1672</v>
      </c>
      <c r="J470" s="66">
        <v>2025</v>
      </c>
      <c r="P470" s="420">
        <f t="shared" ref="P470:V475" si="64">AK$140*1000</f>
        <v>193.4197417482016</v>
      </c>
      <c r="Q470" s="420">
        <f>AL$140*1000</f>
        <v>193.4197417482016</v>
      </c>
      <c r="R470" s="420"/>
      <c r="S470" s="420"/>
      <c r="T470" s="420"/>
      <c r="U470" s="420"/>
      <c r="V470" s="420"/>
      <c r="W470" s="66" t="s">
        <v>1980</v>
      </c>
      <c r="X470" s="87">
        <v>3</v>
      </c>
      <c r="Y470">
        <v>1</v>
      </c>
      <c r="Z470">
        <v>3</v>
      </c>
      <c r="AA470">
        <v>2</v>
      </c>
      <c r="AB470">
        <v>1</v>
      </c>
    </row>
    <row r="471" spans="1:28" x14ac:dyDescent="0.35">
      <c r="A471" t="s">
        <v>1258</v>
      </c>
      <c r="B471" t="s">
        <v>2261</v>
      </c>
      <c r="C471" t="s">
        <v>1828</v>
      </c>
      <c r="D471">
        <v>2015</v>
      </c>
      <c r="E471">
        <v>2005</v>
      </c>
      <c r="F471" t="s">
        <v>1951</v>
      </c>
      <c r="G471">
        <v>2020</v>
      </c>
      <c r="H471" t="s">
        <v>1953</v>
      </c>
      <c r="I471" t="s">
        <v>1672</v>
      </c>
      <c r="J471" s="66">
        <v>2030</v>
      </c>
      <c r="P471" s="420">
        <f t="shared" si="64"/>
        <v>193.4197417482016</v>
      </c>
      <c r="Q471" s="420">
        <f t="shared" si="64"/>
        <v>193.4197417482016</v>
      </c>
      <c r="R471" s="420">
        <f>AM$140*1000</f>
        <v>193.4197417482016</v>
      </c>
      <c r="S471" s="420"/>
      <c r="T471" s="420"/>
      <c r="U471" s="420"/>
      <c r="V471" s="420"/>
      <c r="W471" s="66" t="s">
        <v>1980</v>
      </c>
      <c r="X471" s="87">
        <v>3</v>
      </c>
      <c r="Y471">
        <v>1</v>
      </c>
      <c r="Z471">
        <v>3</v>
      </c>
      <c r="AA471">
        <v>2</v>
      </c>
      <c r="AB471">
        <v>1</v>
      </c>
    </row>
    <row r="472" spans="1:28" x14ac:dyDescent="0.35">
      <c r="A472" t="s">
        <v>1258</v>
      </c>
      <c r="B472" t="s">
        <v>2261</v>
      </c>
      <c r="C472" t="s">
        <v>1828</v>
      </c>
      <c r="D472">
        <v>2015</v>
      </c>
      <c r="E472">
        <v>2005</v>
      </c>
      <c r="F472" t="s">
        <v>1951</v>
      </c>
      <c r="G472">
        <v>2020</v>
      </c>
      <c r="H472" t="s">
        <v>1953</v>
      </c>
      <c r="I472" t="s">
        <v>1672</v>
      </c>
      <c r="J472" s="66">
        <v>2035</v>
      </c>
      <c r="P472" s="420">
        <f t="shared" si="64"/>
        <v>193.4197417482016</v>
      </c>
      <c r="Q472" s="420">
        <f t="shared" si="64"/>
        <v>193.4197417482016</v>
      </c>
      <c r="R472" s="420">
        <f t="shared" si="64"/>
        <v>193.4197417482016</v>
      </c>
      <c r="S472" s="420">
        <f>AN$140*1000</f>
        <v>193.4197417482016</v>
      </c>
      <c r="T472" s="420"/>
      <c r="U472" s="420"/>
      <c r="V472" s="420"/>
      <c r="W472" s="66" t="s">
        <v>1980</v>
      </c>
      <c r="X472" s="87">
        <v>3</v>
      </c>
      <c r="Y472">
        <v>1</v>
      </c>
      <c r="Z472">
        <v>3</v>
      </c>
      <c r="AA472">
        <v>2</v>
      </c>
      <c r="AB472">
        <v>1</v>
      </c>
    </row>
    <row r="473" spans="1:28" x14ac:dyDescent="0.35">
      <c r="A473" t="s">
        <v>1258</v>
      </c>
      <c r="B473" t="s">
        <v>2261</v>
      </c>
      <c r="C473" t="s">
        <v>1828</v>
      </c>
      <c r="D473">
        <v>2015</v>
      </c>
      <c r="E473">
        <v>2005</v>
      </c>
      <c r="F473" t="s">
        <v>1951</v>
      </c>
      <c r="G473">
        <v>2020</v>
      </c>
      <c r="H473" t="s">
        <v>1953</v>
      </c>
      <c r="I473" t="s">
        <v>1672</v>
      </c>
      <c r="J473" s="66">
        <v>2040</v>
      </c>
      <c r="P473" s="420"/>
      <c r="Q473" s="420">
        <f t="shared" si="64"/>
        <v>193.4197417482016</v>
      </c>
      <c r="R473" s="420">
        <f t="shared" si="64"/>
        <v>193.4197417482016</v>
      </c>
      <c r="S473" s="420">
        <f t="shared" si="64"/>
        <v>193.4197417482016</v>
      </c>
      <c r="T473" s="420">
        <f t="shared" si="64"/>
        <v>193.4197417482016</v>
      </c>
      <c r="U473" s="420"/>
      <c r="V473" s="420"/>
      <c r="W473" s="66" t="s">
        <v>1980</v>
      </c>
      <c r="X473" s="87">
        <v>3</v>
      </c>
      <c r="Y473">
        <v>1</v>
      </c>
      <c r="Z473">
        <v>3</v>
      </c>
      <c r="AA473">
        <v>2</v>
      </c>
      <c r="AB473">
        <v>1</v>
      </c>
    </row>
    <row r="474" spans="1:28" x14ac:dyDescent="0.35">
      <c r="A474" t="s">
        <v>1258</v>
      </c>
      <c r="B474" t="s">
        <v>2261</v>
      </c>
      <c r="C474" t="s">
        <v>1828</v>
      </c>
      <c r="D474">
        <v>2015</v>
      </c>
      <c r="E474">
        <v>2005</v>
      </c>
      <c r="F474" t="s">
        <v>1951</v>
      </c>
      <c r="G474">
        <v>2020</v>
      </c>
      <c r="H474" t="s">
        <v>1953</v>
      </c>
      <c r="I474" t="s">
        <v>1672</v>
      </c>
      <c r="J474" s="66">
        <v>2045</v>
      </c>
      <c r="P474" s="420"/>
      <c r="Q474" s="420"/>
      <c r="R474" s="420">
        <f t="shared" si="64"/>
        <v>193.4197417482016</v>
      </c>
      <c r="S474" s="420">
        <f t="shared" si="64"/>
        <v>193.4197417482016</v>
      </c>
      <c r="T474" s="420">
        <f t="shared" si="64"/>
        <v>193.4197417482016</v>
      </c>
      <c r="U474" s="420">
        <f t="shared" si="64"/>
        <v>193.4197417482016</v>
      </c>
      <c r="V474" s="420"/>
      <c r="W474" s="66" t="s">
        <v>1980</v>
      </c>
      <c r="X474" s="87">
        <v>3</v>
      </c>
      <c r="Y474">
        <v>1</v>
      </c>
      <c r="Z474">
        <v>3</v>
      </c>
      <c r="AA474">
        <v>2</v>
      </c>
      <c r="AB474">
        <v>1</v>
      </c>
    </row>
    <row r="475" spans="1:28" x14ac:dyDescent="0.35">
      <c r="A475" t="s">
        <v>1258</v>
      </c>
      <c r="B475" t="s">
        <v>2261</v>
      </c>
      <c r="C475" t="s">
        <v>1828</v>
      </c>
      <c r="D475">
        <v>2015</v>
      </c>
      <c r="E475">
        <v>2005</v>
      </c>
      <c r="F475" t="s">
        <v>1951</v>
      </c>
      <c r="G475">
        <v>2020</v>
      </c>
      <c r="H475" t="s">
        <v>1953</v>
      </c>
      <c r="I475" t="s">
        <v>1672</v>
      </c>
      <c r="J475" s="66">
        <v>2050</v>
      </c>
      <c r="P475" s="420"/>
      <c r="Q475" s="420"/>
      <c r="R475" s="420"/>
      <c r="S475" s="420">
        <f t="shared" si="64"/>
        <v>193.4197417482016</v>
      </c>
      <c r="T475" s="420">
        <f t="shared" si="64"/>
        <v>193.4197417482016</v>
      </c>
      <c r="U475" s="420">
        <f t="shared" si="64"/>
        <v>193.4197417482016</v>
      </c>
      <c r="V475" s="420">
        <f t="shared" si="64"/>
        <v>193.4197417482016</v>
      </c>
      <c r="W475" s="66" t="s">
        <v>1980</v>
      </c>
      <c r="X475" s="87">
        <v>3</v>
      </c>
      <c r="Y475">
        <v>1</v>
      </c>
      <c r="Z475">
        <v>3</v>
      </c>
      <c r="AA475">
        <v>2</v>
      </c>
      <c r="AB475">
        <v>1</v>
      </c>
    </row>
    <row r="476" spans="1:28" x14ac:dyDescent="0.35">
      <c r="A476" t="s">
        <v>1273</v>
      </c>
      <c r="B476" t="s">
        <v>2261</v>
      </c>
      <c r="C476" t="s">
        <v>851</v>
      </c>
      <c r="D476">
        <v>2022</v>
      </c>
      <c r="E476">
        <v>2019</v>
      </c>
      <c r="F476" t="s">
        <v>1951</v>
      </c>
      <c r="G476">
        <v>2020</v>
      </c>
      <c r="H476" t="s">
        <v>1953</v>
      </c>
      <c r="I476" t="s">
        <v>1672</v>
      </c>
      <c r="J476" s="66">
        <v>2021</v>
      </c>
      <c r="P476" s="95">
        <f>P532*$BP$147</f>
        <v>6.4445523317264435</v>
      </c>
      <c r="W476" s="66" t="s">
        <v>1962</v>
      </c>
      <c r="X476">
        <v>3</v>
      </c>
      <c r="Y476">
        <v>1</v>
      </c>
      <c r="Z476">
        <v>1</v>
      </c>
      <c r="AA476">
        <v>3</v>
      </c>
      <c r="AB476">
        <v>2</v>
      </c>
    </row>
    <row r="477" spans="1:28" x14ac:dyDescent="0.35">
      <c r="A477" t="s">
        <v>1273</v>
      </c>
      <c r="B477" t="s">
        <v>2261</v>
      </c>
      <c r="C477" t="s">
        <v>851</v>
      </c>
      <c r="D477">
        <v>2022</v>
      </c>
      <c r="E477">
        <v>2019</v>
      </c>
      <c r="F477" t="s">
        <v>1951</v>
      </c>
      <c r="G477">
        <v>2020</v>
      </c>
      <c r="H477" t="s">
        <v>1953</v>
      </c>
      <c r="I477" t="s">
        <v>1672</v>
      </c>
      <c r="J477" s="66">
        <v>2025</v>
      </c>
      <c r="P477" s="95">
        <f t="shared" ref="P477:Q479" si="65">P533*$BP$147</f>
        <v>9.0563125668101723</v>
      </c>
      <c r="Q477" s="95">
        <f>Q533*$BP$147</f>
        <v>6.4445523317264435</v>
      </c>
      <c r="W477" s="66" t="s">
        <v>1962</v>
      </c>
      <c r="X477">
        <v>3</v>
      </c>
      <c r="Y477">
        <v>1</v>
      </c>
      <c r="Z477">
        <v>1</v>
      </c>
      <c r="AA477">
        <v>3</v>
      </c>
      <c r="AB477">
        <v>2</v>
      </c>
    </row>
    <row r="478" spans="1:28" x14ac:dyDescent="0.35">
      <c r="A478" t="s">
        <v>1273</v>
      </c>
      <c r="B478" t="s">
        <v>2261</v>
      </c>
      <c r="C478" t="s">
        <v>851</v>
      </c>
      <c r="D478">
        <v>2022</v>
      </c>
      <c r="E478">
        <v>2019</v>
      </c>
      <c r="F478" t="s">
        <v>1951</v>
      </c>
      <c r="G478">
        <v>2020</v>
      </c>
      <c r="H478" t="s">
        <v>1953</v>
      </c>
      <c r="I478" t="s">
        <v>1672</v>
      </c>
      <c r="J478" s="66">
        <v>2030</v>
      </c>
      <c r="P478" s="95">
        <f t="shared" si="65"/>
        <v>10.348545264919512</v>
      </c>
      <c r="Q478" s="95">
        <f t="shared" si="65"/>
        <v>9.0563125668101723</v>
      </c>
      <c r="R478" s="95">
        <f>R534*$BP$147</f>
        <v>6.4445523317264435</v>
      </c>
      <c r="W478" s="66" t="s">
        <v>1962</v>
      </c>
      <c r="X478">
        <v>3</v>
      </c>
      <c r="Y478">
        <v>1</v>
      </c>
      <c r="Z478">
        <v>1</v>
      </c>
      <c r="AA478">
        <v>3</v>
      </c>
      <c r="AB478">
        <v>2</v>
      </c>
    </row>
    <row r="479" spans="1:28" x14ac:dyDescent="0.35">
      <c r="A479" t="s">
        <v>1273</v>
      </c>
      <c r="B479" t="s">
        <v>2261</v>
      </c>
      <c r="C479" t="s">
        <v>851</v>
      </c>
      <c r="D479">
        <v>2022</v>
      </c>
      <c r="E479">
        <v>2019</v>
      </c>
      <c r="F479" t="s">
        <v>1951</v>
      </c>
      <c r="G479">
        <v>2020</v>
      </c>
      <c r="H479" t="s">
        <v>1953</v>
      </c>
      <c r="I479" t="s">
        <v>1672</v>
      </c>
      <c r="J479" s="66">
        <v>2035</v>
      </c>
      <c r="Q479" s="95">
        <f t="shared" si="65"/>
        <v>10.348545264919512</v>
      </c>
      <c r="R479" s="95">
        <f t="shared" ref="R479" si="66">R535*$BP$147</f>
        <v>9.0563125668101723</v>
      </c>
      <c r="S479" s="95">
        <f>S535*$BP$147</f>
        <v>6.4445523317264435</v>
      </c>
      <c r="W479" s="66" t="s">
        <v>1962</v>
      </c>
      <c r="X479">
        <v>3</v>
      </c>
      <c r="Y479">
        <v>1</v>
      </c>
      <c r="Z479">
        <v>1</v>
      </c>
      <c r="AA479">
        <v>3</v>
      </c>
      <c r="AB479">
        <v>2</v>
      </c>
    </row>
    <row r="480" spans="1:28" x14ac:dyDescent="0.35">
      <c r="A480" t="s">
        <v>1273</v>
      </c>
      <c r="B480" t="s">
        <v>2261</v>
      </c>
      <c r="C480" t="s">
        <v>851</v>
      </c>
      <c r="D480">
        <v>2022</v>
      </c>
      <c r="E480">
        <v>2019</v>
      </c>
      <c r="F480" t="s">
        <v>1951</v>
      </c>
      <c r="G480">
        <v>2020</v>
      </c>
      <c r="H480" t="s">
        <v>1953</v>
      </c>
      <c r="I480" t="s">
        <v>1672</v>
      </c>
      <c r="J480" s="66">
        <v>2040</v>
      </c>
      <c r="R480" s="95">
        <f t="shared" ref="R480:S480" si="67">R536*$BP$147</f>
        <v>10.348545264919512</v>
      </c>
      <c r="S480" s="95">
        <f t="shared" si="67"/>
        <v>9.0563125668101723</v>
      </c>
      <c r="T480" s="95">
        <f>T536*$BP$147</f>
        <v>6.4445523317264435</v>
      </c>
      <c r="W480" s="66" t="s">
        <v>1962</v>
      </c>
      <c r="X480">
        <v>3</v>
      </c>
      <c r="Y480">
        <v>1</v>
      </c>
      <c r="Z480">
        <v>1</v>
      </c>
      <c r="AA480">
        <v>3</v>
      </c>
      <c r="AB480">
        <v>2</v>
      </c>
    </row>
    <row r="481" spans="1:28" x14ac:dyDescent="0.35">
      <c r="A481" t="s">
        <v>1273</v>
      </c>
      <c r="B481" t="s">
        <v>2261</v>
      </c>
      <c r="C481" t="s">
        <v>851</v>
      </c>
      <c r="D481">
        <v>2022</v>
      </c>
      <c r="E481">
        <v>2019</v>
      </c>
      <c r="F481" t="s">
        <v>1951</v>
      </c>
      <c r="G481">
        <v>2020</v>
      </c>
      <c r="H481" t="s">
        <v>1953</v>
      </c>
      <c r="I481" t="s">
        <v>1672</v>
      </c>
      <c r="J481" s="66">
        <v>2045</v>
      </c>
      <c r="S481" s="95">
        <f t="shared" ref="S481:T481" si="68">S537*$BP$147</f>
        <v>10.348545264919512</v>
      </c>
      <c r="T481" s="95">
        <f t="shared" si="68"/>
        <v>9.0563125668101723</v>
      </c>
      <c r="U481" s="95">
        <f t="shared" ref="U481" si="69">U537*$BP$147</f>
        <v>6.4445523317264435</v>
      </c>
      <c r="W481" s="66" t="s">
        <v>1962</v>
      </c>
      <c r="X481">
        <v>3</v>
      </c>
      <c r="Y481">
        <v>1</v>
      </c>
      <c r="Z481">
        <v>1</v>
      </c>
      <c r="AA481">
        <v>3</v>
      </c>
      <c r="AB481">
        <v>2</v>
      </c>
    </row>
    <row r="482" spans="1:28" x14ac:dyDescent="0.35">
      <c r="A482" t="s">
        <v>1273</v>
      </c>
      <c r="B482" t="s">
        <v>2261</v>
      </c>
      <c r="C482" t="s">
        <v>851</v>
      </c>
      <c r="D482">
        <v>2022</v>
      </c>
      <c r="E482">
        <v>2019</v>
      </c>
      <c r="F482" t="s">
        <v>1951</v>
      </c>
      <c r="G482">
        <v>2020</v>
      </c>
      <c r="H482" t="s">
        <v>1953</v>
      </c>
      <c r="I482" t="s">
        <v>1672</v>
      </c>
      <c r="J482" s="66">
        <v>2050</v>
      </c>
      <c r="T482" s="95">
        <f t="shared" ref="T482:V482" si="70">T538*$BP$147</f>
        <v>10.348545264919512</v>
      </c>
      <c r="U482" s="95">
        <f t="shared" si="70"/>
        <v>9.0563125668101723</v>
      </c>
      <c r="V482" s="95">
        <f t="shared" si="70"/>
        <v>6.4445523317264435</v>
      </c>
      <c r="W482" s="66" t="s">
        <v>1962</v>
      </c>
      <c r="X482">
        <v>3</v>
      </c>
      <c r="Y482">
        <v>1</v>
      </c>
      <c r="Z482">
        <v>1</v>
      </c>
      <c r="AA482">
        <v>3</v>
      </c>
      <c r="AB482">
        <v>2</v>
      </c>
    </row>
    <row r="483" spans="1:28" x14ac:dyDescent="0.35">
      <c r="A483" t="s">
        <v>1274</v>
      </c>
      <c r="B483" t="s">
        <v>2261</v>
      </c>
      <c r="C483" t="s">
        <v>851</v>
      </c>
      <c r="D483">
        <v>2022</v>
      </c>
      <c r="E483">
        <v>2019</v>
      </c>
      <c r="F483" t="s">
        <v>1951</v>
      </c>
      <c r="G483">
        <v>2020</v>
      </c>
      <c r="H483" t="s">
        <v>1953</v>
      </c>
      <c r="I483" t="s">
        <v>1672</v>
      </c>
      <c r="J483" s="66">
        <v>2021</v>
      </c>
      <c r="P483" s="95">
        <f>P539*$BP$147</f>
        <v>9.8057197116354935</v>
      </c>
      <c r="W483" s="66" t="s">
        <v>1962</v>
      </c>
      <c r="X483">
        <v>3</v>
      </c>
      <c r="Y483">
        <v>1</v>
      </c>
      <c r="Z483">
        <v>1</v>
      </c>
      <c r="AA483">
        <v>3</v>
      </c>
      <c r="AB483">
        <v>2</v>
      </c>
    </row>
    <row r="484" spans="1:28" x14ac:dyDescent="0.35">
      <c r="A484" t="s">
        <v>1274</v>
      </c>
      <c r="B484" t="s">
        <v>2261</v>
      </c>
      <c r="C484" t="s">
        <v>851</v>
      </c>
      <c r="D484">
        <v>2022</v>
      </c>
      <c r="E484">
        <v>2019</v>
      </c>
      <c r="F484" t="s">
        <v>1951</v>
      </c>
      <c r="G484">
        <v>2020</v>
      </c>
      <c r="H484" t="s">
        <v>1953</v>
      </c>
      <c r="I484" t="s">
        <v>1672</v>
      </c>
      <c r="J484" s="66">
        <v>2025</v>
      </c>
      <c r="P484" s="95">
        <f t="shared" ref="P484" si="71">P540*$BP$147</f>
        <v>13.779648000362029</v>
      </c>
      <c r="Q484" s="95">
        <f>Q540*$BP$147</f>
        <v>9.8057197116354935</v>
      </c>
      <c r="W484" s="66" t="s">
        <v>1962</v>
      </c>
      <c r="X484">
        <v>3</v>
      </c>
      <c r="Y484">
        <v>1</v>
      </c>
      <c r="Z484">
        <v>1</v>
      </c>
      <c r="AA484">
        <v>3</v>
      </c>
      <c r="AB484">
        <v>2</v>
      </c>
    </row>
    <row r="485" spans="1:28" x14ac:dyDescent="0.35">
      <c r="A485" t="s">
        <v>1274</v>
      </c>
      <c r="B485" t="s">
        <v>2261</v>
      </c>
      <c r="C485" t="s">
        <v>851</v>
      </c>
      <c r="D485">
        <v>2022</v>
      </c>
      <c r="E485">
        <v>2019</v>
      </c>
      <c r="F485" t="s">
        <v>1951</v>
      </c>
      <c r="G485">
        <v>2020</v>
      </c>
      <c r="H485" t="s">
        <v>1953</v>
      </c>
      <c r="I485" t="s">
        <v>1672</v>
      </c>
      <c r="J485" s="66">
        <v>2030</v>
      </c>
      <c r="P485" s="95">
        <f t="shared" ref="P485:Q485" si="72">P541*$BP$147</f>
        <v>15.745846890157704</v>
      </c>
      <c r="Q485" s="95">
        <f t="shared" si="72"/>
        <v>13.779648000362029</v>
      </c>
      <c r="R485" s="95">
        <f>R541*$BP$147</f>
        <v>9.8057197116354935</v>
      </c>
      <c r="W485" s="66" t="s">
        <v>1962</v>
      </c>
      <c r="X485">
        <v>3</v>
      </c>
      <c r="Y485">
        <v>1</v>
      </c>
      <c r="Z485">
        <v>1</v>
      </c>
      <c r="AA485">
        <v>3</v>
      </c>
      <c r="AB485">
        <v>2</v>
      </c>
    </row>
    <row r="486" spans="1:28" x14ac:dyDescent="0.35">
      <c r="A486" t="s">
        <v>1274</v>
      </c>
      <c r="B486" t="s">
        <v>2261</v>
      </c>
      <c r="C486" t="s">
        <v>851</v>
      </c>
      <c r="D486">
        <v>2022</v>
      </c>
      <c r="E486">
        <v>2019</v>
      </c>
      <c r="F486" t="s">
        <v>1951</v>
      </c>
      <c r="G486">
        <v>2020</v>
      </c>
      <c r="H486" t="s">
        <v>1953</v>
      </c>
      <c r="I486" t="s">
        <v>1672</v>
      </c>
      <c r="J486" s="66">
        <v>2035</v>
      </c>
      <c r="Q486" s="95">
        <f t="shared" ref="Q486:R486" si="73">Q542*$BP$147</f>
        <v>15.745846890157704</v>
      </c>
      <c r="R486" s="95">
        <f t="shared" si="73"/>
        <v>13.779648000362029</v>
      </c>
      <c r="S486" s="95">
        <f>S542*$BP$147</f>
        <v>9.8057197116354935</v>
      </c>
      <c r="W486" s="66" t="s">
        <v>1962</v>
      </c>
      <c r="X486">
        <v>3</v>
      </c>
      <c r="Y486">
        <v>1</v>
      </c>
      <c r="Z486">
        <v>1</v>
      </c>
      <c r="AA486">
        <v>3</v>
      </c>
      <c r="AB486">
        <v>2</v>
      </c>
    </row>
    <row r="487" spans="1:28" x14ac:dyDescent="0.35">
      <c r="A487" t="s">
        <v>1274</v>
      </c>
      <c r="B487" t="s">
        <v>2261</v>
      </c>
      <c r="C487" t="s">
        <v>851</v>
      </c>
      <c r="D487">
        <v>2022</v>
      </c>
      <c r="E487">
        <v>2019</v>
      </c>
      <c r="F487" t="s">
        <v>1951</v>
      </c>
      <c r="G487">
        <v>2020</v>
      </c>
      <c r="H487" t="s">
        <v>1953</v>
      </c>
      <c r="I487" t="s">
        <v>1672</v>
      </c>
      <c r="J487" s="66">
        <v>2040</v>
      </c>
      <c r="R487" s="95">
        <f t="shared" ref="R487:S487" si="74">R543*$BP$147</f>
        <v>15.745846890157704</v>
      </c>
      <c r="S487" s="95">
        <f t="shared" si="74"/>
        <v>13.779648000362029</v>
      </c>
      <c r="T487" s="95">
        <f>T543*$BP$147</f>
        <v>9.8057197116354935</v>
      </c>
      <c r="W487" s="66" t="s">
        <v>1962</v>
      </c>
      <c r="X487">
        <v>3</v>
      </c>
      <c r="Y487">
        <v>1</v>
      </c>
      <c r="Z487">
        <v>1</v>
      </c>
      <c r="AA487">
        <v>3</v>
      </c>
      <c r="AB487">
        <v>2</v>
      </c>
    </row>
    <row r="488" spans="1:28" x14ac:dyDescent="0.35">
      <c r="A488" t="s">
        <v>1274</v>
      </c>
      <c r="B488" t="s">
        <v>2261</v>
      </c>
      <c r="C488" t="s">
        <v>851</v>
      </c>
      <c r="D488">
        <v>2022</v>
      </c>
      <c r="E488">
        <v>2019</v>
      </c>
      <c r="F488" t="s">
        <v>1951</v>
      </c>
      <c r="G488">
        <v>2020</v>
      </c>
      <c r="H488" t="s">
        <v>1953</v>
      </c>
      <c r="I488" t="s">
        <v>1672</v>
      </c>
      <c r="J488" s="66">
        <v>2045</v>
      </c>
      <c r="S488" s="95">
        <f t="shared" ref="S488:U488" si="75">S544*$BP$147</f>
        <v>15.745846890157704</v>
      </c>
      <c r="T488" s="95">
        <f t="shared" si="75"/>
        <v>13.779648000362029</v>
      </c>
      <c r="U488" s="95">
        <f t="shared" si="75"/>
        <v>9.8057197116354935</v>
      </c>
      <c r="W488" s="66" t="s">
        <v>1962</v>
      </c>
      <c r="X488">
        <v>3</v>
      </c>
      <c r="Y488">
        <v>1</v>
      </c>
      <c r="Z488">
        <v>1</v>
      </c>
      <c r="AA488">
        <v>3</v>
      </c>
      <c r="AB488">
        <v>2</v>
      </c>
    </row>
    <row r="489" spans="1:28" x14ac:dyDescent="0.35">
      <c r="A489" t="s">
        <v>1274</v>
      </c>
      <c r="B489" t="s">
        <v>2261</v>
      </c>
      <c r="C489" t="s">
        <v>851</v>
      </c>
      <c r="D489">
        <v>2022</v>
      </c>
      <c r="E489">
        <v>2019</v>
      </c>
      <c r="F489" t="s">
        <v>1951</v>
      </c>
      <c r="G489">
        <v>2020</v>
      </c>
      <c r="H489" t="s">
        <v>1953</v>
      </c>
      <c r="I489" t="s">
        <v>1672</v>
      </c>
      <c r="J489" s="66">
        <v>2050</v>
      </c>
      <c r="T489" s="95">
        <f t="shared" ref="T489:V489" si="76">T545*$BP$147</f>
        <v>15.745846890157704</v>
      </c>
      <c r="U489" s="95">
        <f t="shared" si="76"/>
        <v>13.779648000362029</v>
      </c>
      <c r="V489" s="95">
        <f t="shared" si="76"/>
        <v>9.8057197116354935</v>
      </c>
      <c r="W489" s="66" t="s">
        <v>1962</v>
      </c>
      <c r="X489">
        <v>3</v>
      </c>
      <c r="Y489">
        <v>1</v>
      </c>
      <c r="Z489">
        <v>1</v>
      </c>
      <c r="AA489">
        <v>3</v>
      </c>
      <c r="AB489">
        <v>2</v>
      </c>
    </row>
    <row r="490" spans="1:28" x14ac:dyDescent="0.35">
      <c r="A490" t="s">
        <v>1275</v>
      </c>
      <c r="B490" t="s">
        <v>2261</v>
      </c>
      <c r="C490" t="s">
        <v>851</v>
      </c>
      <c r="D490">
        <v>2022</v>
      </c>
      <c r="E490">
        <v>2019</v>
      </c>
      <c r="F490" t="s">
        <v>1951</v>
      </c>
      <c r="G490">
        <v>2020</v>
      </c>
      <c r="H490" t="s">
        <v>1953</v>
      </c>
      <c r="I490" t="s">
        <v>1672</v>
      </c>
      <c r="J490" s="66">
        <v>2021</v>
      </c>
      <c r="P490" s="95">
        <f>P546*$BP$147</f>
        <v>9.8057197116354935</v>
      </c>
      <c r="W490" s="66" t="s">
        <v>1962</v>
      </c>
      <c r="X490">
        <v>3</v>
      </c>
      <c r="Y490">
        <v>1</v>
      </c>
      <c r="Z490">
        <v>1</v>
      </c>
      <c r="AA490">
        <v>3</v>
      </c>
      <c r="AB490">
        <v>2</v>
      </c>
    </row>
    <row r="491" spans="1:28" x14ac:dyDescent="0.35">
      <c r="A491" t="s">
        <v>1275</v>
      </c>
      <c r="B491" t="s">
        <v>2261</v>
      </c>
      <c r="C491" t="s">
        <v>851</v>
      </c>
      <c r="D491">
        <v>2022</v>
      </c>
      <c r="E491">
        <v>2019</v>
      </c>
      <c r="F491" t="s">
        <v>1951</v>
      </c>
      <c r="G491">
        <v>2020</v>
      </c>
      <c r="H491" t="s">
        <v>1953</v>
      </c>
      <c r="I491" t="s">
        <v>1672</v>
      </c>
      <c r="J491" s="66">
        <v>2025</v>
      </c>
      <c r="P491" s="95">
        <f t="shared" ref="P491" si="77">P547*$BP$147</f>
        <v>13.779648000362029</v>
      </c>
      <c r="Q491" s="95">
        <f>Q547*$BP$147</f>
        <v>9.8057197116354935</v>
      </c>
      <c r="W491" s="66" t="s">
        <v>1962</v>
      </c>
      <c r="X491">
        <v>3</v>
      </c>
      <c r="Y491">
        <v>1</v>
      </c>
      <c r="Z491">
        <v>1</v>
      </c>
      <c r="AA491">
        <v>3</v>
      </c>
      <c r="AB491">
        <v>2</v>
      </c>
    </row>
    <row r="492" spans="1:28" x14ac:dyDescent="0.35">
      <c r="A492" t="s">
        <v>1275</v>
      </c>
      <c r="B492" t="s">
        <v>2261</v>
      </c>
      <c r="C492" t="s">
        <v>851</v>
      </c>
      <c r="D492">
        <v>2022</v>
      </c>
      <c r="E492">
        <v>2019</v>
      </c>
      <c r="F492" t="s">
        <v>1951</v>
      </c>
      <c r="G492">
        <v>2020</v>
      </c>
      <c r="H492" t="s">
        <v>1953</v>
      </c>
      <c r="I492" t="s">
        <v>1672</v>
      </c>
      <c r="J492" s="66">
        <v>2030</v>
      </c>
      <c r="P492" s="95">
        <f t="shared" ref="P492:Q492" si="78">P548*$BP$147</f>
        <v>15.745846890157704</v>
      </c>
      <c r="Q492" s="95">
        <f t="shared" si="78"/>
        <v>13.779648000362029</v>
      </c>
      <c r="R492" s="95">
        <f>R548*$BP$147</f>
        <v>9.8057197116354935</v>
      </c>
      <c r="W492" s="66" t="s">
        <v>1962</v>
      </c>
      <c r="X492">
        <v>3</v>
      </c>
      <c r="Y492">
        <v>1</v>
      </c>
      <c r="Z492">
        <v>1</v>
      </c>
      <c r="AA492">
        <v>3</v>
      </c>
      <c r="AB492">
        <v>2</v>
      </c>
    </row>
    <row r="493" spans="1:28" x14ac:dyDescent="0.35">
      <c r="A493" t="s">
        <v>1275</v>
      </c>
      <c r="B493" t="s">
        <v>2261</v>
      </c>
      <c r="C493" t="s">
        <v>851</v>
      </c>
      <c r="D493">
        <v>2022</v>
      </c>
      <c r="E493">
        <v>2019</v>
      </c>
      <c r="F493" t="s">
        <v>1951</v>
      </c>
      <c r="G493">
        <v>2020</v>
      </c>
      <c r="H493" t="s">
        <v>1953</v>
      </c>
      <c r="I493" t="s">
        <v>1672</v>
      </c>
      <c r="J493" s="66">
        <v>2035</v>
      </c>
      <c r="Q493" s="95">
        <f t="shared" ref="Q493:R493" si="79">Q549*$BP$147</f>
        <v>15.745846890157704</v>
      </c>
      <c r="R493" s="95">
        <f t="shared" si="79"/>
        <v>13.779648000362029</v>
      </c>
      <c r="S493" s="95">
        <f>S549*$BP$147</f>
        <v>9.8057197116354935</v>
      </c>
      <c r="W493" s="66" t="s">
        <v>1962</v>
      </c>
      <c r="X493">
        <v>3</v>
      </c>
      <c r="Y493">
        <v>1</v>
      </c>
      <c r="Z493">
        <v>1</v>
      </c>
      <c r="AA493">
        <v>3</v>
      </c>
      <c r="AB493">
        <v>2</v>
      </c>
    </row>
    <row r="494" spans="1:28" x14ac:dyDescent="0.35">
      <c r="A494" t="s">
        <v>1275</v>
      </c>
      <c r="B494" t="s">
        <v>2261</v>
      </c>
      <c r="C494" t="s">
        <v>851</v>
      </c>
      <c r="D494">
        <v>2022</v>
      </c>
      <c r="E494">
        <v>2019</v>
      </c>
      <c r="F494" t="s">
        <v>1951</v>
      </c>
      <c r="G494">
        <v>2020</v>
      </c>
      <c r="H494" t="s">
        <v>1953</v>
      </c>
      <c r="I494" t="s">
        <v>1672</v>
      </c>
      <c r="J494" s="66">
        <v>2040</v>
      </c>
      <c r="R494" s="95">
        <f t="shared" ref="R494:S494" si="80">R550*$BP$147</f>
        <v>15.745846890157704</v>
      </c>
      <c r="S494" s="95">
        <f t="shared" si="80"/>
        <v>13.779648000362029</v>
      </c>
      <c r="T494" s="95">
        <f>T550*$BP$147</f>
        <v>9.8057197116354935</v>
      </c>
      <c r="W494" s="66" t="s">
        <v>1962</v>
      </c>
      <c r="X494">
        <v>3</v>
      </c>
      <c r="Y494">
        <v>1</v>
      </c>
      <c r="Z494">
        <v>1</v>
      </c>
      <c r="AA494">
        <v>3</v>
      </c>
      <c r="AB494">
        <v>2</v>
      </c>
    </row>
    <row r="495" spans="1:28" x14ac:dyDescent="0.35">
      <c r="A495" t="s">
        <v>1275</v>
      </c>
      <c r="B495" t="s">
        <v>2261</v>
      </c>
      <c r="C495" t="s">
        <v>851</v>
      </c>
      <c r="D495">
        <v>2022</v>
      </c>
      <c r="E495">
        <v>2019</v>
      </c>
      <c r="F495" t="s">
        <v>1951</v>
      </c>
      <c r="G495">
        <v>2020</v>
      </c>
      <c r="H495" t="s">
        <v>1953</v>
      </c>
      <c r="I495" t="s">
        <v>1672</v>
      </c>
      <c r="J495" s="66">
        <v>2045</v>
      </c>
      <c r="S495" s="95">
        <f t="shared" ref="S495:U495" si="81">S551*$BP$147</f>
        <v>15.745846890157704</v>
      </c>
      <c r="T495" s="95">
        <f t="shared" si="81"/>
        <v>13.779648000362029</v>
      </c>
      <c r="U495" s="95">
        <f t="shared" si="81"/>
        <v>9.8057197116354935</v>
      </c>
      <c r="W495" s="66" t="s">
        <v>1962</v>
      </c>
      <c r="X495">
        <v>3</v>
      </c>
      <c r="Y495">
        <v>1</v>
      </c>
      <c r="Z495">
        <v>1</v>
      </c>
      <c r="AA495">
        <v>3</v>
      </c>
      <c r="AB495">
        <v>2</v>
      </c>
    </row>
    <row r="496" spans="1:28" x14ac:dyDescent="0.35">
      <c r="A496" t="s">
        <v>1275</v>
      </c>
      <c r="B496" t="s">
        <v>2261</v>
      </c>
      <c r="C496" t="s">
        <v>851</v>
      </c>
      <c r="D496">
        <v>2022</v>
      </c>
      <c r="E496">
        <v>2019</v>
      </c>
      <c r="F496" t="s">
        <v>1951</v>
      </c>
      <c r="G496">
        <v>2020</v>
      </c>
      <c r="H496" t="s">
        <v>1953</v>
      </c>
      <c r="I496" t="s">
        <v>1672</v>
      </c>
      <c r="J496" s="66">
        <v>2050</v>
      </c>
      <c r="T496" s="95">
        <f t="shared" ref="T496:V496" si="82">T552*$BP$147</f>
        <v>15.745846890157704</v>
      </c>
      <c r="U496" s="95">
        <f t="shared" si="82"/>
        <v>13.779648000362029</v>
      </c>
      <c r="V496" s="95">
        <f t="shared" si="82"/>
        <v>9.8057197116354935</v>
      </c>
      <c r="W496" s="66" t="s">
        <v>1962</v>
      </c>
      <c r="X496">
        <v>3</v>
      </c>
      <c r="Y496">
        <v>1</v>
      </c>
      <c r="Z496">
        <v>1</v>
      </c>
      <c r="AA496">
        <v>3</v>
      </c>
      <c r="AB496">
        <v>2</v>
      </c>
    </row>
    <row r="497" spans="1:28" x14ac:dyDescent="0.35">
      <c r="A497" t="s">
        <v>1276</v>
      </c>
      <c r="B497" t="s">
        <v>2261</v>
      </c>
      <c r="C497" t="s">
        <v>851</v>
      </c>
      <c r="D497">
        <v>2022</v>
      </c>
      <c r="E497">
        <v>2019</v>
      </c>
      <c r="F497" t="s">
        <v>1951</v>
      </c>
      <c r="G497">
        <v>2020</v>
      </c>
      <c r="H497" t="s">
        <v>1953</v>
      </c>
      <c r="I497" t="s">
        <v>1672</v>
      </c>
      <c r="J497" s="66">
        <v>2021</v>
      </c>
      <c r="P497" s="95">
        <f>P553*$BP$147</f>
        <v>8.5309761491228784</v>
      </c>
      <c r="W497" s="66" t="s">
        <v>1962</v>
      </c>
      <c r="X497">
        <v>3</v>
      </c>
      <c r="Y497">
        <v>1</v>
      </c>
      <c r="Z497">
        <v>1</v>
      </c>
      <c r="AA497">
        <v>3</v>
      </c>
      <c r="AB497">
        <v>2</v>
      </c>
    </row>
    <row r="498" spans="1:28" x14ac:dyDescent="0.35">
      <c r="A498" t="s">
        <v>1276</v>
      </c>
      <c r="B498" t="s">
        <v>2261</v>
      </c>
      <c r="C498" t="s">
        <v>851</v>
      </c>
      <c r="D498">
        <v>2022</v>
      </c>
      <c r="E498">
        <v>2019</v>
      </c>
      <c r="F498" t="s">
        <v>1951</v>
      </c>
      <c r="G498">
        <v>2020</v>
      </c>
      <c r="H498" t="s">
        <v>1953</v>
      </c>
      <c r="I498" t="s">
        <v>1672</v>
      </c>
      <c r="J498" s="66">
        <v>2025</v>
      </c>
      <c r="P498" s="95">
        <f t="shared" ref="P498" si="83">P554*$BP$147</f>
        <v>11.988293760314962</v>
      </c>
      <c r="Q498" s="95">
        <f>Q554*$BP$147</f>
        <v>8.5309761491228784</v>
      </c>
      <c r="W498" s="66" t="s">
        <v>1962</v>
      </c>
      <c r="X498">
        <v>3</v>
      </c>
      <c r="Y498">
        <v>1</v>
      </c>
      <c r="Z498">
        <v>1</v>
      </c>
      <c r="AA498">
        <v>3</v>
      </c>
      <c r="AB498">
        <v>2</v>
      </c>
    </row>
    <row r="499" spans="1:28" x14ac:dyDescent="0.35">
      <c r="A499" t="s">
        <v>1276</v>
      </c>
      <c r="B499" t="s">
        <v>2261</v>
      </c>
      <c r="C499" t="s">
        <v>851</v>
      </c>
      <c r="D499">
        <v>2022</v>
      </c>
      <c r="E499">
        <v>2019</v>
      </c>
      <c r="F499" t="s">
        <v>1951</v>
      </c>
      <c r="G499">
        <v>2020</v>
      </c>
      <c r="H499" t="s">
        <v>1953</v>
      </c>
      <c r="I499" t="s">
        <v>1672</v>
      </c>
      <c r="J499" s="66">
        <v>2030</v>
      </c>
      <c r="P499" s="95">
        <f t="shared" ref="P499:Q499" si="84">P555*$BP$147</f>
        <v>13.698886794437202</v>
      </c>
      <c r="Q499" s="95">
        <f t="shared" si="84"/>
        <v>11.988293760314962</v>
      </c>
      <c r="R499" s="95">
        <f>R555*$BP$147</f>
        <v>8.5309761491228784</v>
      </c>
      <c r="W499" s="66" t="s">
        <v>1962</v>
      </c>
      <c r="X499">
        <v>3</v>
      </c>
      <c r="Y499">
        <v>1</v>
      </c>
      <c r="Z499">
        <v>1</v>
      </c>
      <c r="AA499">
        <v>3</v>
      </c>
      <c r="AB499">
        <v>2</v>
      </c>
    </row>
    <row r="500" spans="1:28" x14ac:dyDescent="0.35">
      <c r="A500" t="s">
        <v>1276</v>
      </c>
      <c r="B500" t="s">
        <v>2261</v>
      </c>
      <c r="C500" t="s">
        <v>851</v>
      </c>
      <c r="D500">
        <v>2022</v>
      </c>
      <c r="E500">
        <v>2019</v>
      </c>
      <c r="F500" t="s">
        <v>1951</v>
      </c>
      <c r="G500">
        <v>2020</v>
      </c>
      <c r="H500" t="s">
        <v>1953</v>
      </c>
      <c r="I500" t="s">
        <v>1672</v>
      </c>
      <c r="J500" s="66">
        <v>2035</v>
      </c>
      <c r="Q500" s="95">
        <f t="shared" ref="Q500:R500" si="85">Q556*$BP$147</f>
        <v>13.698886794437202</v>
      </c>
      <c r="R500" s="95">
        <f t="shared" si="85"/>
        <v>11.988293760314962</v>
      </c>
      <c r="S500" s="95">
        <f>S556*$BP$147</f>
        <v>8.5309761491228784</v>
      </c>
      <c r="W500" s="66" t="s">
        <v>1962</v>
      </c>
      <c r="X500">
        <v>3</v>
      </c>
      <c r="Y500">
        <v>1</v>
      </c>
      <c r="Z500">
        <v>1</v>
      </c>
      <c r="AA500">
        <v>3</v>
      </c>
      <c r="AB500">
        <v>2</v>
      </c>
    </row>
    <row r="501" spans="1:28" x14ac:dyDescent="0.35">
      <c r="A501" t="s">
        <v>1276</v>
      </c>
      <c r="B501" t="s">
        <v>2261</v>
      </c>
      <c r="C501" t="s">
        <v>851</v>
      </c>
      <c r="D501">
        <v>2022</v>
      </c>
      <c r="E501">
        <v>2019</v>
      </c>
      <c r="F501" t="s">
        <v>1951</v>
      </c>
      <c r="G501">
        <v>2020</v>
      </c>
      <c r="H501" t="s">
        <v>1953</v>
      </c>
      <c r="I501" t="s">
        <v>1672</v>
      </c>
      <c r="J501" s="66">
        <v>2040</v>
      </c>
      <c r="R501" s="95">
        <f t="shared" ref="R501:S501" si="86">R557*$BP$147</f>
        <v>13.698886794437202</v>
      </c>
      <c r="S501" s="95">
        <f t="shared" si="86"/>
        <v>11.988293760314962</v>
      </c>
      <c r="T501" s="95">
        <f>T557*$BP$147</f>
        <v>8.5309761491228784</v>
      </c>
      <c r="W501" s="66" t="s">
        <v>1962</v>
      </c>
      <c r="X501">
        <v>3</v>
      </c>
      <c r="Y501">
        <v>1</v>
      </c>
      <c r="Z501">
        <v>1</v>
      </c>
      <c r="AA501">
        <v>3</v>
      </c>
      <c r="AB501">
        <v>2</v>
      </c>
    </row>
    <row r="502" spans="1:28" x14ac:dyDescent="0.35">
      <c r="A502" t="s">
        <v>1276</v>
      </c>
      <c r="B502" t="s">
        <v>2261</v>
      </c>
      <c r="C502" t="s">
        <v>851</v>
      </c>
      <c r="D502">
        <v>2022</v>
      </c>
      <c r="E502">
        <v>2019</v>
      </c>
      <c r="F502" t="s">
        <v>1951</v>
      </c>
      <c r="G502">
        <v>2020</v>
      </c>
      <c r="H502" t="s">
        <v>1953</v>
      </c>
      <c r="I502" t="s">
        <v>1672</v>
      </c>
      <c r="J502" s="66">
        <v>2045</v>
      </c>
      <c r="S502" s="95">
        <f t="shared" ref="S502:U502" si="87">S558*$BP$147</f>
        <v>13.698886794437202</v>
      </c>
      <c r="T502" s="95">
        <f t="shared" si="87"/>
        <v>11.988293760314962</v>
      </c>
      <c r="U502" s="95">
        <f t="shared" si="87"/>
        <v>8.5309761491228784</v>
      </c>
      <c r="W502" s="66" t="s">
        <v>1962</v>
      </c>
      <c r="X502">
        <v>3</v>
      </c>
      <c r="Y502">
        <v>1</v>
      </c>
      <c r="Z502">
        <v>1</v>
      </c>
      <c r="AA502">
        <v>3</v>
      </c>
      <c r="AB502">
        <v>2</v>
      </c>
    </row>
    <row r="503" spans="1:28" x14ac:dyDescent="0.35">
      <c r="A503" t="s">
        <v>1276</v>
      </c>
      <c r="B503" t="s">
        <v>2261</v>
      </c>
      <c r="C503" t="s">
        <v>851</v>
      </c>
      <c r="D503">
        <v>2022</v>
      </c>
      <c r="E503">
        <v>2019</v>
      </c>
      <c r="F503" t="s">
        <v>1951</v>
      </c>
      <c r="G503">
        <v>2020</v>
      </c>
      <c r="H503" t="s">
        <v>1953</v>
      </c>
      <c r="I503" t="s">
        <v>1672</v>
      </c>
      <c r="J503" s="66">
        <v>2050</v>
      </c>
      <c r="T503" s="95">
        <f t="shared" ref="T503:V503" si="88">T559*$BP$147</f>
        <v>13.698886794437202</v>
      </c>
      <c r="U503" s="95">
        <f t="shared" si="88"/>
        <v>11.988293760314962</v>
      </c>
      <c r="V503" s="95">
        <f t="shared" si="88"/>
        <v>8.5309761491228784</v>
      </c>
      <c r="W503" s="66" t="s">
        <v>1962</v>
      </c>
      <c r="X503">
        <v>3</v>
      </c>
      <c r="Y503">
        <v>1</v>
      </c>
      <c r="Z503">
        <v>1</v>
      </c>
      <c r="AA503">
        <v>3</v>
      </c>
      <c r="AB503">
        <v>2</v>
      </c>
    </row>
    <row r="504" spans="1:28" x14ac:dyDescent="0.35">
      <c r="A504" t="s">
        <v>1277</v>
      </c>
      <c r="B504" t="s">
        <v>2261</v>
      </c>
      <c r="C504" t="s">
        <v>851</v>
      </c>
      <c r="D504">
        <v>2022</v>
      </c>
      <c r="E504">
        <v>2019</v>
      </c>
      <c r="F504" t="s">
        <v>1951</v>
      </c>
      <c r="G504">
        <v>2020</v>
      </c>
      <c r="H504" t="s">
        <v>1953</v>
      </c>
      <c r="I504" t="s">
        <v>1672</v>
      </c>
      <c r="J504" s="66">
        <v>2021</v>
      </c>
      <c r="P504" s="95">
        <f>P560*$BP$147</f>
        <v>8.236804557773814</v>
      </c>
      <c r="W504" s="66" t="s">
        <v>1962</v>
      </c>
      <c r="X504">
        <v>3</v>
      </c>
      <c r="Y504">
        <v>1</v>
      </c>
      <c r="Z504">
        <v>1</v>
      </c>
      <c r="AA504">
        <v>3</v>
      </c>
      <c r="AB504">
        <v>2</v>
      </c>
    </row>
    <row r="505" spans="1:28" x14ac:dyDescent="0.35">
      <c r="A505" t="s">
        <v>1277</v>
      </c>
      <c r="B505" t="s">
        <v>2261</v>
      </c>
      <c r="C505" t="s">
        <v>851</v>
      </c>
      <c r="D505">
        <v>2022</v>
      </c>
      <c r="E505">
        <v>2019</v>
      </c>
      <c r="F505" t="s">
        <v>1951</v>
      </c>
      <c r="G505">
        <v>2020</v>
      </c>
      <c r="H505" t="s">
        <v>1953</v>
      </c>
      <c r="I505" t="s">
        <v>1672</v>
      </c>
      <c r="J505" s="66">
        <v>2025</v>
      </c>
      <c r="P505" s="95">
        <f t="shared" ref="P505" si="89">P561*$BP$147</f>
        <v>11.574904320304103</v>
      </c>
      <c r="Q505" s="95">
        <f>Q561*$BP$147</f>
        <v>8.236804557773814</v>
      </c>
      <c r="W505" s="66" t="s">
        <v>1962</v>
      </c>
      <c r="X505">
        <v>3</v>
      </c>
      <c r="Y505">
        <v>1</v>
      </c>
      <c r="Z505">
        <v>1</v>
      </c>
      <c r="AA505">
        <v>3</v>
      </c>
      <c r="AB505">
        <v>2</v>
      </c>
    </row>
    <row r="506" spans="1:28" x14ac:dyDescent="0.35">
      <c r="A506" t="s">
        <v>1277</v>
      </c>
      <c r="B506" t="s">
        <v>2261</v>
      </c>
      <c r="C506" t="s">
        <v>851</v>
      </c>
      <c r="D506">
        <v>2022</v>
      </c>
      <c r="E506">
        <v>2019</v>
      </c>
      <c r="F506" t="s">
        <v>1951</v>
      </c>
      <c r="G506">
        <v>2020</v>
      </c>
      <c r="H506" t="s">
        <v>1953</v>
      </c>
      <c r="I506" t="s">
        <v>1672</v>
      </c>
      <c r="J506" s="66">
        <v>2030</v>
      </c>
      <c r="P506" s="95">
        <f t="shared" ref="P506:Q506" si="90">P562*$BP$147</f>
        <v>13.226511387732469</v>
      </c>
      <c r="Q506" s="95">
        <f t="shared" si="90"/>
        <v>11.574904320304103</v>
      </c>
      <c r="R506" s="95">
        <f>R562*$BP$147</f>
        <v>8.236804557773814</v>
      </c>
      <c r="W506" s="66" t="s">
        <v>1962</v>
      </c>
      <c r="X506">
        <v>3</v>
      </c>
      <c r="Y506">
        <v>1</v>
      </c>
      <c r="Z506">
        <v>1</v>
      </c>
      <c r="AA506">
        <v>3</v>
      </c>
      <c r="AB506">
        <v>2</v>
      </c>
    </row>
    <row r="507" spans="1:28" x14ac:dyDescent="0.35">
      <c r="A507" t="s">
        <v>1277</v>
      </c>
      <c r="B507" t="s">
        <v>2261</v>
      </c>
      <c r="C507" t="s">
        <v>851</v>
      </c>
      <c r="D507">
        <v>2022</v>
      </c>
      <c r="E507">
        <v>2019</v>
      </c>
      <c r="F507" t="s">
        <v>1951</v>
      </c>
      <c r="G507">
        <v>2020</v>
      </c>
      <c r="H507" t="s">
        <v>1953</v>
      </c>
      <c r="I507" t="s">
        <v>1672</v>
      </c>
      <c r="J507" s="66">
        <v>2035</v>
      </c>
      <c r="Q507" s="95">
        <f t="shared" ref="Q507:R507" si="91">Q563*$BP$147</f>
        <v>13.226511387732469</v>
      </c>
      <c r="R507" s="95">
        <f t="shared" si="91"/>
        <v>11.574904320304103</v>
      </c>
      <c r="S507" s="95">
        <f>S563*$BP$147</f>
        <v>8.236804557773814</v>
      </c>
      <c r="W507" s="66" t="s">
        <v>1962</v>
      </c>
      <c r="X507">
        <v>3</v>
      </c>
      <c r="Y507">
        <v>1</v>
      </c>
      <c r="Z507">
        <v>1</v>
      </c>
      <c r="AA507">
        <v>3</v>
      </c>
      <c r="AB507">
        <v>2</v>
      </c>
    </row>
    <row r="508" spans="1:28" x14ac:dyDescent="0.35">
      <c r="A508" t="s">
        <v>1277</v>
      </c>
      <c r="B508" t="s">
        <v>2261</v>
      </c>
      <c r="C508" t="s">
        <v>851</v>
      </c>
      <c r="D508">
        <v>2022</v>
      </c>
      <c r="E508">
        <v>2019</v>
      </c>
      <c r="F508" t="s">
        <v>1951</v>
      </c>
      <c r="G508">
        <v>2020</v>
      </c>
      <c r="H508" t="s">
        <v>1953</v>
      </c>
      <c r="I508" t="s">
        <v>1672</v>
      </c>
      <c r="J508" s="66">
        <v>2040</v>
      </c>
      <c r="R508" s="95">
        <f t="shared" ref="R508:S508" si="92">R564*$BP$147</f>
        <v>13.226511387732469</v>
      </c>
      <c r="S508" s="95">
        <f t="shared" si="92"/>
        <v>11.574904320304103</v>
      </c>
      <c r="T508" s="95">
        <f>T564*$BP$147</f>
        <v>8.236804557773814</v>
      </c>
      <c r="W508" s="66" t="s">
        <v>1962</v>
      </c>
      <c r="X508">
        <v>3</v>
      </c>
      <c r="Y508">
        <v>1</v>
      </c>
      <c r="Z508">
        <v>1</v>
      </c>
      <c r="AA508">
        <v>3</v>
      </c>
      <c r="AB508">
        <v>2</v>
      </c>
    </row>
    <row r="509" spans="1:28" x14ac:dyDescent="0.35">
      <c r="A509" t="s">
        <v>1277</v>
      </c>
      <c r="B509" t="s">
        <v>2261</v>
      </c>
      <c r="C509" t="s">
        <v>851</v>
      </c>
      <c r="D509">
        <v>2022</v>
      </c>
      <c r="E509">
        <v>2019</v>
      </c>
      <c r="F509" t="s">
        <v>1951</v>
      </c>
      <c r="G509">
        <v>2020</v>
      </c>
      <c r="H509" t="s">
        <v>1953</v>
      </c>
      <c r="I509" t="s">
        <v>1672</v>
      </c>
      <c r="J509" s="66">
        <v>2045</v>
      </c>
      <c r="S509" s="95">
        <f t="shared" ref="S509:U509" si="93">S565*$BP$147</f>
        <v>13.226511387732469</v>
      </c>
      <c r="T509" s="95">
        <f t="shared" si="93"/>
        <v>11.574904320304103</v>
      </c>
      <c r="U509" s="95">
        <f t="shared" si="93"/>
        <v>8.236804557773814</v>
      </c>
      <c r="W509" s="66" t="s">
        <v>1962</v>
      </c>
      <c r="X509">
        <v>3</v>
      </c>
      <c r="Y509">
        <v>1</v>
      </c>
      <c r="Z509">
        <v>1</v>
      </c>
      <c r="AA509">
        <v>3</v>
      </c>
      <c r="AB509">
        <v>2</v>
      </c>
    </row>
    <row r="510" spans="1:28" x14ac:dyDescent="0.35">
      <c r="A510" t="s">
        <v>1277</v>
      </c>
      <c r="B510" t="s">
        <v>2261</v>
      </c>
      <c r="C510" t="s">
        <v>851</v>
      </c>
      <c r="D510">
        <v>2022</v>
      </c>
      <c r="E510">
        <v>2019</v>
      </c>
      <c r="F510" t="s">
        <v>1951</v>
      </c>
      <c r="G510">
        <v>2020</v>
      </c>
      <c r="H510" t="s">
        <v>1953</v>
      </c>
      <c r="I510" t="s">
        <v>1672</v>
      </c>
      <c r="J510" s="66">
        <v>2050</v>
      </c>
      <c r="T510" s="95">
        <f t="shared" ref="T510:V510" si="94">T566*$BP$147</f>
        <v>13.226511387732469</v>
      </c>
      <c r="U510" s="95">
        <f t="shared" si="94"/>
        <v>11.574904320304103</v>
      </c>
      <c r="V510" s="95">
        <f t="shared" si="94"/>
        <v>8.236804557773814</v>
      </c>
      <c r="W510" s="66" t="s">
        <v>1962</v>
      </c>
      <c r="X510">
        <v>3</v>
      </c>
      <c r="Y510">
        <v>1</v>
      </c>
      <c r="Z510">
        <v>1</v>
      </c>
      <c r="AA510">
        <v>3</v>
      </c>
      <c r="AB510">
        <v>2</v>
      </c>
    </row>
    <row r="511" spans="1:28" x14ac:dyDescent="0.35">
      <c r="A511" t="s">
        <v>1278</v>
      </c>
      <c r="B511" t="s">
        <v>2261</v>
      </c>
      <c r="C511" t="s">
        <v>851</v>
      </c>
      <c r="D511">
        <v>2022</v>
      </c>
      <c r="E511">
        <v>2019</v>
      </c>
      <c r="F511" t="s">
        <v>1951</v>
      </c>
      <c r="G511">
        <v>2020</v>
      </c>
      <c r="H511" t="s">
        <v>1953</v>
      </c>
      <c r="I511" t="s">
        <v>1672</v>
      </c>
      <c r="J511" s="66">
        <v>2021</v>
      </c>
      <c r="P511" s="95">
        <f>P567*$BP$147</f>
        <v>5.8834318269812975</v>
      </c>
      <c r="W511" s="66" t="s">
        <v>1962</v>
      </c>
      <c r="X511">
        <v>3</v>
      </c>
      <c r="Y511">
        <v>1</v>
      </c>
      <c r="Z511">
        <v>1</v>
      </c>
      <c r="AA511">
        <v>3</v>
      </c>
      <c r="AB511">
        <v>2</v>
      </c>
    </row>
    <row r="512" spans="1:28" x14ac:dyDescent="0.35">
      <c r="A512" t="s">
        <v>1278</v>
      </c>
      <c r="B512" t="s">
        <v>2261</v>
      </c>
      <c r="C512" t="s">
        <v>851</v>
      </c>
      <c r="D512">
        <v>2022</v>
      </c>
      <c r="E512">
        <v>2019</v>
      </c>
      <c r="F512" t="s">
        <v>1951</v>
      </c>
      <c r="G512">
        <v>2020</v>
      </c>
      <c r="H512" t="s">
        <v>1953</v>
      </c>
      <c r="I512" t="s">
        <v>1672</v>
      </c>
      <c r="J512" s="66">
        <v>2025</v>
      </c>
      <c r="P512" s="95">
        <f t="shared" ref="P512" si="95">P568*$BP$147</f>
        <v>8.2677888002172164</v>
      </c>
      <c r="Q512" s="95">
        <f>Q568*$BP$147</f>
        <v>5.8834318269812975</v>
      </c>
      <c r="W512" s="66" t="s">
        <v>1962</v>
      </c>
      <c r="X512">
        <v>3</v>
      </c>
      <c r="Y512">
        <v>1</v>
      </c>
      <c r="Z512">
        <v>1</v>
      </c>
      <c r="AA512">
        <v>3</v>
      </c>
      <c r="AB512">
        <v>2</v>
      </c>
    </row>
    <row r="513" spans="1:28" x14ac:dyDescent="0.35">
      <c r="A513" t="s">
        <v>1278</v>
      </c>
      <c r="B513" t="s">
        <v>2261</v>
      </c>
      <c r="C513" t="s">
        <v>851</v>
      </c>
      <c r="D513">
        <v>2022</v>
      </c>
      <c r="E513">
        <v>2019</v>
      </c>
      <c r="F513" t="s">
        <v>1951</v>
      </c>
      <c r="G513">
        <v>2020</v>
      </c>
      <c r="H513" t="s">
        <v>1953</v>
      </c>
      <c r="I513" t="s">
        <v>1672</v>
      </c>
      <c r="J513" s="66">
        <v>2030</v>
      </c>
      <c r="P513" s="95">
        <f t="shared" ref="P513:Q513" si="96">P569*$BP$147</f>
        <v>9.4475081340946225</v>
      </c>
      <c r="Q513" s="95">
        <f t="shared" si="96"/>
        <v>8.2677888002172164</v>
      </c>
      <c r="R513" s="95">
        <f>R569*$BP$147</f>
        <v>5.8834318269812975</v>
      </c>
      <c r="W513" s="66" t="s">
        <v>1962</v>
      </c>
      <c r="X513">
        <v>3</v>
      </c>
      <c r="Y513">
        <v>1</v>
      </c>
      <c r="Z513">
        <v>1</v>
      </c>
      <c r="AA513">
        <v>3</v>
      </c>
      <c r="AB513">
        <v>2</v>
      </c>
    </row>
    <row r="514" spans="1:28" x14ac:dyDescent="0.35">
      <c r="A514" t="s">
        <v>1278</v>
      </c>
      <c r="B514" t="s">
        <v>2261</v>
      </c>
      <c r="C514" t="s">
        <v>851</v>
      </c>
      <c r="D514">
        <v>2022</v>
      </c>
      <c r="E514">
        <v>2019</v>
      </c>
      <c r="F514" t="s">
        <v>1951</v>
      </c>
      <c r="G514">
        <v>2020</v>
      </c>
      <c r="H514" t="s">
        <v>1953</v>
      </c>
      <c r="I514" t="s">
        <v>1672</v>
      </c>
      <c r="J514" s="66">
        <v>2035</v>
      </c>
      <c r="Q514" s="95">
        <f t="shared" ref="Q514:R514" si="97">Q570*$BP$147</f>
        <v>9.4475081340946225</v>
      </c>
      <c r="R514" s="95">
        <f t="shared" si="97"/>
        <v>8.2677888002172164</v>
      </c>
      <c r="S514" s="95">
        <f>S570*$BP$147</f>
        <v>5.8834318269812975</v>
      </c>
      <c r="W514" s="66" t="s">
        <v>1962</v>
      </c>
      <c r="X514">
        <v>3</v>
      </c>
      <c r="Y514">
        <v>1</v>
      </c>
      <c r="Z514">
        <v>1</v>
      </c>
      <c r="AA514">
        <v>3</v>
      </c>
      <c r="AB514">
        <v>2</v>
      </c>
    </row>
    <row r="515" spans="1:28" x14ac:dyDescent="0.35">
      <c r="A515" t="s">
        <v>1278</v>
      </c>
      <c r="B515" t="s">
        <v>2261</v>
      </c>
      <c r="C515" t="s">
        <v>851</v>
      </c>
      <c r="D515">
        <v>2022</v>
      </c>
      <c r="E515">
        <v>2019</v>
      </c>
      <c r="F515" t="s">
        <v>1951</v>
      </c>
      <c r="G515">
        <v>2020</v>
      </c>
      <c r="H515" t="s">
        <v>1953</v>
      </c>
      <c r="I515" t="s">
        <v>1672</v>
      </c>
      <c r="J515" s="66">
        <v>2040</v>
      </c>
      <c r="R515" s="95">
        <f t="shared" ref="R515:S515" si="98">R571*$BP$147</f>
        <v>9.4475081340946225</v>
      </c>
      <c r="S515" s="95">
        <f t="shared" si="98"/>
        <v>8.2677888002172164</v>
      </c>
      <c r="T515" s="95">
        <f>T571*$BP$147</f>
        <v>5.8834318269812975</v>
      </c>
      <c r="W515" s="66" t="s">
        <v>1962</v>
      </c>
      <c r="X515">
        <v>3</v>
      </c>
      <c r="Y515">
        <v>1</v>
      </c>
      <c r="Z515">
        <v>1</v>
      </c>
      <c r="AA515">
        <v>3</v>
      </c>
      <c r="AB515">
        <v>2</v>
      </c>
    </row>
    <row r="516" spans="1:28" x14ac:dyDescent="0.35">
      <c r="A516" t="s">
        <v>1278</v>
      </c>
      <c r="B516" t="s">
        <v>2261</v>
      </c>
      <c r="C516" t="s">
        <v>851</v>
      </c>
      <c r="D516">
        <v>2022</v>
      </c>
      <c r="E516">
        <v>2019</v>
      </c>
      <c r="F516" t="s">
        <v>1951</v>
      </c>
      <c r="G516">
        <v>2020</v>
      </c>
      <c r="H516" t="s">
        <v>1953</v>
      </c>
      <c r="I516" t="s">
        <v>1672</v>
      </c>
      <c r="J516" s="66">
        <v>2045</v>
      </c>
      <c r="S516" s="95">
        <f t="shared" ref="S516:U516" si="99">S572*$BP$147</f>
        <v>9.4475081340946225</v>
      </c>
      <c r="T516" s="95">
        <f t="shared" si="99"/>
        <v>8.2677888002172164</v>
      </c>
      <c r="U516" s="95">
        <f t="shared" si="99"/>
        <v>5.8834318269812975</v>
      </c>
      <c r="W516" s="66" t="s">
        <v>1962</v>
      </c>
      <c r="X516">
        <v>3</v>
      </c>
      <c r="Y516">
        <v>1</v>
      </c>
      <c r="Z516">
        <v>1</v>
      </c>
      <c r="AA516">
        <v>3</v>
      </c>
      <c r="AB516">
        <v>2</v>
      </c>
    </row>
    <row r="517" spans="1:28" x14ac:dyDescent="0.35">
      <c r="A517" t="s">
        <v>1278</v>
      </c>
      <c r="B517" t="s">
        <v>2261</v>
      </c>
      <c r="C517" t="s">
        <v>851</v>
      </c>
      <c r="D517">
        <v>2022</v>
      </c>
      <c r="E517">
        <v>2019</v>
      </c>
      <c r="F517" t="s">
        <v>1951</v>
      </c>
      <c r="G517">
        <v>2020</v>
      </c>
      <c r="H517" t="s">
        <v>1953</v>
      </c>
      <c r="I517" t="s">
        <v>1672</v>
      </c>
      <c r="J517" s="66">
        <v>2050</v>
      </c>
      <c r="T517" s="95">
        <f t="shared" ref="T517:V517" si="100">T573*$BP$147</f>
        <v>9.4475081340946225</v>
      </c>
      <c r="U517" s="95">
        <f t="shared" si="100"/>
        <v>8.2677888002172164</v>
      </c>
      <c r="V517" s="95">
        <f t="shared" si="100"/>
        <v>5.8834318269812975</v>
      </c>
      <c r="W517" s="66" t="s">
        <v>1962</v>
      </c>
      <c r="X517">
        <v>3</v>
      </c>
      <c r="Y517">
        <v>1</v>
      </c>
      <c r="Z517">
        <v>1</v>
      </c>
      <c r="AA517">
        <v>3</v>
      </c>
      <c r="AB517">
        <v>2</v>
      </c>
    </row>
    <row r="518" spans="1:28" x14ac:dyDescent="0.35">
      <c r="A518" t="s">
        <v>1279</v>
      </c>
      <c r="B518" t="s">
        <v>2261</v>
      </c>
      <c r="C518" t="s">
        <v>851</v>
      </c>
      <c r="D518">
        <v>2022</v>
      </c>
      <c r="E518">
        <v>2019</v>
      </c>
      <c r="F518" t="s">
        <v>1951</v>
      </c>
      <c r="G518">
        <v>2020</v>
      </c>
      <c r="H518" t="s">
        <v>1953</v>
      </c>
      <c r="I518" t="s">
        <v>1672</v>
      </c>
      <c r="J518" s="66">
        <v>2021</v>
      </c>
      <c r="P518" s="95">
        <f>P574*$BP$147</f>
        <v>5.8834318269812975</v>
      </c>
      <c r="W518" s="66" t="s">
        <v>1962</v>
      </c>
      <c r="X518">
        <v>3</v>
      </c>
      <c r="Y518">
        <v>1</v>
      </c>
      <c r="Z518">
        <v>1</v>
      </c>
      <c r="AA518">
        <v>3</v>
      </c>
      <c r="AB518">
        <v>2</v>
      </c>
    </row>
    <row r="519" spans="1:28" x14ac:dyDescent="0.35">
      <c r="A519" t="s">
        <v>1279</v>
      </c>
      <c r="B519" t="s">
        <v>2261</v>
      </c>
      <c r="C519" t="s">
        <v>851</v>
      </c>
      <c r="D519">
        <v>2022</v>
      </c>
      <c r="E519">
        <v>2019</v>
      </c>
      <c r="F519" t="s">
        <v>1951</v>
      </c>
      <c r="G519">
        <v>2020</v>
      </c>
      <c r="H519" t="s">
        <v>1953</v>
      </c>
      <c r="I519" t="s">
        <v>1672</v>
      </c>
      <c r="J519" s="66">
        <v>2025</v>
      </c>
      <c r="P519" s="95">
        <f t="shared" ref="P519" si="101">P575*$BP$147</f>
        <v>8.2677888002172164</v>
      </c>
      <c r="Q519" s="95">
        <f>Q575*$BP$147</f>
        <v>5.8834318269812975</v>
      </c>
      <c r="W519" s="66" t="s">
        <v>1962</v>
      </c>
      <c r="X519">
        <v>3</v>
      </c>
      <c r="Y519">
        <v>1</v>
      </c>
      <c r="Z519">
        <v>1</v>
      </c>
      <c r="AA519">
        <v>3</v>
      </c>
      <c r="AB519">
        <v>2</v>
      </c>
    </row>
    <row r="520" spans="1:28" x14ac:dyDescent="0.35">
      <c r="A520" t="s">
        <v>1279</v>
      </c>
      <c r="B520" t="s">
        <v>2261</v>
      </c>
      <c r="C520" t="s">
        <v>851</v>
      </c>
      <c r="D520">
        <v>2022</v>
      </c>
      <c r="E520">
        <v>2019</v>
      </c>
      <c r="F520" t="s">
        <v>1951</v>
      </c>
      <c r="G520">
        <v>2020</v>
      </c>
      <c r="H520" t="s">
        <v>1953</v>
      </c>
      <c r="I520" t="s">
        <v>1672</v>
      </c>
      <c r="J520" s="66">
        <v>2030</v>
      </c>
      <c r="P520" s="95">
        <f t="shared" ref="P520:Q520" si="102">P576*$BP$147</f>
        <v>9.4475081340946225</v>
      </c>
      <c r="Q520" s="95">
        <f t="shared" si="102"/>
        <v>8.2677888002172164</v>
      </c>
      <c r="R520" s="95">
        <f>R576*$BP$147</f>
        <v>5.8834318269812975</v>
      </c>
      <c r="W520" s="66" t="s">
        <v>1962</v>
      </c>
      <c r="X520">
        <v>3</v>
      </c>
      <c r="Y520">
        <v>1</v>
      </c>
      <c r="Z520">
        <v>1</v>
      </c>
      <c r="AA520">
        <v>3</v>
      </c>
      <c r="AB520">
        <v>2</v>
      </c>
    </row>
    <row r="521" spans="1:28" x14ac:dyDescent="0.35">
      <c r="A521" t="s">
        <v>1279</v>
      </c>
      <c r="B521" t="s">
        <v>2261</v>
      </c>
      <c r="C521" t="s">
        <v>851</v>
      </c>
      <c r="D521">
        <v>2022</v>
      </c>
      <c r="E521">
        <v>2019</v>
      </c>
      <c r="F521" t="s">
        <v>1951</v>
      </c>
      <c r="G521">
        <v>2020</v>
      </c>
      <c r="H521" t="s">
        <v>1953</v>
      </c>
      <c r="I521" t="s">
        <v>1672</v>
      </c>
      <c r="J521" s="66">
        <v>2035</v>
      </c>
      <c r="Q521" s="95">
        <f t="shared" ref="Q521:R521" si="103">Q577*$BP$147</f>
        <v>9.4475081340946225</v>
      </c>
      <c r="R521" s="95">
        <f t="shared" si="103"/>
        <v>8.2677888002172164</v>
      </c>
      <c r="S521" s="95">
        <f>S577*$BP$147</f>
        <v>5.8834318269812975</v>
      </c>
      <c r="W521" s="66" t="s">
        <v>1962</v>
      </c>
      <c r="X521">
        <v>3</v>
      </c>
      <c r="Y521">
        <v>1</v>
      </c>
      <c r="Z521">
        <v>1</v>
      </c>
      <c r="AA521">
        <v>3</v>
      </c>
      <c r="AB521">
        <v>2</v>
      </c>
    </row>
    <row r="522" spans="1:28" x14ac:dyDescent="0.35">
      <c r="A522" t="s">
        <v>1279</v>
      </c>
      <c r="B522" t="s">
        <v>2261</v>
      </c>
      <c r="C522" t="s">
        <v>851</v>
      </c>
      <c r="D522">
        <v>2022</v>
      </c>
      <c r="E522">
        <v>2019</v>
      </c>
      <c r="F522" t="s">
        <v>1951</v>
      </c>
      <c r="G522">
        <v>2020</v>
      </c>
      <c r="H522" t="s">
        <v>1953</v>
      </c>
      <c r="I522" t="s">
        <v>1672</v>
      </c>
      <c r="J522" s="66">
        <v>2040</v>
      </c>
      <c r="R522" s="95">
        <f t="shared" ref="R522:S522" si="104">R578*$BP$147</f>
        <v>9.4475081340946225</v>
      </c>
      <c r="S522" s="95">
        <f t="shared" si="104"/>
        <v>8.2677888002172164</v>
      </c>
      <c r="T522" s="95">
        <f>T578*$BP$147</f>
        <v>5.8834318269812975</v>
      </c>
      <c r="W522" s="66" t="s">
        <v>1962</v>
      </c>
      <c r="X522">
        <v>3</v>
      </c>
      <c r="Y522">
        <v>1</v>
      </c>
      <c r="Z522">
        <v>1</v>
      </c>
      <c r="AA522">
        <v>3</v>
      </c>
      <c r="AB522">
        <v>2</v>
      </c>
    </row>
    <row r="523" spans="1:28" x14ac:dyDescent="0.35">
      <c r="A523" t="s">
        <v>1279</v>
      </c>
      <c r="B523" t="s">
        <v>2261</v>
      </c>
      <c r="C523" t="s">
        <v>851</v>
      </c>
      <c r="D523">
        <v>2022</v>
      </c>
      <c r="E523">
        <v>2019</v>
      </c>
      <c r="F523" t="s">
        <v>1951</v>
      </c>
      <c r="G523">
        <v>2020</v>
      </c>
      <c r="H523" t="s">
        <v>1953</v>
      </c>
      <c r="I523" t="s">
        <v>1672</v>
      </c>
      <c r="J523" s="66">
        <v>2045</v>
      </c>
      <c r="S523" s="95">
        <f t="shared" ref="S523:U523" si="105">S579*$BP$147</f>
        <v>9.4475081340946225</v>
      </c>
      <c r="T523" s="95">
        <f t="shared" si="105"/>
        <v>8.2677888002172164</v>
      </c>
      <c r="U523" s="95">
        <f t="shared" si="105"/>
        <v>5.8834318269812975</v>
      </c>
      <c r="W523" s="66" t="s">
        <v>1962</v>
      </c>
      <c r="X523">
        <v>3</v>
      </c>
      <c r="Y523">
        <v>1</v>
      </c>
      <c r="Z523">
        <v>1</v>
      </c>
      <c r="AA523">
        <v>3</v>
      </c>
      <c r="AB523">
        <v>2</v>
      </c>
    </row>
    <row r="524" spans="1:28" x14ac:dyDescent="0.35">
      <c r="A524" t="s">
        <v>1279</v>
      </c>
      <c r="B524" t="s">
        <v>2261</v>
      </c>
      <c r="C524" t="s">
        <v>851</v>
      </c>
      <c r="D524">
        <v>2022</v>
      </c>
      <c r="E524">
        <v>2019</v>
      </c>
      <c r="F524" t="s">
        <v>1951</v>
      </c>
      <c r="G524">
        <v>2020</v>
      </c>
      <c r="H524" t="s">
        <v>1953</v>
      </c>
      <c r="I524" t="s">
        <v>1672</v>
      </c>
      <c r="J524" s="66">
        <v>2050</v>
      </c>
      <c r="T524" s="95">
        <f t="shared" ref="T524:V524" si="106">T580*$BP$147</f>
        <v>9.4475081340946225</v>
      </c>
      <c r="U524" s="95">
        <f t="shared" si="106"/>
        <v>8.2677888002172164</v>
      </c>
      <c r="V524" s="95">
        <f t="shared" si="106"/>
        <v>5.8834318269812975</v>
      </c>
      <c r="W524" s="66" t="s">
        <v>1962</v>
      </c>
      <c r="X524">
        <v>3</v>
      </c>
      <c r="Y524">
        <v>1</v>
      </c>
      <c r="Z524">
        <v>1</v>
      </c>
      <c r="AA524">
        <v>3</v>
      </c>
      <c r="AB524">
        <v>2</v>
      </c>
    </row>
    <row r="525" spans="1:28" x14ac:dyDescent="0.35">
      <c r="A525" t="s">
        <v>1280</v>
      </c>
      <c r="B525" t="s">
        <v>2261</v>
      </c>
      <c r="C525" t="s">
        <v>851</v>
      </c>
      <c r="D525">
        <v>2022</v>
      </c>
      <c r="E525">
        <v>2019</v>
      </c>
      <c r="F525" t="s">
        <v>1951</v>
      </c>
      <c r="G525">
        <v>2020</v>
      </c>
      <c r="H525" t="s">
        <v>1953</v>
      </c>
      <c r="I525" t="s">
        <v>1672</v>
      </c>
      <c r="J525" s="66">
        <v>2021</v>
      </c>
      <c r="P525" s="95">
        <f>P581*$BP$147</f>
        <v>5.8834318269812975</v>
      </c>
      <c r="W525" s="66" t="s">
        <v>1962</v>
      </c>
      <c r="X525">
        <v>3</v>
      </c>
      <c r="Y525">
        <v>1</v>
      </c>
      <c r="Z525">
        <v>1</v>
      </c>
      <c r="AA525">
        <v>3</v>
      </c>
      <c r="AB525">
        <v>2</v>
      </c>
    </row>
    <row r="526" spans="1:28" x14ac:dyDescent="0.35">
      <c r="A526" t="s">
        <v>1280</v>
      </c>
      <c r="B526" t="s">
        <v>2261</v>
      </c>
      <c r="C526" t="s">
        <v>851</v>
      </c>
      <c r="D526">
        <v>2022</v>
      </c>
      <c r="E526">
        <v>2019</v>
      </c>
      <c r="F526" t="s">
        <v>1951</v>
      </c>
      <c r="G526">
        <v>2020</v>
      </c>
      <c r="H526" t="s">
        <v>1953</v>
      </c>
      <c r="I526" t="s">
        <v>1672</v>
      </c>
      <c r="J526" s="66">
        <v>2025</v>
      </c>
      <c r="P526" s="95">
        <f t="shared" ref="P526" si="107">P582*$BP$147</f>
        <v>8.2677888002172164</v>
      </c>
      <c r="Q526" s="95">
        <f>Q582*$BP$147</f>
        <v>5.8834318269812975</v>
      </c>
      <c r="W526" s="66" t="s">
        <v>1962</v>
      </c>
      <c r="X526">
        <v>3</v>
      </c>
      <c r="Y526">
        <v>1</v>
      </c>
      <c r="Z526">
        <v>1</v>
      </c>
      <c r="AA526">
        <v>3</v>
      </c>
      <c r="AB526">
        <v>2</v>
      </c>
    </row>
    <row r="527" spans="1:28" x14ac:dyDescent="0.35">
      <c r="A527" t="s">
        <v>1280</v>
      </c>
      <c r="B527" t="s">
        <v>2261</v>
      </c>
      <c r="C527" t="s">
        <v>851</v>
      </c>
      <c r="D527">
        <v>2022</v>
      </c>
      <c r="E527">
        <v>2019</v>
      </c>
      <c r="F527" t="s">
        <v>1951</v>
      </c>
      <c r="G527">
        <v>2020</v>
      </c>
      <c r="H527" t="s">
        <v>1953</v>
      </c>
      <c r="I527" t="s">
        <v>1672</v>
      </c>
      <c r="J527" s="66">
        <v>2030</v>
      </c>
      <c r="P527" s="95">
        <f t="shared" ref="P527:Q527" si="108">P583*$BP$147</f>
        <v>9.4475081340946225</v>
      </c>
      <c r="Q527" s="95">
        <f t="shared" si="108"/>
        <v>8.2677888002172164</v>
      </c>
      <c r="R527" s="95">
        <f>R583*$BP$147</f>
        <v>5.8834318269812975</v>
      </c>
      <c r="W527" s="66" t="s">
        <v>1962</v>
      </c>
      <c r="X527">
        <v>3</v>
      </c>
      <c r="Y527">
        <v>1</v>
      </c>
      <c r="Z527">
        <v>1</v>
      </c>
      <c r="AA527">
        <v>3</v>
      </c>
      <c r="AB527">
        <v>2</v>
      </c>
    </row>
    <row r="528" spans="1:28" x14ac:dyDescent="0.35">
      <c r="A528" t="s">
        <v>1280</v>
      </c>
      <c r="B528" t="s">
        <v>2261</v>
      </c>
      <c r="C528" t="s">
        <v>851</v>
      </c>
      <c r="D528">
        <v>2022</v>
      </c>
      <c r="E528">
        <v>2019</v>
      </c>
      <c r="F528" t="s">
        <v>1951</v>
      </c>
      <c r="G528">
        <v>2020</v>
      </c>
      <c r="H528" t="s">
        <v>1953</v>
      </c>
      <c r="I528" t="s">
        <v>1672</v>
      </c>
      <c r="J528" s="66">
        <v>2035</v>
      </c>
      <c r="Q528" s="95">
        <f t="shared" ref="Q528:R528" si="109">Q584*$BP$147</f>
        <v>9.4475081340946225</v>
      </c>
      <c r="R528" s="95">
        <f t="shared" si="109"/>
        <v>8.2677888002172164</v>
      </c>
      <c r="S528" s="95">
        <f>S584*$BP$147</f>
        <v>5.8834318269812975</v>
      </c>
      <c r="W528" s="66" t="s">
        <v>1962</v>
      </c>
      <c r="X528">
        <v>3</v>
      </c>
      <c r="Y528">
        <v>1</v>
      </c>
      <c r="Z528">
        <v>1</v>
      </c>
      <c r="AA528">
        <v>3</v>
      </c>
      <c r="AB528">
        <v>2</v>
      </c>
    </row>
    <row r="529" spans="1:28" x14ac:dyDescent="0.35">
      <c r="A529" t="s">
        <v>1280</v>
      </c>
      <c r="B529" t="s">
        <v>2261</v>
      </c>
      <c r="C529" t="s">
        <v>851</v>
      </c>
      <c r="D529">
        <v>2022</v>
      </c>
      <c r="E529">
        <v>2019</v>
      </c>
      <c r="F529" t="s">
        <v>1951</v>
      </c>
      <c r="G529">
        <v>2020</v>
      </c>
      <c r="H529" t="s">
        <v>1953</v>
      </c>
      <c r="I529" t="s">
        <v>1672</v>
      </c>
      <c r="J529" s="66">
        <v>2040</v>
      </c>
      <c r="R529" s="95">
        <f t="shared" ref="R529:S529" si="110">R585*$BP$147</f>
        <v>9.4475081340946225</v>
      </c>
      <c r="S529" s="95">
        <f t="shared" si="110"/>
        <v>8.2677888002172164</v>
      </c>
      <c r="T529" s="95">
        <f>T585*$BP$147</f>
        <v>5.8834318269812975</v>
      </c>
      <c r="W529" s="66" t="s">
        <v>1962</v>
      </c>
      <c r="X529">
        <v>3</v>
      </c>
      <c r="Y529">
        <v>1</v>
      </c>
      <c r="Z529">
        <v>1</v>
      </c>
      <c r="AA529">
        <v>3</v>
      </c>
      <c r="AB529">
        <v>2</v>
      </c>
    </row>
    <row r="530" spans="1:28" x14ac:dyDescent="0.35">
      <c r="A530" t="s">
        <v>1280</v>
      </c>
      <c r="B530" t="s">
        <v>2261</v>
      </c>
      <c r="C530" t="s">
        <v>851</v>
      </c>
      <c r="D530">
        <v>2022</v>
      </c>
      <c r="E530">
        <v>2019</v>
      </c>
      <c r="F530" t="s">
        <v>1951</v>
      </c>
      <c r="G530">
        <v>2020</v>
      </c>
      <c r="H530" t="s">
        <v>1953</v>
      </c>
      <c r="I530" t="s">
        <v>1672</v>
      </c>
      <c r="J530" s="66">
        <v>2045</v>
      </c>
      <c r="S530" s="95">
        <f t="shared" ref="S530:U530" si="111">S586*$BP$147</f>
        <v>9.4475081340946225</v>
      </c>
      <c r="T530" s="95">
        <f t="shared" si="111"/>
        <v>8.2677888002172164</v>
      </c>
      <c r="U530" s="95">
        <f t="shared" si="111"/>
        <v>5.8834318269812975</v>
      </c>
      <c r="W530" s="66" t="s">
        <v>1962</v>
      </c>
      <c r="X530">
        <v>3</v>
      </c>
      <c r="Y530">
        <v>1</v>
      </c>
      <c r="Z530">
        <v>1</v>
      </c>
      <c r="AA530">
        <v>3</v>
      </c>
      <c r="AB530">
        <v>2</v>
      </c>
    </row>
    <row r="531" spans="1:28" x14ac:dyDescent="0.35">
      <c r="A531" t="s">
        <v>1280</v>
      </c>
      <c r="B531" t="s">
        <v>2261</v>
      </c>
      <c r="C531" t="s">
        <v>851</v>
      </c>
      <c r="D531">
        <v>2022</v>
      </c>
      <c r="E531">
        <v>2019</v>
      </c>
      <c r="F531" t="s">
        <v>1951</v>
      </c>
      <c r="G531">
        <v>2020</v>
      </c>
      <c r="H531" t="s">
        <v>1953</v>
      </c>
      <c r="I531" t="s">
        <v>1672</v>
      </c>
      <c r="J531" s="66">
        <v>2050</v>
      </c>
      <c r="T531" s="95">
        <f t="shared" ref="T531:V531" si="112">T587*$BP$147</f>
        <v>9.4475081340946225</v>
      </c>
      <c r="U531" s="95">
        <f t="shared" si="112"/>
        <v>8.2677888002172164</v>
      </c>
      <c r="V531" s="95">
        <f t="shared" si="112"/>
        <v>5.8834318269812975</v>
      </c>
      <c r="W531" s="66" t="s">
        <v>1962</v>
      </c>
      <c r="X531">
        <v>3</v>
      </c>
      <c r="Y531">
        <v>1</v>
      </c>
      <c r="Z531">
        <v>1</v>
      </c>
      <c r="AA531">
        <v>3</v>
      </c>
      <c r="AB531">
        <v>2</v>
      </c>
    </row>
    <row r="532" spans="1:28" x14ac:dyDescent="0.35">
      <c r="A532" t="s">
        <v>1281</v>
      </c>
      <c r="B532" t="s">
        <v>2261</v>
      </c>
      <c r="C532" t="s">
        <v>851</v>
      </c>
      <c r="D532">
        <v>2022</v>
      </c>
      <c r="E532">
        <v>2019</v>
      </c>
      <c r="F532" t="s">
        <v>1951</v>
      </c>
      <c r="G532">
        <v>2020</v>
      </c>
      <c r="H532" t="s">
        <v>1953</v>
      </c>
      <c r="I532" t="s">
        <v>1672</v>
      </c>
      <c r="J532" s="66">
        <v>2021</v>
      </c>
      <c r="P532" s="95">
        <f>P539*$BP$127</f>
        <v>6.8933547469917906</v>
      </c>
      <c r="W532" s="66" t="s">
        <v>1977</v>
      </c>
      <c r="X532">
        <v>3</v>
      </c>
      <c r="Y532">
        <v>1</v>
      </c>
      <c r="Z532">
        <v>1</v>
      </c>
      <c r="AA532">
        <v>3</v>
      </c>
      <c r="AB532">
        <v>2</v>
      </c>
    </row>
    <row r="533" spans="1:28" x14ac:dyDescent="0.35">
      <c r="A533" t="s">
        <v>1281</v>
      </c>
      <c r="B533" t="s">
        <v>2261</v>
      </c>
      <c r="C533" t="s">
        <v>851</v>
      </c>
      <c r="D533">
        <v>2022</v>
      </c>
      <c r="E533">
        <v>2019</v>
      </c>
      <c r="F533" t="s">
        <v>1951</v>
      </c>
      <c r="G533">
        <v>2020</v>
      </c>
      <c r="H533" t="s">
        <v>1953</v>
      </c>
      <c r="I533" t="s">
        <v>1672</v>
      </c>
      <c r="J533" s="66">
        <v>2025</v>
      </c>
      <c r="P533" s="95">
        <f t="shared" ref="P533:Q535" si="113">P540*$BP$127</f>
        <v>9.6869995011644594</v>
      </c>
      <c r="Q533" s="95">
        <f>Q540*$BP$127</f>
        <v>6.8933547469917906</v>
      </c>
      <c r="W533" s="66" t="s">
        <v>1977</v>
      </c>
      <c r="X533">
        <v>3</v>
      </c>
      <c r="Y533">
        <v>1</v>
      </c>
      <c r="Z533">
        <v>1</v>
      </c>
      <c r="AA533">
        <v>3</v>
      </c>
      <c r="AB533">
        <v>2</v>
      </c>
    </row>
    <row r="534" spans="1:28" x14ac:dyDescent="0.35">
      <c r="A534" t="s">
        <v>1281</v>
      </c>
      <c r="B534" t="s">
        <v>2261</v>
      </c>
      <c r="C534" t="s">
        <v>851</v>
      </c>
      <c r="D534">
        <v>2022</v>
      </c>
      <c r="E534">
        <v>2019</v>
      </c>
      <c r="F534" t="s">
        <v>1951</v>
      </c>
      <c r="G534">
        <v>2020</v>
      </c>
      <c r="H534" t="s">
        <v>1953</v>
      </c>
      <c r="I534" t="s">
        <v>1672</v>
      </c>
      <c r="J534" s="66">
        <v>2030</v>
      </c>
      <c r="P534" s="95">
        <f t="shared" si="113"/>
        <v>11.069224044501155</v>
      </c>
      <c r="Q534" s="95">
        <f t="shared" si="113"/>
        <v>9.6869995011644594</v>
      </c>
      <c r="R534" s="95">
        <f>R541*$BP$127</f>
        <v>6.8933547469917906</v>
      </c>
      <c r="W534" s="66" t="s">
        <v>1977</v>
      </c>
      <c r="X534">
        <v>3</v>
      </c>
      <c r="Y534">
        <v>1</v>
      </c>
      <c r="Z534">
        <v>1</v>
      </c>
      <c r="AA534">
        <v>3</v>
      </c>
      <c r="AB534">
        <v>2</v>
      </c>
    </row>
    <row r="535" spans="1:28" x14ac:dyDescent="0.35">
      <c r="A535" t="s">
        <v>1281</v>
      </c>
      <c r="B535" t="s">
        <v>2261</v>
      </c>
      <c r="C535" t="s">
        <v>851</v>
      </c>
      <c r="D535">
        <v>2022</v>
      </c>
      <c r="E535">
        <v>2019</v>
      </c>
      <c r="F535" t="s">
        <v>1951</v>
      </c>
      <c r="G535">
        <v>2020</v>
      </c>
      <c r="H535" t="s">
        <v>1953</v>
      </c>
      <c r="I535" t="s">
        <v>1672</v>
      </c>
      <c r="J535" s="66">
        <v>2035</v>
      </c>
      <c r="Q535" s="95">
        <f t="shared" si="113"/>
        <v>11.069224044501155</v>
      </c>
      <c r="R535" s="95">
        <f t="shared" ref="R535" si="114">R542*$BP$127</f>
        <v>9.6869995011644594</v>
      </c>
      <c r="S535" s="95">
        <f>S542*$BP$127</f>
        <v>6.8933547469917906</v>
      </c>
      <c r="W535" s="66" t="s">
        <v>1977</v>
      </c>
      <c r="X535">
        <v>3</v>
      </c>
      <c r="Y535">
        <v>1</v>
      </c>
      <c r="Z535">
        <v>1</v>
      </c>
      <c r="AA535">
        <v>3</v>
      </c>
      <c r="AB535">
        <v>2</v>
      </c>
    </row>
    <row r="536" spans="1:28" x14ac:dyDescent="0.35">
      <c r="A536" t="s">
        <v>1281</v>
      </c>
      <c r="B536" t="s">
        <v>2261</v>
      </c>
      <c r="C536" t="s">
        <v>851</v>
      </c>
      <c r="D536">
        <v>2022</v>
      </c>
      <c r="E536">
        <v>2019</v>
      </c>
      <c r="F536" t="s">
        <v>1951</v>
      </c>
      <c r="G536">
        <v>2020</v>
      </c>
      <c r="H536" t="s">
        <v>1953</v>
      </c>
      <c r="I536" t="s">
        <v>1672</v>
      </c>
      <c r="J536" s="66">
        <v>2040</v>
      </c>
      <c r="R536" s="95">
        <f t="shared" ref="R536:S536" si="115">R543*$BP$127</f>
        <v>11.069224044501155</v>
      </c>
      <c r="S536" s="95">
        <f t="shared" si="115"/>
        <v>9.6869995011644594</v>
      </c>
      <c r="T536" s="95">
        <f>T543*$BP$127</f>
        <v>6.8933547469917906</v>
      </c>
      <c r="W536" s="66" t="s">
        <v>1977</v>
      </c>
      <c r="X536">
        <v>3</v>
      </c>
      <c r="Y536">
        <v>1</v>
      </c>
      <c r="Z536">
        <v>1</v>
      </c>
      <c r="AA536">
        <v>3</v>
      </c>
      <c r="AB536">
        <v>2</v>
      </c>
    </row>
    <row r="537" spans="1:28" x14ac:dyDescent="0.35">
      <c r="A537" t="s">
        <v>1281</v>
      </c>
      <c r="B537" t="s">
        <v>2261</v>
      </c>
      <c r="C537" t="s">
        <v>851</v>
      </c>
      <c r="D537">
        <v>2022</v>
      </c>
      <c r="E537">
        <v>2019</v>
      </c>
      <c r="F537" t="s">
        <v>1951</v>
      </c>
      <c r="G537">
        <v>2020</v>
      </c>
      <c r="H537" t="s">
        <v>1953</v>
      </c>
      <c r="I537" t="s">
        <v>1672</v>
      </c>
      <c r="J537" s="66">
        <v>2045</v>
      </c>
      <c r="S537" s="95">
        <f t="shared" ref="S537:T537" si="116">S544*$BP$127</f>
        <v>11.069224044501155</v>
      </c>
      <c r="T537" s="95">
        <f t="shared" si="116"/>
        <v>9.6869995011644594</v>
      </c>
      <c r="U537" s="95">
        <f>U544*$BP$127</f>
        <v>6.8933547469917906</v>
      </c>
      <c r="W537" s="66" t="s">
        <v>1977</v>
      </c>
      <c r="X537">
        <v>3</v>
      </c>
      <c r="Y537">
        <v>1</v>
      </c>
      <c r="Z537">
        <v>1</v>
      </c>
      <c r="AA537">
        <v>3</v>
      </c>
      <c r="AB537">
        <v>2</v>
      </c>
    </row>
    <row r="538" spans="1:28" x14ac:dyDescent="0.35">
      <c r="A538" t="s">
        <v>1281</v>
      </c>
      <c r="B538" t="s">
        <v>2261</v>
      </c>
      <c r="C538" t="s">
        <v>851</v>
      </c>
      <c r="D538">
        <v>2022</v>
      </c>
      <c r="E538">
        <v>2019</v>
      </c>
      <c r="F538" t="s">
        <v>1951</v>
      </c>
      <c r="G538">
        <v>2020</v>
      </c>
      <c r="H538" t="s">
        <v>1953</v>
      </c>
      <c r="I538" t="s">
        <v>1672</v>
      </c>
      <c r="J538" s="66">
        <v>2050</v>
      </c>
      <c r="T538" s="95">
        <f t="shared" ref="T538:V538" si="117">T545*$BP$127</f>
        <v>11.069224044501155</v>
      </c>
      <c r="U538" s="95">
        <f t="shared" si="117"/>
        <v>9.6869995011644594</v>
      </c>
      <c r="V538" s="95">
        <f t="shared" si="117"/>
        <v>6.8933547469917906</v>
      </c>
      <c r="W538" s="66" t="s">
        <v>1977</v>
      </c>
      <c r="X538">
        <v>3</v>
      </c>
      <c r="Y538">
        <v>1</v>
      </c>
      <c r="Z538">
        <v>1</v>
      </c>
      <c r="AA538">
        <v>3</v>
      </c>
      <c r="AB538">
        <v>2</v>
      </c>
    </row>
    <row r="539" spans="1:28" x14ac:dyDescent="0.35">
      <c r="A539" t="s">
        <v>1282</v>
      </c>
      <c r="B539" t="s">
        <v>2261</v>
      </c>
      <c r="C539" t="s">
        <v>851</v>
      </c>
      <c r="D539">
        <v>2022</v>
      </c>
      <c r="E539">
        <v>2019</v>
      </c>
      <c r="F539" t="s">
        <v>1951</v>
      </c>
      <c r="G539">
        <v>2020</v>
      </c>
      <c r="H539" t="s">
        <v>1953</v>
      </c>
      <c r="I539" t="s">
        <v>1672</v>
      </c>
      <c r="J539" s="66">
        <v>2021</v>
      </c>
      <c r="P539" s="95">
        <f>$BJ$127/$BH$127 * 1000/$AK$96</f>
        <v>10.48859580037975</v>
      </c>
      <c r="W539" s="66" t="s">
        <v>1978</v>
      </c>
      <c r="X539">
        <v>3</v>
      </c>
      <c r="Y539">
        <v>1</v>
      </c>
      <c r="Z539">
        <v>1</v>
      </c>
      <c r="AA539">
        <v>3</v>
      </c>
      <c r="AB539">
        <v>1</v>
      </c>
    </row>
    <row r="540" spans="1:28" x14ac:dyDescent="0.35">
      <c r="A540" t="s">
        <v>1282</v>
      </c>
      <c r="B540" t="s">
        <v>2261</v>
      </c>
      <c r="C540" t="s">
        <v>851</v>
      </c>
      <c r="D540">
        <v>2022</v>
      </c>
      <c r="E540">
        <v>2019</v>
      </c>
      <c r="F540" t="s">
        <v>1951</v>
      </c>
      <c r="G540">
        <v>2020</v>
      </c>
      <c r="H540" t="s">
        <v>1953</v>
      </c>
      <c r="I540" t="s">
        <v>1672</v>
      </c>
      <c r="J540" s="66">
        <v>2025</v>
      </c>
      <c r="P540" s="95">
        <f>$BJ$128/$BH$128 * 1000/$AK$96</f>
        <v>14.73927079272006</v>
      </c>
      <c r="Q540" s="95">
        <f>$BJ$127/$BH$127 * 1000/$AK$96</f>
        <v>10.48859580037975</v>
      </c>
      <c r="W540" s="66" t="s">
        <v>1978</v>
      </c>
      <c r="X540">
        <v>3</v>
      </c>
      <c r="Y540">
        <v>1</v>
      </c>
      <c r="Z540">
        <v>1</v>
      </c>
      <c r="AA540">
        <v>3</v>
      </c>
      <c r="AB540">
        <v>1</v>
      </c>
    </row>
    <row r="541" spans="1:28" x14ac:dyDescent="0.35">
      <c r="A541" t="s">
        <v>1282</v>
      </c>
      <c r="B541" t="s">
        <v>2261</v>
      </c>
      <c r="C541" t="s">
        <v>851</v>
      </c>
      <c r="D541">
        <v>2022</v>
      </c>
      <c r="E541">
        <v>2019</v>
      </c>
      <c r="F541" t="s">
        <v>1951</v>
      </c>
      <c r="G541">
        <v>2020</v>
      </c>
      <c r="H541" t="s">
        <v>1953</v>
      </c>
      <c r="I541" t="s">
        <v>1672</v>
      </c>
      <c r="J541" s="66">
        <v>2030</v>
      </c>
      <c r="P541" s="95">
        <f>$BJ$129/$BH$129 * 1000/$AK$96</f>
        <v>16.842396929779774</v>
      </c>
      <c r="Q541" s="95">
        <f>$BJ$128/$BH$128 * 1000/$AK$96</f>
        <v>14.73927079272006</v>
      </c>
      <c r="R541" s="95">
        <f>$BJ$127/$BH$127 * 1000/$AK$96</f>
        <v>10.48859580037975</v>
      </c>
      <c r="W541" s="66" t="s">
        <v>1978</v>
      </c>
      <c r="X541">
        <v>3</v>
      </c>
      <c r="Y541">
        <v>1</v>
      </c>
      <c r="Z541">
        <v>1</v>
      </c>
      <c r="AA541">
        <v>3</v>
      </c>
      <c r="AB541">
        <v>1</v>
      </c>
    </row>
    <row r="542" spans="1:28" x14ac:dyDescent="0.35">
      <c r="A542" t="s">
        <v>1282</v>
      </c>
      <c r="B542" t="s">
        <v>2261</v>
      </c>
      <c r="C542" t="s">
        <v>851</v>
      </c>
      <c r="D542">
        <v>2022</v>
      </c>
      <c r="E542">
        <v>2019</v>
      </c>
      <c r="F542" t="s">
        <v>1951</v>
      </c>
      <c r="G542">
        <v>2020</v>
      </c>
      <c r="H542" t="s">
        <v>1953</v>
      </c>
      <c r="I542" t="s">
        <v>1672</v>
      </c>
      <c r="J542" s="66">
        <v>2035</v>
      </c>
      <c r="Q542" s="95">
        <f>$BJ$129/$BH$129 * 1000/$AK$96</f>
        <v>16.842396929779774</v>
      </c>
      <c r="R542" s="95">
        <f>$BJ$128/$BH$128 * 1000/$AK$96</f>
        <v>14.73927079272006</v>
      </c>
      <c r="S542" s="95">
        <f>$BJ$127/$BH$127 * 1000/$AK$96</f>
        <v>10.48859580037975</v>
      </c>
      <c r="W542" s="66" t="s">
        <v>1978</v>
      </c>
      <c r="X542">
        <v>3</v>
      </c>
      <c r="Y542">
        <v>1</v>
      </c>
      <c r="Z542">
        <v>1</v>
      </c>
      <c r="AA542">
        <v>3</v>
      </c>
      <c r="AB542">
        <v>1</v>
      </c>
    </row>
    <row r="543" spans="1:28" x14ac:dyDescent="0.35">
      <c r="A543" t="s">
        <v>1282</v>
      </c>
      <c r="B543" t="s">
        <v>2261</v>
      </c>
      <c r="C543" t="s">
        <v>851</v>
      </c>
      <c r="D543">
        <v>2022</v>
      </c>
      <c r="E543">
        <v>2019</v>
      </c>
      <c r="F543" t="s">
        <v>1951</v>
      </c>
      <c r="G543">
        <v>2020</v>
      </c>
      <c r="H543" t="s">
        <v>1953</v>
      </c>
      <c r="I543" t="s">
        <v>1672</v>
      </c>
      <c r="J543" s="66">
        <v>2040</v>
      </c>
      <c r="R543" s="95">
        <f>$BJ$129/$BH$129 * 1000/$AK$96</f>
        <v>16.842396929779774</v>
      </c>
      <c r="S543" s="95">
        <f>$BJ$128/$BH$128 * 1000/$AK$96</f>
        <v>14.73927079272006</v>
      </c>
      <c r="T543" s="95">
        <f>$BJ$127/$BH$127 * 1000/$AK$96</f>
        <v>10.48859580037975</v>
      </c>
      <c r="W543" s="66" t="s">
        <v>1978</v>
      </c>
      <c r="X543">
        <v>3</v>
      </c>
      <c r="Y543">
        <v>1</v>
      </c>
      <c r="Z543">
        <v>1</v>
      </c>
      <c r="AA543">
        <v>3</v>
      </c>
      <c r="AB543">
        <v>1</v>
      </c>
    </row>
    <row r="544" spans="1:28" x14ac:dyDescent="0.35">
      <c r="A544" t="s">
        <v>1282</v>
      </c>
      <c r="B544" t="s">
        <v>2261</v>
      </c>
      <c r="C544" t="s">
        <v>851</v>
      </c>
      <c r="D544">
        <v>2022</v>
      </c>
      <c r="E544">
        <v>2019</v>
      </c>
      <c r="F544" t="s">
        <v>1951</v>
      </c>
      <c r="G544">
        <v>2020</v>
      </c>
      <c r="H544" t="s">
        <v>1953</v>
      </c>
      <c r="I544" t="s">
        <v>1672</v>
      </c>
      <c r="J544" s="66">
        <v>2045</v>
      </c>
      <c r="S544" s="95">
        <f>$BJ$129/$BH$129 * 1000/$AK$96</f>
        <v>16.842396929779774</v>
      </c>
      <c r="T544" s="95">
        <f>$BJ$128/$BH$128 * 1000/$AK$96</f>
        <v>14.73927079272006</v>
      </c>
      <c r="U544" s="95">
        <f>$BJ$127/$BH$127 * 1000/$AK$96</f>
        <v>10.48859580037975</v>
      </c>
      <c r="W544" s="66" t="s">
        <v>1978</v>
      </c>
      <c r="X544">
        <v>3</v>
      </c>
      <c r="Y544">
        <v>1</v>
      </c>
      <c r="Z544">
        <v>1</v>
      </c>
      <c r="AA544">
        <v>3</v>
      </c>
      <c r="AB544">
        <v>1</v>
      </c>
    </row>
    <row r="545" spans="1:28" x14ac:dyDescent="0.35">
      <c r="A545" t="s">
        <v>1282</v>
      </c>
      <c r="B545" t="s">
        <v>2261</v>
      </c>
      <c r="C545" t="s">
        <v>851</v>
      </c>
      <c r="D545">
        <v>2022</v>
      </c>
      <c r="E545">
        <v>2019</v>
      </c>
      <c r="F545" t="s">
        <v>1951</v>
      </c>
      <c r="G545">
        <v>2020</v>
      </c>
      <c r="H545" t="s">
        <v>1953</v>
      </c>
      <c r="I545" t="s">
        <v>1672</v>
      </c>
      <c r="J545" s="66">
        <v>2050</v>
      </c>
      <c r="T545" s="95">
        <f>$BJ$129/$BH$129 * 1000/$AK$96</f>
        <v>16.842396929779774</v>
      </c>
      <c r="U545" s="95">
        <f>$BJ$128/$BH$128 * 1000/$AK$96</f>
        <v>14.73927079272006</v>
      </c>
      <c r="V545" s="95">
        <f>$BJ$127/$BH$127 * 1000/$AK$96</f>
        <v>10.48859580037975</v>
      </c>
      <c r="W545" s="66" t="s">
        <v>1978</v>
      </c>
      <c r="X545">
        <v>3</v>
      </c>
      <c r="Y545">
        <v>1</v>
      </c>
      <c r="Z545">
        <v>1</v>
      </c>
      <c r="AA545">
        <v>3</v>
      </c>
      <c r="AB545">
        <v>1</v>
      </c>
    </row>
    <row r="546" spans="1:28" x14ac:dyDescent="0.35">
      <c r="A546" t="s">
        <v>1283</v>
      </c>
      <c r="B546" t="s">
        <v>2261</v>
      </c>
      <c r="C546" t="s">
        <v>851</v>
      </c>
      <c r="D546">
        <v>2022</v>
      </c>
      <c r="E546">
        <v>2019</v>
      </c>
      <c r="F546" t="s">
        <v>1951</v>
      </c>
      <c r="G546">
        <v>2020</v>
      </c>
      <c r="H546" t="s">
        <v>1953</v>
      </c>
      <c r="I546" t="s">
        <v>1672</v>
      </c>
      <c r="J546" s="66">
        <v>2021</v>
      </c>
      <c r="P546" s="95">
        <f>P539*$BP$129</f>
        <v>10.48859580037975</v>
      </c>
      <c r="W546" s="66" t="s">
        <v>1979</v>
      </c>
      <c r="X546">
        <v>3</v>
      </c>
      <c r="Y546">
        <v>1</v>
      </c>
      <c r="Z546">
        <v>1</v>
      </c>
      <c r="AA546">
        <v>3</v>
      </c>
      <c r="AB546">
        <v>2</v>
      </c>
    </row>
    <row r="547" spans="1:28" x14ac:dyDescent="0.35">
      <c r="A547" t="s">
        <v>1283</v>
      </c>
      <c r="B547" t="s">
        <v>2261</v>
      </c>
      <c r="C547" t="s">
        <v>851</v>
      </c>
      <c r="D547">
        <v>2022</v>
      </c>
      <c r="E547">
        <v>2019</v>
      </c>
      <c r="F547" t="s">
        <v>1951</v>
      </c>
      <c r="G547">
        <v>2020</v>
      </c>
      <c r="H547" t="s">
        <v>1953</v>
      </c>
      <c r="I547" t="s">
        <v>1672</v>
      </c>
      <c r="J547" s="66">
        <v>2025</v>
      </c>
      <c r="P547" s="95">
        <f t="shared" ref="P547:Q549" si="118">P540*$BP$129</f>
        <v>14.73927079272006</v>
      </c>
      <c r="Q547" s="95">
        <f>Q540*$BP$129</f>
        <v>10.48859580037975</v>
      </c>
      <c r="W547" s="66" t="s">
        <v>1979</v>
      </c>
      <c r="X547">
        <v>3</v>
      </c>
      <c r="Y547">
        <v>1</v>
      </c>
      <c r="Z547">
        <v>1</v>
      </c>
      <c r="AA547">
        <v>3</v>
      </c>
      <c r="AB547">
        <v>2</v>
      </c>
    </row>
    <row r="548" spans="1:28" x14ac:dyDescent="0.35">
      <c r="A548" t="s">
        <v>1283</v>
      </c>
      <c r="B548" t="s">
        <v>2261</v>
      </c>
      <c r="C548" t="s">
        <v>851</v>
      </c>
      <c r="D548">
        <v>2022</v>
      </c>
      <c r="E548">
        <v>2019</v>
      </c>
      <c r="F548" t="s">
        <v>1951</v>
      </c>
      <c r="G548">
        <v>2020</v>
      </c>
      <c r="H548" t="s">
        <v>1953</v>
      </c>
      <c r="I548" t="s">
        <v>1672</v>
      </c>
      <c r="J548" s="66">
        <v>2030</v>
      </c>
      <c r="P548" s="95">
        <f t="shared" si="118"/>
        <v>16.842396929779774</v>
      </c>
      <c r="Q548" s="95">
        <f t="shared" si="118"/>
        <v>14.73927079272006</v>
      </c>
      <c r="R548" s="95">
        <f>R541*$BP$129</f>
        <v>10.48859580037975</v>
      </c>
      <c r="W548" s="66" t="s">
        <v>1979</v>
      </c>
      <c r="X548">
        <v>3</v>
      </c>
      <c r="Y548">
        <v>1</v>
      </c>
      <c r="Z548">
        <v>1</v>
      </c>
      <c r="AA548">
        <v>3</v>
      </c>
      <c r="AB548">
        <v>2</v>
      </c>
    </row>
    <row r="549" spans="1:28" x14ac:dyDescent="0.35">
      <c r="A549" t="s">
        <v>1283</v>
      </c>
      <c r="B549" t="s">
        <v>2261</v>
      </c>
      <c r="C549" t="s">
        <v>851</v>
      </c>
      <c r="D549">
        <v>2022</v>
      </c>
      <c r="E549">
        <v>2019</v>
      </c>
      <c r="F549" t="s">
        <v>1951</v>
      </c>
      <c r="G549">
        <v>2020</v>
      </c>
      <c r="H549" t="s">
        <v>1953</v>
      </c>
      <c r="I549" t="s">
        <v>1672</v>
      </c>
      <c r="J549" s="66">
        <v>2035</v>
      </c>
      <c r="Q549" s="95">
        <f t="shared" si="118"/>
        <v>16.842396929779774</v>
      </c>
      <c r="R549" s="95">
        <f t="shared" ref="R549" si="119">R542*$BP$129</f>
        <v>14.73927079272006</v>
      </c>
      <c r="S549" s="95">
        <f>S542*$BP$129</f>
        <v>10.48859580037975</v>
      </c>
      <c r="W549" s="66" t="s">
        <v>1979</v>
      </c>
      <c r="X549">
        <v>3</v>
      </c>
      <c r="Y549">
        <v>1</v>
      </c>
      <c r="Z549">
        <v>1</v>
      </c>
      <c r="AA549">
        <v>3</v>
      </c>
      <c r="AB549">
        <v>2</v>
      </c>
    </row>
    <row r="550" spans="1:28" x14ac:dyDescent="0.35">
      <c r="A550" t="s">
        <v>1283</v>
      </c>
      <c r="B550" t="s">
        <v>2261</v>
      </c>
      <c r="C550" t="s">
        <v>851</v>
      </c>
      <c r="D550">
        <v>2022</v>
      </c>
      <c r="E550">
        <v>2019</v>
      </c>
      <c r="F550" t="s">
        <v>1951</v>
      </c>
      <c r="G550">
        <v>2020</v>
      </c>
      <c r="H550" t="s">
        <v>1953</v>
      </c>
      <c r="I550" t="s">
        <v>1672</v>
      </c>
      <c r="J550" s="66">
        <v>2040</v>
      </c>
      <c r="R550" s="95">
        <f t="shared" ref="R550:S550" si="120">R543*$BP$129</f>
        <v>16.842396929779774</v>
      </c>
      <c r="S550" s="95">
        <f t="shared" si="120"/>
        <v>14.73927079272006</v>
      </c>
      <c r="T550" s="95">
        <f>T543*$BP$129</f>
        <v>10.48859580037975</v>
      </c>
      <c r="W550" s="66" t="s">
        <v>1979</v>
      </c>
      <c r="X550">
        <v>3</v>
      </c>
      <c r="Y550">
        <v>1</v>
      </c>
      <c r="Z550">
        <v>1</v>
      </c>
      <c r="AA550">
        <v>3</v>
      </c>
      <c r="AB550">
        <v>2</v>
      </c>
    </row>
    <row r="551" spans="1:28" x14ac:dyDescent="0.35">
      <c r="A551" t="s">
        <v>1283</v>
      </c>
      <c r="B551" t="s">
        <v>2261</v>
      </c>
      <c r="C551" t="s">
        <v>851</v>
      </c>
      <c r="D551">
        <v>2022</v>
      </c>
      <c r="E551">
        <v>2019</v>
      </c>
      <c r="F551" t="s">
        <v>1951</v>
      </c>
      <c r="G551">
        <v>2020</v>
      </c>
      <c r="H551" t="s">
        <v>1953</v>
      </c>
      <c r="I551" t="s">
        <v>1672</v>
      </c>
      <c r="J551" s="66">
        <v>2045</v>
      </c>
      <c r="S551" s="95">
        <f t="shared" ref="S551:T551" si="121">S544*$BP$129</f>
        <v>16.842396929779774</v>
      </c>
      <c r="T551" s="95">
        <f t="shared" si="121"/>
        <v>14.73927079272006</v>
      </c>
      <c r="U551" s="95">
        <f t="shared" ref="U551" si="122">U544*$BP$129</f>
        <v>10.48859580037975</v>
      </c>
      <c r="W551" s="66" t="s">
        <v>1979</v>
      </c>
      <c r="X551">
        <v>3</v>
      </c>
      <c r="Y551">
        <v>1</v>
      </c>
      <c r="Z551">
        <v>1</v>
      </c>
      <c r="AA551">
        <v>3</v>
      </c>
      <c r="AB551">
        <v>2</v>
      </c>
    </row>
    <row r="552" spans="1:28" x14ac:dyDescent="0.35">
      <c r="A552" t="s">
        <v>1283</v>
      </c>
      <c r="B552" t="s">
        <v>2261</v>
      </c>
      <c r="C552" t="s">
        <v>851</v>
      </c>
      <c r="D552">
        <v>2022</v>
      </c>
      <c r="E552">
        <v>2019</v>
      </c>
      <c r="F552" t="s">
        <v>1951</v>
      </c>
      <c r="G552">
        <v>2020</v>
      </c>
      <c r="H552" t="s">
        <v>1953</v>
      </c>
      <c r="I552" t="s">
        <v>1672</v>
      </c>
      <c r="J552" s="66">
        <v>2050</v>
      </c>
      <c r="T552" s="95">
        <f t="shared" ref="T552:V552" si="123">T545*$BP$129</f>
        <v>16.842396929779774</v>
      </c>
      <c r="U552" s="95">
        <f t="shared" si="123"/>
        <v>14.73927079272006</v>
      </c>
      <c r="V552" s="95">
        <f t="shared" si="123"/>
        <v>10.48859580037975</v>
      </c>
      <c r="W552" s="66" t="s">
        <v>1979</v>
      </c>
      <c r="X552">
        <v>3</v>
      </c>
      <c r="Y552">
        <v>1</v>
      </c>
      <c r="Z552">
        <v>1</v>
      </c>
      <c r="AA552">
        <v>3</v>
      </c>
      <c r="AB552">
        <v>2</v>
      </c>
    </row>
    <row r="553" spans="1:28" x14ac:dyDescent="0.35">
      <c r="A553" t="s">
        <v>1284</v>
      </c>
      <c r="B553" t="s">
        <v>2261</v>
      </c>
      <c r="C553" t="s">
        <v>851</v>
      </c>
      <c r="D553">
        <v>2022</v>
      </c>
      <c r="E553">
        <v>2019</v>
      </c>
      <c r="F553" t="s">
        <v>1951</v>
      </c>
      <c r="G553">
        <v>2020</v>
      </c>
      <c r="H553" t="s">
        <v>1953</v>
      </c>
      <c r="I553" t="s">
        <v>1672</v>
      </c>
      <c r="J553" s="66">
        <v>2021</v>
      </c>
      <c r="P553" s="95">
        <f>$BK$127/$BH$127 * 1000/$AK$96</f>
        <v>9.1250783463303815</v>
      </c>
      <c r="W553" s="66" t="s">
        <v>1978</v>
      </c>
      <c r="X553">
        <v>3</v>
      </c>
      <c r="Y553">
        <v>1</v>
      </c>
      <c r="Z553">
        <v>1</v>
      </c>
      <c r="AA553">
        <v>3</v>
      </c>
      <c r="AB553">
        <v>1</v>
      </c>
    </row>
    <row r="554" spans="1:28" x14ac:dyDescent="0.35">
      <c r="A554" t="s">
        <v>1284</v>
      </c>
      <c r="B554" t="s">
        <v>2261</v>
      </c>
      <c r="C554" t="s">
        <v>851</v>
      </c>
      <c r="D554">
        <v>2022</v>
      </c>
      <c r="E554">
        <v>2019</v>
      </c>
      <c r="F554" t="s">
        <v>1951</v>
      </c>
      <c r="G554">
        <v>2020</v>
      </c>
      <c r="H554" t="s">
        <v>1953</v>
      </c>
      <c r="I554" t="s">
        <v>1672</v>
      </c>
      <c r="J554" s="66">
        <v>2025</v>
      </c>
      <c r="P554" s="95">
        <f>$BK$128/$BH$128 * 1000/$AK$96</f>
        <v>12.823165589666448</v>
      </c>
      <c r="Q554" s="95">
        <f>$BK$127/$BH$127 * 1000/$AK$96</f>
        <v>9.1250783463303815</v>
      </c>
      <c r="W554" s="66" t="s">
        <v>1978</v>
      </c>
      <c r="X554">
        <v>3</v>
      </c>
      <c r="Y554">
        <v>1</v>
      </c>
      <c r="Z554">
        <v>1</v>
      </c>
      <c r="AA554">
        <v>3</v>
      </c>
      <c r="AB554">
        <v>1</v>
      </c>
    </row>
    <row r="555" spans="1:28" x14ac:dyDescent="0.35">
      <c r="A555" t="s">
        <v>1284</v>
      </c>
      <c r="B555" t="s">
        <v>2261</v>
      </c>
      <c r="C555" t="s">
        <v>851</v>
      </c>
      <c r="D555">
        <v>2022</v>
      </c>
      <c r="E555">
        <v>2019</v>
      </c>
      <c r="F555" t="s">
        <v>1951</v>
      </c>
      <c r="G555">
        <v>2020</v>
      </c>
      <c r="H555" t="s">
        <v>1953</v>
      </c>
      <c r="I555" t="s">
        <v>1672</v>
      </c>
      <c r="J555" s="66">
        <v>2030</v>
      </c>
      <c r="P555" s="95">
        <f>$BK$129/$BH$129 * 1000/$AK$96</f>
        <v>14.652885328908402</v>
      </c>
      <c r="Q555" s="95">
        <f>$BK$128/$BH$128 * 1000/$AK$96</f>
        <v>12.823165589666448</v>
      </c>
      <c r="R555" s="95">
        <f>$BK$127/$BH$127 * 1000/$AK$96</f>
        <v>9.1250783463303815</v>
      </c>
      <c r="W555" s="66" t="s">
        <v>1978</v>
      </c>
      <c r="X555">
        <v>3</v>
      </c>
      <c r="Y555">
        <v>1</v>
      </c>
      <c r="Z555">
        <v>1</v>
      </c>
      <c r="AA555">
        <v>3</v>
      </c>
      <c r="AB555">
        <v>1</v>
      </c>
    </row>
    <row r="556" spans="1:28" x14ac:dyDescent="0.35">
      <c r="A556" t="s">
        <v>1284</v>
      </c>
      <c r="B556" t="s">
        <v>2261</v>
      </c>
      <c r="C556" t="s">
        <v>851</v>
      </c>
      <c r="D556">
        <v>2022</v>
      </c>
      <c r="E556">
        <v>2019</v>
      </c>
      <c r="F556" t="s">
        <v>1951</v>
      </c>
      <c r="G556">
        <v>2020</v>
      </c>
      <c r="H556" t="s">
        <v>1953</v>
      </c>
      <c r="I556" t="s">
        <v>1672</v>
      </c>
      <c r="J556" s="66">
        <v>2035</v>
      </c>
      <c r="Q556" s="95">
        <f>$BK$129/$BH$129 * 1000/$AK$96</f>
        <v>14.652885328908402</v>
      </c>
      <c r="R556" s="95">
        <f>$BK$128/$BH$128 * 1000/$AK$96</f>
        <v>12.823165589666448</v>
      </c>
      <c r="S556" s="95">
        <f>$BK$127/$BH$127 * 1000/$AK$96</f>
        <v>9.1250783463303815</v>
      </c>
      <c r="W556" s="66" t="s">
        <v>1978</v>
      </c>
      <c r="X556">
        <v>3</v>
      </c>
      <c r="Y556">
        <v>1</v>
      </c>
      <c r="Z556">
        <v>1</v>
      </c>
      <c r="AA556">
        <v>3</v>
      </c>
      <c r="AB556">
        <v>1</v>
      </c>
    </row>
    <row r="557" spans="1:28" x14ac:dyDescent="0.35">
      <c r="A557" t="s">
        <v>1284</v>
      </c>
      <c r="B557" t="s">
        <v>2261</v>
      </c>
      <c r="C557" t="s">
        <v>851</v>
      </c>
      <c r="D557">
        <v>2022</v>
      </c>
      <c r="E557">
        <v>2019</v>
      </c>
      <c r="F557" t="s">
        <v>1951</v>
      </c>
      <c r="G557">
        <v>2020</v>
      </c>
      <c r="H557" t="s">
        <v>1953</v>
      </c>
      <c r="I557" t="s">
        <v>1672</v>
      </c>
      <c r="J557" s="66">
        <v>2040</v>
      </c>
      <c r="R557" s="95">
        <f>$BK$129/$BH$129 * 1000/$AK$96</f>
        <v>14.652885328908402</v>
      </c>
      <c r="S557" s="95">
        <f>$BK$128/$BH$128 * 1000/$AK$96</f>
        <v>12.823165589666448</v>
      </c>
      <c r="T557" s="95">
        <f>$BK$127/$BH$127 * 1000/$AK$96</f>
        <v>9.1250783463303815</v>
      </c>
      <c r="W557" s="66" t="s">
        <v>1978</v>
      </c>
      <c r="X557">
        <v>3</v>
      </c>
      <c r="Y557">
        <v>1</v>
      </c>
      <c r="Z557">
        <v>1</v>
      </c>
      <c r="AA557">
        <v>3</v>
      </c>
      <c r="AB557">
        <v>1</v>
      </c>
    </row>
    <row r="558" spans="1:28" x14ac:dyDescent="0.35">
      <c r="A558" t="s">
        <v>1284</v>
      </c>
      <c r="B558" t="s">
        <v>2261</v>
      </c>
      <c r="C558" t="s">
        <v>851</v>
      </c>
      <c r="D558">
        <v>2022</v>
      </c>
      <c r="E558">
        <v>2019</v>
      </c>
      <c r="F558" t="s">
        <v>1951</v>
      </c>
      <c r="G558">
        <v>2020</v>
      </c>
      <c r="H558" t="s">
        <v>1953</v>
      </c>
      <c r="I558" t="s">
        <v>1672</v>
      </c>
      <c r="J558" s="66">
        <v>2045</v>
      </c>
      <c r="S558" s="95">
        <f>$BK$129/$BH$129 * 1000/$AK$96</f>
        <v>14.652885328908402</v>
      </c>
      <c r="T558" s="95">
        <f>$BK$128/$BH$128 * 1000/$AK$96</f>
        <v>12.823165589666448</v>
      </c>
      <c r="U558" s="95">
        <f>$BK$127/$BH$127 * 1000/$AK$96</f>
        <v>9.1250783463303815</v>
      </c>
      <c r="W558" s="66" t="s">
        <v>1978</v>
      </c>
      <c r="X558">
        <v>3</v>
      </c>
      <c r="Y558">
        <v>1</v>
      </c>
      <c r="Z558">
        <v>1</v>
      </c>
      <c r="AA558">
        <v>3</v>
      </c>
      <c r="AB558">
        <v>1</v>
      </c>
    </row>
    <row r="559" spans="1:28" x14ac:dyDescent="0.35">
      <c r="A559" t="s">
        <v>1284</v>
      </c>
      <c r="B559" t="s">
        <v>2261</v>
      </c>
      <c r="C559" t="s">
        <v>851</v>
      </c>
      <c r="D559">
        <v>2022</v>
      </c>
      <c r="E559">
        <v>2019</v>
      </c>
      <c r="F559" t="s">
        <v>1951</v>
      </c>
      <c r="G559">
        <v>2020</v>
      </c>
      <c r="H559" t="s">
        <v>1953</v>
      </c>
      <c r="I559" t="s">
        <v>1672</v>
      </c>
      <c r="J559" s="66">
        <v>2050</v>
      </c>
      <c r="T559" s="95">
        <f>$BK$129/$BH$129 * 1000/$AK$96</f>
        <v>14.652885328908402</v>
      </c>
      <c r="U559" s="95">
        <f>$BK$128/$BH$128 * 1000/$AK$96</f>
        <v>12.823165589666448</v>
      </c>
      <c r="V559" s="95">
        <f>$BK$127/$BH$127 * 1000/$AK$96</f>
        <v>9.1250783463303815</v>
      </c>
      <c r="W559" s="66" t="s">
        <v>1978</v>
      </c>
      <c r="X559">
        <v>3</v>
      </c>
      <c r="Y559">
        <v>1</v>
      </c>
      <c r="Z559">
        <v>1</v>
      </c>
      <c r="AA559">
        <v>3</v>
      </c>
      <c r="AB559">
        <v>1</v>
      </c>
    </row>
    <row r="560" spans="1:28" x14ac:dyDescent="0.35">
      <c r="A560" t="s">
        <v>1285</v>
      </c>
      <c r="B560" t="s">
        <v>2261</v>
      </c>
      <c r="C560" t="s">
        <v>851</v>
      </c>
      <c r="D560">
        <v>2022</v>
      </c>
      <c r="E560">
        <v>2019</v>
      </c>
      <c r="F560" t="s">
        <v>1951</v>
      </c>
      <c r="G560">
        <v>2020</v>
      </c>
      <c r="H560" t="s">
        <v>1953</v>
      </c>
      <c r="I560" t="s">
        <v>1672</v>
      </c>
      <c r="J560" s="66">
        <v>2021</v>
      </c>
      <c r="P560" s="95">
        <f>$BL$127/$BH$127 * 1000/$AK$96</f>
        <v>8.8104204723189898</v>
      </c>
      <c r="W560" s="66" t="s">
        <v>1978</v>
      </c>
      <c r="X560">
        <v>3</v>
      </c>
      <c r="Y560">
        <v>1</v>
      </c>
      <c r="Z560">
        <v>1</v>
      </c>
      <c r="AA560">
        <v>3</v>
      </c>
      <c r="AB560">
        <v>1</v>
      </c>
    </row>
    <row r="561" spans="1:28" x14ac:dyDescent="0.35">
      <c r="A561" t="s">
        <v>1285</v>
      </c>
      <c r="B561" t="s">
        <v>2261</v>
      </c>
      <c r="C561" t="s">
        <v>851</v>
      </c>
      <c r="D561">
        <v>2022</v>
      </c>
      <c r="E561">
        <v>2019</v>
      </c>
      <c r="F561" t="s">
        <v>1951</v>
      </c>
      <c r="G561">
        <v>2020</v>
      </c>
      <c r="H561" t="s">
        <v>1953</v>
      </c>
      <c r="I561" t="s">
        <v>1672</v>
      </c>
      <c r="J561" s="66">
        <v>2025</v>
      </c>
      <c r="P561" s="95">
        <f>$BL$128/$BH$128 * 1000/$AK$96</f>
        <v>12.380987465884848</v>
      </c>
      <c r="Q561" s="95">
        <f>$BL$127/$BH$127 * 1000/$AK$96</f>
        <v>8.8104204723189898</v>
      </c>
      <c r="W561" s="66" t="s">
        <v>1978</v>
      </c>
      <c r="X561">
        <v>3</v>
      </c>
      <c r="Y561">
        <v>1</v>
      </c>
      <c r="Z561">
        <v>1</v>
      </c>
      <c r="AA561">
        <v>3</v>
      </c>
      <c r="AB561">
        <v>1</v>
      </c>
    </row>
    <row r="562" spans="1:28" x14ac:dyDescent="0.35">
      <c r="A562" t="s">
        <v>1285</v>
      </c>
      <c r="B562" t="s">
        <v>2261</v>
      </c>
      <c r="C562" t="s">
        <v>851</v>
      </c>
      <c r="D562">
        <v>2022</v>
      </c>
      <c r="E562">
        <v>2019</v>
      </c>
      <c r="F562" t="s">
        <v>1951</v>
      </c>
      <c r="G562">
        <v>2020</v>
      </c>
      <c r="H562" t="s">
        <v>1953</v>
      </c>
      <c r="I562" t="s">
        <v>1672</v>
      </c>
      <c r="J562" s="66">
        <v>2030</v>
      </c>
      <c r="P562" s="95">
        <f>$BL$129/$BH$129 * 1000/$AK$96</f>
        <v>14.147613421015006</v>
      </c>
      <c r="Q562" s="95">
        <f>$BL$128/$BH$128 * 1000/$AK$96</f>
        <v>12.380987465884848</v>
      </c>
      <c r="R562" s="95">
        <f>$BL$127/$BH$127 * 1000/$AK$96</f>
        <v>8.8104204723189898</v>
      </c>
      <c r="W562" s="66" t="s">
        <v>1978</v>
      </c>
      <c r="X562">
        <v>3</v>
      </c>
      <c r="Y562">
        <v>1</v>
      </c>
      <c r="Z562">
        <v>1</v>
      </c>
      <c r="AA562">
        <v>3</v>
      </c>
      <c r="AB562">
        <v>1</v>
      </c>
    </row>
    <row r="563" spans="1:28" x14ac:dyDescent="0.35">
      <c r="A563" t="s">
        <v>1285</v>
      </c>
      <c r="B563" t="s">
        <v>2261</v>
      </c>
      <c r="C563" t="s">
        <v>851</v>
      </c>
      <c r="D563">
        <v>2022</v>
      </c>
      <c r="E563">
        <v>2019</v>
      </c>
      <c r="F563" t="s">
        <v>1951</v>
      </c>
      <c r="G563">
        <v>2020</v>
      </c>
      <c r="H563" t="s">
        <v>1953</v>
      </c>
      <c r="I563" t="s">
        <v>1672</v>
      </c>
      <c r="J563" s="66">
        <v>2035</v>
      </c>
      <c r="Q563" s="95">
        <f>$BL$129/$BH$129 * 1000/$AK$96</f>
        <v>14.147613421015006</v>
      </c>
      <c r="R563" s="95">
        <f>$BL$128/$BH$128 * 1000/$AK$96</f>
        <v>12.380987465884848</v>
      </c>
      <c r="S563" s="95">
        <f>$BL$127/$BH$127 * 1000/$AK$96</f>
        <v>8.8104204723189898</v>
      </c>
      <c r="W563" s="66" t="s">
        <v>1978</v>
      </c>
      <c r="X563">
        <v>3</v>
      </c>
      <c r="Y563">
        <v>1</v>
      </c>
      <c r="Z563">
        <v>1</v>
      </c>
      <c r="AA563">
        <v>3</v>
      </c>
      <c r="AB563">
        <v>1</v>
      </c>
    </row>
    <row r="564" spans="1:28" x14ac:dyDescent="0.35">
      <c r="A564" t="s">
        <v>1285</v>
      </c>
      <c r="B564" t="s">
        <v>2261</v>
      </c>
      <c r="C564" t="s">
        <v>851</v>
      </c>
      <c r="D564">
        <v>2022</v>
      </c>
      <c r="E564">
        <v>2019</v>
      </c>
      <c r="F564" t="s">
        <v>1951</v>
      </c>
      <c r="G564">
        <v>2020</v>
      </c>
      <c r="H564" t="s">
        <v>1953</v>
      </c>
      <c r="I564" t="s">
        <v>1672</v>
      </c>
      <c r="J564" s="66">
        <v>2040</v>
      </c>
      <c r="R564" s="95">
        <f>$BL$129/$BH$129 * 1000/$AK$96</f>
        <v>14.147613421015006</v>
      </c>
      <c r="S564" s="95">
        <f>$BL$128/$BH$128 * 1000/$AK$96</f>
        <v>12.380987465884848</v>
      </c>
      <c r="T564" s="95">
        <f>$BL$127/$BH$127 * 1000/$AK$96</f>
        <v>8.8104204723189898</v>
      </c>
      <c r="W564" s="66" t="s">
        <v>1978</v>
      </c>
      <c r="X564">
        <v>3</v>
      </c>
      <c r="Y564">
        <v>1</v>
      </c>
      <c r="Z564">
        <v>1</v>
      </c>
      <c r="AA564">
        <v>3</v>
      </c>
      <c r="AB564">
        <v>1</v>
      </c>
    </row>
    <row r="565" spans="1:28" x14ac:dyDescent="0.35">
      <c r="A565" t="s">
        <v>1285</v>
      </c>
      <c r="B565" t="s">
        <v>2261</v>
      </c>
      <c r="C565" t="s">
        <v>851</v>
      </c>
      <c r="D565">
        <v>2022</v>
      </c>
      <c r="E565">
        <v>2019</v>
      </c>
      <c r="F565" t="s">
        <v>1951</v>
      </c>
      <c r="G565">
        <v>2020</v>
      </c>
      <c r="H565" t="s">
        <v>1953</v>
      </c>
      <c r="I565" t="s">
        <v>1672</v>
      </c>
      <c r="J565" s="66">
        <v>2045</v>
      </c>
      <c r="S565" s="95">
        <f>$BL$129/$BH$129 * 1000/$AK$96</f>
        <v>14.147613421015006</v>
      </c>
      <c r="T565" s="95">
        <f>$BL$128/$BH$128 * 1000/$AK$96</f>
        <v>12.380987465884848</v>
      </c>
      <c r="U565" s="95">
        <f>$BL$127/$BH$127 * 1000/$AK$96</f>
        <v>8.8104204723189898</v>
      </c>
      <c r="W565" s="66" t="s">
        <v>1978</v>
      </c>
      <c r="X565">
        <v>3</v>
      </c>
      <c r="Y565">
        <v>1</v>
      </c>
      <c r="Z565">
        <v>1</v>
      </c>
      <c r="AA565">
        <v>3</v>
      </c>
      <c r="AB565">
        <v>1</v>
      </c>
    </row>
    <row r="566" spans="1:28" x14ac:dyDescent="0.35">
      <c r="A566" t="s">
        <v>1285</v>
      </c>
      <c r="B566" t="s">
        <v>2261</v>
      </c>
      <c r="C566" t="s">
        <v>851</v>
      </c>
      <c r="D566">
        <v>2022</v>
      </c>
      <c r="E566">
        <v>2019</v>
      </c>
      <c r="F566" t="s">
        <v>1951</v>
      </c>
      <c r="G566">
        <v>2020</v>
      </c>
      <c r="H566" t="s">
        <v>1953</v>
      </c>
      <c r="I566" t="s">
        <v>1672</v>
      </c>
      <c r="J566" s="66">
        <v>2050</v>
      </c>
      <c r="T566" s="95">
        <f>$BL$129/$BH$129 * 1000/$AK$96</f>
        <v>14.147613421015006</v>
      </c>
      <c r="U566" s="95">
        <f>$BL$128/$BH$128 * 1000/$AK$96</f>
        <v>12.380987465884848</v>
      </c>
      <c r="V566" s="95">
        <f>$BL$127/$BH$127 * 1000/$AK$96</f>
        <v>8.8104204723189898</v>
      </c>
      <c r="W566" s="66" t="s">
        <v>1978</v>
      </c>
      <c r="X566">
        <v>3</v>
      </c>
      <c r="Y566">
        <v>1</v>
      </c>
      <c r="Z566">
        <v>1</v>
      </c>
      <c r="AA566">
        <v>3</v>
      </c>
      <c r="AB566">
        <v>1</v>
      </c>
    </row>
    <row r="567" spans="1:28" x14ac:dyDescent="0.35">
      <c r="A567" t="s">
        <v>1286</v>
      </c>
      <c r="B567" t="s">
        <v>2261</v>
      </c>
      <c r="C567" t="s">
        <v>851</v>
      </c>
      <c r="D567">
        <v>2022</v>
      </c>
      <c r="E567">
        <v>2019</v>
      </c>
      <c r="F567" t="s">
        <v>1951</v>
      </c>
      <c r="G567">
        <v>2020</v>
      </c>
      <c r="H567" t="s">
        <v>1953</v>
      </c>
      <c r="I567" t="s">
        <v>1672</v>
      </c>
      <c r="J567" s="66">
        <v>2021</v>
      </c>
      <c r="P567" s="95">
        <f>$BO$127/$BH$127 * 1000/$AK$96</f>
        <v>6.2931574802278512</v>
      </c>
      <c r="W567" s="66" t="s">
        <v>1978</v>
      </c>
      <c r="X567">
        <v>3</v>
      </c>
      <c r="Y567">
        <v>1</v>
      </c>
      <c r="Z567">
        <v>1</v>
      </c>
      <c r="AA567">
        <v>3</v>
      </c>
      <c r="AB567">
        <v>1</v>
      </c>
    </row>
    <row r="568" spans="1:28" x14ac:dyDescent="0.35">
      <c r="A568" t="s">
        <v>1286</v>
      </c>
      <c r="B568" t="s">
        <v>2261</v>
      </c>
      <c r="C568" t="s">
        <v>851</v>
      </c>
      <c r="D568">
        <v>2022</v>
      </c>
      <c r="E568">
        <v>2019</v>
      </c>
      <c r="F568" t="s">
        <v>1951</v>
      </c>
      <c r="G568">
        <v>2020</v>
      </c>
      <c r="H568" t="s">
        <v>1953</v>
      </c>
      <c r="I568" t="s">
        <v>1672</v>
      </c>
      <c r="J568" s="66">
        <v>2025</v>
      </c>
      <c r="P568" s="95">
        <f>$BO$128/$BH$128 * 1000/$AK$96</f>
        <v>8.8435624756320355</v>
      </c>
      <c r="Q568" s="95">
        <f>$BO$127/$BH$127 * 1000/$AK$96</f>
        <v>6.2931574802278512</v>
      </c>
      <c r="W568" s="66" t="s">
        <v>1978</v>
      </c>
      <c r="X568">
        <v>3</v>
      </c>
      <c r="Y568">
        <v>1</v>
      </c>
      <c r="Z568">
        <v>1</v>
      </c>
      <c r="AA568">
        <v>3</v>
      </c>
      <c r="AB568">
        <v>1</v>
      </c>
    </row>
    <row r="569" spans="1:28" x14ac:dyDescent="0.35">
      <c r="A569" t="s">
        <v>1286</v>
      </c>
      <c r="B569" t="s">
        <v>2261</v>
      </c>
      <c r="C569" t="s">
        <v>851</v>
      </c>
      <c r="D569">
        <v>2022</v>
      </c>
      <c r="E569">
        <v>2019</v>
      </c>
      <c r="F569" t="s">
        <v>1951</v>
      </c>
      <c r="G569">
        <v>2020</v>
      </c>
      <c r="H569" t="s">
        <v>1953</v>
      </c>
      <c r="I569" t="s">
        <v>1672</v>
      </c>
      <c r="J569" s="66">
        <v>2030</v>
      </c>
      <c r="P569" s="95">
        <f>$BO$129/$BH$129 * 1000/$AK$96</f>
        <v>10.105438157867864</v>
      </c>
      <c r="Q569" s="95">
        <f>$BO$128/$BH$128 * 1000/$AK$96</f>
        <v>8.8435624756320355</v>
      </c>
      <c r="R569" s="95">
        <f>$BO$127/$BH$127 * 1000/$AK$96</f>
        <v>6.2931574802278512</v>
      </c>
      <c r="W569" s="66" t="s">
        <v>1978</v>
      </c>
      <c r="X569">
        <v>3</v>
      </c>
      <c r="Y569">
        <v>1</v>
      </c>
      <c r="Z569">
        <v>1</v>
      </c>
      <c r="AA569">
        <v>3</v>
      </c>
      <c r="AB569">
        <v>1</v>
      </c>
    </row>
    <row r="570" spans="1:28" x14ac:dyDescent="0.35">
      <c r="A570" t="s">
        <v>1286</v>
      </c>
      <c r="B570" t="s">
        <v>2261</v>
      </c>
      <c r="C570" t="s">
        <v>851</v>
      </c>
      <c r="D570">
        <v>2022</v>
      </c>
      <c r="E570">
        <v>2019</v>
      </c>
      <c r="F570" t="s">
        <v>1951</v>
      </c>
      <c r="G570">
        <v>2020</v>
      </c>
      <c r="H570" t="s">
        <v>1953</v>
      </c>
      <c r="I570" t="s">
        <v>1672</v>
      </c>
      <c r="J570" s="66">
        <v>2035</v>
      </c>
      <c r="Q570" s="95">
        <f>$BO$129/$BH$129 * 1000/$AK$96</f>
        <v>10.105438157867864</v>
      </c>
      <c r="R570" s="95">
        <f>$BO$128/$BH$128 * 1000/$AK$96</f>
        <v>8.8435624756320355</v>
      </c>
      <c r="S570" s="95">
        <f>$BO$127/$BH$127 * 1000/$AK$96</f>
        <v>6.2931574802278512</v>
      </c>
      <c r="W570" s="66" t="s">
        <v>1978</v>
      </c>
      <c r="X570">
        <v>3</v>
      </c>
      <c r="Y570">
        <v>1</v>
      </c>
      <c r="Z570">
        <v>1</v>
      </c>
      <c r="AA570">
        <v>3</v>
      </c>
      <c r="AB570">
        <v>1</v>
      </c>
    </row>
    <row r="571" spans="1:28" x14ac:dyDescent="0.35">
      <c r="A571" t="s">
        <v>1286</v>
      </c>
      <c r="B571" t="s">
        <v>2261</v>
      </c>
      <c r="C571" t="s">
        <v>851</v>
      </c>
      <c r="D571">
        <v>2022</v>
      </c>
      <c r="E571">
        <v>2019</v>
      </c>
      <c r="F571" t="s">
        <v>1951</v>
      </c>
      <c r="G571">
        <v>2020</v>
      </c>
      <c r="H571" t="s">
        <v>1953</v>
      </c>
      <c r="I571" t="s">
        <v>1672</v>
      </c>
      <c r="J571" s="66">
        <v>2040</v>
      </c>
      <c r="R571" s="95">
        <f>$BO$129/$BH$129 * 1000/$AK$96</f>
        <v>10.105438157867864</v>
      </c>
      <c r="S571" s="95">
        <f>$BO$128/$BH$128 * 1000/$AK$96</f>
        <v>8.8435624756320355</v>
      </c>
      <c r="T571" s="95">
        <f>$BO$127/$BH$127 * 1000/$AK$96</f>
        <v>6.2931574802278512</v>
      </c>
      <c r="W571" s="66" t="s">
        <v>1978</v>
      </c>
      <c r="X571">
        <v>3</v>
      </c>
      <c r="Y571">
        <v>1</v>
      </c>
      <c r="Z571">
        <v>1</v>
      </c>
      <c r="AA571">
        <v>3</v>
      </c>
      <c r="AB571">
        <v>1</v>
      </c>
    </row>
    <row r="572" spans="1:28" x14ac:dyDescent="0.35">
      <c r="A572" t="s">
        <v>1286</v>
      </c>
      <c r="B572" t="s">
        <v>2261</v>
      </c>
      <c r="C572" t="s">
        <v>851</v>
      </c>
      <c r="D572">
        <v>2022</v>
      </c>
      <c r="E572">
        <v>2019</v>
      </c>
      <c r="F572" t="s">
        <v>1951</v>
      </c>
      <c r="G572">
        <v>2020</v>
      </c>
      <c r="H572" t="s">
        <v>1953</v>
      </c>
      <c r="I572" t="s">
        <v>1672</v>
      </c>
      <c r="J572" s="66">
        <v>2045</v>
      </c>
      <c r="S572" s="95">
        <f>$BO$129/$BH$129 * 1000/$AK$96</f>
        <v>10.105438157867864</v>
      </c>
      <c r="T572" s="95">
        <f>$BO$128/$BH$128 * 1000/$AK$96</f>
        <v>8.8435624756320355</v>
      </c>
      <c r="U572" s="95">
        <f>$BO$127/$BH$127 * 1000/$AK$96</f>
        <v>6.2931574802278512</v>
      </c>
      <c r="W572" s="66" t="s">
        <v>1978</v>
      </c>
      <c r="X572">
        <v>3</v>
      </c>
      <c r="Y572">
        <v>1</v>
      </c>
      <c r="Z572">
        <v>1</v>
      </c>
      <c r="AA572">
        <v>3</v>
      </c>
      <c r="AB572">
        <v>1</v>
      </c>
    </row>
    <row r="573" spans="1:28" x14ac:dyDescent="0.35">
      <c r="A573" t="s">
        <v>1286</v>
      </c>
      <c r="B573" t="s">
        <v>2261</v>
      </c>
      <c r="C573" t="s">
        <v>851</v>
      </c>
      <c r="D573">
        <v>2022</v>
      </c>
      <c r="E573">
        <v>2019</v>
      </c>
      <c r="F573" t="s">
        <v>1951</v>
      </c>
      <c r="G573">
        <v>2020</v>
      </c>
      <c r="H573" t="s">
        <v>1953</v>
      </c>
      <c r="I573" t="s">
        <v>1672</v>
      </c>
      <c r="J573" s="66">
        <v>2050</v>
      </c>
      <c r="T573" s="95">
        <f>$BO$129/$BH$129 * 1000/$AK$96</f>
        <v>10.105438157867864</v>
      </c>
      <c r="U573" s="95">
        <f>$BO$128/$BH$128 * 1000/$AK$96</f>
        <v>8.8435624756320355</v>
      </c>
      <c r="V573" s="95">
        <f>$BO$127/$BH$127 * 1000/$AK$96</f>
        <v>6.2931574802278512</v>
      </c>
      <c r="W573" s="66" t="s">
        <v>1978</v>
      </c>
      <c r="X573">
        <v>3</v>
      </c>
      <c r="Y573">
        <v>1</v>
      </c>
      <c r="Z573">
        <v>1</v>
      </c>
      <c r="AA573">
        <v>3</v>
      </c>
      <c r="AB573">
        <v>1</v>
      </c>
    </row>
    <row r="574" spans="1:28" x14ac:dyDescent="0.35">
      <c r="A574" t="s">
        <v>1287</v>
      </c>
      <c r="B574" t="s">
        <v>2261</v>
      </c>
      <c r="C574" t="s">
        <v>851</v>
      </c>
      <c r="D574">
        <v>2022</v>
      </c>
      <c r="E574">
        <v>2019</v>
      </c>
      <c r="F574" t="s">
        <v>1951</v>
      </c>
      <c r="G574">
        <v>2020</v>
      </c>
      <c r="H574" t="s">
        <v>1953</v>
      </c>
      <c r="I574" t="s">
        <v>1672</v>
      </c>
      <c r="J574" s="66">
        <v>2021</v>
      </c>
      <c r="P574" s="95">
        <f>$BM$127/$BH$127 * 1000/$AK$96</f>
        <v>6.2931574802278512</v>
      </c>
      <c r="W574" s="66" t="s">
        <v>1978</v>
      </c>
      <c r="X574">
        <v>3</v>
      </c>
      <c r="Y574">
        <v>1</v>
      </c>
      <c r="Z574">
        <v>1</v>
      </c>
      <c r="AA574">
        <v>3</v>
      </c>
      <c r="AB574">
        <v>1</v>
      </c>
    </row>
    <row r="575" spans="1:28" x14ac:dyDescent="0.35">
      <c r="A575" t="s">
        <v>1287</v>
      </c>
      <c r="B575" t="s">
        <v>2261</v>
      </c>
      <c r="C575" t="s">
        <v>851</v>
      </c>
      <c r="D575">
        <v>2022</v>
      </c>
      <c r="E575">
        <v>2019</v>
      </c>
      <c r="F575" t="s">
        <v>1951</v>
      </c>
      <c r="G575">
        <v>2020</v>
      </c>
      <c r="H575" t="s">
        <v>1953</v>
      </c>
      <c r="I575" t="s">
        <v>1672</v>
      </c>
      <c r="J575" s="66">
        <v>2025</v>
      </c>
      <c r="P575" s="95">
        <f>$BM$128/$BH$128 * 1000/$AK$96</f>
        <v>8.8435624756320355</v>
      </c>
      <c r="Q575" s="95">
        <f>$BM$127/$BH$127 * 1000/$AK$96</f>
        <v>6.2931574802278512</v>
      </c>
      <c r="W575" s="66" t="s">
        <v>1978</v>
      </c>
      <c r="X575">
        <v>3</v>
      </c>
      <c r="Y575">
        <v>1</v>
      </c>
      <c r="Z575">
        <v>1</v>
      </c>
      <c r="AA575">
        <v>3</v>
      </c>
      <c r="AB575">
        <v>1</v>
      </c>
    </row>
    <row r="576" spans="1:28" x14ac:dyDescent="0.35">
      <c r="A576" t="s">
        <v>1287</v>
      </c>
      <c r="B576" t="s">
        <v>2261</v>
      </c>
      <c r="C576" t="s">
        <v>851</v>
      </c>
      <c r="D576">
        <v>2022</v>
      </c>
      <c r="E576">
        <v>2019</v>
      </c>
      <c r="F576" t="s">
        <v>1951</v>
      </c>
      <c r="G576">
        <v>2020</v>
      </c>
      <c r="H576" t="s">
        <v>1953</v>
      </c>
      <c r="I576" t="s">
        <v>1672</v>
      </c>
      <c r="J576" s="66">
        <v>2030</v>
      </c>
      <c r="P576" s="95">
        <f>$BM$129/$BH$129 * 1000/$AK$96</f>
        <v>10.105438157867864</v>
      </c>
      <c r="Q576" s="95">
        <f>$BM$128/$BH$128 * 1000/$AK$96</f>
        <v>8.8435624756320355</v>
      </c>
      <c r="R576" s="95">
        <f>$BM$127/$BH$127 * 1000/$AK$96</f>
        <v>6.2931574802278512</v>
      </c>
      <c r="W576" s="66" t="s">
        <v>1978</v>
      </c>
      <c r="X576">
        <v>3</v>
      </c>
      <c r="Y576">
        <v>1</v>
      </c>
      <c r="Z576">
        <v>1</v>
      </c>
      <c r="AA576">
        <v>3</v>
      </c>
      <c r="AB576">
        <v>1</v>
      </c>
    </row>
    <row r="577" spans="1:28" x14ac:dyDescent="0.35">
      <c r="A577" t="s">
        <v>1287</v>
      </c>
      <c r="B577" t="s">
        <v>2261</v>
      </c>
      <c r="C577" t="s">
        <v>851</v>
      </c>
      <c r="D577">
        <v>2022</v>
      </c>
      <c r="E577">
        <v>2019</v>
      </c>
      <c r="F577" t="s">
        <v>1951</v>
      </c>
      <c r="G577">
        <v>2020</v>
      </c>
      <c r="H577" t="s">
        <v>1953</v>
      </c>
      <c r="I577" t="s">
        <v>1672</v>
      </c>
      <c r="J577" s="66">
        <v>2035</v>
      </c>
      <c r="Q577" s="95">
        <f>$BM$129/$BH$129 * 1000/$AK$96</f>
        <v>10.105438157867864</v>
      </c>
      <c r="R577" s="95">
        <f>$BM$128/$BH$128 * 1000/$AK$96</f>
        <v>8.8435624756320355</v>
      </c>
      <c r="S577" s="95">
        <f>$BM$127/$BH$127 * 1000/$AK$96</f>
        <v>6.2931574802278512</v>
      </c>
      <c r="W577" s="66" t="s">
        <v>1978</v>
      </c>
      <c r="X577">
        <v>3</v>
      </c>
      <c r="Y577">
        <v>1</v>
      </c>
      <c r="Z577">
        <v>1</v>
      </c>
      <c r="AA577">
        <v>3</v>
      </c>
      <c r="AB577">
        <v>1</v>
      </c>
    </row>
    <row r="578" spans="1:28" x14ac:dyDescent="0.35">
      <c r="A578" t="s">
        <v>1287</v>
      </c>
      <c r="B578" t="s">
        <v>2261</v>
      </c>
      <c r="C578" t="s">
        <v>851</v>
      </c>
      <c r="D578">
        <v>2022</v>
      </c>
      <c r="E578">
        <v>2019</v>
      </c>
      <c r="F578" t="s">
        <v>1951</v>
      </c>
      <c r="G578">
        <v>2020</v>
      </c>
      <c r="H578" t="s">
        <v>1953</v>
      </c>
      <c r="I578" t="s">
        <v>1672</v>
      </c>
      <c r="J578" s="66">
        <v>2040</v>
      </c>
      <c r="R578" s="95">
        <f>$BM$129/$BH$129 * 1000/$AK$96</f>
        <v>10.105438157867864</v>
      </c>
      <c r="S578" s="95">
        <f>$BM$128/$BH$128 * 1000/$AK$96</f>
        <v>8.8435624756320355</v>
      </c>
      <c r="T578" s="95">
        <f>$BM$127/$BH$127 * 1000/$AK$96</f>
        <v>6.2931574802278512</v>
      </c>
      <c r="W578" s="66" t="s">
        <v>1978</v>
      </c>
      <c r="X578">
        <v>3</v>
      </c>
      <c r="Y578">
        <v>1</v>
      </c>
      <c r="Z578">
        <v>1</v>
      </c>
      <c r="AA578">
        <v>3</v>
      </c>
      <c r="AB578">
        <v>1</v>
      </c>
    </row>
    <row r="579" spans="1:28" x14ac:dyDescent="0.35">
      <c r="A579" t="s">
        <v>1287</v>
      </c>
      <c r="B579" t="s">
        <v>2261</v>
      </c>
      <c r="C579" t="s">
        <v>851</v>
      </c>
      <c r="D579">
        <v>2022</v>
      </c>
      <c r="E579">
        <v>2019</v>
      </c>
      <c r="F579" t="s">
        <v>1951</v>
      </c>
      <c r="G579">
        <v>2020</v>
      </c>
      <c r="H579" t="s">
        <v>1953</v>
      </c>
      <c r="I579" t="s">
        <v>1672</v>
      </c>
      <c r="J579" s="66">
        <v>2045</v>
      </c>
      <c r="S579" s="95">
        <f>$BM$129/$BH$129 * 1000/$AK$96</f>
        <v>10.105438157867864</v>
      </c>
      <c r="T579" s="95">
        <f>$BM$128/$BH$128 * 1000/$AK$96</f>
        <v>8.8435624756320355</v>
      </c>
      <c r="U579" s="95">
        <f>$BM$127/$BH$127 * 1000/$AK$96</f>
        <v>6.2931574802278512</v>
      </c>
      <c r="W579" s="66" t="s">
        <v>1978</v>
      </c>
      <c r="X579">
        <v>3</v>
      </c>
      <c r="Y579">
        <v>1</v>
      </c>
      <c r="Z579">
        <v>1</v>
      </c>
      <c r="AA579">
        <v>3</v>
      </c>
      <c r="AB579">
        <v>1</v>
      </c>
    </row>
    <row r="580" spans="1:28" x14ac:dyDescent="0.35">
      <c r="A580" t="s">
        <v>1287</v>
      </c>
      <c r="B580" t="s">
        <v>2261</v>
      </c>
      <c r="C580" t="s">
        <v>851</v>
      </c>
      <c r="D580">
        <v>2022</v>
      </c>
      <c r="E580">
        <v>2019</v>
      </c>
      <c r="F580" t="s">
        <v>1951</v>
      </c>
      <c r="G580">
        <v>2020</v>
      </c>
      <c r="H580" t="s">
        <v>1953</v>
      </c>
      <c r="I580" t="s">
        <v>1672</v>
      </c>
      <c r="J580" s="66">
        <v>2050</v>
      </c>
      <c r="T580" s="95">
        <f>$BM$129/$BH$129 * 1000/$AK$96</f>
        <v>10.105438157867864</v>
      </c>
      <c r="U580" s="95">
        <f>$BM$128/$BH$128 * 1000/$AK$96</f>
        <v>8.8435624756320355</v>
      </c>
      <c r="V580" s="95">
        <f>$BM$127/$BH$127 * 1000/$AK$96</f>
        <v>6.2931574802278512</v>
      </c>
      <c r="W580" s="66" t="s">
        <v>1978</v>
      </c>
      <c r="X580">
        <v>3</v>
      </c>
      <c r="Y580">
        <v>1</v>
      </c>
      <c r="Z580">
        <v>1</v>
      </c>
      <c r="AA580">
        <v>3</v>
      </c>
      <c r="AB580">
        <v>1</v>
      </c>
    </row>
    <row r="581" spans="1:28" x14ac:dyDescent="0.35">
      <c r="A581" t="s">
        <v>1288</v>
      </c>
      <c r="B581" t="s">
        <v>2261</v>
      </c>
      <c r="C581" t="s">
        <v>851</v>
      </c>
      <c r="D581">
        <v>2022</v>
      </c>
      <c r="E581">
        <v>2019</v>
      </c>
      <c r="F581" t="s">
        <v>1951</v>
      </c>
      <c r="G581">
        <v>2020</v>
      </c>
      <c r="H581" t="s">
        <v>1953</v>
      </c>
      <c r="I581" t="s">
        <v>1672</v>
      </c>
      <c r="J581" s="66">
        <v>2021</v>
      </c>
      <c r="P581" s="95">
        <f>$BN$127/$BH$127 * 1000/$AK$96</f>
        <v>6.2931574802278512</v>
      </c>
      <c r="W581" s="66" t="s">
        <v>1978</v>
      </c>
      <c r="X581">
        <v>3</v>
      </c>
      <c r="Y581">
        <v>1</v>
      </c>
      <c r="Z581">
        <v>1</v>
      </c>
      <c r="AA581">
        <v>3</v>
      </c>
      <c r="AB581">
        <v>1</v>
      </c>
    </row>
    <row r="582" spans="1:28" x14ac:dyDescent="0.35">
      <c r="A582" t="s">
        <v>1288</v>
      </c>
      <c r="B582" t="s">
        <v>2261</v>
      </c>
      <c r="C582" t="s">
        <v>851</v>
      </c>
      <c r="D582">
        <v>2022</v>
      </c>
      <c r="E582">
        <v>2019</v>
      </c>
      <c r="F582" t="s">
        <v>1951</v>
      </c>
      <c r="G582">
        <v>2020</v>
      </c>
      <c r="H582" t="s">
        <v>1953</v>
      </c>
      <c r="I582" t="s">
        <v>1672</v>
      </c>
      <c r="J582" s="66">
        <v>2025</v>
      </c>
      <c r="P582" s="95">
        <f>$BN$128/$BH$128 * 1000/$AK$96</f>
        <v>8.8435624756320355</v>
      </c>
      <c r="Q582" s="95">
        <f>$BN$127/$BH$127 * 1000/$AK$96</f>
        <v>6.2931574802278512</v>
      </c>
      <c r="W582" s="66" t="s">
        <v>1978</v>
      </c>
      <c r="X582">
        <v>3</v>
      </c>
      <c r="Y582">
        <v>1</v>
      </c>
      <c r="Z582">
        <v>1</v>
      </c>
      <c r="AA582">
        <v>3</v>
      </c>
      <c r="AB582">
        <v>1</v>
      </c>
    </row>
    <row r="583" spans="1:28" x14ac:dyDescent="0.35">
      <c r="A583" t="s">
        <v>1288</v>
      </c>
      <c r="B583" t="s">
        <v>2261</v>
      </c>
      <c r="C583" t="s">
        <v>851</v>
      </c>
      <c r="D583">
        <v>2022</v>
      </c>
      <c r="E583">
        <v>2019</v>
      </c>
      <c r="F583" t="s">
        <v>1951</v>
      </c>
      <c r="G583">
        <v>2020</v>
      </c>
      <c r="H583" t="s">
        <v>1953</v>
      </c>
      <c r="I583" t="s">
        <v>1672</v>
      </c>
      <c r="J583" s="66">
        <v>2030</v>
      </c>
      <c r="P583" s="95">
        <f>$BN$129/$BH$129 * 1000/$AK$96</f>
        <v>10.105438157867864</v>
      </c>
      <c r="Q583" s="95">
        <f>$BN$128/$BH$128 * 1000/$AK$96</f>
        <v>8.8435624756320355</v>
      </c>
      <c r="R583" s="95">
        <f>$BN$127/$BH$127 * 1000/$AK$96</f>
        <v>6.2931574802278512</v>
      </c>
      <c r="W583" s="66" t="s">
        <v>1978</v>
      </c>
      <c r="X583">
        <v>3</v>
      </c>
      <c r="Y583">
        <v>1</v>
      </c>
      <c r="Z583">
        <v>1</v>
      </c>
      <c r="AA583">
        <v>3</v>
      </c>
      <c r="AB583">
        <v>1</v>
      </c>
    </row>
    <row r="584" spans="1:28" x14ac:dyDescent="0.35">
      <c r="A584" t="s">
        <v>1288</v>
      </c>
      <c r="B584" t="s">
        <v>2261</v>
      </c>
      <c r="C584" t="s">
        <v>851</v>
      </c>
      <c r="D584">
        <v>2022</v>
      </c>
      <c r="E584">
        <v>2019</v>
      </c>
      <c r="F584" t="s">
        <v>1951</v>
      </c>
      <c r="G584">
        <v>2020</v>
      </c>
      <c r="H584" t="s">
        <v>1953</v>
      </c>
      <c r="I584" t="s">
        <v>1672</v>
      </c>
      <c r="J584" s="66">
        <v>2035</v>
      </c>
      <c r="Q584" s="95">
        <f>$BN$129/$BH$129 * 1000/$AK$96</f>
        <v>10.105438157867864</v>
      </c>
      <c r="R584" s="95">
        <f>$BN$128/$BH$128 * 1000/$AK$96</f>
        <v>8.8435624756320355</v>
      </c>
      <c r="S584" s="95">
        <f>$BN$127/$BH$127 * 1000/$AK$96</f>
        <v>6.2931574802278512</v>
      </c>
      <c r="W584" s="66" t="s">
        <v>1978</v>
      </c>
      <c r="X584">
        <v>3</v>
      </c>
      <c r="Y584">
        <v>1</v>
      </c>
      <c r="Z584">
        <v>1</v>
      </c>
      <c r="AA584">
        <v>3</v>
      </c>
      <c r="AB584">
        <v>1</v>
      </c>
    </row>
    <row r="585" spans="1:28" x14ac:dyDescent="0.35">
      <c r="A585" t="s">
        <v>1288</v>
      </c>
      <c r="B585" t="s">
        <v>2261</v>
      </c>
      <c r="C585" t="s">
        <v>851</v>
      </c>
      <c r="D585">
        <v>2022</v>
      </c>
      <c r="E585">
        <v>2019</v>
      </c>
      <c r="F585" t="s">
        <v>1951</v>
      </c>
      <c r="G585">
        <v>2020</v>
      </c>
      <c r="H585" t="s">
        <v>1953</v>
      </c>
      <c r="I585" t="s">
        <v>1672</v>
      </c>
      <c r="J585" s="66">
        <v>2040</v>
      </c>
      <c r="R585" s="95">
        <f>$BN$129/$BH$129 * 1000/$AK$96</f>
        <v>10.105438157867864</v>
      </c>
      <c r="S585" s="95">
        <f>$BN$128/$BH$128 * 1000/$AK$96</f>
        <v>8.8435624756320355</v>
      </c>
      <c r="T585" s="95">
        <f>$BN$127/$BH$127 * 1000/$AK$96</f>
        <v>6.2931574802278512</v>
      </c>
      <c r="W585" s="66" t="s">
        <v>1978</v>
      </c>
      <c r="X585">
        <v>3</v>
      </c>
      <c r="Y585">
        <v>1</v>
      </c>
      <c r="Z585">
        <v>1</v>
      </c>
      <c r="AA585">
        <v>3</v>
      </c>
      <c r="AB585">
        <v>1</v>
      </c>
    </row>
    <row r="586" spans="1:28" x14ac:dyDescent="0.35">
      <c r="A586" t="s">
        <v>1288</v>
      </c>
      <c r="B586" t="s">
        <v>2261</v>
      </c>
      <c r="C586" t="s">
        <v>851</v>
      </c>
      <c r="D586">
        <v>2022</v>
      </c>
      <c r="E586">
        <v>2019</v>
      </c>
      <c r="F586" t="s">
        <v>1951</v>
      </c>
      <c r="G586">
        <v>2020</v>
      </c>
      <c r="H586" t="s">
        <v>1953</v>
      </c>
      <c r="I586" t="s">
        <v>1672</v>
      </c>
      <c r="J586" s="66">
        <v>2045</v>
      </c>
      <c r="S586" s="95">
        <f>$BN$129/$BH$129 * 1000/$AK$96</f>
        <v>10.105438157867864</v>
      </c>
      <c r="T586" s="95">
        <f>$BN$128/$BH$128 * 1000/$AK$96</f>
        <v>8.8435624756320355</v>
      </c>
      <c r="U586" s="95">
        <f>$BN$127/$BH$127 * 1000/$AK$96</f>
        <v>6.2931574802278512</v>
      </c>
      <c r="W586" s="66" t="s">
        <v>1978</v>
      </c>
      <c r="X586">
        <v>3</v>
      </c>
      <c r="Y586">
        <v>1</v>
      </c>
      <c r="Z586">
        <v>1</v>
      </c>
      <c r="AA586">
        <v>3</v>
      </c>
      <c r="AB586">
        <v>1</v>
      </c>
    </row>
    <row r="587" spans="1:28" x14ac:dyDescent="0.35">
      <c r="A587" t="s">
        <v>1288</v>
      </c>
      <c r="B587" t="s">
        <v>2261</v>
      </c>
      <c r="C587" t="s">
        <v>851</v>
      </c>
      <c r="D587">
        <v>2022</v>
      </c>
      <c r="E587">
        <v>2019</v>
      </c>
      <c r="F587" t="s">
        <v>1951</v>
      </c>
      <c r="G587">
        <v>2020</v>
      </c>
      <c r="H587" t="s">
        <v>1953</v>
      </c>
      <c r="I587" t="s">
        <v>1672</v>
      </c>
      <c r="J587" s="66">
        <v>2050</v>
      </c>
      <c r="T587" s="95">
        <f>$BN$129/$BH$129 * 1000/$AK$96</f>
        <v>10.105438157867864</v>
      </c>
      <c r="U587" s="95">
        <f>$BN$128/$BH$128 * 1000/$AK$96</f>
        <v>8.8435624756320355</v>
      </c>
      <c r="V587" s="95">
        <f>$BN$127/$BH$127 * 1000/$AK$96</f>
        <v>6.2931574802278512</v>
      </c>
      <c r="W587" s="66" t="s">
        <v>1978</v>
      </c>
      <c r="X587">
        <v>3</v>
      </c>
      <c r="Y587">
        <v>1</v>
      </c>
      <c r="Z587">
        <v>1</v>
      </c>
      <c r="AA587">
        <v>3</v>
      </c>
      <c r="AB587">
        <v>1</v>
      </c>
    </row>
    <row r="588" spans="1:28" x14ac:dyDescent="0.35">
      <c r="A588" t="s">
        <v>1289</v>
      </c>
      <c r="B588" t="s">
        <v>2261</v>
      </c>
      <c r="C588" t="s">
        <v>851</v>
      </c>
      <c r="D588">
        <v>2022</v>
      </c>
      <c r="E588">
        <v>2019</v>
      </c>
      <c r="F588" t="s">
        <v>1951</v>
      </c>
      <c r="G588">
        <v>2020</v>
      </c>
      <c r="H588" t="s">
        <v>1953</v>
      </c>
      <c r="I588" t="s">
        <v>1672</v>
      </c>
      <c r="J588" s="66">
        <v>2021</v>
      </c>
      <c r="P588" s="95">
        <f>P532*$BP$148</f>
        <v>6.8933547469917906</v>
      </c>
      <c r="W588" s="66" t="s">
        <v>1965</v>
      </c>
      <c r="X588">
        <v>3</v>
      </c>
      <c r="Y588">
        <v>1</v>
      </c>
      <c r="Z588">
        <v>1</v>
      </c>
      <c r="AA588">
        <v>3</v>
      </c>
      <c r="AB588">
        <v>2</v>
      </c>
    </row>
    <row r="589" spans="1:28" x14ac:dyDescent="0.35">
      <c r="A589" t="s">
        <v>1289</v>
      </c>
      <c r="B589" t="s">
        <v>2261</v>
      </c>
      <c r="C589" t="s">
        <v>851</v>
      </c>
      <c r="D589">
        <v>2022</v>
      </c>
      <c r="E589">
        <v>2019</v>
      </c>
      <c r="F589" t="s">
        <v>1951</v>
      </c>
      <c r="G589">
        <v>2020</v>
      </c>
      <c r="H589" t="s">
        <v>1953</v>
      </c>
      <c r="I589" t="s">
        <v>1672</v>
      </c>
      <c r="J589" s="66">
        <v>2025</v>
      </c>
      <c r="P589" s="95">
        <f t="shared" ref="P589:Q591" si="124">P533*$BP$148</f>
        <v>9.6869995011644594</v>
      </c>
      <c r="Q589" s="95">
        <f>Q533*$BP$148</f>
        <v>6.8933547469917906</v>
      </c>
      <c r="W589" s="66" t="s">
        <v>1965</v>
      </c>
      <c r="X589">
        <v>3</v>
      </c>
      <c r="Y589">
        <v>1</v>
      </c>
      <c r="Z589">
        <v>1</v>
      </c>
      <c r="AA589">
        <v>3</v>
      </c>
      <c r="AB589">
        <v>2</v>
      </c>
    </row>
    <row r="590" spans="1:28" x14ac:dyDescent="0.35">
      <c r="A590" t="s">
        <v>1289</v>
      </c>
      <c r="B590" t="s">
        <v>2261</v>
      </c>
      <c r="C590" t="s">
        <v>851</v>
      </c>
      <c r="D590">
        <v>2022</v>
      </c>
      <c r="E590">
        <v>2019</v>
      </c>
      <c r="F590" t="s">
        <v>1951</v>
      </c>
      <c r="G590">
        <v>2020</v>
      </c>
      <c r="H590" t="s">
        <v>1953</v>
      </c>
      <c r="I590" t="s">
        <v>1672</v>
      </c>
      <c r="J590" s="66">
        <v>2030</v>
      </c>
      <c r="P590" s="95">
        <f t="shared" si="124"/>
        <v>11.069224044501155</v>
      </c>
      <c r="Q590" s="95">
        <f t="shared" si="124"/>
        <v>9.6869995011644594</v>
      </c>
      <c r="R590" s="95">
        <f>R534*$BP$148</f>
        <v>6.8933547469917906</v>
      </c>
      <c r="W590" s="66" t="s">
        <v>1965</v>
      </c>
      <c r="X590">
        <v>3</v>
      </c>
      <c r="Y590">
        <v>1</v>
      </c>
      <c r="Z590">
        <v>1</v>
      </c>
      <c r="AA590">
        <v>3</v>
      </c>
      <c r="AB590">
        <v>2</v>
      </c>
    </row>
    <row r="591" spans="1:28" x14ac:dyDescent="0.35">
      <c r="A591" t="s">
        <v>1289</v>
      </c>
      <c r="B591" t="s">
        <v>2261</v>
      </c>
      <c r="C591" t="s">
        <v>851</v>
      </c>
      <c r="D591">
        <v>2022</v>
      </c>
      <c r="E591">
        <v>2019</v>
      </c>
      <c r="F591" t="s">
        <v>1951</v>
      </c>
      <c r="G591">
        <v>2020</v>
      </c>
      <c r="H591" t="s">
        <v>1953</v>
      </c>
      <c r="I591" t="s">
        <v>1672</v>
      </c>
      <c r="J591" s="66">
        <v>2035</v>
      </c>
      <c r="Q591" s="95">
        <f t="shared" si="124"/>
        <v>11.069224044501155</v>
      </c>
      <c r="R591" s="95">
        <f t="shared" ref="R591" si="125">R535*$BP$148</f>
        <v>9.6869995011644594</v>
      </c>
      <c r="S591" s="95">
        <f>S535*$BP$148</f>
        <v>6.8933547469917906</v>
      </c>
      <c r="W591" s="66" t="s">
        <v>1965</v>
      </c>
      <c r="X591">
        <v>3</v>
      </c>
      <c r="Y591">
        <v>1</v>
      </c>
      <c r="Z591">
        <v>1</v>
      </c>
      <c r="AA591">
        <v>3</v>
      </c>
      <c r="AB591">
        <v>2</v>
      </c>
    </row>
    <row r="592" spans="1:28" x14ac:dyDescent="0.35">
      <c r="A592" t="s">
        <v>1289</v>
      </c>
      <c r="B592" t="s">
        <v>2261</v>
      </c>
      <c r="C592" t="s">
        <v>851</v>
      </c>
      <c r="D592">
        <v>2022</v>
      </c>
      <c r="E592">
        <v>2019</v>
      </c>
      <c r="F592" t="s">
        <v>1951</v>
      </c>
      <c r="G592">
        <v>2020</v>
      </c>
      <c r="H592" t="s">
        <v>1953</v>
      </c>
      <c r="I592" t="s">
        <v>1672</v>
      </c>
      <c r="J592" s="66">
        <v>2040</v>
      </c>
      <c r="R592" s="95">
        <f t="shared" ref="R592:S592" si="126">R536*$BP$148</f>
        <v>11.069224044501155</v>
      </c>
      <c r="S592" s="95">
        <f t="shared" si="126"/>
        <v>9.6869995011644594</v>
      </c>
      <c r="T592" s="95">
        <f>T536*$BP$148</f>
        <v>6.8933547469917906</v>
      </c>
      <c r="W592" s="66" t="s">
        <v>1965</v>
      </c>
      <c r="X592">
        <v>3</v>
      </c>
      <c r="Y592">
        <v>1</v>
      </c>
      <c r="Z592">
        <v>1</v>
      </c>
      <c r="AA592">
        <v>3</v>
      </c>
      <c r="AB592">
        <v>2</v>
      </c>
    </row>
    <row r="593" spans="1:28" x14ac:dyDescent="0.35">
      <c r="A593" t="s">
        <v>1289</v>
      </c>
      <c r="B593" t="s">
        <v>2261</v>
      </c>
      <c r="C593" t="s">
        <v>851</v>
      </c>
      <c r="D593">
        <v>2022</v>
      </c>
      <c r="E593">
        <v>2019</v>
      </c>
      <c r="F593" t="s">
        <v>1951</v>
      </c>
      <c r="G593">
        <v>2020</v>
      </c>
      <c r="H593" t="s">
        <v>1953</v>
      </c>
      <c r="I593" t="s">
        <v>1672</v>
      </c>
      <c r="J593" s="66">
        <v>2045</v>
      </c>
      <c r="S593" s="95">
        <f t="shared" ref="S593:T593" si="127">S537*$BP$148</f>
        <v>11.069224044501155</v>
      </c>
      <c r="T593" s="95">
        <f t="shared" si="127"/>
        <v>9.6869995011644594</v>
      </c>
      <c r="U593" s="95">
        <f t="shared" ref="U593" si="128">U537*$BP$148</f>
        <v>6.8933547469917906</v>
      </c>
      <c r="W593" s="66" t="s">
        <v>1965</v>
      </c>
      <c r="X593">
        <v>3</v>
      </c>
      <c r="Y593">
        <v>1</v>
      </c>
      <c r="Z593">
        <v>1</v>
      </c>
      <c r="AA593">
        <v>3</v>
      </c>
      <c r="AB593">
        <v>2</v>
      </c>
    </row>
    <row r="594" spans="1:28" x14ac:dyDescent="0.35">
      <c r="A594" t="s">
        <v>1289</v>
      </c>
      <c r="B594" t="s">
        <v>2261</v>
      </c>
      <c r="C594" t="s">
        <v>851</v>
      </c>
      <c r="D594">
        <v>2022</v>
      </c>
      <c r="E594">
        <v>2019</v>
      </c>
      <c r="F594" t="s">
        <v>1951</v>
      </c>
      <c r="G594">
        <v>2020</v>
      </c>
      <c r="H594" t="s">
        <v>1953</v>
      </c>
      <c r="I594" t="s">
        <v>1672</v>
      </c>
      <c r="J594" s="66">
        <v>2050</v>
      </c>
      <c r="T594" s="95">
        <f t="shared" ref="T594:V594" si="129">T538*$BP$148</f>
        <v>11.069224044501155</v>
      </c>
      <c r="U594" s="95">
        <f t="shared" si="129"/>
        <v>9.6869995011644594</v>
      </c>
      <c r="V594" s="95">
        <f t="shared" si="129"/>
        <v>6.8933547469917906</v>
      </c>
      <c r="W594" s="66" t="s">
        <v>1965</v>
      </c>
      <c r="X594">
        <v>3</v>
      </c>
      <c r="Y594">
        <v>1</v>
      </c>
      <c r="Z594">
        <v>1</v>
      </c>
      <c r="AA594">
        <v>3</v>
      </c>
      <c r="AB594">
        <v>2</v>
      </c>
    </row>
    <row r="595" spans="1:28" x14ac:dyDescent="0.35">
      <c r="A595" t="s">
        <v>1290</v>
      </c>
      <c r="B595" t="s">
        <v>2261</v>
      </c>
      <c r="C595" t="s">
        <v>851</v>
      </c>
      <c r="D595">
        <v>2022</v>
      </c>
      <c r="E595">
        <v>2019</v>
      </c>
      <c r="F595" t="s">
        <v>1951</v>
      </c>
      <c r="G595">
        <v>2020</v>
      </c>
      <c r="H595" t="s">
        <v>1953</v>
      </c>
      <c r="I595" t="s">
        <v>1672</v>
      </c>
      <c r="J595" s="66">
        <v>2021</v>
      </c>
      <c r="P595" s="95">
        <f>P539*$BP$148</f>
        <v>10.48859580037975</v>
      </c>
      <c r="W595" s="66" t="s">
        <v>1965</v>
      </c>
      <c r="X595">
        <v>3</v>
      </c>
      <c r="Y595">
        <v>1</v>
      </c>
      <c r="Z595">
        <v>1</v>
      </c>
      <c r="AA595">
        <v>3</v>
      </c>
      <c r="AB595">
        <v>2</v>
      </c>
    </row>
    <row r="596" spans="1:28" x14ac:dyDescent="0.35">
      <c r="A596" t="s">
        <v>1290</v>
      </c>
      <c r="B596" t="s">
        <v>2261</v>
      </c>
      <c r="C596" t="s">
        <v>851</v>
      </c>
      <c r="D596">
        <v>2022</v>
      </c>
      <c r="E596">
        <v>2019</v>
      </c>
      <c r="F596" t="s">
        <v>1951</v>
      </c>
      <c r="G596">
        <v>2020</v>
      </c>
      <c r="H596" t="s">
        <v>1953</v>
      </c>
      <c r="I596" t="s">
        <v>1672</v>
      </c>
      <c r="J596" s="66">
        <v>2025</v>
      </c>
      <c r="P596" s="95">
        <f t="shared" ref="P596" si="130">P540*$BP$148</f>
        <v>14.73927079272006</v>
      </c>
      <c r="Q596" s="95">
        <f>Q540*$BP$148</f>
        <v>10.48859580037975</v>
      </c>
      <c r="W596" s="66" t="s">
        <v>1965</v>
      </c>
      <c r="X596">
        <v>3</v>
      </c>
      <c r="Y596">
        <v>1</v>
      </c>
      <c r="Z596">
        <v>1</v>
      </c>
      <c r="AA596">
        <v>3</v>
      </c>
      <c r="AB596">
        <v>2</v>
      </c>
    </row>
    <row r="597" spans="1:28" x14ac:dyDescent="0.35">
      <c r="A597" t="s">
        <v>1290</v>
      </c>
      <c r="B597" t="s">
        <v>2261</v>
      </c>
      <c r="C597" t="s">
        <v>851</v>
      </c>
      <c r="D597">
        <v>2022</v>
      </c>
      <c r="E597">
        <v>2019</v>
      </c>
      <c r="F597" t="s">
        <v>1951</v>
      </c>
      <c r="G597">
        <v>2020</v>
      </c>
      <c r="H597" t="s">
        <v>1953</v>
      </c>
      <c r="I597" t="s">
        <v>1672</v>
      </c>
      <c r="J597" s="66">
        <v>2030</v>
      </c>
      <c r="P597" s="95">
        <f t="shared" ref="P597:Q597" si="131">P541*$BP$148</f>
        <v>16.842396929779774</v>
      </c>
      <c r="Q597" s="95">
        <f t="shared" si="131"/>
        <v>14.73927079272006</v>
      </c>
      <c r="R597" s="95">
        <f>R541*$BP$148</f>
        <v>10.48859580037975</v>
      </c>
      <c r="W597" s="66" t="s">
        <v>1965</v>
      </c>
      <c r="X597">
        <v>3</v>
      </c>
      <c r="Y597">
        <v>1</v>
      </c>
      <c r="Z597">
        <v>1</v>
      </c>
      <c r="AA597">
        <v>3</v>
      </c>
      <c r="AB597">
        <v>2</v>
      </c>
    </row>
    <row r="598" spans="1:28" x14ac:dyDescent="0.35">
      <c r="A598" t="s">
        <v>1290</v>
      </c>
      <c r="B598" t="s">
        <v>2261</v>
      </c>
      <c r="C598" t="s">
        <v>851</v>
      </c>
      <c r="D598">
        <v>2022</v>
      </c>
      <c r="E598">
        <v>2019</v>
      </c>
      <c r="F598" t="s">
        <v>1951</v>
      </c>
      <c r="G598">
        <v>2020</v>
      </c>
      <c r="H598" t="s">
        <v>1953</v>
      </c>
      <c r="I598" t="s">
        <v>1672</v>
      </c>
      <c r="J598" s="66">
        <v>2035</v>
      </c>
      <c r="Q598" s="95">
        <f t="shared" ref="Q598:R598" si="132">Q542*$BP$148</f>
        <v>16.842396929779774</v>
      </c>
      <c r="R598" s="95">
        <f t="shared" si="132"/>
        <v>14.73927079272006</v>
      </c>
      <c r="S598" s="95">
        <f>S542*$BP$148</f>
        <v>10.48859580037975</v>
      </c>
      <c r="W598" s="66" t="s">
        <v>1965</v>
      </c>
      <c r="X598">
        <v>3</v>
      </c>
      <c r="Y598">
        <v>1</v>
      </c>
      <c r="Z598">
        <v>1</v>
      </c>
      <c r="AA598">
        <v>3</v>
      </c>
      <c r="AB598">
        <v>2</v>
      </c>
    </row>
    <row r="599" spans="1:28" x14ac:dyDescent="0.35">
      <c r="A599" t="s">
        <v>1290</v>
      </c>
      <c r="B599" t="s">
        <v>2261</v>
      </c>
      <c r="C599" t="s">
        <v>851</v>
      </c>
      <c r="D599">
        <v>2022</v>
      </c>
      <c r="E599">
        <v>2019</v>
      </c>
      <c r="F599" t="s">
        <v>1951</v>
      </c>
      <c r="G599">
        <v>2020</v>
      </c>
      <c r="H599" t="s">
        <v>1953</v>
      </c>
      <c r="I599" t="s">
        <v>1672</v>
      </c>
      <c r="J599" s="66">
        <v>2040</v>
      </c>
      <c r="R599" s="95">
        <f t="shared" ref="R599:S599" si="133">R543*$BP$148</f>
        <v>16.842396929779774</v>
      </c>
      <c r="S599" s="95">
        <f t="shared" si="133"/>
        <v>14.73927079272006</v>
      </c>
      <c r="T599" s="95">
        <f>T543*$BP$148</f>
        <v>10.48859580037975</v>
      </c>
      <c r="W599" s="66" t="s">
        <v>1965</v>
      </c>
      <c r="X599">
        <v>3</v>
      </c>
      <c r="Y599">
        <v>1</v>
      </c>
      <c r="Z599">
        <v>1</v>
      </c>
      <c r="AA599">
        <v>3</v>
      </c>
      <c r="AB599">
        <v>2</v>
      </c>
    </row>
    <row r="600" spans="1:28" x14ac:dyDescent="0.35">
      <c r="A600" t="s">
        <v>1290</v>
      </c>
      <c r="B600" t="s">
        <v>2261</v>
      </c>
      <c r="C600" t="s">
        <v>851</v>
      </c>
      <c r="D600">
        <v>2022</v>
      </c>
      <c r="E600">
        <v>2019</v>
      </c>
      <c r="F600" t="s">
        <v>1951</v>
      </c>
      <c r="G600">
        <v>2020</v>
      </c>
      <c r="H600" t="s">
        <v>1953</v>
      </c>
      <c r="I600" t="s">
        <v>1672</v>
      </c>
      <c r="J600" s="66">
        <v>2045</v>
      </c>
      <c r="S600" s="95">
        <f t="shared" ref="S600:U600" si="134">S544*$BP$148</f>
        <v>16.842396929779774</v>
      </c>
      <c r="T600" s="95">
        <f t="shared" si="134"/>
        <v>14.73927079272006</v>
      </c>
      <c r="U600" s="95">
        <f t="shared" si="134"/>
        <v>10.48859580037975</v>
      </c>
      <c r="W600" s="66" t="s">
        <v>1965</v>
      </c>
      <c r="X600">
        <v>3</v>
      </c>
      <c r="Y600">
        <v>1</v>
      </c>
      <c r="Z600">
        <v>1</v>
      </c>
      <c r="AA600">
        <v>3</v>
      </c>
      <c r="AB600">
        <v>2</v>
      </c>
    </row>
    <row r="601" spans="1:28" x14ac:dyDescent="0.35">
      <c r="A601" t="s">
        <v>1290</v>
      </c>
      <c r="B601" t="s">
        <v>2261</v>
      </c>
      <c r="C601" t="s">
        <v>851</v>
      </c>
      <c r="D601">
        <v>2022</v>
      </c>
      <c r="E601">
        <v>2019</v>
      </c>
      <c r="F601" t="s">
        <v>1951</v>
      </c>
      <c r="G601">
        <v>2020</v>
      </c>
      <c r="H601" t="s">
        <v>1953</v>
      </c>
      <c r="I601" t="s">
        <v>1672</v>
      </c>
      <c r="J601" s="66">
        <v>2050</v>
      </c>
      <c r="T601" s="95">
        <f t="shared" ref="T601:V601" si="135">T545*$BP$148</f>
        <v>16.842396929779774</v>
      </c>
      <c r="U601" s="95">
        <f t="shared" si="135"/>
        <v>14.73927079272006</v>
      </c>
      <c r="V601" s="95">
        <f t="shared" si="135"/>
        <v>10.48859580037975</v>
      </c>
      <c r="W601" s="66" t="s">
        <v>1965</v>
      </c>
      <c r="X601">
        <v>3</v>
      </c>
      <c r="Y601">
        <v>1</v>
      </c>
      <c r="Z601">
        <v>1</v>
      </c>
      <c r="AA601">
        <v>3</v>
      </c>
      <c r="AB601">
        <v>2</v>
      </c>
    </row>
    <row r="602" spans="1:28" x14ac:dyDescent="0.35">
      <c r="A602" t="s">
        <v>1291</v>
      </c>
      <c r="B602" t="s">
        <v>2261</v>
      </c>
      <c r="C602" t="s">
        <v>851</v>
      </c>
      <c r="D602">
        <v>2022</v>
      </c>
      <c r="E602">
        <v>2019</v>
      </c>
      <c r="F602" t="s">
        <v>1951</v>
      </c>
      <c r="G602">
        <v>2020</v>
      </c>
      <c r="H602" t="s">
        <v>1953</v>
      </c>
      <c r="I602" t="s">
        <v>1672</v>
      </c>
      <c r="J602" s="66">
        <v>2021</v>
      </c>
      <c r="P602" s="95">
        <f>P553*$BP$148</f>
        <v>9.1250783463303815</v>
      </c>
      <c r="W602" s="66" t="s">
        <v>1965</v>
      </c>
      <c r="X602">
        <v>3</v>
      </c>
      <c r="Y602">
        <v>1</v>
      </c>
      <c r="Z602">
        <v>1</v>
      </c>
      <c r="AA602">
        <v>3</v>
      </c>
      <c r="AB602">
        <v>2</v>
      </c>
    </row>
    <row r="603" spans="1:28" x14ac:dyDescent="0.35">
      <c r="A603" t="s">
        <v>1291</v>
      </c>
      <c r="B603" t="s">
        <v>2261</v>
      </c>
      <c r="C603" t="s">
        <v>851</v>
      </c>
      <c r="D603">
        <v>2022</v>
      </c>
      <c r="E603">
        <v>2019</v>
      </c>
      <c r="F603" t="s">
        <v>1951</v>
      </c>
      <c r="G603">
        <v>2020</v>
      </c>
      <c r="H603" t="s">
        <v>1953</v>
      </c>
      <c r="I603" t="s">
        <v>1672</v>
      </c>
      <c r="J603" s="66">
        <v>2025</v>
      </c>
      <c r="P603" s="95">
        <f t="shared" ref="P603:Q605" si="136">P554*$BP$148</f>
        <v>12.823165589666448</v>
      </c>
      <c r="Q603" s="95">
        <f>Q554*$BP$148</f>
        <v>9.1250783463303815</v>
      </c>
      <c r="W603" s="66" t="s">
        <v>1965</v>
      </c>
      <c r="X603">
        <v>3</v>
      </c>
      <c r="Y603">
        <v>1</v>
      </c>
      <c r="Z603">
        <v>1</v>
      </c>
      <c r="AA603">
        <v>3</v>
      </c>
      <c r="AB603">
        <v>2</v>
      </c>
    </row>
    <row r="604" spans="1:28" x14ac:dyDescent="0.35">
      <c r="A604" t="s">
        <v>1291</v>
      </c>
      <c r="B604" t="s">
        <v>2261</v>
      </c>
      <c r="C604" t="s">
        <v>851</v>
      </c>
      <c r="D604">
        <v>2022</v>
      </c>
      <c r="E604">
        <v>2019</v>
      </c>
      <c r="F604" t="s">
        <v>1951</v>
      </c>
      <c r="G604">
        <v>2020</v>
      </c>
      <c r="H604" t="s">
        <v>1953</v>
      </c>
      <c r="I604" t="s">
        <v>1672</v>
      </c>
      <c r="J604" s="66">
        <v>2030</v>
      </c>
      <c r="P604" s="95">
        <f t="shared" si="136"/>
        <v>14.652885328908402</v>
      </c>
      <c r="Q604" s="95">
        <f t="shared" si="136"/>
        <v>12.823165589666448</v>
      </c>
      <c r="R604" s="95">
        <f>R555*$BP$148</f>
        <v>9.1250783463303815</v>
      </c>
      <c r="W604" s="66" t="s">
        <v>1965</v>
      </c>
      <c r="X604">
        <v>3</v>
      </c>
      <c r="Y604">
        <v>1</v>
      </c>
      <c r="Z604">
        <v>1</v>
      </c>
      <c r="AA604">
        <v>3</v>
      </c>
      <c r="AB604">
        <v>2</v>
      </c>
    </row>
    <row r="605" spans="1:28" x14ac:dyDescent="0.35">
      <c r="A605" t="s">
        <v>1291</v>
      </c>
      <c r="B605" t="s">
        <v>2261</v>
      </c>
      <c r="C605" t="s">
        <v>851</v>
      </c>
      <c r="D605">
        <v>2022</v>
      </c>
      <c r="E605">
        <v>2019</v>
      </c>
      <c r="F605" t="s">
        <v>1951</v>
      </c>
      <c r="G605">
        <v>2020</v>
      </c>
      <c r="H605" t="s">
        <v>1953</v>
      </c>
      <c r="I605" t="s">
        <v>1672</v>
      </c>
      <c r="J605" s="66">
        <v>2035</v>
      </c>
      <c r="Q605" s="95">
        <f t="shared" si="136"/>
        <v>14.652885328908402</v>
      </c>
      <c r="R605" s="95">
        <f t="shared" ref="R605" si="137">R556*$BP$148</f>
        <v>12.823165589666448</v>
      </c>
      <c r="S605" s="95">
        <f>S556*$BP$148</f>
        <v>9.1250783463303815</v>
      </c>
      <c r="W605" s="66" t="s">
        <v>1965</v>
      </c>
      <c r="X605">
        <v>3</v>
      </c>
      <c r="Y605">
        <v>1</v>
      </c>
      <c r="Z605">
        <v>1</v>
      </c>
      <c r="AA605">
        <v>3</v>
      </c>
      <c r="AB605">
        <v>2</v>
      </c>
    </row>
    <row r="606" spans="1:28" x14ac:dyDescent="0.35">
      <c r="A606" t="s">
        <v>1291</v>
      </c>
      <c r="B606" t="s">
        <v>2261</v>
      </c>
      <c r="C606" t="s">
        <v>851</v>
      </c>
      <c r="D606">
        <v>2022</v>
      </c>
      <c r="E606">
        <v>2019</v>
      </c>
      <c r="F606" t="s">
        <v>1951</v>
      </c>
      <c r="G606">
        <v>2020</v>
      </c>
      <c r="H606" t="s">
        <v>1953</v>
      </c>
      <c r="I606" t="s">
        <v>1672</v>
      </c>
      <c r="J606" s="66">
        <v>2040</v>
      </c>
      <c r="R606" s="95">
        <f t="shared" ref="R606:S606" si="138">R557*$BP$148</f>
        <v>14.652885328908402</v>
      </c>
      <c r="S606" s="95">
        <f t="shared" si="138"/>
        <v>12.823165589666448</v>
      </c>
      <c r="T606" s="95">
        <f>T557*$BP$148</f>
        <v>9.1250783463303815</v>
      </c>
      <c r="W606" s="66" t="s">
        <v>1965</v>
      </c>
      <c r="X606">
        <v>3</v>
      </c>
      <c r="Y606">
        <v>1</v>
      </c>
      <c r="Z606">
        <v>1</v>
      </c>
      <c r="AA606">
        <v>3</v>
      </c>
      <c r="AB606">
        <v>2</v>
      </c>
    </row>
    <row r="607" spans="1:28" x14ac:dyDescent="0.35">
      <c r="A607" t="s">
        <v>1291</v>
      </c>
      <c r="B607" t="s">
        <v>2261</v>
      </c>
      <c r="C607" t="s">
        <v>851</v>
      </c>
      <c r="D607">
        <v>2022</v>
      </c>
      <c r="E607">
        <v>2019</v>
      </c>
      <c r="F607" t="s">
        <v>1951</v>
      </c>
      <c r="G607">
        <v>2020</v>
      </c>
      <c r="H607" t="s">
        <v>1953</v>
      </c>
      <c r="I607" t="s">
        <v>1672</v>
      </c>
      <c r="J607" s="66">
        <v>2045</v>
      </c>
      <c r="S607" s="95">
        <f t="shared" ref="S607:T607" si="139">S558*$BP$148</f>
        <v>14.652885328908402</v>
      </c>
      <c r="T607" s="95">
        <f t="shared" si="139"/>
        <v>12.823165589666448</v>
      </c>
      <c r="U607" s="95">
        <f t="shared" ref="U607" si="140">U558*$BP$148</f>
        <v>9.1250783463303815</v>
      </c>
      <c r="W607" s="66" t="s">
        <v>1965</v>
      </c>
      <c r="X607">
        <v>3</v>
      </c>
      <c r="Y607">
        <v>1</v>
      </c>
      <c r="Z607">
        <v>1</v>
      </c>
      <c r="AA607">
        <v>3</v>
      </c>
      <c r="AB607">
        <v>2</v>
      </c>
    </row>
    <row r="608" spans="1:28" x14ac:dyDescent="0.35">
      <c r="A608" t="s">
        <v>1291</v>
      </c>
      <c r="B608" t="s">
        <v>2261</v>
      </c>
      <c r="C608" t="s">
        <v>851</v>
      </c>
      <c r="D608">
        <v>2022</v>
      </c>
      <c r="E608">
        <v>2019</v>
      </c>
      <c r="F608" t="s">
        <v>1951</v>
      </c>
      <c r="G608">
        <v>2020</v>
      </c>
      <c r="H608" t="s">
        <v>1953</v>
      </c>
      <c r="I608" t="s">
        <v>1672</v>
      </c>
      <c r="J608" s="66">
        <v>2050</v>
      </c>
      <c r="T608" s="95">
        <f t="shared" ref="T608:V608" si="141">T559*$BP$148</f>
        <v>14.652885328908402</v>
      </c>
      <c r="U608" s="95">
        <f t="shared" si="141"/>
        <v>12.823165589666448</v>
      </c>
      <c r="V608" s="95">
        <f t="shared" si="141"/>
        <v>9.1250783463303815</v>
      </c>
      <c r="W608" s="66" t="s">
        <v>1965</v>
      </c>
      <c r="X608">
        <v>3</v>
      </c>
      <c r="Y608">
        <v>1</v>
      </c>
      <c r="Z608">
        <v>1</v>
      </c>
      <c r="AA608">
        <v>3</v>
      </c>
      <c r="AB608">
        <v>2</v>
      </c>
    </row>
    <row r="609" spans="1:28" x14ac:dyDescent="0.35">
      <c r="A609" t="s">
        <v>1292</v>
      </c>
      <c r="B609" t="s">
        <v>2261</v>
      </c>
      <c r="C609" t="s">
        <v>851</v>
      </c>
      <c r="D609">
        <v>2022</v>
      </c>
      <c r="E609">
        <v>2019</v>
      </c>
      <c r="F609" t="s">
        <v>1951</v>
      </c>
      <c r="G609">
        <v>2020</v>
      </c>
      <c r="H609" t="s">
        <v>1953</v>
      </c>
      <c r="I609" t="s">
        <v>1672</v>
      </c>
      <c r="J609" s="66">
        <v>2021</v>
      </c>
      <c r="P609" s="95">
        <f>P567*$BP$148</f>
        <v>6.2931574802278512</v>
      </c>
      <c r="W609" s="66" t="s">
        <v>1965</v>
      </c>
      <c r="X609">
        <v>3</v>
      </c>
      <c r="Y609">
        <v>1</v>
      </c>
      <c r="Z609">
        <v>1</v>
      </c>
      <c r="AA609">
        <v>3</v>
      </c>
      <c r="AB609">
        <v>2</v>
      </c>
    </row>
    <row r="610" spans="1:28" x14ac:dyDescent="0.35">
      <c r="A610" t="s">
        <v>1292</v>
      </c>
      <c r="B610" t="s">
        <v>2261</v>
      </c>
      <c r="C610" t="s">
        <v>851</v>
      </c>
      <c r="D610">
        <v>2022</v>
      </c>
      <c r="E610">
        <v>2019</v>
      </c>
      <c r="F610" t="s">
        <v>1951</v>
      </c>
      <c r="G610">
        <v>2020</v>
      </c>
      <c r="H610" t="s">
        <v>1953</v>
      </c>
      <c r="I610" t="s">
        <v>1672</v>
      </c>
      <c r="J610" s="66">
        <v>2025</v>
      </c>
      <c r="P610" s="95">
        <f t="shared" ref="P610" si="142">P568*$BP$148</f>
        <v>8.8435624756320355</v>
      </c>
      <c r="Q610" s="95">
        <f>Q568*$BP$148</f>
        <v>6.2931574802278512</v>
      </c>
      <c r="W610" s="66" t="s">
        <v>1965</v>
      </c>
      <c r="X610">
        <v>3</v>
      </c>
      <c r="Y610">
        <v>1</v>
      </c>
      <c r="Z610">
        <v>1</v>
      </c>
      <c r="AA610">
        <v>3</v>
      </c>
      <c r="AB610">
        <v>2</v>
      </c>
    </row>
    <row r="611" spans="1:28" x14ac:dyDescent="0.35">
      <c r="A611" t="s">
        <v>1292</v>
      </c>
      <c r="B611" t="s">
        <v>2261</v>
      </c>
      <c r="C611" t="s">
        <v>851</v>
      </c>
      <c r="D611">
        <v>2022</v>
      </c>
      <c r="E611">
        <v>2019</v>
      </c>
      <c r="F611" t="s">
        <v>1951</v>
      </c>
      <c r="G611">
        <v>2020</v>
      </c>
      <c r="H611" t="s">
        <v>1953</v>
      </c>
      <c r="I611" t="s">
        <v>1672</v>
      </c>
      <c r="J611" s="66">
        <v>2030</v>
      </c>
      <c r="P611" s="95">
        <f t="shared" ref="P611:Q611" si="143">P569*$BP$148</f>
        <v>10.105438157867864</v>
      </c>
      <c r="Q611" s="95">
        <f t="shared" si="143"/>
        <v>8.8435624756320355</v>
      </c>
      <c r="R611" s="95">
        <f>R569*$BP$148</f>
        <v>6.2931574802278512</v>
      </c>
      <c r="W611" s="66" t="s">
        <v>1965</v>
      </c>
      <c r="X611">
        <v>3</v>
      </c>
      <c r="Y611">
        <v>1</v>
      </c>
      <c r="Z611">
        <v>1</v>
      </c>
      <c r="AA611">
        <v>3</v>
      </c>
      <c r="AB611">
        <v>2</v>
      </c>
    </row>
    <row r="612" spans="1:28" x14ac:dyDescent="0.35">
      <c r="A612" t="s">
        <v>1292</v>
      </c>
      <c r="B612" t="s">
        <v>2261</v>
      </c>
      <c r="C612" t="s">
        <v>851</v>
      </c>
      <c r="D612">
        <v>2022</v>
      </c>
      <c r="E612">
        <v>2019</v>
      </c>
      <c r="F612" t="s">
        <v>1951</v>
      </c>
      <c r="G612">
        <v>2020</v>
      </c>
      <c r="H612" t="s">
        <v>1953</v>
      </c>
      <c r="I612" t="s">
        <v>1672</v>
      </c>
      <c r="J612" s="66">
        <v>2035</v>
      </c>
      <c r="Q612" s="95">
        <f t="shared" ref="Q612:R612" si="144">Q570*$BP$148</f>
        <v>10.105438157867864</v>
      </c>
      <c r="R612" s="95">
        <f t="shared" si="144"/>
        <v>8.8435624756320355</v>
      </c>
      <c r="S612" s="95">
        <f>S570*$BP$148</f>
        <v>6.2931574802278512</v>
      </c>
      <c r="W612" s="66" t="s">
        <v>1965</v>
      </c>
      <c r="X612">
        <v>3</v>
      </c>
      <c r="Y612">
        <v>1</v>
      </c>
      <c r="Z612">
        <v>1</v>
      </c>
      <c r="AA612">
        <v>3</v>
      </c>
      <c r="AB612">
        <v>2</v>
      </c>
    </row>
    <row r="613" spans="1:28" x14ac:dyDescent="0.35">
      <c r="A613" t="s">
        <v>1292</v>
      </c>
      <c r="B613" t="s">
        <v>2261</v>
      </c>
      <c r="C613" t="s">
        <v>851</v>
      </c>
      <c r="D613">
        <v>2022</v>
      </c>
      <c r="E613">
        <v>2019</v>
      </c>
      <c r="F613" t="s">
        <v>1951</v>
      </c>
      <c r="G613">
        <v>2020</v>
      </c>
      <c r="H613" t="s">
        <v>1953</v>
      </c>
      <c r="I613" t="s">
        <v>1672</v>
      </c>
      <c r="J613" s="66">
        <v>2040</v>
      </c>
      <c r="R613" s="95">
        <f t="shared" ref="R613:S613" si="145">R571*$BP$148</f>
        <v>10.105438157867864</v>
      </c>
      <c r="S613" s="95">
        <f t="shared" si="145"/>
        <v>8.8435624756320355</v>
      </c>
      <c r="T613" s="95">
        <f>T571*$BP$148</f>
        <v>6.2931574802278512</v>
      </c>
      <c r="W613" s="66" t="s">
        <v>1965</v>
      </c>
      <c r="X613">
        <v>3</v>
      </c>
      <c r="Y613">
        <v>1</v>
      </c>
      <c r="Z613">
        <v>1</v>
      </c>
      <c r="AA613">
        <v>3</v>
      </c>
      <c r="AB613">
        <v>2</v>
      </c>
    </row>
    <row r="614" spans="1:28" x14ac:dyDescent="0.35">
      <c r="A614" t="s">
        <v>1292</v>
      </c>
      <c r="B614" t="s">
        <v>2261</v>
      </c>
      <c r="C614" t="s">
        <v>851</v>
      </c>
      <c r="D614">
        <v>2022</v>
      </c>
      <c r="E614">
        <v>2019</v>
      </c>
      <c r="F614" t="s">
        <v>1951</v>
      </c>
      <c r="G614">
        <v>2020</v>
      </c>
      <c r="H614" t="s">
        <v>1953</v>
      </c>
      <c r="I614" t="s">
        <v>1672</v>
      </c>
      <c r="J614" s="66">
        <v>2045</v>
      </c>
      <c r="S614" s="95">
        <f t="shared" ref="S614:U614" si="146">S572*$BP$148</f>
        <v>10.105438157867864</v>
      </c>
      <c r="T614" s="95">
        <f t="shared" si="146"/>
        <v>8.8435624756320355</v>
      </c>
      <c r="U614" s="95">
        <f t="shared" si="146"/>
        <v>6.2931574802278512</v>
      </c>
      <c r="W614" s="66" t="s">
        <v>1965</v>
      </c>
      <c r="X614">
        <v>3</v>
      </c>
      <c r="Y614">
        <v>1</v>
      </c>
      <c r="Z614">
        <v>1</v>
      </c>
      <c r="AA614">
        <v>3</v>
      </c>
      <c r="AB614">
        <v>2</v>
      </c>
    </row>
    <row r="615" spans="1:28" x14ac:dyDescent="0.35">
      <c r="A615" t="s">
        <v>1292</v>
      </c>
      <c r="B615" t="s">
        <v>2261</v>
      </c>
      <c r="C615" t="s">
        <v>851</v>
      </c>
      <c r="D615">
        <v>2022</v>
      </c>
      <c r="E615">
        <v>2019</v>
      </c>
      <c r="F615" t="s">
        <v>1951</v>
      </c>
      <c r="G615">
        <v>2020</v>
      </c>
      <c r="H615" t="s">
        <v>1953</v>
      </c>
      <c r="I615" t="s">
        <v>1672</v>
      </c>
      <c r="J615" s="66">
        <v>2050</v>
      </c>
      <c r="T615" s="95">
        <f t="shared" ref="T615:V615" si="147">T573*$BP$148</f>
        <v>10.105438157867864</v>
      </c>
      <c r="U615" s="95">
        <f t="shared" si="147"/>
        <v>8.8435624756320355</v>
      </c>
      <c r="V615" s="95">
        <f t="shared" si="147"/>
        <v>6.2931574802278512</v>
      </c>
      <c r="W615" s="66" t="s">
        <v>1965</v>
      </c>
      <c r="X615">
        <v>3</v>
      </c>
      <c r="Y615">
        <v>1</v>
      </c>
      <c r="Z615">
        <v>1</v>
      </c>
      <c r="AA615">
        <v>3</v>
      </c>
      <c r="AB615">
        <v>2</v>
      </c>
    </row>
    <row r="616" spans="1:28" x14ac:dyDescent="0.35">
      <c r="A616" t="s">
        <v>1293</v>
      </c>
      <c r="B616" t="s">
        <v>2261</v>
      </c>
      <c r="C616" t="s">
        <v>851</v>
      </c>
      <c r="D616">
        <v>2022</v>
      </c>
      <c r="E616">
        <v>2019</v>
      </c>
      <c r="F616" t="s">
        <v>1951</v>
      </c>
      <c r="G616">
        <v>2020</v>
      </c>
      <c r="H616" t="s">
        <v>1953</v>
      </c>
      <c r="I616" t="s">
        <v>1672</v>
      </c>
      <c r="J616" s="66">
        <v>2021</v>
      </c>
      <c r="P616" s="95">
        <f>P574*$BP$148</f>
        <v>6.2931574802278512</v>
      </c>
      <c r="W616" s="66" t="s">
        <v>1965</v>
      </c>
      <c r="X616">
        <v>3</v>
      </c>
      <c r="Y616">
        <v>1</v>
      </c>
      <c r="Z616">
        <v>1</v>
      </c>
      <c r="AA616">
        <v>3</v>
      </c>
      <c r="AB616">
        <v>2</v>
      </c>
    </row>
    <row r="617" spans="1:28" x14ac:dyDescent="0.35">
      <c r="A617" t="s">
        <v>1293</v>
      </c>
      <c r="B617" t="s">
        <v>2261</v>
      </c>
      <c r="C617" t="s">
        <v>851</v>
      </c>
      <c r="D617">
        <v>2022</v>
      </c>
      <c r="E617">
        <v>2019</v>
      </c>
      <c r="F617" t="s">
        <v>1951</v>
      </c>
      <c r="G617">
        <v>2020</v>
      </c>
      <c r="H617" t="s">
        <v>1953</v>
      </c>
      <c r="I617" t="s">
        <v>1672</v>
      </c>
      <c r="J617" s="66">
        <v>2025</v>
      </c>
      <c r="P617" s="95">
        <f t="shared" ref="P617" si="148">P575*$BP$148</f>
        <v>8.8435624756320355</v>
      </c>
      <c r="Q617" s="95">
        <f>Q575*$BP$148</f>
        <v>6.2931574802278512</v>
      </c>
      <c r="W617" s="66" t="s">
        <v>1965</v>
      </c>
      <c r="X617">
        <v>3</v>
      </c>
      <c r="Y617">
        <v>1</v>
      </c>
      <c r="Z617">
        <v>1</v>
      </c>
      <c r="AA617">
        <v>3</v>
      </c>
      <c r="AB617">
        <v>2</v>
      </c>
    </row>
    <row r="618" spans="1:28" x14ac:dyDescent="0.35">
      <c r="A618" t="s">
        <v>1293</v>
      </c>
      <c r="B618" t="s">
        <v>2261</v>
      </c>
      <c r="C618" t="s">
        <v>851</v>
      </c>
      <c r="D618">
        <v>2022</v>
      </c>
      <c r="E618">
        <v>2019</v>
      </c>
      <c r="F618" t="s">
        <v>1951</v>
      </c>
      <c r="G618">
        <v>2020</v>
      </c>
      <c r="H618" t="s">
        <v>1953</v>
      </c>
      <c r="I618" t="s">
        <v>1672</v>
      </c>
      <c r="J618" s="66">
        <v>2030</v>
      </c>
      <c r="P618" s="95">
        <f t="shared" ref="P618:Q618" si="149">P576*$BP$148</f>
        <v>10.105438157867864</v>
      </c>
      <c r="Q618" s="95">
        <f t="shared" si="149"/>
        <v>8.8435624756320355</v>
      </c>
      <c r="R618" s="95">
        <f>R576*$BP$148</f>
        <v>6.2931574802278512</v>
      </c>
      <c r="W618" s="66" t="s">
        <v>1965</v>
      </c>
      <c r="X618">
        <v>3</v>
      </c>
      <c r="Y618">
        <v>1</v>
      </c>
      <c r="Z618">
        <v>1</v>
      </c>
      <c r="AA618">
        <v>3</v>
      </c>
      <c r="AB618">
        <v>2</v>
      </c>
    </row>
    <row r="619" spans="1:28" x14ac:dyDescent="0.35">
      <c r="A619" t="s">
        <v>1293</v>
      </c>
      <c r="B619" t="s">
        <v>2261</v>
      </c>
      <c r="C619" t="s">
        <v>851</v>
      </c>
      <c r="D619">
        <v>2022</v>
      </c>
      <c r="E619">
        <v>2019</v>
      </c>
      <c r="F619" t="s">
        <v>1951</v>
      </c>
      <c r="G619">
        <v>2020</v>
      </c>
      <c r="H619" t="s">
        <v>1953</v>
      </c>
      <c r="I619" t="s">
        <v>1672</v>
      </c>
      <c r="J619" s="66">
        <v>2035</v>
      </c>
      <c r="Q619" s="95">
        <f t="shared" ref="Q619:R619" si="150">Q577*$BP$148</f>
        <v>10.105438157867864</v>
      </c>
      <c r="R619" s="95">
        <f t="shared" si="150"/>
        <v>8.8435624756320355</v>
      </c>
      <c r="S619" s="95">
        <f>S577*$BP$148</f>
        <v>6.2931574802278512</v>
      </c>
      <c r="W619" s="66" t="s">
        <v>1965</v>
      </c>
      <c r="X619">
        <v>3</v>
      </c>
      <c r="Y619">
        <v>1</v>
      </c>
      <c r="Z619">
        <v>1</v>
      </c>
      <c r="AA619">
        <v>3</v>
      </c>
      <c r="AB619">
        <v>2</v>
      </c>
    </row>
    <row r="620" spans="1:28" x14ac:dyDescent="0.35">
      <c r="A620" t="s">
        <v>1293</v>
      </c>
      <c r="B620" t="s">
        <v>2261</v>
      </c>
      <c r="C620" t="s">
        <v>851</v>
      </c>
      <c r="D620">
        <v>2022</v>
      </c>
      <c r="E620">
        <v>2019</v>
      </c>
      <c r="F620" t="s">
        <v>1951</v>
      </c>
      <c r="G620">
        <v>2020</v>
      </c>
      <c r="H620" t="s">
        <v>1953</v>
      </c>
      <c r="I620" t="s">
        <v>1672</v>
      </c>
      <c r="J620" s="66">
        <v>2040</v>
      </c>
      <c r="R620" s="95">
        <f t="shared" ref="R620:S620" si="151">R578*$BP$148</f>
        <v>10.105438157867864</v>
      </c>
      <c r="S620" s="95">
        <f t="shared" si="151"/>
        <v>8.8435624756320355</v>
      </c>
      <c r="T620" s="95">
        <f>T578*$BP$148</f>
        <v>6.2931574802278512</v>
      </c>
      <c r="W620" s="66" t="s">
        <v>1965</v>
      </c>
      <c r="X620">
        <v>3</v>
      </c>
      <c r="Y620">
        <v>1</v>
      </c>
      <c r="Z620">
        <v>1</v>
      </c>
      <c r="AA620">
        <v>3</v>
      </c>
      <c r="AB620">
        <v>2</v>
      </c>
    </row>
    <row r="621" spans="1:28" x14ac:dyDescent="0.35">
      <c r="A621" t="s">
        <v>1293</v>
      </c>
      <c r="B621" t="s">
        <v>2261</v>
      </c>
      <c r="C621" t="s">
        <v>851</v>
      </c>
      <c r="D621">
        <v>2022</v>
      </c>
      <c r="E621">
        <v>2019</v>
      </c>
      <c r="F621" t="s">
        <v>1951</v>
      </c>
      <c r="G621">
        <v>2020</v>
      </c>
      <c r="H621" t="s">
        <v>1953</v>
      </c>
      <c r="I621" t="s">
        <v>1672</v>
      </c>
      <c r="J621" s="66">
        <v>2045</v>
      </c>
      <c r="S621" s="95">
        <f t="shared" ref="S621:U621" si="152">S579*$BP$148</f>
        <v>10.105438157867864</v>
      </c>
      <c r="T621" s="95">
        <f t="shared" si="152"/>
        <v>8.8435624756320355</v>
      </c>
      <c r="U621" s="95">
        <f t="shared" si="152"/>
        <v>6.2931574802278512</v>
      </c>
      <c r="W621" s="66" t="s">
        <v>1965</v>
      </c>
      <c r="X621">
        <v>3</v>
      </c>
      <c r="Y621">
        <v>1</v>
      </c>
      <c r="Z621">
        <v>1</v>
      </c>
      <c r="AA621">
        <v>3</v>
      </c>
      <c r="AB621">
        <v>2</v>
      </c>
    </row>
    <row r="622" spans="1:28" x14ac:dyDescent="0.35">
      <c r="A622" t="s">
        <v>1293</v>
      </c>
      <c r="B622" t="s">
        <v>2261</v>
      </c>
      <c r="C622" t="s">
        <v>851</v>
      </c>
      <c r="D622">
        <v>2022</v>
      </c>
      <c r="E622">
        <v>2019</v>
      </c>
      <c r="F622" t="s">
        <v>1951</v>
      </c>
      <c r="G622">
        <v>2020</v>
      </c>
      <c r="H622" t="s">
        <v>1953</v>
      </c>
      <c r="I622" t="s">
        <v>1672</v>
      </c>
      <c r="J622" s="66">
        <v>2050</v>
      </c>
      <c r="T622" s="95">
        <f t="shared" ref="T622:V622" si="153">T580*$BP$148</f>
        <v>10.105438157867864</v>
      </c>
      <c r="U622" s="95">
        <f t="shared" si="153"/>
        <v>8.8435624756320355</v>
      </c>
      <c r="V622" s="95">
        <f t="shared" si="153"/>
        <v>6.2931574802278512</v>
      </c>
      <c r="W622" s="66" t="s">
        <v>1965</v>
      </c>
      <c r="X622">
        <v>3</v>
      </c>
      <c r="Y622">
        <v>1</v>
      </c>
      <c r="Z622">
        <v>1</v>
      </c>
      <c r="AA622">
        <v>3</v>
      </c>
      <c r="AB622">
        <v>2</v>
      </c>
    </row>
    <row r="623" spans="1:28" x14ac:dyDescent="0.35">
      <c r="A623" t="s">
        <v>1297</v>
      </c>
      <c r="B623" t="s">
        <v>2261</v>
      </c>
      <c r="C623" t="s">
        <v>1779</v>
      </c>
      <c r="D623">
        <v>2022</v>
      </c>
      <c r="E623">
        <v>2018</v>
      </c>
      <c r="F623" t="s">
        <v>1951</v>
      </c>
      <c r="G623">
        <v>2020</v>
      </c>
      <c r="H623" t="s">
        <v>1953</v>
      </c>
      <c r="I623" t="s">
        <v>1672</v>
      </c>
      <c r="J623" s="66">
        <v>2021</v>
      </c>
      <c r="P623" s="95">
        <f t="shared" ref="P623:V636" si="154">$AK$106</f>
        <v>6.2662358628489647</v>
      </c>
      <c r="Q623" s="95"/>
      <c r="R623" s="95"/>
      <c r="S623" s="95"/>
      <c r="T623" s="95"/>
      <c r="U623" s="95"/>
      <c r="V623" s="95"/>
      <c r="W623" s="66" t="s">
        <v>1968</v>
      </c>
      <c r="X623">
        <v>3</v>
      </c>
      <c r="Y623">
        <v>1</v>
      </c>
      <c r="Z623">
        <v>1</v>
      </c>
      <c r="AA623">
        <v>3</v>
      </c>
      <c r="AB623">
        <v>1</v>
      </c>
    </row>
    <row r="624" spans="1:28" x14ac:dyDescent="0.35">
      <c r="A624" t="s">
        <v>1297</v>
      </c>
      <c r="B624" t="s">
        <v>2261</v>
      </c>
      <c r="C624" t="s">
        <v>1779</v>
      </c>
      <c r="D624">
        <v>2022</v>
      </c>
      <c r="E624">
        <v>2018</v>
      </c>
      <c r="F624" t="s">
        <v>1951</v>
      </c>
      <c r="G624">
        <v>2020</v>
      </c>
      <c r="H624" t="s">
        <v>1953</v>
      </c>
      <c r="I624" t="s">
        <v>1672</v>
      </c>
      <c r="J624" s="66">
        <v>2025</v>
      </c>
      <c r="P624" s="95">
        <f t="shared" si="154"/>
        <v>6.2662358628489647</v>
      </c>
      <c r="Q624" s="95">
        <f t="shared" si="154"/>
        <v>6.2662358628489647</v>
      </c>
      <c r="R624" s="95"/>
      <c r="S624" s="95"/>
      <c r="T624" s="95"/>
      <c r="U624" s="95"/>
      <c r="V624" s="95"/>
      <c r="W624" s="66" t="s">
        <v>1968</v>
      </c>
      <c r="X624">
        <v>3</v>
      </c>
      <c r="Y624">
        <v>1</v>
      </c>
      <c r="Z624">
        <v>1</v>
      </c>
      <c r="AA624">
        <v>3</v>
      </c>
      <c r="AB624">
        <v>1</v>
      </c>
    </row>
    <row r="625" spans="1:28" x14ac:dyDescent="0.35">
      <c r="A625" t="s">
        <v>1297</v>
      </c>
      <c r="B625" t="s">
        <v>2261</v>
      </c>
      <c r="C625" t="s">
        <v>1779</v>
      </c>
      <c r="D625">
        <v>2022</v>
      </c>
      <c r="E625">
        <v>2018</v>
      </c>
      <c r="F625" t="s">
        <v>1951</v>
      </c>
      <c r="G625">
        <v>2020</v>
      </c>
      <c r="H625" t="s">
        <v>1953</v>
      </c>
      <c r="I625" t="s">
        <v>1672</v>
      </c>
      <c r="J625" s="66">
        <v>2030</v>
      </c>
      <c r="P625" s="95">
        <f t="shared" si="154"/>
        <v>6.2662358628489647</v>
      </c>
      <c r="Q625" s="95">
        <f t="shared" si="154"/>
        <v>6.2662358628489647</v>
      </c>
      <c r="R625" s="95">
        <f t="shared" si="154"/>
        <v>6.2662358628489647</v>
      </c>
      <c r="S625" s="95"/>
      <c r="T625" s="95"/>
      <c r="U625" s="95"/>
      <c r="V625" s="95"/>
      <c r="W625" s="66" t="s">
        <v>1968</v>
      </c>
      <c r="X625">
        <v>3</v>
      </c>
      <c r="Y625">
        <v>1</v>
      </c>
      <c r="Z625">
        <v>1</v>
      </c>
      <c r="AA625">
        <v>3</v>
      </c>
      <c r="AB625">
        <v>1</v>
      </c>
    </row>
    <row r="626" spans="1:28" x14ac:dyDescent="0.35">
      <c r="A626" t="s">
        <v>1297</v>
      </c>
      <c r="B626" t="s">
        <v>2261</v>
      </c>
      <c r="C626" t="s">
        <v>1779</v>
      </c>
      <c r="D626">
        <v>2022</v>
      </c>
      <c r="E626">
        <v>2018</v>
      </c>
      <c r="F626" t="s">
        <v>1951</v>
      </c>
      <c r="G626">
        <v>2020</v>
      </c>
      <c r="H626" t="s">
        <v>1953</v>
      </c>
      <c r="I626" t="s">
        <v>1672</v>
      </c>
      <c r="J626" s="66">
        <v>2035</v>
      </c>
      <c r="P626" s="95">
        <f t="shared" si="154"/>
        <v>6.2662358628489647</v>
      </c>
      <c r="Q626" s="95">
        <f t="shared" si="154"/>
        <v>6.2662358628489647</v>
      </c>
      <c r="R626" s="95">
        <f t="shared" si="154"/>
        <v>6.2662358628489647</v>
      </c>
      <c r="S626" s="95">
        <f t="shared" si="154"/>
        <v>6.2662358628489647</v>
      </c>
      <c r="T626" s="95"/>
      <c r="U626" s="95"/>
      <c r="V626" s="95"/>
      <c r="W626" s="66" t="s">
        <v>1968</v>
      </c>
      <c r="X626">
        <v>3</v>
      </c>
      <c r="Y626">
        <v>1</v>
      </c>
      <c r="Z626">
        <v>1</v>
      </c>
      <c r="AA626">
        <v>3</v>
      </c>
      <c r="AB626">
        <v>1</v>
      </c>
    </row>
    <row r="627" spans="1:28" x14ac:dyDescent="0.35">
      <c r="A627" t="s">
        <v>1297</v>
      </c>
      <c r="B627" t="s">
        <v>2261</v>
      </c>
      <c r="C627" t="s">
        <v>1779</v>
      </c>
      <c r="D627">
        <v>2022</v>
      </c>
      <c r="E627">
        <v>2018</v>
      </c>
      <c r="F627" t="s">
        <v>1951</v>
      </c>
      <c r="G627">
        <v>2020</v>
      </c>
      <c r="H627" t="s">
        <v>1953</v>
      </c>
      <c r="I627" t="s">
        <v>1672</v>
      </c>
      <c r="J627" s="66">
        <v>2040</v>
      </c>
      <c r="P627" s="95">
        <f t="shared" si="154"/>
        <v>6.2662358628489647</v>
      </c>
      <c r="Q627" s="95">
        <f t="shared" si="154"/>
        <v>6.2662358628489647</v>
      </c>
      <c r="R627" s="95">
        <f t="shared" si="154"/>
        <v>6.2662358628489647</v>
      </c>
      <c r="S627" s="95">
        <f t="shared" si="154"/>
        <v>6.2662358628489647</v>
      </c>
      <c r="T627" s="95">
        <f t="shared" si="154"/>
        <v>6.2662358628489647</v>
      </c>
      <c r="U627" s="95"/>
      <c r="V627" s="95"/>
      <c r="W627" s="66" t="s">
        <v>1968</v>
      </c>
      <c r="X627">
        <v>3</v>
      </c>
      <c r="Y627">
        <v>1</v>
      </c>
      <c r="Z627">
        <v>1</v>
      </c>
      <c r="AA627">
        <v>3</v>
      </c>
      <c r="AB627">
        <v>1</v>
      </c>
    </row>
    <row r="628" spans="1:28" x14ac:dyDescent="0.35">
      <c r="A628" t="s">
        <v>1297</v>
      </c>
      <c r="B628" t="s">
        <v>2261</v>
      </c>
      <c r="C628" t="s">
        <v>1779</v>
      </c>
      <c r="D628">
        <v>2022</v>
      </c>
      <c r="E628">
        <v>2018</v>
      </c>
      <c r="F628" t="s">
        <v>1951</v>
      </c>
      <c r="G628">
        <v>2020</v>
      </c>
      <c r="H628" t="s">
        <v>1953</v>
      </c>
      <c r="I628" t="s">
        <v>1672</v>
      </c>
      <c r="J628" s="66">
        <v>2045</v>
      </c>
      <c r="P628" s="95"/>
      <c r="Q628" s="95">
        <f t="shared" si="154"/>
        <v>6.2662358628489647</v>
      </c>
      <c r="R628" s="95">
        <f t="shared" si="154"/>
        <v>6.2662358628489647</v>
      </c>
      <c r="S628" s="95">
        <f t="shared" si="154"/>
        <v>6.2662358628489647</v>
      </c>
      <c r="T628" s="95">
        <f t="shared" si="154"/>
        <v>6.2662358628489647</v>
      </c>
      <c r="U628" s="95">
        <f t="shared" si="154"/>
        <v>6.2662358628489647</v>
      </c>
      <c r="V628" s="95"/>
      <c r="W628" s="66" t="s">
        <v>1968</v>
      </c>
      <c r="X628">
        <v>3</v>
      </c>
      <c r="Y628">
        <v>1</v>
      </c>
      <c r="Z628">
        <v>1</v>
      </c>
      <c r="AA628">
        <v>3</v>
      </c>
      <c r="AB628">
        <v>1</v>
      </c>
    </row>
    <row r="629" spans="1:28" x14ac:dyDescent="0.35">
      <c r="A629" t="s">
        <v>1297</v>
      </c>
      <c r="B629" t="s">
        <v>2261</v>
      </c>
      <c r="C629" t="s">
        <v>1779</v>
      </c>
      <c r="D629">
        <v>2022</v>
      </c>
      <c r="E629">
        <v>2018</v>
      </c>
      <c r="F629" t="s">
        <v>1951</v>
      </c>
      <c r="G629">
        <v>2020</v>
      </c>
      <c r="H629" t="s">
        <v>1953</v>
      </c>
      <c r="I629" t="s">
        <v>1672</v>
      </c>
      <c r="J629" s="66">
        <v>2050</v>
      </c>
      <c r="P629" s="95"/>
      <c r="Q629" s="95"/>
      <c r="R629" s="95">
        <f t="shared" si="154"/>
        <v>6.2662358628489647</v>
      </c>
      <c r="S629" s="95">
        <f t="shared" si="154"/>
        <v>6.2662358628489647</v>
      </c>
      <c r="T629" s="95">
        <f t="shared" si="154"/>
        <v>6.2662358628489647</v>
      </c>
      <c r="U629" s="95">
        <f t="shared" si="154"/>
        <v>6.2662358628489647</v>
      </c>
      <c r="V629" s="95">
        <f t="shared" si="154"/>
        <v>6.2662358628489647</v>
      </c>
      <c r="W629" s="66" t="s">
        <v>1968</v>
      </c>
      <c r="X629">
        <v>3</v>
      </c>
      <c r="Y629">
        <v>1</v>
      </c>
      <c r="Z629">
        <v>1</v>
      </c>
      <c r="AA629">
        <v>3</v>
      </c>
      <c r="AB629">
        <v>1</v>
      </c>
    </row>
    <row r="630" spans="1:28" x14ac:dyDescent="0.35">
      <c r="A630" t="s">
        <v>1298</v>
      </c>
      <c r="B630" t="s">
        <v>2261</v>
      </c>
      <c r="C630" t="s">
        <v>1779</v>
      </c>
      <c r="D630">
        <v>2022</v>
      </c>
      <c r="E630">
        <v>2018</v>
      </c>
      <c r="F630" t="s">
        <v>1951</v>
      </c>
      <c r="G630">
        <v>2020</v>
      </c>
      <c r="H630" t="s">
        <v>1953</v>
      </c>
      <c r="I630" t="s">
        <v>1672</v>
      </c>
      <c r="J630" s="66">
        <v>2021</v>
      </c>
      <c r="P630" s="95">
        <f t="shared" si="154"/>
        <v>6.2662358628489647</v>
      </c>
      <c r="Q630" s="95"/>
      <c r="R630" s="95"/>
      <c r="S630" s="95"/>
      <c r="T630" s="95"/>
      <c r="U630" s="95"/>
      <c r="V630" s="95"/>
      <c r="W630" s="66" t="s">
        <v>1981</v>
      </c>
      <c r="X630">
        <v>3</v>
      </c>
      <c r="Y630">
        <v>1</v>
      </c>
      <c r="Z630">
        <v>1</v>
      </c>
      <c r="AA630">
        <v>3</v>
      </c>
      <c r="AB630">
        <v>1</v>
      </c>
    </row>
    <row r="631" spans="1:28" x14ac:dyDescent="0.35">
      <c r="A631" t="s">
        <v>1298</v>
      </c>
      <c r="B631" t="s">
        <v>2261</v>
      </c>
      <c r="C631" t="s">
        <v>1779</v>
      </c>
      <c r="D631">
        <v>2022</v>
      </c>
      <c r="E631">
        <v>2018</v>
      </c>
      <c r="F631" t="s">
        <v>1951</v>
      </c>
      <c r="G631">
        <v>2020</v>
      </c>
      <c r="H631" t="s">
        <v>1953</v>
      </c>
      <c r="I631" t="s">
        <v>1672</v>
      </c>
      <c r="J631" s="66">
        <v>2025</v>
      </c>
      <c r="P631" s="95">
        <f t="shared" si="154"/>
        <v>6.2662358628489647</v>
      </c>
      <c r="Q631" s="95">
        <f t="shared" si="154"/>
        <v>6.2662358628489647</v>
      </c>
      <c r="R631" s="95"/>
      <c r="S631" s="95"/>
      <c r="T631" s="95"/>
      <c r="U631" s="95"/>
      <c r="V631" s="95"/>
      <c r="W631" s="66" t="s">
        <v>1981</v>
      </c>
      <c r="X631">
        <v>3</v>
      </c>
      <c r="Y631">
        <v>1</v>
      </c>
      <c r="Z631">
        <v>1</v>
      </c>
      <c r="AA631">
        <v>3</v>
      </c>
      <c r="AB631">
        <v>1</v>
      </c>
    </row>
    <row r="632" spans="1:28" x14ac:dyDescent="0.35">
      <c r="A632" t="s">
        <v>1298</v>
      </c>
      <c r="B632" t="s">
        <v>2261</v>
      </c>
      <c r="C632" t="s">
        <v>1779</v>
      </c>
      <c r="D632">
        <v>2022</v>
      </c>
      <c r="E632">
        <v>2018</v>
      </c>
      <c r="F632" t="s">
        <v>1951</v>
      </c>
      <c r="G632">
        <v>2020</v>
      </c>
      <c r="H632" t="s">
        <v>1953</v>
      </c>
      <c r="I632" t="s">
        <v>1672</v>
      </c>
      <c r="J632" s="66">
        <v>2030</v>
      </c>
      <c r="P632" s="95">
        <f t="shared" si="154"/>
        <v>6.2662358628489647</v>
      </c>
      <c r="Q632" s="95">
        <f t="shared" si="154"/>
        <v>6.2662358628489647</v>
      </c>
      <c r="R632" s="95">
        <f t="shared" si="154"/>
        <v>6.2662358628489647</v>
      </c>
      <c r="S632" s="95"/>
      <c r="T632" s="95"/>
      <c r="U632" s="95"/>
      <c r="V632" s="95"/>
      <c r="W632" s="66" t="s">
        <v>1981</v>
      </c>
      <c r="X632">
        <v>3</v>
      </c>
      <c r="Y632">
        <v>1</v>
      </c>
      <c r="Z632">
        <v>1</v>
      </c>
      <c r="AA632">
        <v>3</v>
      </c>
      <c r="AB632">
        <v>1</v>
      </c>
    </row>
    <row r="633" spans="1:28" x14ac:dyDescent="0.35">
      <c r="A633" t="s">
        <v>1298</v>
      </c>
      <c r="B633" t="s">
        <v>2261</v>
      </c>
      <c r="C633" t="s">
        <v>1779</v>
      </c>
      <c r="D633">
        <v>2022</v>
      </c>
      <c r="E633">
        <v>2018</v>
      </c>
      <c r="F633" t="s">
        <v>1951</v>
      </c>
      <c r="G633">
        <v>2020</v>
      </c>
      <c r="H633" t="s">
        <v>1953</v>
      </c>
      <c r="I633" t="s">
        <v>1672</v>
      </c>
      <c r="J633" s="66">
        <v>2035</v>
      </c>
      <c r="P633" s="95">
        <f t="shared" si="154"/>
        <v>6.2662358628489647</v>
      </c>
      <c r="Q633" s="95">
        <f t="shared" si="154"/>
        <v>6.2662358628489647</v>
      </c>
      <c r="R633" s="95">
        <f t="shared" si="154"/>
        <v>6.2662358628489647</v>
      </c>
      <c r="S633" s="95">
        <f t="shared" si="154"/>
        <v>6.2662358628489647</v>
      </c>
      <c r="T633" s="95"/>
      <c r="U633" s="95"/>
      <c r="V633" s="95"/>
      <c r="W633" s="66" t="s">
        <v>1981</v>
      </c>
      <c r="X633">
        <v>3</v>
      </c>
      <c r="Y633">
        <v>1</v>
      </c>
      <c r="Z633">
        <v>1</v>
      </c>
      <c r="AA633">
        <v>3</v>
      </c>
      <c r="AB633">
        <v>1</v>
      </c>
    </row>
    <row r="634" spans="1:28" x14ac:dyDescent="0.35">
      <c r="A634" t="s">
        <v>1298</v>
      </c>
      <c r="B634" t="s">
        <v>2261</v>
      </c>
      <c r="C634" t="s">
        <v>1779</v>
      </c>
      <c r="D634">
        <v>2022</v>
      </c>
      <c r="E634">
        <v>2018</v>
      </c>
      <c r="F634" t="s">
        <v>1951</v>
      </c>
      <c r="G634">
        <v>2020</v>
      </c>
      <c r="H634" t="s">
        <v>1953</v>
      </c>
      <c r="I634" t="s">
        <v>1672</v>
      </c>
      <c r="J634" s="66">
        <v>2040</v>
      </c>
      <c r="P634" s="95">
        <f t="shared" si="154"/>
        <v>6.2662358628489647</v>
      </c>
      <c r="Q634" s="95">
        <f t="shared" si="154"/>
        <v>6.2662358628489647</v>
      </c>
      <c r="R634" s="95">
        <f t="shared" si="154"/>
        <v>6.2662358628489647</v>
      </c>
      <c r="S634" s="95">
        <f t="shared" si="154"/>
        <v>6.2662358628489647</v>
      </c>
      <c r="T634" s="95">
        <f t="shared" si="154"/>
        <v>6.2662358628489647</v>
      </c>
      <c r="U634" s="95"/>
      <c r="V634" s="95"/>
      <c r="W634" s="66" t="s">
        <v>1981</v>
      </c>
      <c r="X634">
        <v>3</v>
      </c>
      <c r="Y634">
        <v>1</v>
      </c>
      <c r="Z634">
        <v>1</v>
      </c>
      <c r="AA634">
        <v>3</v>
      </c>
      <c r="AB634">
        <v>1</v>
      </c>
    </row>
    <row r="635" spans="1:28" x14ac:dyDescent="0.35">
      <c r="A635" t="s">
        <v>1298</v>
      </c>
      <c r="B635" t="s">
        <v>2261</v>
      </c>
      <c r="C635" t="s">
        <v>1779</v>
      </c>
      <c r="D635">
        <v>2022</v>
      </c>
      <c r="E635">
        <v>2018</v>
      </c>
      <c r="F635" t="s">
        <v>1951</v>
      </c>
      <c r="G635">
        <v>2020</v>
      </c>
      <c r="H635" t="s">
        <v>1953</v>
      </c>
      <c r="I635" t="s">
        <v>1672</v>
      </c>
      <c r="J635" s="66">
        <v>2045</v>
      </c>
      <c r="P635" s="95"/>
      <c r="Q635" s="95">
        <f t="shared" si="154"/>
        <v>6.2662358628489647</v>
      </c>
      <c r="R635" s="95">
        <f t="shared" si="154"/>
        <v>6.2662358628489647</v>
      </c>
      <c r="S635" s="95">
        <f t="shared" si="154"/>
        <v>6.2662358628489647</v>
      </c>
      <c r="T635" s="95">
        <f t="shared" si="154"/>
        <v>6.2662358628489647</v>
      </c>
      <c r="U635" s="95">
        <f t="shared" si="154"/>
        <v>6.2662358628489647</v>
      </c>
      <c r="V635" s="95"/>
      <c r="W635" s="66" t="s">
        <v>1981</v>
      </c>
      <c r="X635">
        <v>3</v>
      </c>
      <c r="Y635">
        <v>1</v>
      </c>
      <c r="Z635">
        <v>1</v>
      </c>
      <c r="AA635">
        <v>3</v>
      </c>
      <c r="AB635">
        <v>1</v>
      </c>
    </row>
    <row r="636" spans="1:28" x14ac:dyDescent="0.35">
      <c r="A636" t="s">
        <v>1298</v>
      </c>
      <c r="B636" t="s">
        <v>2261</v>
      </c>
      <c r="C636" t="s">
        <v>1779</v>
      </c>
      <c r="D636">
        <v>2022</v>
      </c>
      <c r="E636">
        <v>2018</v>
      </c>
      <c r="F636" t="s">
        <v>1951</v>
      </c>
      <c r="G636">
        <v>2020</v>
      </c>
      <c r="H636" t="s">
        <v>1953</v>
      </c>
      <c r="I636" t="s">
        <v>1672</v>
      </c>
      <c r="J636" s="66">
        <v>2050</v>
      </c>
      <c r="P636" s="95"/>
      <c r="Q636" s="95"/>
      <c r="R636" s="95">
        <f t="shared" si="154"/>
        <v>6.2662358628489647</v>
      </c>
      <c r="S636" s="95">
        <f t="shared" si="154"/>
        <v>6.2662358628489647</v>
      </c>
      <c r="T636" s="95">
        <f t="shared" si="154"/>
        <v>6.2662358628489647</v>
      </c>
      <c r="U636" s="95">
        <f t="shared" si="154"/>
        <v>6.2662358628489647</v>
      </c>
      <c r="V636" s="95">
        <f t="shared" si="154"/>
        <v>6.2662358628489647</v>
      </c>
      <c r="W636" s="66" t="s">
        <v>1981</v>
      </c>
      <c r="X636">
        <v>3</v>
      </c>
      <c r="Y636">
        <v>1</v>
      </c>
      <c r="Z636">
        <v>1</v>
      </c>
      <c r="AA636">
        <v>3</v>
      </c>
      <c r="AB636">
        <v>1</v>
      </c>
    </row>
    <row r="637" spans="1:28" x14ac:dyDescent="0.35">
      <c r="A637" t="s">
        <v>1299</v>
      </c>
      <c r="B637" t="s">
        <v>2261</v>
      </c>
      <c r="C637" t="s">
        <v>1779</v>
      </c>
      <c r="D637">
        <v>2022</v>
      </c>
      <c r="E637">
        <v>2018</v>
      </c>
      <c r="F637" t="s">
        <v>1951</v>
      </c>
      <c r="G637">
        <v>2020</v>
      </c>
      <c r="H637" t="s">
        <v>1953</v>
      </c>
      <c r="I637" t="s">
        <v>1683</v>
      </c>
      <c r="J637" s="66">
        <v>2021</v>
      </c>
      <c r="P637" s="95">
        <f>$AP$107</f>
        <v>24.345364936995864</v>
      </c>
      <c r="Q637" s="95"/>
      <c r="R637" s="95"/>
      <c r="S637" s="95"/>
      <c r="T637" s="95"/>
      <c r="U637" s="95"/>
      <c r="V637" s="95"/>
      <c r="W637" s="66" t="s">
        <v>1969</v>
      </c>
      <c r="X637">
        <v>3</v>
      </c>
      <c r="Y637">
        <v>1</v>
      </c>
      <c r="Z637">
        <v>1</v>
      </c>
      <c r="AA637">
        <v>3</v>
      </c>
      <c r="AB637">
        <v>2</v>
      </c>
    </row>
    <row r="638" spans="1:28" x14ac:dyDescent="0.35">
      <c r="A638" t="s">
        <v>1299</v>
      </c>
      <c r="B638" t="s">
        <v>2261</v>
      </c>
      <c r="C638" t="s">
        <v>1779</v>
      </c>
      <c r="D638">
        <v>2022</v>
      </c>
      <c r="E638">
        <v>2018</v>
      </c>
      <c r="F638" t="s">
        <v>1951</v>
      </c>
      <c r="G638">
        <v>2020</v>
      </c>
      <c r="H638" t="s">
        <v>1953</v>
      </c>
      <c r="I638" t="s">
        <v>1683</v>
      </c>
      <c r="J638" s="66">
        <v>2025</v>
      </c>
      <c r="P638" s="95">
        <f t="shared" ref="P638:V650" si="155">$AP$107</f>
        <v>24.345364936995864</v>
      </c>
      <c r="Q638" s="95">
        <f>$AP$107</f>
        <v>24.345364936995864</v>
      </c>
      <c r="R638" s="95"/>
      <c r="S638" s="95"/>
      <c r="T638" s="95"/>
      <c r="U638" s="95"/>
      <c r="V638" s="95"/>
      <c r="W638" s="66" t="s">
        <v>1969</v>
      </c>
      <c r="X638">
        <v>3</v>
      </c>
      <c r="Y638">
        <v>1</v>
      </c>
      <c r="Z638">
        <v>1</v>
      </c>
      <c r="AA638">
        <v>3</v>
      </c>
      <c r="AB638">
        <v>2</v>
      </c>
    </row>
    <row r="639" spans="1:28" x14ac:dyDescent="0.35">
      <c r="A639" t="s">
        <v>1299</v>
      </c>
      <c r="B639" t="s">
        <v>2261</v>
      </c>
      <c r="C639" t="s">
        <v>1779</v>
      </c>
      <c r="D639">
        <v>2022</v>
      </c>
      <c r="E639">
        <v>2018</v>
      </c>
      <c r="F639" t="s">
        <v>1951</v>
      </c>
      <c r="G639">
        <v>2020</v>
      </c>
      <c r="H639" t="s">
        <v>1953</v>
      </c>
      <c r="I639" t="s">
        <v>1683</v>
      </c>
      <c r="J639" s="66">
        <v>2030</v>
      </c>
      <c r="P639" s="95">
        <f t="shared" si="155"/>
        <v>24.345364936995864</v>
      </c>
      <c r="Q639" s="95">
        <f t="shared" si="155"/>
        <v>24.345364936995864</v>
      </c>
      <c r="R639" s="95">
        <f>$AP$107</f>
        <v>24.345364936995864</v>
      </c>
      <c r="S639" s="95"/>
      <c r="T639" s="95"/>
      <c r="U639" s="95"/>
      <c r="V639" s="95"/>
      <c r="W639" s="66" t="s">
        <v>1969</v>
      </c>
      <c r="X639">
        <v>3</v>
      </c>
      <c r="Y639">
        <v>1</v>
      </c>
      <c r="Z639">
        <v>1</v>
      </c>
      <c r="AA639">
        <v>3</v>
      </c>
      <c r="AB639">
        <v>2</v>
      </c>
    </row>
    <row r="640" spans="1:28" x14ac:dyDescent="0.35">
      <c r="A640" t="s">
        <v>1299</v>
      </c>
      <c r="B640" t="s">
        <v>2261</v>
      </c>
      <c r="C640" t="s">
        <v>1779</v>
      </c>
      <c r="D640">
        <v>2022</v>
      </c>
      <c r="E640">
        <v>2018</v>
      </c>
      <c r="F640" t="s">
        <v>1951</v>
      </c>
      <c r="G640">
        <v>2020</v>
      </c>
      <c r="H640" t="s">
        <v>1953</v>
      </c>
      <c r="I640" t="s">
        <v>1683</v>
      </c>
      <c r="J640" s="66">
        <v>2035</v>
      </c>
      <c r="P640" s="95">
        <f t="shared" si="155"/>
        <v>24.345364936995864</v>
      </c>
      <c r="Q640" s="95">
        <f t="shared" si="155"/>
        <v>24.345364936995864</v>
      </c>
      <c r="R640" s="95">
        <f t="shared" si="155"/>
        <v>24.345364936995864</v>
      </c>
      <c r="S640" s="95">
        <f>$AP$107</f>
        <v>24.345364936995864</v>
      </c>
      <c r="T640" s="95"/>
      <c r="U640" s="95"/>
      <c r="V640" s="95"/>
      <c r="W640" s="66" t="s">
        <v>1969</v>
      </c>
      <c r="X640">
        <v>3</v>
      </c>
      <c r="Y640">
        <v>1</v>
      </c>
      <c r="Z640">
        <v>1</v>
      </c>
      <c r="AA640">
        <v>3</v>
      </c>
      <c r="AB640">
        <v>2</v>
      </c>
    </row>
    <row r="641" spans="1:28" x14ac:dyDescent="0.35">
      <c r="A641" t="s">
        <v>1299</v>
      </c>
      <c r="B641" t="s">
        <v>2261</v>
      </c>
      <c r="C641" t="s">
        <v>1779</v>
      </c>
      <c r="D641">
        <v>2022</v>
      </c>
      <c r="E641">
        <v>2018</v>
      </c>
      <c r="F641" t="s">
        <v>1951</v>
      </c>
      <c r="G641">
        <v>2020</v>
      </c>
      <c r="H641" t="s">
        <v>1953</v>
      </c>
      <c r="I641" t="s">
        <v>1683</v>
      </c>
      <c r="J641" s="66">
        <v>2040</v>
      </c>
      <c r="P641" s="95">
        <f t="shared" si="155"/>
        <v>24.345364936995864</v>
      </c>
      <c r="Q641" s="95">
        <f t="shared" si="155"/>
        <v>24.345364936995864</v>
      </c>
      <c r="R641" s="95">
        <f t="shared" si="155"/>
        <v>24.345364936995864</v>
      </c>
      <c r="S641" s="95">
        <f t="shared" si="155"/>
        <v>24.345364936995864</v>
      </c>
      <c r="T641" s="95">
        <f t="shared" si="155"/>
        <v>24.345364936995864</v>
      </c>
      <c r="U641" s="95"/>
      <c r="V641" s="95"/>
      <c r="W641" s="66" t="s">
        <v>1969</v>
      </c>
      <c r="X641">
        <v>3</v>
      </c>
      <c r="Y641">
        <v>1</v>
      </c>
      <c r="Z641">
        <v>1</v>
      </c>
      <c r="AA641">
        <v>3</v>
      </c>
      <c r="AB641">
        <v>2</v>
      </c>
    </row>
    <row r="642" spans="1:28" x14ac:dyDescent="0.35">
      <c r="A642" t="s">
        <v>1299</v>
      </c>
      <c r="B642" t="s">
        <v>2261</v>
      </c>
      <c r="C642" t="s">
        <v>1779</v>
      </c>
      <c r="D642">
        <v>2022</v>
      </c>
      <c r="E642">
        <v>2018</v>
      </c>
      <c r="F642" t="s">
        <v>1951</v>
      </c>
      <c r="G642">
        <v>2020</v>
      </c>
      <c r="H642" t="s">
        <v>1953</v>
      </c>
      <c r="I642" t="s">
        <v>1683</v>
      </c>
      <c r="J642" s="66">
        <v>2045</v>
      </c>
      <c r="P642" s="95"/>
      <c r="Q642" s="95">
        <f t="shared" si="155"/>
        <v>24.345364936995864</v>
      </c>
      <c r="R642" s="95">
        <f t="shared" si="155"/>
        <v>24.345364936995864</v>
      </c>
      <c r="S642" s="95">
        <f t="shared" si="155"/>
        <v>24.345364936995864</v>
      </c>
      <c r="T642" s="95">
        <f t="shared" si="155"/>
        <v>24.345364936995864</v>
      </c>
      <c r="U642" s="95">
        <f t="shared" si="155"/>
        <v>24.345364936995864</v>
      </c>
      <c r="V642" s="95"/>
      <c r="W642" s="66" t="s">
        <v>1969</v>
      </c>
      <c r="X642">
        <v>3</v>
      </c>
      <c r="Y642">
        <v>1</v>
      </c>
      <c r="Z642">
        <v>1</v>
      </c>
      <c r="AA642">
        <v>3</v>
      </c>
      <c r="AB642">
        <v>2</v>
      </c>
    </row>
    <row r="643" spans="1:28" x14ac:dyDescent="0.35">
      <c r="A643" t="s">
        <v>1299</v>
      </c>
      <c r="B643" t="s">
        <v>2261</v>
      </c>
      <c r="C643" t="s">
        <v>1779</v>
      </c>
      <c r="D643">
        <v>2022</v>
      </c>
      <c r="E643">
        <v>2018</v>
      </c>
      <c r="F643" t="s">
        <v>1951</v>
      </c>
      <c r="G643">
        <v>2020</v>
      </c>
      <c r="H643" t="s">
        <v>1953</v>
      </c>
      <c r="I643" t="s">
        <v>1683</v>
      </c>
      <c r="J643" s="66">
        <v>2050</v>
      </c>
      <c r="P643" s="95"/>
      <c r="Q643" s="95"/>
      <c r="R643" s="95">
        <f t="shared" si="155"/>
        <v>24.345364936995864</v>
      </c>
      <c r="S643" s="95">
        <f t="shared" si="155"/>
        <v>24.345364936995864</v>
      </c>
      <c r="T643" s="95">
        <f t="shared" si="155"/>
        <v>24.345364936995864</v>
      </c>
      <c r="U643" s="95">
        <f t="shared" si="155"/>
        <v>24.345364936995864</v>
      </c>
      <c r="V643" s="95">
        <f t="shared" si="155"/>
        <v>24.345364936995864</v>
      </c>
      <c r="W643" s="66" t="s">
        <v>1969</v>
      </c>
      <c r="X643">
        <v>3</v>
      </c>
      <c r="Y643">
        <v>1</v>
      </c>
      <c r="Z643">
        <v>1</v>
      </c>
      <c r="AA643">
        <v>3</v>
      </c>
      <c r="AB643">
        <v>2</v>
      </c>
    </row>
    <row r="644" spans="1:28" x14ac:dyDescent="0.35">
      <c r="A644" t="s">
        <v>1300</v>
      </c>
      <c r="B644" t="s">
        <v>2261</v>
      </c>
      <c r="C644" t="s">
        <v>1779</v>
      </c>
      <c r="D644">
        <v>2022</v>
      </c>
      <c r="E644">
        <v>2018</v>
      </c>
      <c r="F644" t="s">
        <v>1951</v>
      </c>
      <c r="G644">
        <v>2020</v>
      </c>
      <c r="H644" t="s">
        <v>1953</v>
      </c>
      <c r="I644" t="s">
        <v>1683</v>
      </c>
      <c r="J644" s="66">
        <v>2021</v>
      </c>
      <c r="P644" s="95">
        <f>$AP$107</f>
        <v>24.345364936995864</v>
      </c>
      <c r="Q644" s="95"/>
      <c r="R644" s="95"/>
      <c r="S644" s="95"/>
      <c r="T644" s="95"/>
      <c r="U644" s="95"/>
      <c r="V644" s="95"/>
      <c r="W644" s="66" t="s">
        <v>1982</v>
      </c>
      <c r="X644">
        <v>3</v>
      </c>
      <c r="Y644">
        <v>1</v>
      </c>
      <c r="Z644">
        <v>1</v>
      </c>
      <c r="AA644">
        <v>3</v>
      </c>
      <c r="AB644">
        <v>2</v>
      </c>
    </row>
    <row r="645" spans="1:28" x14ac:dyDescent="0.35">
      <c r="A645" t="s">
        <v>1300</v>
      </c>
      <c r="B645" t="s">
        <v>2261</v>
      </c>
      <c r="C645" t="s">
        <v>1779</v>
      </c>
      <c r="D645">
        <v>2022</v>
      </c>
      <c r="E645">
        <v>2018</v>
      </c>
      <c r="F645" t="s">
        <v>1951</v>
      </c>
      <c r="G645">
        <v>2020</v>
      </c>
      <c r="H645" t="s">
        <v>1953</v>
      </c>
      <c r="I645" t="s">
        <v>1683</v>
      </c>
      <c r="J645" s="66">
        <v>2025</v>
      </c>
      <c r="P645" s="95">
        <f t="shared" si="155"/>
        <v>24.345364936995864</v>
      </c>
      <c r="Q645" s="95">
        <f>$AP$107</f>
        <v>24.345364936995864</v>
      </c>
      <c r="R645" s="95"/>
      <c r="S645" s="95"/>
      <c r="T645" s="95"/>
      <c r="U645" s="95"/>
      <c r="V645" s="95"/>
      <c r="W645" s="66" t="s">
        <v>1982</v>
      </c>
      <c r="X645">
        <v>3</v>
      </c>
      <c r="Y645">
        <v>1</v>
      </c>
      <c r="Z645">
        <v>1</v>
      </c>
      <c r="AA645">
        <v>3</v>
      </c>
      <c r="AB645">
        <v>2</v>
      </c>
    </row>
    <row r="646" spans="1:28" x14ac:dyDescent="0.35">
      <c r="A646" t="s">
        <v>1300</v>
      </c>
      <c r="B646" t="s">
        <v>2261</v>
      </c>
      <c r="C646" t="s">
        <v>1779</v>
      </c>
      <c r="D646">
        <v>2022</v>
      </c>
      <c r="E646">
        <v>2018</v>
      </c>
      <c r="F646" t="s">
        <v>1951</v>
      </c>
      <c r="G646">
        <v>2020</v>
      </c>
      <c r="H646" t="s">
        <v>1953</v>
      </c>
      <c r="I646" t="s">
        <v>1683</v>
      </c>
      <c r="J646" s="66">
        <v>2030</v>
      </c>
      <c r="P646" s="95">
        <f t="shared" si="155"/>
        <v>24.345364936995864</v>
      </c>
      <c r="Q646" s="95">
        <f t="shared" si="155"/>
        <v>24.345364936995864</v>
      </c>
      <c r="R646" s="95">
        <f>$AP$107</f>
        <v>24.345364936995864</v>
      </c>
      <c r="S646" s="95"/>
      <c r="T646" s="95"/>
      <c r="U646" s="95"/>
      <c r="V646" s="95"/>
      <c r="W646" s="66" t="s">
        <v>1982</v>
      </c>
      <c r="X646">
        <v>3</v>
      </c>
      <c r="Y646">
        <v>1</v>
      </c>
      <c r="Z646">
        <v>1</v>
      </c>
      <c r="AA646">
        <v>3</v>
      </c>
      <c r="AB646">
        <v>2</v>
      </c>
    </row>
    <row r="647" spans="1:28" x14ac:dyDescent="0.35">
      <c r="A647" t="s">
        <v>1300</v>
      </c>
      <c r="B647" t="s">
        <v>2261</v>
      </c>
      <c r="C647" t="s">
        <v>1779</v>
      </c>
      <c r="D647">
        <v>2022</v>
      </c>
      <c r="E647">
        <v>2018</v>
      </c>
      <c r="F647" t="s">
        <v>1951</v>
      </c>
      <c r="G647">
        <v>2020</v>
      </c>
      <c r="H647" t="s">
        <v>1953</v>
      </c>
      <c r="I647" t="s">
        <v>1683</v>
      </c>
      <c r="J647" s="66">
        <v>2035</v>
      </c>
      <c r="P647" s="95">
        <f t="shared" si="155"/>
        <v>24.345364936995864</v>
      </c>
      <c r="Q647" s="95">
        <f t="shared" si="155"/>
        <v>24.345364936995864</v>
      </c>
      <c r="R647" s="95">
        <f t="shared" si="155"/>
        <v>24.345364936995864</v>
      </c>
      <c r="S647" s="95">
        <f>$AP$107</f>
        <v>24.345364936995864</v>
      </c>
      <c r="T647" s="95"/>
      <c r="U647" s="95"/>
      <c r="V647" s="95"/>
      <c r="W647" s="66" t="s">
        <v>1982</v>
      </c>
      <c r="X647">
        <v>3</v>
      </c>
      <c r="Y647">
        <v>1</v>
      </c>
      <c r="Z647">
        <v>1</v>
      </c>
      <c r="AA647">
        <v>3</v>
      </c>
      <c r="AB647">
        <v>2</v>
      </c>
    </row>
    <row r="648" spans="1:28" x14ac:dyDescent="0.35">
      <c r="A648" t="s">
        <v>1300</v>
      </c>
      <c r="B648" t="s">
        <v>2261</v>
      </c>
      <c r="C648" t="s">
        <v>1779</v>
      </c>
      <c r="D648">
        <v>2022</v>
      </c>
      <c r="E648">
        <v>2018</v>
      </c>
      <c r="F648" t="s">
        <v>1951</v>
      </c>
      <c r="G648">
        <v>2020</v>
      </c>
      <c r="H648" t="s">
        <v>1953</v>
      </c>
      <c r="I648" t="s">
        <v>1683</v>
      </c>
      <c r="J648" s="66">
        <v>2040</v>
      </c>
      <c r="P648" s="95">
        <f t="shared" si="155"/>
        <v>24.345364936995864</v>
      </c>
      <c r="Q648" s="95">
        <f t="shared" si="155"/>
        <v>24.345364936995864</v>
      </c>
      <c r="R648" s="95">
        <f t="shared" si="155"/>
        <v>24.345364936995864</v>
      </c>
      <c r="S648" s="95">
        <f t="shared" si="155"/>
        <v>24.345364936995864</v>
      </c>
      <c r="T648" s="95">
        <f t="shared" si="155"/>
        <v>24.345364936995864</v>
      </c>
      <c r="U648" s="95"/>
      <c r="V648" s="95"/>
      <c r="W648" s="66" t="s">
        <v>1982</v>
      </c>
      <c r="X648">
        <v>3</v>
      </c>
      <c r="Y648">
        <v>1</v>
      </c>
      <c r="Z648">
        <v>1</v>
      </c>
      <c r="AA648">
        <v>3</v>
      </c>
      <c r="AB648">
        <v>2</v>
      </c>
    </row>
    <row r="649" spans="1:28" x14ac:dyDescent="0.35">
      <c r="A649" t="s">
        <v>1300</v>
      </c>
      <c r="B649" t="s">
        <v>2261</v>
      </c>
      <c r="C649" t="s">
        <v>1779</v>
      </c>
      <c r="D649">
        <v>2022</v>
      </c>
      <c r="E649">
        <v>2018</v>
      </c>
      <c r="F649" t="s">
        <v>1951</v>
      </c>
      <c r="G649">
        <v>2020</v>
      </c>
      <c r="H649" t="s">
        <v>1953</v>
      </c>
      <c r="I649" t="s">
        <v>1683</v>
      </c>
      <c r="J649" s="66">
        <v>2045</v>
      </c>
      <c r="P649" s="95"/>
      <c r="Q649" s="95">
        <f t="shared" si="155"/>
        <v>24.345364936995864</v>
      </c>
      <c r="R649" s="95">
        <f t="shared" si="155"/>
        <v>24.345364936995864</v>
      </c>
      <c r="S649" s="95">
        <f t="shared" si="155"/>
        <v>24.345364936995864</v>
      </c>
      <c r="T649" s="95">
        <f t="shared" si="155"/>
        <v>24.345364936995864</v>
      </c>
      <c r="U649" s="95">
        <f t="shared" si="155"/>
        <v>24.345364936995864</v>
      </c>
      <c r="V649" s="95"/>
      <c r="W649" s="66" t="s">
        <v>1982</v>
      </c>
      <c r="X649">
        <v>3</v>
      </c>
      <c r="Y649">
        <v>1</v>
      </c>
      <c r="Z649">
        <v>1</v>
      </c>
      <c r="AA649">
        <v>3</v>
      </c>
      <c r="AB649">
        <v>2</v>
      </c>
    </row>
    <row r="650" spans="1:28" x14ac:dyDescent="0.35">
      <c r="A650" t="s">
        <v>1300</v>
      </c>
      <c r="B650" t="s">
        <v>2261</v>
      </c>
      <c r="C650" t="s">
        <v>1779</v>
      </c>
      <c r="D650">
        <v>2022</v>
      </c>
      <c r="E650">
        <v>2018</v>
      </c>
      <c r="F650" t="s">
        <v>1951</v>
      </c>
      <c r="G650">
        <v>2020</v>
      </c>
      <c r="H650" t="s">
        <v>1953</v>
      </c>
      <c r="I650" t="s">
        <v>1683</v>
      </c>
      <c r="J650" s="66">
        <v>2050</v>
      </c>
      <c r="P650" s="95"/>
      <c r="Q650" s="95"/>
      <c r="R650" s="95">
        <f t="shared" si="155"/>
        <v>24.345364936995864</v>
      </c>
      <c r="S650" s="95">
        <f t="shared" si="155"/>
        <v>24.345364936995864</v>
      </c>
      <c r="T650" s="95">
        <f t="shared" si="155"/>
        <v>24.345364936995864</v>
      </c>
      <c r="U650" s="95">
        <f t="shared" si="155"/>
        <v>24.345364936995864</v>
      </c>
      <c r="V650" s="95">
        <f t="shared" si="155"/>
        <v>24.345364936995864</v>
      </c>
      <c r="W650" s="66" t="s">
        <v>1982</v>
      </c>
      <c r="X650">
        <v>3</v>
      </c>
      <c r="Y650">
        <v>1</v>
      </c>
      <c r="Z650">
        <v>1</v>
      </c>
      <c r="AA650">
        <v>3</v>
      </c>
      <c r="AB650">
        <v>2</v>
      </c>
    </row>
    <row r="651" spans="1:28" x14ac:dyDescent="0.35">
      <c r="A651" t="s">
        <v>1302</v>
      </c>
      <c r="B651" t="s">
        <v>2261</v>
      </c>
      <c r="C651" t="s">
        <v>1779</v>
      </c>
      <c r="D651">
        <v>2022</v>
      </c>
      <c r="E651">
        <v>2018</v>
      </c>
      <c r="F651" t="s">
        <v>1951</v>
      </c>
      <c r="G651">
        <v>2020</v>
      </c>
      <c r="H651" t="s">
        <v>1953</v>
      </c>
      <c r="I651" t="s">
        <v>1672</v>
      </c>
      <c r="J651" s="66">
        <v>2021</v>
      </c>
      <c r="P651" s="95">
        <f t="shared" ref="P651:V657" si="156">$AK$117</f>
        <v>54.595257151485576</v>
      </c>
      <c r="Q651" s="95"/>
      <c r="R651" s="95"/>
      <c r="S651" s="95"/>
      <c r="T651" s="95"/>
      <c r="U651" s="95"/>
      <c r="V651" s="95"/>
      <c r="W651" s="66" t="s">
        <v>1970</v>
      </c>
      <c r="X651">
        <v>3</v>
      </c>
      <c r="Y651">
        <v>1</v>
      </c>
      <c r="Z651">
        <v>1</v>
      </c>
      <c r="AA651">
        <v>3</v>
      </c>
      <c r="AB651">
        <v>1</v>
      </c>
    </row>
    <row r="652" spans="1:28" x14ac:dyDescent="0.35">
      <c r="A652" t="s">
        <v>1302</v>
      </c>
      <c r="B652" t="s">
        <v>2261</v>
      </c>
      <c r="C652" t="s">
        <v>1779</v>
      </c>
      <c r="D652">
        <v>2022</v>
      </c>
      <c r="E652">
        <v>2018</v>
      </c>
      <c r="F652" t="s">
        <v>1951</v>
      </c>
      <c r="G652">
        <v>2020</v>
      </c>
      <c r="H652" t="s">
        <v>1953</v>
      </c>
      <c r="I652" t="s">
        <v>1672</v>
      </c>
      <c r="J652" s="66">
        <v>2025</v>
      </c>
      <c r="P652" s="95">
        <f t="shared" si="156"/>
        <v>54.595257151485576</v>
      </c>
      <c r="Q652" s="95">
        <f t="shared" si="156"/>
        <v>54.595257151485576</v>
      </c>
      <c r="R652" s="95"/>
      <c r="S652" s="95"/>
      <c r="T652" s="95"/>
      <c r="U652" s="95"/>
      <c r="V652" s="95"/>
      <c r="W652" s="66" t="s">
        <v>1970</v>
      </c>
      <c r="X652">
        <v>3</v>
      </c>
      <c r="Y652">
        <v>1</v>
      </c>
      <c r="Z652">
        <v>1</v>
      </c>
      <c r="AA652">
        <v>3</v>
      </c>
      <c r="AB652">
        <v>1</v>
      </c>
    </row>
    <row r="653" spans="1:28" x14ac:dyDescent="0.35">
      <c r="A653" t="s">
        <v>1302</v>
      </c>
      <c r="B653" t="s">
        <v>2261</v>
      </c>
      <c r="C653" t="s">
        <v>1779</v>
      </c>
      <c r="D653">
        <v>2022</v>
      </c>
      <c r="E653">
        <v>2018</v>
      </c>
      <c r="F653" t="s">
        <v>1951</v>
      </c>
      <c r="G653">
        <v>2020</v>
      </c>
      <c r="H653" t="s">
        <v>1953</v>
      </c>
      <c r="I653" t="s">
        <v>1672</v>
      </c>
      <c r="J653" s="66">
        <v>2030</v>
      </c>
      <c r="P653" s="95">
        <f t="shared" si="156"/>
        <v>54.595257151485576</v>
      </c>
      <c r="Q653" s="95">
        <f t="shared" si="156"/>
        <v>54.595257151485576</v>
      </c>
      <c r="R653" s="95">
        <f t="shared" si="156"/>
        <v>54.595257151485576</v>
      </c>
      <c r="S653" s="95"/>
      <c r="T653" s="95"/>
      <c r="U653" s="95"/>
      <c r="V653" s="95"/>
      <c r="W653" s="66" t="s">
        <v>1970</v>
      </c>
      <c r="X653">
        <v>3</v>
      </c>
      <c r="Y653">
        <v>1</v>
      </c>
      <c r="Z653">
        <v>1</v>
      </c>
      <c r="AA653">
        <v>3</v>
      </c>
      <c r="AB653">
        <v>1</v>
      </c>
    </row>
    <row r="654" spans="1:28" x14ac:dyDescent="0.35">
      <c r="A654" t="s">
        <v>1302</v>
      </c>
      <c r="B654" t="s">
        <v>2261</v>
      </c>
      <c r="C654" t="s">
        <v>1779</v>
      </c>
      <c r="D654">
        <v>2022</v>
      </c>
      <c r="E654">
        <v>2018</v>
      </c>
      <c r="F654" t="s">
        <v>1951</v>
      </c>
      <c r="G654">
        <v>2020</v>
      </c>
      <c r="H654" t="s">
        <v>1953</v>
      </c>
      <c r="I654" t="s">
        <v>1672</v>
      </c>
      <c r="J654" s="66">
        <v>2035</v>
      </c>
      <c r="P654" s="95">
        <f t="shared" si="156"/>
        <v>54.595257151485576</v>
      </c>
      <c r="Q654" s="95">
        <f t="shared" si="156"/>
        <v>54.595257151485576</v>
      </c>
      <c r="R654" s="95">
        <f t="shared" si="156"/>
        <v>54.595257151485576</v>
      </c>
      <c r="S654" s="95">
        <f t="shared" si="156"/>
        <v>54.595257151485576</v>
      </c>
      <c r="T654" s="95"/>
      <c r="U654" s="95"/>
      <c r="V654" s="95"/>
      <c r="W654" s="66" t="s">
        <v>1970</v>
      </c>
      <c r="X654">
        <v>3</v>
      </c>
      <c r="Y654">
        <v>1</v>
      </c>
      <c r="Z654">
        <v>1</v>
      </c>
      <c r="AA654">
        <v>3</v>
      </c>
      <c r="AB654">
        <v>1</v>
      </c>
    </row>
    <row r="655" spans="1:28" x14ac:dyDescent="0.35">
      <c r="A655" t="s">
        <v>1302</v>
      </c>
      <c r="B655" t="s">
        <v>2261</v>
      </c>
      <c r="C655" t="s">
        <v>1779</v>
      </c>
      <c r="D655">
        <v>2022</v>
      </c>
      <c r="E655">
        <v>2018</v>
      </c>
      <c r="F655" t="s">
        <v>1951</v>
      </c>
      <c r="G655">
        <v>2020</v>
      </c>
      <c r="H655" t="s">
        <v>1953</v>
      </c>
      <c r="I655" t="s">
        <v>1672</v>
      </c>
      <c r="J655" s="66">
        <v>2040</v>
      </c>
      <c r="P655" s="95">
        <f t="shared" si="156"/>
        <v>54.595257151485576</v>
      </c>
      <c r="Q655" s="95">
        <f t="shared" si="156"/>
        <v>54.595257151485576</v>
      </c>
      <c r="R655" s="95">
        <f t="shared" si="156"/>
        <v>54.595257151485576</v>
      </c>
      <c r="S655" s="95">
        <f t="shared" si="156"/>
        <v>54.595257151485576</v>
      </c>
      <c r="T655" s="95">
        <f t="shared" si="156"/>
        <v>54.595257151485576</v>
      </c>
      <c r="U655" s="95"/>
      <c r="V655" s="95"/>
      <c r="W655" s="66" t="s">
        <v>1970</v>
      </c>
      <c r="X655">
        <v>3</v>
      </c>
      <c r="Y655">
        <v>1</v>
      </c>
      <c r="Z655">
        <v>1</v>
      </c>
      <c r="AA655">
        <v>3</v>
      </c>
      <c r="AB655">
        <v>1</v>
      </c>
    </row>
    <row r="656" spans="1:28" x14ac:dyDescent="0.35">
      <c r="A656" t="s">
        <v>1302</v>
      </c>
      <c r="B656" t="s">
        <v>2261</v>
      </c>
      <c r="C656" t="s">
        <v>1779</v>
      </c>
      <c r="D656">
        <v>2022</v>
      </c>
      <c r="E656">
        <v>2018</v>
      </c>
      <c r="F656" t="s">
        <v>1951</v>
      </c>
      <c r="G656">
        <v>2020</v>
      </c>
      <c r="H656" t="s">
        <v>1953</v>
      </c>
      <c r="I656" t="s">
        <v>1672</v>
      </c>
      <c r="J656" s="66">
        <v>2045</v>
      </c>
      <c r="P656" s="95">
        <f t="shared" si="156"/>
        <v>54.595257151485576</v>
      </c>
      <c r="Q656" s="95">
        <f t="shared" si="156"/>
        <v>54.595257151485576</v>
      </c>
      <c r="R656" s="95">
        <f t="shared" si="156"/>
        <v>54.595257151485576</v>
      </c>
      <c r="S656" s="95">
        <f t="shared" si="156"/>
        <v>54.595257151485576</v>
      </c>
      <c r="T656" s="95">
        <f t="shared" si="156"/>
        <v>54.595257151485576</v>
      </c>
      <c r="U656" s="95">
        <f t="shared" si="156"/>
        <v>54.595257151485576</v>
      </c>
      <c r="V656" s="95"/>
      <c r="W656" s="66" t="s">
        <v>1970</v>
      </c>
      <c r="X656">
        <v>3</v>
      </c>
      <c r="Y656">
        <v>1</v>
      </c>
      <c r="Z656">
        <v>1</v>
      </c>
      <c r="AA656">
        <v>3</v>
      </c>
      <c r="AB656">
        <v>1</v>
      </c>
    </row>
    <row r="657" spans="1:28" x14ac:dyDescent="0.35">
      <c r="A657" t="s">
        <v>1302</v>
      </c>
      <c r="B657" t="s">
        <v>2261</v>
      </c>
      <c r="C657" t="s">
        <v>1779</v>
      </c>
      <c r="D657">
        <v>2022</v>
      </c>
      <c r="E657">
        <v>2018</v>
      </c>
      <c r="F657" t="s">
        <v>1951</v>
      </c>
      <c r="G657">
        <v>2020</v>
      </c>
      <c r="H657" t="s">
        <v>1953</v>
      </c>
      <c r="I657" t="s">
        <v>1672</v>
      </c>
      <c r="J657" s="66">
        <v>2050</v>
      </c>
      <c r="P657" s="95">
        <f t="shared" si="156"/>
        <v>54.595257151485576</v>
      </c>
      <c r="Q657" s="95">
        <f t="shared" si="156"/>
        <v>54.595257151485576</v>
      </c>
      <c r="R657" s="95">
        <f t="shared" si="156"/>
        <v>54.595257151485576</v>
      </c>
      <c r="S657" s="95">
        <f t="shared" si="156"/>
        <v>54.595257151485576</v>
      </c>
      <c r="T657" s="95">
        <f t="shared" si="156"/>
        <v>54.595257151485576</v>
      </c>
      <c r="U657" s="95">
        <f t="shared" si="156"/>
        <v>54.595257151485576</v>
      </c>
      <c r="V657" s="95">
        <f t="shared" si="156"/>
        <v>54.595257151485576</v>
      </c>
      <c r="W657" s="66" t="s">
        <v>1970</v>
      </c>
      <c r="X657">
        <v>3</v>
      </c>
      <c r="Y657">
        <v>1</v>
      </c>
      <c r="Z657">
        <v>1</v>
      </c>
      <c r="AA657">
        <v>3</v>
      </c>
      <c r="AB657">
        <v>1</v>
      </c>
    </row>
    <row r="658" spans="1:28" x14ac:dyDescent="0.35">
      <c r="A658" t="s">
        <v>1303</v>
      </c>
      <c r="B658" t="s">
        <v>2261</v>
      </c>
      <c r="C658" t="s">
        <v>1779</v>
      </c>
      <c r="D658">
        <v>2022</v>
      </c>
      <c r="E658">
        <v>2018</v>
      </c>
      <c r="F658" t="s">
        <v>1951</v>
      </c>
      <c r="G658">
        <v>2020</v>
      </c>
      <c r="H658" t="s">
        <v>1953</v>
      </c>
      <c r="I658" t="s">
        <v>1672</v>
      </c>
      <c r="J658" s="66">
        <v>2030</v>
      </c>
      <c r="P658" s="95"/>
      <c r="Q658" s="95"/>
      <c r="R658" s="95">
        <f>$AM$118</f>
        <v>72.429727413691921</v>
      </c>
      <c r="S658" s="95"/>
      <c r="T658" s="95"/>
      <c r="U658" s="95"/>
      <c r="V658" s="95"/>
      <c r="W658" s="66" t="s">
        <v>1983</v>
      </c>
      <c r="X658">
        <v>3</v>
      </c>
      <c r="Y658">
        <v>1</v>
      </c>
      <c r="Z658">
        <v>1</v>
      </c>
      <c r="AA658">
        <v>3</v>
      </c>
      <c r="AB658">
        <v>1</v>
      </c>
    </row>
    <row r="659" spans="1:28" x14ac:dyDescent="0.35">
      <c r="A659" t="s">
        <v>1303</v>
      </c>
      <c r="B659" t="s">
        <v>2261</v>
      </c>
      <c r="C659" t="s">
        <v>1779</v>
      </c>
      <c r="D659">
        <v>2022</v>
      </c>
      <c r="E659">
        <v>2018</v>
      </c>
      <c r="F659" t="s">
        <v>1951</v>
      </c>
      <c r="G659">
        <v>2020</v>
      </c>
      <c r="H659" t="s">
        <v>1953</v>
      </c>
      <c r="I659" t="s">
        <v>1672</v>
      </c>
      <c r="J659" s="66">
        <v>2035</v>
      </c>
      <c r="P659" s="95"/>
      <c r="Q659" s="95"/>
      <c r="R659" s="95">
        <f t="shared" ref="R659:V662" si="157">$AM$118</f>
        <v>72.429727413691921</v>
      </c>
      <c r="S659" s="95">
        <f t="shared" si="157"/>
        <v>72.429727413691921</v>
      </c>
      <c r="T659" s="95"/>
      <c r="U659" s="95"/>
      <c r="V659" s="95"/>
      <c r="W659" s="66" t="s">
        <v>1983</v>
      </c>
      <c r="X659">
        <v>3</v>
      </c>
      <c r="Y659">
        <v>1</v>
      </c>
      <c r="Z659">
        <v>1</v>
      </c>
      <c r="AA659">
        <v>3</v>
      </c>
      <c r="AB659">
        <v>1</v>
      </c>
    </row>
    <row r="660" spans="1:28" x14ac:dyDescent="0.35">
      <c r="A660" t="s">
        <v>1303</v>
      </c>
      <c r="B660" t="s">
        <v>2261</v>
      </c>
      <c r="C660" t="s">
        <v>1779</v>
      </c>
      <c r="D660">
        <v>2022</v>
      </c>
      <c r="E660">
        <v>2018</v>
      </c>
      <c r="F660" t="s">
        <v>1951</v>
      </c>
      <c r="G660">
        <v>2020</v>
      </c>
      <c r="H660" t="s">
        <v>1953</v>
      </c>
      <c r="I660" t="s">
        <v>1672</v>
      </c>
      <c r="J660" s="66">
        <v>2040</v>
      </c>
      <c r="P660" s="95"/>
      <c r="Q660" s="95"/>
      <c r="R660" s="95">
        <f t="shared" si="157"/>
        <v>72.429727413691921</v>
      </c>
      <c r="S660" s="95">
        <f t="shared" si="157"/>
        <v>72.429727413691921</v>
      </c>
      <c r="T660" s="95">
        <f t="shared" si="157"/>
        <v>72.429727413691921</v>
      </c>
      <c r="U660" s="95"/>
      <c r="V660" s="95"/>
      <c r="W660" s="66" t="s">
        <v>1983</v>
      </c>
      <c r="X660">
        <v>3</v>
      </c>
      <c r="Y660">
        <v>1</v>
      </c>
      <c r="Z660">
        <v>1</v>
      </c>
      <c r="AA660">
        <v>3</v>
      </c>
      <c r="AB660">
        <v>1</v>
      </c>
    </row>
    <row r="661" spans="1:28" x14ac:dyDescent="0.35">
      <c r="A661" t="s">
        <v>1303</v>
      </c>
      <c r="B661" t="s">
        <v>2261</v>
      </c>
      <c r="C661" t="s">
        <v>1779</v>
      </c>
      <c r="D661">
        <v>2022</v>
      </c>
      <c r="E661">
        <v>2018</v>
      </c>
      <c r="F661" t="s">
        <v>1951</v>
      </c>
      <c r="G661">
        <v>2020</v>
      </c>
      <c r="H661" t="s">
        <v>1953</v>
      </c>
      <c r="I661" t="s">
        <v>1672</v>
      </c>
      <c r="J661" s="66">
        <v>2045</v>
      </c>
      <c r="P661" s="95"/>
      <c r="Q661" s="95"/>
      <c r="R661" s="95">
        <f t="shared" si="157"/>
        <v>72.429727413691921</v>
      </c>
      <c r="S661" s="95">
        <f t="shared" si="157"/>
        <v>72.429727413691921</v>
      </c>
      <c r="T661" s="95">
        <f t="shared" si="157"/>
        <v>72.429727413691921</v>
      </c>
      <c r="U661" s="95">
        <f t="shared" si="157"/>
        <v>72.429727413691921</v>
      </c>
      <c r="V661" s="95"/>
      <c r="W661" s="66" t="s">
        <v>1983</v>
      </c>
      <c r="X661">
        <v>3</v>
      </c>
      <c r="Y661">
        <v>1</v>
      </c>
      <c r="Z661">
        <v>1</v>
      </c>
      <c r="AA661">
        <v>3</v>
      </c>
      <c r="AB661">
        <v>1</v>
      </c>
    </row>
    <row r="662" spans="1:28" x14ac:dyDescent="0.35">
      <c r="A662" t="s">
        <v>1303</v>
      </c>
      <c r="B662" t="s">
        <v>2261</v>
      </c>
      <c r="C662" t="s">
        <v>1779</v>
      </c>
      <c r="D662">
        <v>2022</v>
      </c>
      <c r="E662">
        <v>2018</v>
      </c>
      <c r="F662" t="s">
        <v>1951</v>
      </c>
      <c r="G662">
        <v>2020</v>
      </c>
      <c r="H662" t="s">
        <v>1953</v>
      </c>
      <c r="I662" t="s">
        <v>1672</v>
      </c>
      <c r="J662" s="66">
        <v>2050</v>
      </c>
      <c r="P662" s="95"/>
      <c r="Q662" s="95"/>
      <c r="R662" s="95">
        <f t="shared" si="157"/>
        <v>72.429727413691921</v>
      </c>
      <c r="S662" s="95">
        <f t="shared" si="157"/>
        <v>72.429727413691921</v>
      </c>
      <c r="T662" s="95">
        <f t="shared" si="157"/>
        <v>72.429727413691921</v>
      </c>
      <c r="U662" s="95">
        <f t="shared" si="157"/>
        <v>72.429727413691921</v>
      </c>
      <c r="V662" s="95">
        <f t="shared" si="157"/>
        <v>72.429727413691921</v>
      </c>
      <c r="W662" s="66" t="s">
        <v>1983</v>
      </c>
      <c r="X662">
        <v>3</v>
      </c>
      <c r="Y662">
        <v>1</v>
      </c>
      <c r="Z662">
        <v>1</v>
      </c>
      <c r="AA662">
        <v>3</v>
      </c>
      <c r="AB662">
        <v>1</v>
      </c>
    </row>
    <row r="663" spans="1:28" x14ac:dyDescent="0.35">
      <c r="A663" t="s">
        <v>1304</v>
      </c>
      <c r="B663" t="s">
        <v>2261</v>
      </c>
      <c r="C663" t="s">
        <v>1779</v>
      </c>
      <c r="D663">
        <v>2022</v>
      </c>
      <c r="E663">
        <v>2018</v>
      </c>
      <c r="F663" t="s">
        <v>1951</v>
      </c>
      <c r="G663">
        <v>2020</v>
      </c>
      <c r="H663" t="s">
        <v>1953</v>
      </c>
      <c r="I663" t="s">
        <v>1683</v>
      </c>
      <c r="J663" s="66">
        <v>2021</v>
      </c>
      <c r="P663" s="95">
        <f>$AK$120</f>
        <v>1.6501885334848621</v>
      </c>
      <c r="Q663" s="95"/>
      <c r="R663" s="95"/>
      <c r="S663" s="95"/>
      <c r="T663" s="95"/>
      <c r="U663" s="95"/>
      <c r="V663" s="95"/>
      <c r="W663" s="66" t="s">
        <v>1971</v>
      </c>
      <c r="X663">
        <v>3</v>
      </c>
      <c r="Y663">
        <v>1</v>
      </c>
      <c r="Z663">
        <v>1</v>
      </c>
      <c r="AA663">
        <v>3</v>
      </c>
      <c r="AB663">
        <v>1</v>
      </c>
    </row>
    <row r="664" spans="1:28" x14ac:dyDescent="0.35">
      <c r="A664" t="s">
        <v>1304</v>
      </c>
      <c r="B664" t="s">
        <v>2261</v>
      </c>
      <c r="C664" t="s">
        <v>1779</v>
      </c>
      <c r="D664">
        <v>2022</v>
      </c>
      <c r="E664">
        <v>2018</v>
      </c>
      <c r="F664" t="s">
        <v>1951</v>
      </c>
      <c r="G664">
        <v>2020</v>
      </c>
      <c r="H664" t="s">
        <v>1953</v>
      </c>
      <c r="I664" t="s">
        <v>1683</v>
      </c>
      <c r="J664" s="66">
        <v>2025</v>
      </c>
      <c r="P664" s="95">
        <f t="shared" ref="P664:V669" si="158">$AK$120</f>
        <v>1.6501885334848621</v>
      </c>
      <c r="Q664" s="95">
        <f t="shared" si="158"/>
        <v>1.6501885334848621</v>
      </c>
      <c r="R664" s="95"/>
      <c r="S664" s="95"/>
      <c r="T664" s="95"/>
      <c r="U664" s="95"/>
      <c r="V664" s="95"/>
      <c r="W664" s="66" t="s">
        <v>1971</v>
      </c>
      <c r="X664">
        <v>3</v>
      </c>
      <c r="Y664">
        <v>1</v>
      </c>
      <c r="Z664">
        <v>1</v>
      </c>
      <c r="AA664">
        <v>3</v>
      </c>
      <c r="AB664">
        <v>1</v>
      </c>
    </row>
    <row r="665" spans="1:28" x14ac:dyDescent="0.35">
      <c r="A665" t="s">
        <v>1304</v>
      </c>
      <c r="B665" t="s">
        <v>2261</v>
      </c>
      <c r="C665" t="s">
        <v>1779</v>
      </c>
      <c r="D665">
        <v>2022</v>
      </c>
      <c r="E665">
        <v>2018</v>
      </c>
      <c r="F665" t="s">
        <v>1951</v>
      </c>
      <c r="G665">
        <v>2020</v>
      </c>
      <c r="H665" t="s">
        <v>1953</v>
      </c>
      <c r="I665" t="s">
        <v>1683</v>
      </c>
      <c r="J665" s="66">
        <v>2030</v>
      </c>
      <c r="P665" s="95">
        <f t="shared" si="158"/>
        <v>1.6501885334848621</v>
      </c>
      <c r="Q665" s="95">
        <f t="shared" si="158"/>
        <v>1.6501885334848621</v>
      </c>
      <c r="R665" s="95">
        <f t="shared" si="158"/>
        <v>1.6501885334848621</v>
      </c>
      <c r="S665" s="95"/>
      <c r="T665" s="95"/>
      <c r="U665" s="95"/>
      <c r="V665" s="95"/>
      <c r="W665" s="66" t="s">
        <v>1971</v>
      </c>
      <c r="X665">
        <v>3</v>
      </c>
      <c r="Y665">
        <v>1</v>
      </c>
      <c r="Z665">
        <v>1</v>
      </c>
      <c r="AA665">
        <v>3</v>
      </c>
      <c r="AB665">
        <v>1</v>
      </c>
    </row>
    <row r="666" spans="1:28" x14ac:dyDescent="0.35">
      <c r="A666" t="s">
        <v>1304</v>
      </c>
      <c r="B666" t="s">
        <v>2261</v>
      </c>
      <c r="C666" t="s">
        <v>1779</v>
      </c>
      <c r="D666">
        <v>2022</v>
      </c>
      <c r="E666">
        <v>2018</v>
      </c>
      <c r="F666" t="s">
        <v>1951</v>
      </c>
      <c r="G666">
        <v>2020</v>
      </c>
      <c r="H666" t="s">
        <v>1953</v>
      </c>
      <c r="I666" t="s">
        <v>1683</v>
      </c>
      <c r="J666" s="66">
        <v>2035</v>
      </c>
      <c r="P666" s="95">
        <f t="shared" si="158"/>
        <v>1.6501885334848621</v>
      </c>
      <c r="Q666" s="95">
        <f t="shared" si="158"/>
        <v>1.6501885334848621</v>
      </c>
      <c r="R666" s="95">
        <f t="shared" si="158"/>
        <v>1.6501885334848621</v>
      </c>
      <c r="S666" s="95">
        <f t="shared" si="158"/>
        <v>1.6501885334848621</v>
      </c>
      <c r="T666" s="95"/>
      <c r="U666" s="95"/>
      <c r="V666" s="95"/>
      <c r="W666" s="66" t="s">
        <v>1971</v>
      </c>
      <c r="X666">
        <v>3</v>
      </c>
      <c r="Y666">
        <v>1</v>
      </c>
      <c r="Z666">
        <v>1</v>
      </c>
      <c r="AA666">
        <v>3</v>
      </c>
      <c r="AB666">
        <v>1</v>
      </c>
    </row>
    <row r="667" spans="1:28" x14ac:dyDescent="0.35">
      <c r="A667" t="s">
        <v>1304</v>
      </c>
      <c r="B667" t="s">
        <v>2261</v>
      </c>
      <c r="C667" t="s">
        <v>1779</v>
      </c>
      <c r="D667">
        <v>2022</v>
      </c>
      <c r="E667">
        <v>2018</v>
      </c>
      <c r="F667" t="s">
        <v>1951</v>
      </c>
      <c r="G667">
        <v>2020</v>
      </c>
      <c r="H667" t="s">
        <v>1953</v>
      </c>
      <c r="I667" t="s">
        <v>1683</v>
      </c>
      <c r="J667" s="66">
        <v>2040</v>
      </c>
      <c r="P667" s="95">
        <f t="shared" si="158"/>
        <v>1.6501885334848621</v>
      </c>
      <c r="Q667" s="95">
        <f t="shared" si="158"/>
        <v>1.6501885334848621</v>
      </c>
      <c r="R667" s="95">
        <f t="shared" si="158"/>
        <v>1.6501885334848621</v>
      </c>
      <c r="S667" s="95">
        <f t="shared" si="158"/>
        <v>1.6501885334848621</v>
      </c>
      <c r="T667" s="95">
        <f t="shared" si="158"/>
        <v>1.6501885334848621</v>
      </c>
      <c r="U667" s="95"/>
      <c r="V667" s="95"/>
      <c r="W667" s="66" t="s">
        <v>1971</v>
      </c>
      <c r="X667">
        <v>3</v>
      </c>
      <c r="Y667">
        <v>1</v>
      </c>
      <c r="Z667">
        <v>1</v>
      </c>
      <c r="AA667">
        <v>3</v>
      </c>
      <c r="AB667">
        <v>1</v>
      </c>
    </row>
    <row r="668" spans="1:28" x14ac:dyDescent="0.35">
      <c r="A668" t="s">
        <v>1304</v>
      </c>
      <c r="B668" t="s">
        <v>2261</v>
      </c>
      <c r="C668" t="s">
        <v>1779</v>
      </c>
      <c r="D668">
        <v>2022</v>
      </c>
      <c r="E668">
        <v>2018</v>
      </c>
      <c r="F668" t="s">
        <v>1951</v>
      </c>
      <c r="G668">
        <v>2020</v>
      </c>
      <c r="H668" t="s">
        <v>1953</v>
      </c>
      <c r="I668" t="s">
        <v>1683</v>
      </c>
      <c r="J668" s="66">
        <v>2045</v>
      </c>
      <c r="P668" s="95">
        <f t="shared" si="158"/>
        <v>1.6501885334848621</v>
      </c>
      <c r="Q668" s="95">
        <f t="shared" si="158"/>
        <v>1.6501885334848621</v>
      </c>
      <c r="R668" s="95">
        <f t="shared" si="158"/>
        <v>1.6501885334848621</v>
      </c>
      <c r="S668" s="95">
        <f t="shared" si="158"/>
        <v>1.6501885334848621</v>
      </c>
      <c r="T668" s="95">
        <f t="shared" si="158"/>
        <v>1.6501885334848621</v>
      </c>
      <c r="U668" s="95">
        <f t="shared" si="158"/>
        <v>1.6501885334848621</v>
      </c>
      <c r="V668" s="95"/>
      <c r="W668" s="66" t="s">
        <v>1971</v>
      </c>
      <c r="X668">
        <v>3</v>
      </c>
      <c r="Y668">
        <v>1</v>
      </c>
      <c r="Z668">
        <v>1</v>
      </c>
      <c r="AA668">
        <v>3</v>
      </c>
      <c r="AB668">
        <v>1</v>
      </c>
    </row>
    <row r="669" spans="1:28" x14ac:dyDescent="0.35">
      <c r="A669" t="s">
        <v>1304</v>
      </c>
      <c r="B669" t="s">
        <v>2261</v>
      </c>
      <c r="C669" t="s">
        <v>1779</v>
      </c>
      <c r="D669">
        <v>2022</v>
      </c>
      <c r="E669">
        <v>2018</v>
      </c>
      <c r="F669" t="s">
        <v>1951</v>
      </c>
      <c r="G669">
        <v>2020</v>
      </c>
      <c r="H669" t="s">
        <v>1953</v>
      </c>
      <c r="I669" t="s">
        <v>1683</v>
      </c>
      <c r="J669" s="66">
        <v>2050</v>
      </c>
      <c r="P669" s="95">
        <f t="shared" si="158"/>
        <v>1.6501885334848621</v>
      </c>
      <c r="Q669" s="95">
        <f t="shared" si="158"/>
        <v>1.6501885334848621</v>
      </c>
      <c r="R669" s="95">
        <f t="shared" si="158"/>
        <v>1.6501885334848621</v>
      </c>
      <c r="S669" s="95">
        <f t="shared" si="158"/>
        <v>1.6501885334848621</v>
      </c>
      <c r="T669" s="95">
        <f t="shared" si="158"/>
        <v>1.6501885334848621</v>
      </c>
      <c r="U669" s="95">
        <f t="shared" si="158"/>
        <v>1.6501885334848621</v>
      </c>
      <c r="V669" s="95">
        <f t="shared" si="158"/>
        <v>1.6501885334848621</v>
      </c>
      <c r="W669" s="66" t="s">
        <v>1971</v>
      </c>
      <c r="X669">
        <v>3</v>
      </c>
      <c r="Y669">
        <v>1</v>
      </c>
      <c r="Z669">
        <v>1</v>
      </c>
      <c r="AA669">
        <v>3</v>
      </c>
      <c r="AB669">
        <v>1</v>
      </c>
    </row>
    <row r="670" spans="1:28" x14ac:dyDescent="0.35">
      <c r="A670" t="s">
        <v>1305</v>
      </c>
      <c r="B670" t="s">
        <v>2261</v>
      </c>
      <c r="C670" t="s">
        <v>1779</v>
      </c>
      <c r="D670">
        <v>2022</v>
      </c>
      <c r="E670">
        <v>2018</v>
      </c>
      <c r="F670" t="s">
        <v>1951</v>
      </c>
      <c r="G670">
        <v>2020</v>
      </c>
      <c r="H670" t="s">
        <v>1953</v>
      </c>
      <c r="I670" t="s">
        <v>1683</v>
      </c>
      <c r="J670" s="66">
        <v>2030</v>
      </c>
      <c r="P670" s="95"/>
      <c r="Q670" s="95"/>
      <c r="R670" s="95">
        <f>$AM$121</f>
        <v>3.1837637439367943</v>
      </c>
      <c r="S670" s="95"/>
      <c r="T670" s="95"/>
      <c r="U670" s="95"/>
      <c r="V670" s="95"/>
      <c r="W670" s="66" t="s">
        <v>1984</v>
      </c>
      <c r="X670">
        <v>3</v>
      </c>
      <c r="Y670">
        <v>1</v>
      </c>
      <c r="Z670">
        <v>1</v>
      </c>
      <c r="AA670">
        <v>3</v>
      </c>
      <c r="AB670">
        <v>1</v>
      </c>
    </row>
    <row r="671" spans="1:28" x14ac:dyDescent="0.35">
      <c r="A671" t="s">
        <v>1305</v>
      </c>
      <c r="B671" t="s">
        <v>2261</v>
      </c>
      <c r="C671" t="s">
        <v>1779</v>
      </c>
      <c r="D671">
        <v>2022</v>
      </c>
      <c r="E671">
        <v>2018</v>
      </c>
      <c r="F671" t="s">
        <v>1951</v>
      </c>
      <c r="G671">
        <v>2020</v>
      </c>
      <c r="H671" t="s">
        <v>1953</v>
      </c>
      <c r="I671" t="s">
        <v>1683</v>
      </c>
      <c r="J671" s="66">
        <v>2035</v>
      </c>
      <c r="P671" s="95"/>
      <c r="Q671" s="95"/>
      <c r="R671" s="95">
        <f t="shared" ref="R671:V674" si="159">$AM$121</f>
        <v>3.1837637439367943</v>
      </c>
      <c r="S671" s="95">
        <f t="shared" si="159"/>
        <v>3.1837637439367943</v>
      </c>
      <c r="T671" s="95"/>
      <c r="U671" s="95"/>
      <c r="V671" s="95"/>
      <c r="W671" s="66" t="s">
        <v>1984</v>
      </c>
      <c r="X671">
        <v>3</v>
      </c>
      <c r="Y671">
        <v>1</v>
      </c>
      <c r="Z671">
        <v>1</v>
      </c>
      <c r="AA671">
        <v>3</v>
      </c>
      <c r="AB671">
        <v>1</v>
      </c>
    </row>
    <row r="672" spans="1:28" x14ac:dyDescent="0.35">
      <c r="A672" t="s">
        <v>1305</v>
      </c>
      <c r="B672" t="s">
        <v>2261</v>
      </c>
      <c r="C672" t="s">
        <v>1779</v>
      </c>
      <c r="D672">
        <v>2022</v>
      </c>
      <c r="E672">
        <v>2018</v>
      </c>
      <c r="F672" t="s">
        <v>1951</v>
      </c>
      <c r="G672">
        <v>2020</v>
      </c>
      <c r="H672" t="s">
        <v>1953</v>
      </c>
      <c r="I672" t="s">
        <v>1683</v>
      </c>
      <c r="J672" s="66">
        <v>2040</v>
      </c>
      <c r="P672" s="95"/>
      <c r="Q672" s="95"/>
      <c r="R672" s="95">
        <f t="shared" si="159"/>
        <v>3.1837637439367943</v>
      </c>
      <c r="S672" s="95">
        <f t="shared" si="159"/>
        <v>3.1837637439367943</v>
      </c>
      <c r="T672" s="95">
        <f t="shared" si="159"/>
        <v>3.1837637439367943</v>
      </c>
      <c r="U672" s="95"/>
      <c r="V672" s="95"/>
      <c r="W672" s="66" t="s">
        <v>1984</v>
      </c>
      <c r="X672">
        <v>3</v>
      </c>
      <c r="Y672">
        <v>1</v>
      </c>
      <c r="Z672">
        <v>1</v>
      </c>
      <c r="AA672">
        <v>3</v>
      </c>
      <c r="AB672">
        <v>1</v>
      </c>
    </row>
    <row r="673" spans="1:28" x14ac:dyDescent="0.35">
      <c r="A673" t="s">
        <v>1305</v>
      </c>
      <c r="B673" t="s">
        <v>2261</v>
      </c>
      <c r="C673" t="s">
        <v>1779</v>
      </c>
      <c r="D673">
        <v>2022</v>
      </c>
      <c r="E673">
        <v>2018</v>
      </c>
      <c r="F673" t="s">
        <v>1951</v>
      </c>
      <c r="G673">
        <v>2020</v>
      </c>
      <c r="H673" t="s">
        <v>1953</v>
      </c>
      <c r="I673" t="s">
        <v>1683</v>
      </c>
      <c r="J673" s="66">
        <v>2045</v>
      </c>
      <c r="P673" s="95"/>
      <c r="Q673" s="95"/>
      <c r="R673" s="95">
        <f t="shared" si="159"/>
        <v>3.1837637439367943</v>
      </c>
      <c r="S673" s="95">
        <f t="shared" si="159"/>
        <v>3.1837637439367943</v>
      </c>
      <c r="T673" s="95">
        <f t="shared" si="159"/>
        <v>3.1837637439367943</v>
      </c>
      <c r="U673" s="95">
        <f t="shared" si="159"/>
        <v>3.1837637439367943</v>
      </c>
      <c r="V673" s="95"/>
      <c r="W673" s="66" t="s">
        <v>1984</v>
      </c>
      <c r="X673">
        <v>3</v>
      </c>
      <c r="Y673">
        <v>1</v>
      </c>
      <c r="Z673">
        <v>1</v>
      </c>
      <c r="AA673">
        <v>3</v>
      </c>
      <c r="AB673">
        <v>1</v>
      </c>
    </row>
    <row r="674" spans="1:28" x14ac:dyDescent="0.35">
      <c r="A674" t="s">
        <v>1305</v>
      </c>
      <c r="B674" t="s">
        <v>2261</v>
      </c>
      <c r="C674" t="s">
        <v>1779</v>
      </c>
      <c r="D674">
        <v>2022</v>
      </c>
      <c r="E674">
        <v>2018</v>
      </c>
      <c r="F674" t="s">
        <v>1951</v>
      </c>
      <c r="G674">
        <v>2020</v>
      </c>
      <c r="H674" t="s">
        <v>1953</v>
      </c>
      <c r="I674" t="s">
        <v>1683</v>
      </c>
      <c r="J674" s="66">
        <v>2050</v>
      </c>
      <c r="P674" s="95"/>
      <c r="Q674" s="95"/>
      <c r="R674" s="95">
        <f t="shared" si="159"/>
        <v>3.1837637439367943</v>
      </c>
      <c r="S674" s="95">
        <f t="shared" si="159"/>
        <v>3.1837637439367943</v>
      </c>
      <c r="T674" s="95">
        <f t="shared" si="159"/>
        <v>3.1837637439367943</v>
      </c>
      <c r="U674" s="95">
        <f t="shared" si="159"/>
        <v>3.1837637439367943</v>
      </c>
      <c r="V674" s="95">
        <f t="shared" si="159"/>
        <v>3.1837637439367943</v>
      </c>
      <c r="W674" s="66" t="s">
        <v>1984</v>
      </c>
      <c r="X674">
        <v>3</v>
      </c>
      <c r="Y674">
        <v>1</v>
      </c>
      <c r="Z674">
        <v>1</v>
      </c>
      <c r="AA674">
        <v>3</v>
      </c>
      <c r="AB674">
        <v>1</v>
      </c>
    </row>
    <row r="675" spans="1:28" x14ac:dyDescent="0.35">
      <c r="A675" t="s">
        <v>1310</v>
      </c>
      <c r="B675" t="s">
        <v>2261</v>
      </c>
      <c r="C675" t="s">
        <v>1779</v>
      </c>
      <c r="D675">
        <v>2022</v>
      </c>
      <c r="E675">
        <v>2018</v>
      </c>
      <c r="F675" t="s">
        <v>1951</v>
      </c>
      <c r="G675">
        <v>2020</v>
      </c>
      <c r="H675" t="s">
        <v>1953</v>
      </c>
      <c r="I675" t="s">
        <v>1683</v>
      </c>
      <c r="J675" s="66">
        <v>2025</v>
      </c>
      <c r="P675" s="95"/>
      <c r="Q675" s="95">
        <f>$AL$122</f>
        <v>2.7282976019358167</v>
      </c>
      <c r="R675" s="95"/>
      <c r="S675" s="95"/>
      <c r="T675" s="95"/>
      <c r="U675" s="95"/>
      <c r="V675" s="95"/>
      <c r="W675" s="66" t="s">
        <v>1985</v>
      </c>
      <c r="X675">
        <v>3</v>
      </c>
      <c r="Y675">
        <v>1</v>
      </c>
      <c r="Z675">
        <v>1</v>
      </c>
      <c r="AA675">
        <v>3</v>
      </c>
      <c r="AB675">
        <v>1</v>
      </c>
    </row>
    <row r="676" spans="1:28" x14ac:dyDescent="0.35">
      <c r="A676" t="s">
        <v>1310</v>
      </c>
      <c r="B676" t="s">
        <v>2261</v>
      </c>
      <c r="C676" t="s">
        <v>1779</v>
      </c>
      <c r="D676">
        <v>2022</v>
      </c>
      <c r="E676">
        <v>2018</v>
      </c>
      <c r="F676" t="s">
        <v>1951</v>
      </c>
      <c r="G676">
        <v>2020</v>
      </c>
      <c r="H676" t="s">
        <v>1953</v>
      </c>
      <c r="I676" t="s">
        <v>1683</v>
      </c>
      <c r="J676" s="66">
        <v>2030</v>
      </c>
      <c r="P676" s="95"/>
      <c r="Q676" s="95">
        <f t="shared" ref="Q676:V680" si="160">$AL$122</f>
        <v>2.7282976019358167</v>
      </c>
      <c r="R676" s="95">
        <f t="shared" si="160"/>
        <v>2.7282976019358167</v>
      </c>
      <c r="S676" s="95"/>
      <c r="T676" s="95"/>
      <c r="U676" s="95"/>
      <c r="V676" s="95"/>
      <c r="W676" s="66" t="s">
        <v>1985</v>
      </c>
      <c r="X676">
        <v>3</v>
      </c>
      <c r="Y676">
        <v>1</v>
      </c>
      <c r="Z676">
        <v>1</v>
      </c>
      <c r="AA676">
        <v>3</v>
      </c>
      <c r="AB676">
        <v>1</v>
      </c>
    </row>
    <row r="677" spans="1:28" x14ac:dyDescent="0.35">
      <c r="A677" t="s">
        <v>1310</v>
      </c>
      <c r="B677" t="s">
        <v>2261</v>
      </c>
      <c r="C677" t="s">
        <v>1779</v>
      </c>
      <c r="D677">
        <v>2022</v>
      </c>
      <c r="E677">
        <v>2018</v>
      </c>
      <c r="F677" t="s">
        <v>1951</v>
      </c>
      <c r="G677">
        <v>2020</v>
      </c>
      <c r="H677" t="s">
        <v>1953</v>
      </c>
      <c r="I677" t="s">
        <v>1683</v>
      </c>
      <c r="J677" s="66">
        <v>2035</v>
      </c>
      <c r="P677" s="95"/>
      <c r="Q677" s="95">
        <f t="shared" si="160"/>
        <v>2.7282976019358167</v>
      </c>
      <c r="R677" s="95">
        <f t="shared" si="160"/>
        <v>2.7282976019358167</v>
      </c>
      <c r="S677" s="95">
        <f t="shared" si="160"/>
        <v>2.7282976019358167</v>
      </c>
      <c r="T677" s="95"/>
      <c r="U677" s="95"/>
      <c r="V677" s="95"/>
      <c r="W677" s="66" t="s">
        <v>1985</v>
      </c>
      <c r="X677">
        <v>3</v>
      </c>
      <c r="Y677">
        <v>1</v>
      </c>
      <c r="Z677">
        <v>1</v>
      </c>
      <c r="AA677">
        <v>3</v>
      </c>
      <c r="AB677">
        <v>1</v>
      </c>
    </row>
    <row r="678" spans="1:28" x14ac:dyDescent="0.35">
      <c r="A678" t="s">
        <v>1310</v>
      </c>
      <c r="B678" t="s">
        <v>2261</v>
      </c>
      <c r="C678" t="s">
        <v>1779</v>
      </c>
      <c r="D678">
        <v>2022</v>
      </c>
      <c r="E678">
        <v>2018</v>
      </c>
      <c r="F678" t="s">
        <v>1951</v>
      </c>
      <c r="G678">
        <v>2020</v>
      </c>
      <c r="H678" t="s">
        <v>1953</v>
      </c>
      <c r="I678" t="s">
        <v>1683</v>
      </c>
      <c r="J678" s="66">
        <v>2040</v>
      </c>
      <c r="P678" s="95"/>
      <c r="Q678" s="95">
        <f t="shared" si="160"/>
        <v>2.7282976019358167</v>
      </c>
      <c r="R678" s="95">
        <f t="shared" si="160"/>
        <v>2.7282976019358167</v>
      </c>
      <c r="S678" s="95">
        <f t="shared" si="160"/>
        <v>2.7282976019358167</v>
      </c>
      <c r="T678" s="95">
        <f t="shared" si="160"/>
        <v>2.7282976019358167</v>
      </c>
      <c r="U678" s="95"/>
      <c r="V678" s="95"/>
      <c r="W678" s="66" t="s">
        <v>1985</v>
      </c>
      <c r="X678">
        <v>3</v>
      </c>
      <c r="Y678">
        <v>1</v>
      </c>
      <c r="Z678">
        <v>1</v>
      </c>
      <c r="AA678">
        <v>3</v>
      </c>
      <c r="AB678">
        <v>1</v>
      </c>
    </row>
    <row r="679" spans="1:28" x14ac:dyDescent="0.35">
      <c r="A679" t="s">
        <v>1310</v>
      </c>
      <c r="B679" t="s">
        <v>2261</v>
      </c>
      <c r="C679" t="s">
        <v>1779</v>
      </c>
      <c r="D679">
        <v>2022</v>
      </c>
      <c r="E679">
        <v>2018</v>
      </c>
      <c r="F679" t="s">
        <v>1951</v>
      </c>
      <c r="G679">
        <v>2020</v>
      </c>
      <c r="H679" t="s">
        <v>1953</v>
      </c>
      <c r="I679" t="s">
        <v>1683</v>
      </c>
      <c r="J679" s="66">
        <v>2045</v>
      </c>
      <c r="P679" s="95"/>
      <c r="Q679" s="95">
        <f t="shared" si="160"/>
        <v>2.7282976019358167</v>
      </c>
      <c r="R679" s="95">
        <f t="shared" si="160"/>
        <v>2.7282976019358167</v>
      </c>
      <c r="S679" s="95">
        <f t="shared" si="160"/>
        <v>2.7282976019358167</v>
      </c>
      <c r="T679" s="95">
        <f t="shared" si="160"/>
        <v>2.7282976019358167</v>
      </c>
      <c r="U679" s="95">
        <f t="shared" si="160"/>
        <v>2.7282976019358167</v>
      </c>
      <c r="V679" s="95"/>
      <c r="W679" s="66" t="s">
        <v>1985</v>
      </c>
      <c r="X679">
        <v>3</v>
      </c>
      <c r="Y679">
        <v>1</v>
      </c>
      <c r="Z679">
        <v>1</v>
      </c>
      <c r="AA679">
        <v>3</v>
      </c>
      <c r="AB679">
        <v>1</v>
      </c>
    </row>
    <row r="680" spans="1:28" x14ac:dyDescent="0.35">
      <c r="A680" t="s">
        <v>1310</v>
      </c>
      <c r="B680" t="s">
        <v>2261</v>
      </c>
      <c r="C680" t="s">
        <v>1779</v>
      </c>
      <c r="D680">
        <v>2022</v>
      </c>
      <c r="E680">
        <v>2018</v>
      </c>
      <c r="F680" t="s">
        <v>1951</v>
      </c>
      <c r="G680">
        <v>2020</v>
      </c>
      <c r="H680" t="s">
        <v>1953</v>
      </c>
      <c r="I680" t="s">
        <v>1683</v>
      </c>
      <c r="J680" s="66">
        <v>2050</v>
      </c>
      <c r="P680" s="95"/>
      <c r="Q680" s="95">
        <f t="shared" si="160"/>
        <v>2.7282976019358167</v>
      </c>
      <c r="R680" s="95">
        <f t="shared" si="160"/>
        <v>2.7282976019358167</v>
      </c>
      <c r="S680" s="95">
        <f t="shared" si="160"/>
        <v>2.7282976019358167</v>
      </c>
      <c r="T680" s="95">
        <f t="shared" si="160"/>
        <v>2.7282976019358167</v>
      </c>
      <c r="U680" s="95">
        <f t="shared" si="160"/>
        <v>2.7282976019358167</v>
      </c>
      <c r="V680" s="95">
        <f t="shared" si="160"/>
        <v>2.7282976019358167</v>
      </c>
      <c r="W680" s="66" t="s">
        <v>1985</v>
      </c>
      <c r="X680">
        <v>3</v>
      </c>
      <c r="Y680">
        <v>1</v>
      </c>
      <c r="Z680">
        <v>1</v>
      </c>
      <c r="AA680">
        <v>3</v>
      </c>
      <c r="AB680">
        <v>1</v>
      </c>
    </row>
    <row r="681" spans="1:28" x14ac:dyDescent="0.35">
      <c r="P681" s="95"/>
      <c r="Q681" s="95"/>
      <c r="R681" s="95"/>
      <c r="S681" s="95"/>
      <c r="T681" s="95"/>
      <c r="U681" s="95"/>
      <c r="V681" s="95"/>
    </row>
    <row r="682" spans="1:28" x14ac:dyDescent="0.35">
      <c r="P682" s="95"/>
      <c r="Q682" s="95"/>
      <c r="R682" s="95"/>
      <c r="S682" s="95"/>
      <c r="T682" s="95"/>
      <c r="U682" s="95"/>
      <c r="V682" s="95"/>
    </row>
    <row r="683" spans="1:28" x14ac:dyDescent="0.35">
      <c r="P683" s="95"/>
      <c r="Q683" s="95"/>
      <c r="R683" s="95"/>
      <c r="S683" s="95"/>
      <c r="T683" s="95"/>
      <c r="U683" s="95"/>
      <c r="V683" s="95"/>
    </row>
    <row r="684" spans="1:28" x14ac:dyDescent="0.35">
      <c r="P684" s="95"/>
      <c r="Q684" s="95"/>
      <c r="R684" s="95"/>
      <c r="S684" s="95"/>
      <c r="T684" s="95"/>
      <c r="U684" s="95"/>
      <c r="V684" s="95"/>
    </row>
    <row r="685" spans="1:28" x14ac:dyDescent="0.35">
      <c r="P685" s="95"/>
      <c r="Q685" s="95"/>
      <c r="R685" s="95"/>
      <c r="S685" s="95"/>
      <c r="T685" s="95"/>
      <c r="U685" s="95"/>
      <c r="V685" s="95"/>
    </row>
    <row r="686" spans="1:28" x14ac:dyDescent="0.35">
      <c r="P686" s="95"/>
      <c r="Q686" s="95"/>
      <c r="R686" s="95"/>
      <c r="S686" s="95"/>
      <c r="T686" s="95"/>
      <c r="U686" s="95"/>
      <c r="V686" s="95"/>
    </row>
    <row r="687" spans="1:28" x14ac:dyDescent="0.35">
      <c r="P687" s="95"/>
      <c r="Q687" s="95"/>
      <c r="R687" s="95"/>
      <c r="S687" s="95"/>
      <c r="T687" s="95"/>
      <c r="U687" s="95"/>
      <c r="V687" s="95"/>
    </row>
    <row r="688" spans="1:28" x14ac:dyDescent="0.35">
      <c r="P688" s="95"/>
      <c r="Q688" s="95"/>
      <c r="R688" s="95"/>
      <c r="S688" s="95"/>
      <c r="T688" s="95"/>
      <c r="U688" s="95"/>
      <c r="V688" s="95"/>
    </row>
    <row r="689" spans="16:22" x14ac:dyDescent="0.35">
      <c r="P689" s="95"/>
      <c r="Q689" s="95"/>
      <c r="R689" s="95"/>
      <c r="S689" s="95"/>
      <c r="T689" s="95"/>
      <c r="U689" s="95"/>
      <c r="V689" s="95"/>
    </row>
    <row r="690" spans="16:22" x14ac:dyDescent="0.35">
      <c r="P690" s="95"/>
      <c r="Q690" s="95"/>
      <c r="R690" s="95"/>
      <c r="S690" s="95"/>
      <c r="T690" s="95"/>
      <c r="U690" s="95"/>
      <c r="V690" s="95"/>
    </row>
    <row r="691" spans="16:22" x14ac:dyDescent="0.35">
      <c r="P691" s="95"/>
      <c r="Q691" s="95"/>
      <c r="R691" s="95"/>
      <c r="S691" s="95"/>
      <c r="T691" s="95"/>
      <c r="U691" s="95"/>
      <c r="V691" s="95"/>
    </row>
    <row r="692" spans="16:22" x14ac:dyDescent="0.35">
      <c r="P692" s="95"/>
      <c r="Q692" s="95"/>
      <c r="R692" s="95"/>
      <c r="S692" s="95"/>
      <c r="T692" s="95"/>
      <c r="U692" s="95"/>
      <c r="V692" s="95"/>
    </row>
    <row r="693" spans="16:22" x14ac:dyDescent="0.35">
      <c r="P693" s="95"/>
      <c r="Q693" s="95"/>
      <c r="R693" s="95"/>
      <c r="S693" s="95"/>
      <c r="T693" s="95"/>
      <c r="U693" s="95"/>
      <c r="V693" s="95"/>
    </row>
    <row r="694" spans="16:22" x14ac:dyDescent="0.35">
      <c r="P694" s="95"/>
      <c r="Q694" s="95"/>
      <c r="R694" s="95"/>
      <c r="S694" s="95"/>
      <c r="T694" s="95"/>
      <c r="U694" s="95"/>
      <c r="V694" s="95"/>
    </row>
    <row r="695" spans="16:22" x14ac:dyDescent="0.35">
      <c r="P695" s="95"/>
      <c r="Q695" s="95"/>
      <c r="R695" s="95"/>
      <c r="S695" s="95"/>
      <c r="T695" s="95"/>
      <c r="U695" s="95"/>
      <c r="V695" s="95"/>
    </row>
    <row r="696" spans="16:22" x14ac:dyDescent="0.35">
      <c r="P696" s="95"/>
      <c r="Q696" s="95"/>
      <c r="R696" s="95"/>
      <c r="S696" s="95"/>
      <c r="T696" s="95"/>
      <c r="U696" s="95"/>
      <c r="V696" s="95"/>
    </row>
    <row r="697" spans="16:22" x14ac:dyDescent="0.35">
      <c r="P697" s="95"/>
      <c r="Q697" s="95"/>
      <c r="R697" s="95"/>
      <c r="S697" s="95"/>
      <c r="T697" s="95"/>
      <c r="U697" s="95"/>
      <c r="V697" s="95"/>
    </row>
    <row r="698" spans="16:22" x14ac:dyDescent="0.35">
      <c r="P698" s="95"/>
      <c r="Q698" s="95"/>
      <c r="R698" s="95"/>
      <c r="S698" s="95"/>
      <c r="T698" s="95"/>
      <c r="U698" s="95"/>
      <c r="V698" s="95"/>
    </row>
    <row r="699" spans="16:22" x14ac:dyDescent="0.35">
      <c r="P699" s="95"/>
      <c r="Q699" s="95"/>
      <c r="R699" s="95"/>
      <c r="S699" s="95"/>
      <c r="T699" s="95"/>
      <c r="U699" s="95"/>
      <c r="V699" s="95"/>
    </row>
    <row r="700" spans="16:22" x14ac:dyDescent="0.35">
      <c r="P700" s="95"/>
      <c r="Q700" s="95"/>
      <c r="R700" s="95"/>
      <c r="S700" s="95"/>
      <c r="T700" s="95"/>
      <c r="U700" s="95"/>
      <c r="V700" s="95"/>
    </row>
  </sheetData>
  <mergeCells count="6">
    <mergeCell ref="K1:O1"/>
    <mergeCell ref="AN108:AP111"/>
    <mergeCell ref="X1:AB1"/>
    <mergeCell ref="AF1:AN1"/>
    <mergeCell ref="AF40:AO40"/>
    <mergeCell ref="P1:V1"/>
  </mergeCells>
  <hyperlinks>
    <hyperlink ref="AJ128" r:id="rId1" display="GCAM v7.0 Canada reference scenario - " xr:uid="{632A45C7-6D71-4E7C-9687-135949562A3D}"/>
  </hyperlinks>
  <pageMargins left="0.7" right="0.7" top="0.75" bottom="0.75" header="0.3" footer="0.3"/>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6B4F2ACA-058C-4682-900D-C8F0D76A1FE0}">
          <x14:formula1>
            <xm:f>References!$A:$A</xm:f>
          </x14:formula1>
          <xm:sqref>C3:C700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tabColor theme="9" tint="0.59999389629810485"/>
  </sheetPr>
  <dimension ref="A1:AM719"/>
  <sheetViews>
    <sheetView zoomScaleNormal="100" workbookViewId="0">
      <selection activeCell="W35" sqref="W35"/>
    </sheetView>
  </sheetViews>
  <sheetFormatPr defaultRowHeight="14.5" x14ac:dyDescent="0.35"/>
  <cols>
    <col min="1" max="1" width="24" bestFit="1" customWidth="1"/>
    <col min="2" max="2" width="6.81640625" bestFit="1" customWidth="1"/>
    <col min="3" max="3" width="23.26953125" customWidth="1"/>
    <col min="4" max="8" width="9.1796875" customWidth="1"/>
    <col min="9" max="9" width="9.1796875" bestFit="1" customWidth="1"/>
    <col min="10" max="10" width="6.54296875" style="66" bestFit="1" customWidth="1"/>
    <col min="11" max="14" width="8.7265625" customWidth="1"/>
    <col min="15" max="15" width="8.7265625" style="63" customWidth="1"/>
    <col min="22" max="22" width="8.7265625" style="63"/>
    <col min="23" max="23" width="81.54296875" style="66" bestFit="1" customWidth="1"/>
    <col min="24" max="24" width="9.54296875" bestFit="1" customWidth="1"/>
    <col min="25" max="25" width="18" bestFit="1" customWidth="1"/>
    <col min="26" max="26" width="9" bestFit="1" customWidth="1"/>
    <col min="27" max="27" width="12.1796875" bestFit="1" customWidth="1"/>
    <col min="28" max="28" width="12.54296875" bestFit="1" customWidth="1"/>
    <col min="30" max="30" width="1.81640625" style="62" customWidth="1"/>
    <col min="32" max="32" width="30" customWidth="1"/>
  </cols>
  <sheetData>
    <row r="1" spans="1:39" ht="15.5" x14ac:dyDescent="0.35">
      <c r="A1" s="1"/>
      <c r="B1" s="1"/>
      <c r="C1" s="1"/>
      <c r="D1" s="1"/>
      <c r="E1" s="1"/>
      <c r="F1" s="1"/>
      <c r="K1" s="472" t="s">
        <v>1674</v>
      </c>
      <c r="L1" s="472"/>
      <c r="M1" s="472"/>
      <c r="N1" s="472"/>
      <c r="O1" s="473"/>
      <c r="P1" s="471" t="s">
        <v>1168</v>
      </c>
      <c r="Q1" s="472"/>
      <c r="R1" s="472"/>
      <c r="S1" s="472"/>
      <c r="T1" s="472"/>
      <c r="U1" s="472"/>
      <c r="V1" s="473"/>
      <c r="X1" s="475" t="s">
        <v>146</v>
      </c>
      <c r="Y1" s="474"/>
      <c r="Z1" s="474"/>
      <c r="AA1" s="474"/>
      <c r="AB1" s="474"/>
      <c r="AF1" s="189" t="s">
        <v>2066</v>
      </c>
      <c r="AG1" s="189"/>
      <c r="AH1" s="189"/>
      <c r="AI1" s="189"/>
      <c r="AJ1" s="189"/>
      <c r="AK1" s="189"/>
      <c r="AL1" s="189"/>
      <c r="AM1" s="189"/>
    </row>
    <row r="2" spans="1:39" ht="15" thickBot="1" x14ac:dyDescent="0.4">
      <c r="A2" s="12" t="s">
        <v>94</v>
      </c>
      <c r="B2" s="12" t="s">
        <v>95</v>
      </c>
      <c r="C2" s="12" t="s">
        <v>179</v>
      </c>
      <c r="D2" s="12" t="s">
        <v>140</v>
      </c>
      <c r="E2" s="12" t="s">
        <v>1952</v>
      </c>
      <c r="F2" s="12" t="s">
        <v>1673</v>
      </c>
      <c r="G2" s="12" t="s">
        <v>1954</v>
      </c>
      <c r="H2" s="12" t="s">
        <v>1259</v>
      </c>
      <c r="I2" s="12" t="s">
        <v>96</v>
      </c>
      <c r="J2" s="65" t="s">
        <v>1632</v>
      </c>
      <c r="K2" s="12">
        <v>2000</v>
      </c>
      <c r="L2" s="12">
        <v>2005</v>
      </c>
      <c r="M2" s="12">
        <v>2010</v>
      </c>
      <c r="N2" s="12">
        <v>2015</v>
      </c>
      <c r="O2" s="13">
        <v>2020</v>
      </c>
      <c r="P2" s="12">
        <v>2021</v>
      </c>
      <c r="Q2" s="12">
        <v>2025</v>
      </c>
      <c r="R2" s="12">
        <v>2030</v>
      </c>
      <c r="S2" s="12">
        <v>2035</v>
      </c>
      <c r="T2" s="12">
        <v>2040</v>
      </c>
      <c r="U2" s="12">
        <v>2045</v>
      </c>
      <c r="V2" s="13">
        <v>2050</v>
      </c>
      <c r="W2" s="65" t="s">
        <v>93</v>
      </c>
      <c r="X2" s="15" t="s">
        <v>147</v>
      </c>
      <c r="Y2" s="15" t="s">
        <v>151</v>
      </c>
      <c r="Z2" s="12" t="s">
        <v>148</v>
      </c>
      <c r="AA2" s="12" t="s">
        <v>149</v>
      </c>
      <c r="AB2" s="12" t="s">
        <v>150</v>
      </c>
      <c r="AF2" s="105" t="s">
        <v>2056</v>
      </c>
      <c r="AG2" s="105">
        <v>2020</v>
      </c>
      <c r="AH2" s="105">
        <v>2025</v>
      </c>
      <c r="AI2" s="105">
        <v>2030</v>
      </c>
      <c r="AJ2" s="105">
        <v>2035</v>
      </c>
      <c r="AK2" s="105">
        <v>2040</v>
      </c>
      <c r="AL2" s="105">
        <v>2045</v>
      </c>
      <c r="AM2" s="105">
        <v>2050</v>
      </c>
    </row>
    <row r="3" spans="1:39" ht="15" thickTop="1" x14ac:dyDescent="0.35">
      <c r="A3" t="s">
        <v>1997</v>
      </c>
      <c r="B3" t="s">
        <v>2261</v>
      </c>
      <c r="C3" t="s">
        <v>1779</v>
      </c>
      <c r="D3">
        <v>2022</v>
      </c>
      <c r="E3">
        <v>2018</v>
      </c>
      <c r="F3" t="s">
        <v>1951</v>
      </c>
      <c r="G3">
        <v>2020</v>
      </c>
      <c r="H3" t="s">
        <v>1953</v>
      </c>
      <c r="I3" t="s">
        <v>2055</v>
      </c>
      <c r="J3" s="66">
        <v>2021</v>
      </c>
      <c r="M3" s="95">
        <f>$AG$3</f>
        <v>0.27026871165644178</v>
      </c>
      <c r="N3" s="95">
        <f>$AG$3</f>
        <v>0.27026871165644178</v>
      </c>
      <c r="O3" s="424">
        <f>$AG$3</f>
        <v>0.27026871165644178</v>
      </c>
      <c r="P3" s="95">
        <f>$AG$3</f>
        <v>0.27026871165644178</v>
      </c>
      <c r="Q3" s="95"/>
      <c r="R3" s="95"/>
      <c r="S3" s="95"/>
      <c r="W3" s="66" t="s">
        <v>2067</v>
      </c>
      <c r="X3">
        <v>3</v>
      </c>
      <c r="Y3">
        <v>1</v>
      </c>
      <c r="Z3">
        <v>1</v>
      </c>
      <c r="AA3">
        <v>3</v>
      </c>
      <c r="AB3">
        <v>1</v>
      </c>
      <c r="AF3" t="s">
        <v>2060</v>
      </c>
      <c r="AG3" s="376">
        <f>'OEO &amp; EPAUS9rT-HDV Data'!R79*USD2018_to_CAD2020</f>
        <v>0.27026871165644178</v>
      </c>
      <c r="AH3" s="376">
        <f>'OEO &amp; EPAUS9rT-HDV Data'!S79*USD2018_to_CAD2020</f>
        <v>0.22972840490797553</v>
      </c>
      <c r="AI3" s="376">
        <f>'OEO &amp; EPAUS9rT-HDV Data'!T79*USD2018_to_CAD2020</f>
        <v>0.18918809815950927</v>
      </c>
      <c r="AJ3" s="376">
        <f>'OEO &amp; EPAUS9rT-HDV Data'!U79*USD2018_to_CAD2020</f>
        <v>0.18918809815950927</v>
      </c>
      <c r="AK3" s="376">
        <f>'OEO &amp; EPAUS9rT-HDV Data'!V79*USD2018_to_CAD2020</f>
        <v>0.18918809815950927</v>
      </c>
      <c r="AL3" s="376">
        <f>'OEO &amp; EPAUS9rT-HDV Data'!W79*USD2018_to_CAD2020</f>
        <v>0.18918809815950927</v>
      </c>
      <c r="AM3" s="376">
        <f>'OEO &amp; EPAUS9rT-HDV Data'!X79*USD2018_to_CAD2020</f>
        <v>0.18918809815950927</v>
      </c>
    </row>
    <row r="4" spans="1:39" x14ac:dyDescent="0.35">
      <c r="A4" t="s">
        <v>1997</v>
      </c>
      <c r="B4" t="s">
        <v>2261</v>
      </c>
      <c r="C4" t="s">
        <v>1779</v>
      </c>
      <c r="D4">
        <v>2022</v>
      </c>
      <c r="E4">
        <v>2018</v>
      </c>
      <c r="F4" t="s">
        <v>1951</v>
      </c>
      <c r="G4">
        <v>2020</v>
      </c>
      <c r="H4" t="s">
        <v>1953</v>
      </c>
      <c r="I4" t="s">
        <v>2055</v>
      </c>
      <c r="J4" s="66">
        <v>2025</v>
      </c>
      <c r="N4" s="95">
        <f>$AG$3</f>
        <v>0.27026871165644178</v>
      </c>
      <c r="O4" s="406">
        <f t="shared" ref="O4:P6" si="0">$AG$3</f>
        <v>0.27026871165644178</v>
      </c>
      <c r="P4" s="95">
        <f t="shared" si="0"/>
        <v>0.27026871165644178</v>
      </c>
      <c r="Q4" s="95">
        <f>$AH$3</f>
        <v>0.22972840490797553</v>
      </c>
      <c r="R4" s="95"/>
      <c r="S4" s="95"/>
      <c r="W4" s="66" t="s">
        <v>2067</v>
      </c>
      <c r="X4">
        <v>3</v>
      </c>
      <c r="Y4">
        <v>1</v>
      </c>
      <c r="Z4">
        <v>1</v>
      </c>
      <c r="AA4">
        <v>3</v>
      </c>
      <c r="AB4">
        <v>1</v>
      </c>
      <c r="AF4" t="s">
        <v>2059</v>
      </c>
      <c r="AG4" s="376">
        <f>'OEO &amp; EPAUS9rT-HDV Data'!R80*USD2018_to_CAD2020</f>
        <v>9.4594049079754633E-2</v>
      </c>
      <c r="AH4" s="376">
        <f>'OEO &amp; EPAUS9rT-HDV Data'!S80*USD2018_to_CAD2020</f>
        <v>9.4594049079754633E-2</v>
      </c>
      <c r="AI4" s="376">
        <f>'OEO &amp; EPAUS9rT-HDV Data'!T80*USD2018_to_CAD2020</f>
        <v>9.4594049079754633E-2</v>
      </c>
      <c r="AJ4" s="376">
        <f>'OEO &amp; EPAUS9rT-HDV Data'!U80*USD2018_to_CAD2020</f>
        <v>9.4594049079754633E-2</v>
      </c>
      <c r="AK4" s="376">
        <f>'OEO &amp; EPAUS9rT-HDV Data'!V80*USD2018_to_CAD2020</f>
        <v>9.4594049079754633E-2</v>
      </c>
      <c r="AL4" s="376">
        <f>'OEO &amp; EPAUS9rT-HDV Data'!W80*USD2018_to_CAD2020</f>
        <v>9.4594049079754633E-2</v>
      </c>
      <c r="AM4" s="376">
        <f>'OEO &amp; EPAUS9rT-HDV Data'!X80*USD2018_to_CAD2020</f>
        <v>9.4594049079754633E-2</v>
      </c>
    </row>
    <row r="5" spans="1:39" x14ac:dyDescent="0.35">
      <c r="A5" t="s">
        <v>1997</v>
      </c>
      <c r="B5" t="s">
        <v>2261</v>
      </c>
      <c r="C5" t="s">
        <v>1779</v>
      </c>
      <c r="D5">
        <v>2022</v>
      </c>
      <c r="E5">
        <v>2018</v>
      </c>
      <c r="F5" t="s">
        <v>1951</v>
      </c>
      <c r="G5">
        <v>2020</v>
      </c>
      <c r="H5" t="s">
        <v>1953</v>
      </c>
      <c r="I5" t="s">
        <v>2055</v>
      </c>
      <c r="J5" s="66">
        <v>2030</v>
      </c>
      <c r="O5" s="406">
        <f t="shared" si="0"/>
        <v>0.27026871165644178</v>
      </c>
      <c r="P5" s="95">
        <f t="shared" si="0"/>
        <v>0.27026871165644178</v>
      </c>
      <c r="Q5" s="95">
        <f t="shared" ref="Q5:Q6" si="1">$AH$3</f>
        <v>0.22972840490797553</v>
      </c>
      <c r="R5" s="95">
        <f>$AI$3</f>
        <v>0.18918809815950927</v>
      </c>
      <c r="S5" s="95"/>
      <c r="W5" s="66" t="s">
        <v>2067</v>
      </c>
      <c r="X5">
        <v>3</v>
      </c>
      <c r="Y5">
        <v>1</v>
      </c>
      <c r="Z5">
        <v>1</v>
      </c>
      <c r="AA5">
        <v>3</v>
      </c>
      <c r="AB5">
        <v>1</v>
      </c>
      <c r="AF5" s="74" t="s">
        <v>2061</v>
      </c>
    </row>
    <row r="6" spans="1:39" x14ac:dyDescent="0.35">
      <c r="A6" t="s">
        <v>1997</v>
      </c>
      <c r="B6" t="s">
        <v>2261</v>
      </c>
      <c r="C6" t="s">
        <v>1779</v>
      </c>
      <c r="D6">
        <v>2022</v>
      </c>
      <c r="E6">
        <v>2018</v>
      </c>
      <c r="F6" t="s">
        <v>1951</v>
      </c>
      <c r="G6">
        <v>2020</v>
      </c>
      <c r="H6" t="s">
        <v>1953</v>
      </c>
      <c r="I6" t="s">
        <v>2055</v>
      </c>
      <c r="J6" s="66">
        <v>2035</v>
      </c>
      <c r="M6" s="95"/>
      <c r="N6" s="95"/>
      <c r="O6" s="406"/>
      <c r="P6" s="95">
        <f t="shared" si="0"/>
        <v>0.27026871165644178</v>
      </c>
      <c r="Q6" s="95">
        <f t="shared" si="1"/>
        <v>0.22972840490797553</v>
      </c>
      <c r="R6" s="95">
        <f t="shared" ref="R6:R7" si="2">$AI$3</f>
        <v>0.18918809815950927</v>
      </c>
      <c r="S6" s="95">
        <f>$AJ$3</f>
        <v>0.18918809815950927</v>
      </c>
      <c r="W6" s="66" t="s">
        <v>2067</v>
      </c>
      <c r="X6">
        <v>3</v>
      </c>
      <c r="Y6">
        <v>1</v>
      </c>
      <c r="Z6">
        <v>1</v>
      </c>
      <c r="AA6">
        <v>3</v>
      </c>
      <c r="AB6">
        <v>1</v>
      </c>
    </row>
    <row r="7" spans="1:39" x14ac:dyDescent="0.35">
      <c r="A7" t="s">
        <v>1997</v>
      </c>
      <c r="B7" t="s">
        <v>2261</v>
      </c>
      <c r="C7" t="s">
        <v>1779</v>
      </c>
      <c r="D7">
        <v>2022</v>
      </c>
      <c r="E7">
        <v>2018</v>
      </c>
      <c r="F7" t="s">
        <v>1951</v>
      </c>
      <c r="G7">
        <v>2020</v>
      </c>
      <c r="H7" t="s">
        <v>1953</v>
      </c>
      <c r="I7" t="s">
        <v>2055</v>
      </c>
      <c r="J7" s="66">
        <v>2040</v>
      </c>
      <c r="N7" s="95"/>
      <c r="O7" s="406"/>
      <c r="Q7" s="95"/>
      <c r="R7" s="95">
        <f t="shared" si="2"/>
        <v>0.18918809815950927</v>
      </c>
      <c r="S7" s="95">
        <f t="shared" ref="S7:S8" si="3">$AJ$3</f>
        <v>0.18918809815950927</v>
      </c>
      <c r="T7" s="95">
        <f>$AK$3</f>
        <v>0.18918809815950927</v>
      </c>
      <c r="W7" s="66" t="s">
        <v>2067</v>
      </c>
      <c r="X7">
        <v>3</v>
      </c>
      <c r="Y7">
        <v>1</v>
      </c>
      <c r="Z7">
        <v>1</v>
      </c>
      <c r="AA7">
        <v>3</v>
      </c>
      <c r="AB7">
        <v>1</v>
      </c>
    </row>
    <row r="8" spans="1:39" x14ac:dyDescent="0.35">
      <c r="A8" t="s">
        <v>1997</v>
      </c>
      <c r="B8" t="s">
        <v>2261</v>
      </c>
      <c r="C8" t="s">
        <v>1779</v>
      </c>
      <c r="D8">
        <v>2022</v>
      </c>
      <c r="E8">
        <v>2018</v>
      </c>
      <c r="F8" t="s">
        <v>1951</v>
      </c>
      <c r="G8">
        <v>2020</v>
      </c>
      <c r="H8" t="s">
        <v>1953</v>
      </c>
      <c r="I8" t="s">
        <v>2055</v>
      </c>
      <c r="J8" s="66">
        <v>2045</v>
      </c>
      <c r="O8" s="406"/>
      <c r="S8" s="95">
        <f t="shared" si="3"/>
        <v>0.18918809815950927</v>
      </c>
      <c r="T8" s="95">
        <f t="shared" ref="T8:T9" si="4">$AK$3</f>
        <v>0.18918809815950927</v>
      </c>
      <c r="U8" s="95">
        <f>$AL$3</f>
        <v>0.18918809815950927</v>
      </c>
      <c r="W8" s="66" t="s">
        <v>2067</v>
      </c>
      <c r="X8">
        <v>3</v>
      </c>
      <c r="Y8">
        <v>1</v>
      </c>
      <c r="Z8">
        <v>1</v>
      </c>
      <c r="AA8">
        <v>3</v>
      </c>
      <c r="AB8">
        <v>1</v>
      </c>
    </row>
    <row r="9" spans="1:39" x14ac:dyDescent="0.35">
      <c r="A9" t="s">
        <v>1997</v>
      </c>
      <c r="B9" t="s">
        <v>2261</v>
      </c>
      <c r="C9" t="s">
        <v>1779</v>
      </c>
      <c r="D9">
        <v>2022</v>
      </c>
      <c r="E9">
        <v>2018</v>
      </c>
      <c r="F9" t="s">
        <v>1951</v>
      </c>
      <c r="G9">
        <v>2020</v>
      </c>
      <c r="H9" t="s">
        <v>1953</v>
      </c>
      <c r="I9" t="s">
        <v>2055</v>
      </c>
      <c r="J9" s="66">
        <v>2050</v>
      </c>
      <c r="M9" s="95"/>
      <c r="N9" s="95"/>
      <c r="O9" s="406"/>
      <c r="T9" s="95">
        <f t="shared" si="4"/>
        <v>0.18918809815950927</v>
      </c>
      <c r="U9" s="95">
        <f>$AL$3</f>
        <v>0.18918809815950927</v>
      </c>
      <c r="V9" s="95">
        <f>$AM$3</f>
        <v>0.18918809815950927</v>
      </c>
      <c r="W9" s="66" t="s">
        <v>2067</v>
      </c>
      <c r="X9">
        <v>3</v>
      </c>
      <c r="Y9">
        <v>1</v>
      </c>
      <c r="Z9">
        <v>1</v>
      </c>
      <c r="AA9">
        <v>3</v>
      </c>
      <c r="AB9">
        <v>1</v>
      </c>
    </row>
    <row r="10" spans="1:39" x14ac:dyDescent="0.35">
      <c r="A10" t="s">
        <v>2007</v>
      </c>
      <c r="B10" t="s">
        <v>2261</v>
      </c>
      <c r="C10" t="s">
        <v>1779</v>
      </c>
      <c r="D10">
        <v>2022</v>
      </c>
      <c r="E10">
        <v>2018</v>
      </c>
      <c r="F10" t="s">
        <v>1951</v>
      </c>
      <c r="G10">
        <v>2020</v>
      </c>
      <c r="H10" t="s">
        <v>1953</v>
      </c>
      <c r="I10" t="s">
        <v>2055</v>
      </c>
      <c r="J10" s="66">
        <v>2021</v>
      </c>
      <c r="M10" s="95">
        <f>$AG$4</f>
        <v>9.4594049079754633E-2</v>
      </c>
      <c r="N10" s="95">
        <f>$AG$4</f>
        <v>9.4594049079754633E-2</v>
      </c>
      <c r="O10" s="406">
        <f>$AG$4</f>
        <v>9.4594049079754633E-2</v>
      </c>
      <c r="P10" s="95">
        <f>$AG$4</f>
        <v>9.4594049079754633E-2</v>
      </c>
      <c r="Q10" s="95"/>
      <c r="R10" s="95"/>
      <c r="S10" s="95"/>
      <c r="W10" s="66" t="s">
        <v>2068</v>
      </c>
      <c r="X10">
        <v>3</v>
      </c>
      <c r="Y10">
        <v>1</v>
      </c>
      <c r="Z10">
        <v>1</v>
      </c>
      <c r="AA10">
        <v>3</v>
      </c>
      <c r="AB10">
        <v>1</v>
      </c>
    </row>
    <row r="11" spans="1:39" x14ac:dyDescent="0.35">
      <c r="A11" t="s">
        <v>2007</v>
      </c>
      <c r="B11" t="s">
        <v>2261</v>
      </c>
      <c r="C11" t="s">
        <v>1779</v>
      </c>
      <c r="D11">
        <v>2022</v>
      </c>
      <c r="E11">
        <v>2018</v>
      </c>
      <c r="F11" t="s">
        <v>1951</v>
      </c>
      <c r="G11">
        <v>2020</v>
      </c>
      <c r="H11" t="s">
        <v>1953</v>
      </c>
      <c r="I11" t="s">
        <v>2055</v>
      </c>
      <c r="J11" s="66">
        <v>2025</v>
      </c>
      <c r="N11" s="95">
        <f>$AG$4</f>
        <v>9.4594049079754633E-2</v>
      </c>
      <c r="O11" s="406">
        <f>$AG$4</f>
        <v>9.4594049079754633E-2</v>
      </c>
      <c r="P11" s="95">
        <f>$AG$4</f>
        <v>9.4594049079754633E-2</v>
      </c>
      <c r="Q11" s="95">
        <f>$AH$4</f>
        <v>9.4594049079754633E-2</v>
      </c>
      <c r="R11" s="95"/>
      <c r="S11" s="95"/>
      <c r="W11" s="66" t="s">
        <v>2068</v>
      </c>
      <c r="X11">
        <v>3</v>
      </c>
      <c r="Y11">
        <v>1</v>
      </c>
      <c r="Z11">
        <v>1</v>
      </c>
      <c r="AA11">
        <v>3</v>
      </c>
      <c r="AB11">
        <v>1</v>
      </c>
    </row>
    <row r="12" spans="1:39" x14ac:dyDescent="0.35">
      <c r="A12" t="s">
        <v>2007</v>
      </c>
      <c r="B12" t="s">
        <v>2261</v>
      </c>
      <c r="C12" t="s">
        <v>1779</v>
      </c>
      <c r="D12">
        <v>2022</v>
      </c>
      <c r="E12">
        <v>2018</v>
      </c>
      <c r="F12" t="s">
        <v>1951</v>
      </c>
      <c r="G12">
        <v>2020</v>
      </c>
      <c r="H12" t="s">
        <v>1953</v>
      </c>
      <c r="I12" t="s">
        <v>2055</v>
      </c>
      <c r="J12" s="66">
        <v>2030</v>
      </c>
      <c r="O12" s="406">
        <f>$AG$4</f>
        <v>9.4594049079754633E-2</v>
      </c>
      <c r="P12" s="95">
        <f>$AG$4</f>
        <v>9.4594049079754633E-2</v>
      </c>
      <c r="Q12" s="95">
        <f>$AH$4</f>
        <v>9.4594049079754633E-2</v>
      </c>
      <c r="R12" s="95">
        <f>$AI$4</f>
        <v>9.4594049079754633E-2</v>
      </c>
      <c r="S12" s="95"/>
      <c r="W12" s="66" t="s">
        <v>2068</v>
      </c>
      <c r="X12">
        <v>3</v>
      </c>
      <c r="Y12">
        <v>1</v>
      </c>
      <c r="Z12">
        <v>1</v>
      </c>
      <c r="AA12">
        <v>3</v>
      </c>
      <c r="AB12">
        <v>1</v>
      </c>
    </row>
    <row r="13" spans="1:39" x14ac:dyDescent="0.35">
      <c r="A13" t="s">
        <v>2007</v>
      </c>
      <c r="B13" t="s">
        <v>2261</v>
      </c>
      <c r="C13" t="s">
        <v>1779</v>
      </c>
      <c r="D13">
        <v>2022</v>
      </c>
      <c r="E13">
        <v>2018</v>
      </c>
      <c r="F13" t="s">
        <v>1951</v>
      </c>
      <c r="G13">
        <v>2020</v>
      </c>
      <c r="H13" t="s">
        <v>1953</v>
      </c>
      <c r="I13" t="s">
        <v>2055</v>
      </c>
      <c r="J13" s="66">
        <v>2035</v>
      </c>
      <c r="M13" s="95"/>
      <c r="N13" s="95"/>
      <c r="O13" s="406"/>
      <c r="P13" s="95">
        <f>$AG$4</f>
        <v>9.4594049079754633E-2</v>
      </c>
      <c r="Q13" s="95">
        <f>$AH$4</f>
        <v>9.4594049079754633E-2</v>
      </c>
      <c r="R13" s="95">
        <f>$AI$4</f>
        <v>9.4594049079754633E-2</v>
      </c>
      <c r="S13" s="95">
        <f>$AJ$4</f>
        <v>9.4594049079754633E-2</v>
      </c>
      <c r="W13" s="66" t="s">
        <v>2068</v>
      </c>
      <c r="X13">
        <v>3</v>
      </c>
      <c r="Y13">
        <v>1</v>
      </c>
      <c r="Z13">
        <v>1</v>
      </c>
      <c r="AA13">
        <v>3</v>
      </c>
      <c r="AB13">
        <v>1</v>
      </c>
    </row>
    <row r="14" spans="1:39" x14ac:dyDescent="0.35">
      <c r="A14" t="s">
        <v>2007</v>
      </c>
      <c r="B14" t="s">
        <v>2261</v>
      </c>
      <c r="C14" t="s">
        <v>1779</v>
      </c>
      <c r="D14">
        <v>2022</v>
      </c>
      <c r="E14">
        <v>2018</v>
      </c>
      <c r="F14" t="s">
        <v>1951</v>
      </c>
      <c r="G14">
        <v>2020</v>
      </c>
      <c r="H14" t="s">
        <v>1953</v>
      </c>
      <c r="I14" t="s">
        <v>2055</v>
      </c>
      <c r="J14" s="66">
        <v>2040</v>
      </c>
      <c r="N14" s="95"/>
      <c r="O14" s="406"/>
      <c r="Q14" s="95"/>
      <c r="R14" s="95">
        <f>$AI$4</f>
        <v>9.4594049079754633E-2</v>
      </c>
      <c r="S14" s="95">
        <f>$AJ$4</f>
        <v>9.4594049079754633E-2</v>
      </c>
      <c r="T14" s="95">
        <f>$AK$4</f>
        <v>9.4594049079754633E-2</v>
      </c>
      <c r="W14" s="66" t="s">
        <v>2068</v>
      </c>
      <c r="X14">
        <v>3</v>
      </c>
      <c r="Y14">
        <v>1</v>
      </c>
      <c r="Z14">
        <v>1</v>
      </c>
      <c r="AA14">
        <v>3</v>
      </c>
      <c r="AB14">
        <v>1</v>
      </c>
    </row>
    <row r="15" spans="1:39" x14ac:dyDescent="0.35">
      <c r="A15" t="s">
        <v>2007</v>
      </c>
      <c r="B15" t="s">
        <v>2261</v>
      </c>
      <c r="C15" t="s">
        <v>1779</v>
      </c>
      <c r="D15">
        <v>2022</v>
      </c>
      <c r="E15">
        <v>2018</v>
      </c>
      <c r="F15" t="s">
        <v>1951</v>
      </c>
      <c r="G15">
        <v>2020</v>
      </c>
      <c r="H15" t="s">
        <v>1953</v>
      </c>
      <c r="I15" t="s">
        <v>2055</v>
      </c>
      <c r="J15" s="66">
        <v>2045</v>
      </c>
      <c r="O15" s="406"/>
      <c r="S15" s="95">
        <f>$AJ$4</f>
        <v>9.4594049079754633E-2</v>
      </c>
      <c r="T15" s="95">
        <f>$AK$4</f>
        <v>9.4594049079754633E-2</v>
      </c>
      <c r="U15" s="95">
        <f>$AL$4</f>
        <v>9.4594049079754633E-2</v>
      </c>
      <c r="W15" s="66" t="s">
        <v>2068</v>
      </c>
      <c r="X15">
        <v>3</v>
      </c>
      <c r="Y15">
        <v>1</v>
      </c>
      <c r="Z15">
        <v>1</v>
      </c>
      <c r="AA15">
        <v>3</v>
      </c>
      <c r="AB15">
        <v>1</v>
      </c>
    </row>
    <row r="16" spans="1:39" x14ac:dyDescent="0.35">
      <c r="A16" t="s">
        <v>2007</v>
      </c>
      <c r="B16" t="s">
        <v>2261</v>
      </c>
      <c r="C16" t="s">
        <v>1779</v>
      </c>
      <c r="D16">
        <v>2022</v>
      </c>
      <c r="E16">
        <v>2018</v>
      </c>
      <c r="F16" t="s">
        <v>1951</v>
      </c>
      <c r="G16">
        <v>2020</v>
      </c>
      <c r="H16" t="s">
        <v>1953</v>
      </c>
      <c r="I16" t="s">
        <v>2055</v>
      </c>
      <c r="J16" s="66">
        <v>2050</v>
      </c>
      <c r="M16" s="95"/>
      <c r="N16" s="95"/>
      <c r="O16" s="406"/>
      <c r="T16" s="95">
        <f>$AK$4</f>
        <v>9.4594049079754633E-2</v>
      </c>
      <c r="U16" s="95">
        <f>$AL$4</f>
        <v>9.4594049079754633E-2</v>
      </c>
      <c r="V16" s="95">
        <f>$AM$4</f>
        <v>9.4594049079754633E-2</v>
      </c>
      <c r="W16" s="66" t="s">
        <v>2068</v>
      </c>
      <c r="X16">
        <v>3</v>
      </c>
      <c r="Y16">
        <v>1</v>
      </c>
      <c r="Z16">
        <v>1</v>
      </c>
      <c r="AA16">
        <v>3</v>
      </c>
      <c r="AB16">
        <v>1</v>
      </c>
    </row>
    <row r="17" spans="1:28" x14ac:dyDescent="0.35">
      <c r="A17" t="s">
        <v>1998</v>
      </c>
      <c r="B17" t="s">
        <v>2261</v>
      </c>
      <c r="C17" t="s">
        <v>1779</v>
      </c>
      <c r="D17">
        <v>2022</v>
      </c>
      <c r="E17">
        <v>2018</v>
      </c>
      <c r="F17" t="s">
        <v>1951</v>
      </c>
      <c r="G17">
        <v>2020</v>
      </c>
      <c r="H17" t="s">
        <v>1953</v>
      </c>
      <c r="I17" t="s">
        <v>2055</v>
      </c>
      <c r="J17" s="66">
        <v>2021</v>
      </c>
      <c r="M17" s="95">
        <f>$AG$4</f>
        <v>9.4594049079754633E-2</v>
      </c>
      <c r="N17" s="95">
        <f>$AG$4</f>
        <v>9.4594049079754633E-2</v>
      </c>
      <c r="O17" s="406">
        <f>$AG$4</f>
        <v>9.4594049079754633E-2</v>
      </c>
      <c r="P17" s="95">
        <f>$AG$4</f>
        <v>9.4594049079754633E-2</v>
      </c>
      <c r="Q17" s="95"/>
      <c r="R17" s="95"/>
      <c r="S17" s="95"/>
      <c r="W17" s="66" t="s">
        <v>2068</v>
      </c>
      <c r="X17">
        <v>3</v>
      </c>
      <c r="Y17">
        <v>1</v>
      </c>
      <c r="Z17">
        <v>1</v>
      </c>
      <c r="AA17">
        <v>3</v>
      </c>
      <c r="AB17">
        <v>1</v>
      </c>
    </row>
    <row r="18" spans="1:28" x14ac:dyDescent="0.35">
      <c r="A18" t="s">
        <v>1998</v>
      </c>
      <c r="B18" t="s">
        <v>2261</v>
      </c>
      <c r="C18" t="s">
        <v>1779</v>
      </c>
      <c r="D18">
        <v>2022</v>
      </c>
      <c r="E18">
        <v>2018</v>
      </c>
      <c r="F18" t="s">
        <v>1951</v>
      </c>
      <c r="G18">
        <v>2020</v>
      </c>
      <c r="H18" t="s">
        <v>1953</v>
      </c>
      <c r="I18" t="s">
        <v>2055</v>
      </c>
      <c r="J18" s="66">
        <v>2025</v>
      </c>
      <c r="N18" s="95">
        <f>$AG$4</f>
        <v>9.4594049079754633E-2</v>
      </c>
      <c r="O18" s="406">
        <f>$AG$4</f>
        <v>9.4594049079754633E-2</v>
      </c>
      <c r="P18" s="95">
        <f>$AG$4</f>
        <v>9.4594049079754633E-2</v>
      </c>
      <c r="Q18" s="95">
        <f>$AH$4</f>
        <v>9.4594049079754633E-2</v>
      </c>
      <c r="R18" s="95"/>
      <c r="S18" s="95"/>
      <c r="W18" s="66" t="s">
        <v>2068</v>
      </c>
      <c r="X18">
        <v>3</v>
      </c>
      <c r="Y18">
        <v>1</v>
      </c>
      <c r="Z18">
        <v>1</v>
      </c>
      <c r="AA18">
        <v>3</v>
      </c>
      <c r="AB18">
        <v>1</v>
      </c>
    </row>
    <row r="19" spans="1:28" x14ac:dyDescent="0.35">
      <c r="A19" t="s">
        <v>1998</v>
      </c>
      <c r="B19" t="s">
        <v>2261</v>
      </c>
      <c r="C19" t="s">
        <v>1779</v>
      </c>
      <c r="D19">
        <v>2022</v>
      </c>
      <c r="E19">
        <v>2018</v>
      </c>
      <c r="F19" t="s">
        <v>1951</v>
      </c>
      <c r="G19">
        <v>2020</v>
      </c>
      <c r="H19" t="s">
        <v>1953</v>
      </c>
      <c r="I19" t="s">
        <v>2055</v>
      </c>
      <c r="J19" s="66">
        <v>2030</v>
      </c>
      <c r="O19" s="406">
        <f>$AG$4</f>
        <v>9.4594049079754633E-2</v>
      </c>
      <c r="P19" s="95">
        <f>$AG$4</f>
        <v>9.4594049079754633E-2</v>
      </c>
      <c r="Q19" s="95">
        <f>$AH$4</f>
        <v>9.4594049079754633E-2</v>
      </c>
      <c r="R19" s="95">
        <f>$AI$4</f>
        <v>9.4594049079754633E-2</v>
      </c>
      <c r="S19" s="95"/>
      <c r="W19" s="66" t="s">
        <v>2068</v>
      </c>
      <c r="X19">
        <v>3</v>
      </c>
      <c r="Y19">
        <v>1</v>
      </c>
      <c r="Z19">
        <v>1</v>
      </c>
      <c r="AA19">
        <v>3</v>
      </c>
      <c r="AB19">
        <v>1</v>
      </c>
    </row>
    <row r="20" spans="1:28" x14ac:dyDescent="0.35">
      <c r="A20" t="s">
        <v>1998</v>
      </c>
      <c r="B20" t="s">
        <v>2261</v>
      </c>
      <c r="C20" t="s">
        <v>1779</v>
      </c>
      <c r="D20">
        <v>2022</v>
      </c>
      <c r="E20">
        <v>2018</v>
      </c>
      <c r="F20" t="s">
        <v>1951</v>
      </c>
      <c r="G20">
        <v>2020</v>
      </c>
      <c r="H20" t="s">
        <v>1953</v>
      </c>
      <c r="I20" t="s">
        <v>2055</v>
      </c>
      <c r="J20" s="66">
        <v>2035</v>
      </c>
      <c r="M20" s="95"/>
      <c r="N20" s="95"/>
      <c r="O20" s="406"/>
      <c r="P20" s="95">
        <f>$AG$4</f>
        <v>9.4594049079754633E-2</v>
      </c>
      <c r="Q20" s="95">
        <f>$AH$4</f>
        <v>9.4594049079754633E-2</v>
      </c>
      <c r="R20" s="95">
        <f>$AI$4</f>
        <v>9.4594049079754633E-2</v>
      </c>
      <c r="S20" s="95">
        <f>$AJ$4</f>
        <v>9.4594049079754633E-2</v>
      </c>
      <c r="W20" s="66" t="s">
        <v>2068</v>
      </c>
      <c r="X20">
        <v>3</v>
      </c>
      <c r="Y20">
        <v>1</v>
      </c>
      <c r="Z20">
        <v>1</v>
      </c>
      <c r="AA20">
        <v>3</v>
      </c>
      <c r="AB20">
        <v>1</v>
      </c>
    </row>
    <row r="21" spans="1:28" x14ac:dyDescent="0.35">
      <c r="A21" t="s">
        <v>1998</v>
      </c>
      <c r="B21" t="s">
        <v>2261</v>
      </c>
      <c r="C21" t="s">
        <v>1779</v>
      </c>
      <c r="D21">
        <v>2022</v>
      </c>
      <c r="E21">
        <v>2018</v>
      </c>
      <c r="F21" t="s">
        <v>1951</v>
      </c>
      <c r="G21">
        <v>2020</v>
      </c>
      <c r="H21" t="s">
        <v>1953</v>
      </c>
      <c r="I21" t="s">
        <v>2055</v>
      </c>
      <c r="J21" s="66">
        <v>2040</v>
      </c>
      <c r="N21" s="95"/>
      <c r="O21" s="406"/>
      <c r="Q21" s="95"/>
      <c r="R21" s="95">
        <f>$AI$4</f>
        <v>9.4594049079754633E-2</v>
      </c>
      <c r="S21" s="95">
        <f>$AJ$4</f>
        <v>9.4594049079754633E-2</v>
      </c>
      <c r="T21" s="95">
        <f>$AK$4</f>
        <v>9.4594049079754633E-2</v>
      </c>
      <c r="W21" s="66" t="s">
        <v>2068</v>
      </c>
      <c r="X21">
        <v>3</v>
      </c>
      <c r="Y21">
        <v>1</v>
      </c>
      <c r="Z21">
        <v>1</v>
      </c>
      <c r="AA21">
        <v>3</v>
      </c>
      <c r="AB21">
        <v>1</v>
      </c>
    </row>
    <row r="22" spans="1:28" x14ac:dyDescent="0.35">
      <c r="A22" t="s">
        <v>1998</v>
      </c>
      <c r="B22" t="s">
        <v>2261</v>
      </c>
      <c r="C22" t="s">
        <v>1779</v>
      </c>
      <c r="D22">
        <v>2022</v>
      </c>
      <c r="E22">
        <v>2018</v>
      </c>
      <c r="F22" t="s">
        <v>1951</v>
      </c>
      <c r="G22">
        <v>2020</v>
      </c>
      <c r="H22" t="s">
        <v>1953</v>
      </c>
      <c r="I22" t="s">
        <v>2055</v>
      </c>
      <c r="J22" s="66">
        <v>2045</v>
      </c>
      <c r="O22" s="406"/>
      <c r="S22" s="95">
        <f>$AJ$4</f>
        <v>9.4594049079754633E-2</v>
      </c>
      <c r="T22" s="95">
        <f>$AK$4</f>
        <v>9.4594049079754633E-2</v>
      </c>
      <c r="U22" s="95">
        <f>$AL$4</f>
        <v>9.4594049079754633E-2</v>
      </c>
      <c r="W22" s="66" t="s">
        <v>2068</v>
      </c>
      <c r="X22">
        <v>3</v>
      </c>
      <c r="Y22">
        <v>1</v>
      </c>
      <c r="Z22">
        <v>1</v>
      </c>
      <c r="AA22">
        <v>3</v>
      </c>
      <c r="AB22">
        <v>1</v>
      </c>
    </row>
    <row r="23" spans="1:28" x14ac:dyDescent="0.35">
      <c r="A23" t="s">
        <v>1998</v>
      </c>
      <c r="B23" t="s">
        <v>2261</v>
      </c>
      <c r="C23" t="s">
        <v>1779</v>
      </c>
      <c r="D23">
        <v>2022</v>
      </c>
      <c r="E23">
        <v>2018</v>
      </c>
      <c r="F23" t="s">
        <v>1951</v>
      </c>
      <c r="G23">
        <v>2020</v>
      </c>
      <c r="H23" t="s">
        <v>1953</v>
      </c>
      <c r="I23" t="s">
        <v>2055</v>
      </c>
      <c r="J23" s="66">
        <v>2050</v>
      </c>
      <c r="M23" s="95"/>
      <c r="N23" s="95"/>
      <c r="O23" s="406"/>
      <c r="T23" s="95">
        <f>$AK$4</f>
        <v>9.4594049079754633E-2</v>
      </c>
      <c r="U23" s="95">
        <f>$AL$4</f>
        <v>9.4594049079754633E-2</v>
      </c>
      <c r="V23" s="95">
        <f>$AM$4</f>
        <v>9.4594049079754633E-2</v>
      </c>
      <c r="W23" s="66" t="s">
        <v>2068</v>
      </c>
      <c r="X23">
        <v>3</v>
      </c>
      <c r="Y23">
        <v>1</v>
      </c>
      <c r="Z23">
        <v>1</v>
      </c>
      <c r="AA23">
        <v>3</v>
      </c>
      <c r="AB23">
        <v>1</v>
      </c>
    </row>
    <row r="24" spans="1:28" x14ac:dyDescent="0.35">
      <c r="A24" t="s">
        <v>2088</v>
      </c>
      <c r="B24" t="s">
        <v>2261</v>
      </c>
      <c r="C24" t="s">
        <v>1779</v>
      </c>
      <c r="D24">
        <v>2022</v>
      </c>
      <c r="E24">
        <v>2018</v>
      </c>
      <c r="F24" t="s">
        <v>1951</v>
      </c>
      <c r="G24">
        <v>2020</v>
      </c>
      <c r="H24" t="s">
        <v>1953</v>
      </c>
      <c r="I24" t="s">
        <v>2055</v>
      </c>
      <c r="J24" s="66">
        <v>2021</v>
      </c>
      <c r="N24" s="95"/>
      <c r="O24" s="406"/>
      <c r="P24" s="95">
        <f>'OEO &amp; EPAUS9rT-HDV Data'!R$92*USD2018_to_CAD2020</f>
        <v>7.4188761349693273</v>
      </c>
      <c r="W24" s="66" t="s">
        <v>2143</v>
      </c>
      <c r="X24">
        <v>3</v>
      </c>
      <c r="Y24">
        <v>1</v>
      </c>
      <c r="Z24">
        <v>1</v>
      </c>
      <c r="AA24">
        <v>3</v>
      </c>
      <c r="AB24">
        <v>1</v>
      </c>
    </row>
    <row r="25" spans="1:28" x14ac:dyDescent="0.35">
      <c r="A25" t="s">
        <v>2088</v>
      </c>
      <c r="B25" t="s">
        <v>2261</v>
      </c>
      <c r="C25" t="s">
        <v>1779</v>
      </c>
      <c r="D25">
        <v>2022</v>
      </c>
      <c r="E25">
        <v>2018</v>
      </c>
      <c r="F25" t="s">
        <v>1951</v>
      </c>
      <c r="G25">
        <v>2020</v>
      </c>
      <c r="H25" t="s">
        <v>1953</v>
      </c>
      <c r="I25" t="s">
        <v>2055</v>
      </c>
      <c r="J25" s="66">
        <v>2025</v>
      </c>
      <c r="O25" s="406"/>
      <c r="P25" s="95">
        <f>'OEO &amp; EPAUS9rT-HDV Data'!R$92*USD2018_to_CAD2020</f>
        <v>7.4188761349693273</v>
      </c>
      <c r="Q25" s="95">
        <f>'OEO &amp; EPAUS9rT-HDV Data'!S$92*USD2018_to_CAD2020</f>
        <v>7.4188761349693273</v>
      </c>
      <c r="W25" s="66" t="s">
        <v>2143</v>
      </c>
      <c r="X25">
        <v>3</v>
      </c>
      <c r="Y25">
        <v>1</v>
      </c>
      <c r="Z25">
        <v>1</v>
      </c>
      <c r="AA25">
        <v>3</v>
      </c>
      <c r="AB25">
        <v>1</v>
      </c>
    </row>
    <row r="26" spans="1:28" x14ac:dyDescent="0.35">
      <c r="A26" t="s">
        <v>2088</v>
      </c>
      <c r="B26" t="s">
        <v>2261</v>
      </c>
      <c r="C26" t="s">
        <v>1779</v>
      </c>
      <c r="D26">
        <v>2022</v>
      </c>
      <c r="E26">
        <v>2018</v>
      </c>
      <c r="F26" t="s">
        <v>1951</v>
      </c>
      <c r="G26">
        <v>2020</v>
      </c>
      <c r="H26" t="s">
        <v>1953</v>
      </c>
      <c r="I26" t="s">
        <v>2055</v>
      </c>
      <c r="J26" s="66">
        <v>2030</v>
      </c>
      <c r="L26" s="95"/>
      <c r="M26" s="95"/>
      <c r="N26" s="95"/>
      <c r="O26" s="406"/>
      <c r="P26" s="95">
        <f>'OEO &amp; EPAUS9rT-HDV Data'!R$92*USD2018_to_CAD2020</f>
        <v>7.4188761349693273</v>
      </c>
      <c r="Q26" s="95">
        <f>'OEO &amp; EPAUS9rT-HDV Data'!S$92*USD2018_to_CAD2020</f>
        <v>7.4188761349693273</v>
      </c>
      <c r="R26" s="95">
        <f>'OEO &amp; EPAUS9rT-HDV Data'!T$92*USD2018_to_CAD2020</f>
        <v>7.4188761349693273</v>
      </c>
      <c r="W26" s="66" t="s">
        <v>2143</v>
      </c>
      <c r="X26">
        <v>3</v>
      </c>
      <c r="Y26">
        <v>1</v>
      </c>
      <c r="Z26">
        <v>1</v>
      </c>
      <c r="AA26">
        <v>3</v>
      </c>
      <c r="AB26">
        <v>1</v>
      </c>
    </row>
    <row r="27" spans="1:28" x14ac:dyDescent="0.35">
      <c r="A27" t="s">
        <v>2088</v>
      </c>
      <c r="B27" t="s">
        <v>2261</v>
      </c>
      <c r="C27" t="s">
        <v>1779</v>
      </c>
      <c r="D27">
        <v>2022</v>
      </c>
      <c r="E27">
        <v>2018</v>
      </c>
      <c r="F27" t="s">
        <v>1951</v>
      </c>
      <c r="G27">
        <v>2020</v>
      </c>
      <c r="H27" t="s">
        <v>1953</v>
      </c>
      <c r="I27" t="s">
        <v>2055</v>
      </c>
      <c r="J27" s="66">
        <v>2035</v>
      </c>
      <c r="M27" s="95"/>
      <c r="N27" s="95"/>
      <c r="O27" s="406"/>
      <c r="P27" s="95">
        <f>'OEO &amp; EPAUS9rT-HDV Data'!R$92*USD2018_to_CAD2020</f>
        <v>7.4188761349693273</v>
      </c>
      <c r="Q27" s="95">
        <f>'OEO &amp; EPAUS9rT-HDV Data'!S$92*USD2018_to_CAD2020</f>
        <v>7.4188761349693273</v>
      </c>
      <c r="R27" s="95">
        <f>'OEO &amp; EPAUS9rT-HDV Data'!T$92*USD2018_to_CAD2020</f>
        <v>7.4188761349693273</v>
      </c>
      <c r="S27" s="95">
        <f>'OEO &amp; EPAUS9rT-HDV Data'!U$92*USD2018_to_CAD2020</f>
        <v>7.4188761349693273</v>
      </c>
      <c r="W27" s="66" t="s">
        <v>2143</v>
      </c>
      <c r="X27">
        <v>3</v>
      </c>
      <c r="Y27">
        <v>1</v>
      </c>
      <c r="Z27">
        <v>1</v>
      </c>
      <c r="AA27">
        <v>3</v>
      </c>
      <c r="AB27">
        <v>1</v>
      </c>
    </row>
    <row r="28" spans="1:28" x14ac:dyDescent="0.35">
      <c r="A28" t="s">
        <v>2088</v>
      </c>
      <c r="B28" t="s">
        <v>2261</v>
      </c>
      <c r="C28" t="s">
        <v>1779</v>
      </c>
      <c r="D28">
        <v>2022</v>
      </c>
      <c r="E28">
        <v>2018</v>
      </c>
      <c r="F28" t="s">
        <v>1951</v>
      </c>
      <c r="G28">
        <v>2020</v>
      </c>
      <c r="H28" t="s">
        <v>1953</v>
      </c>
      <c r="I28" t="s">
        <v>2055</v>
      </c>
      <c r="J28" s="66">
        <v>2040</v>
      </c>
      <c r="N28" s="95"/>
      <c r="O28" s="406"/>
      <c r="R28" s="95">
        <f>'OEO &amp; EPAUS9rT-HDV Data'!T$92*USD2018_to_CAD2020</f>
        <v>7.4188761349693273</v>
      </c>
      <c r="S28" s="95">
        <f>'OEO &amp; EPAUS9rT-HDV Data'!U$92*USD2018_to_CAD2020</f>
        <v>7.4188761349693273</v>
      </c>
      <c r="T28" s="95">
        <f>'OEO &amp; EPAUS9rT-HDV Data'!V$92*USD2018_to_CAD2020</f>
        <v>7.4188761349693273</v>
      </c>
      <c r="W28" s="66" t="s">
        <v>2143</v>
      </c>
      <c r="X28">
        <v>3</v>
      </c>
      <c r="Y28">
        <v>1</v>
      </c>
      <c r="Z28">
        <v>1</v>
      </c>
      <c r="AA28">
        <v>3</v>
      </c>
      <c r="AB28">
        <v>1</v>
      </c>
    </row>
    <row r="29" spans="1:28" x14ac:dyDescent="0.35">
      <c r="A29" t="s">
        <v>2088</v>
      </c>
      <c r="B29" t="s">
        <v>2261</v>
      </c>
      <c r="C29" t="s">
        <v>1779</v>
      </c>
      <c r="D29">
        <v>2022</v>
      </c>
      <c r="E29">
        <v>2018</v>
      </c>
      <c r="F29" t="s">
        <v>1951</v>
      </c>
      <c r="G29">
        <v>2020</v>
      </c>
      <c r="H29" t="s">
        <v>1953</v>
      </c>
      <c r="I29" t="s">
        <v>2055</v>
      </c>
      <c r="J29" s="66">
        <v>2045</v>
      </c>
      <c r="O29" s="406"/>
      <c r="S29" s="95">
        <f>'OEO &amp; EPAUS9rT-HDV Data'!U$92*USD2018_to_CAD2020</f>
        <v>7.4188761349693273</v>
      </c>
      <c r="T29" s="95">
        <f>'OEO &amp; EPAUS9rT-HDV Data'!V$92*USD2018_to_CAD2020</f>
        <v>7.4188761349693273</v>
      </c>
      <c r="U29" s="95">
        <f>'OEO &amp; EPAUS9rT-HDV Data'!W$92*USD2018_to_CAD2020</f>
        <v>7.4188761349693273</v>
      </c>
      <c r="W29" s="66" t="s">
        <v>2143</v>
      </c>
      <c r="X29">
        <v>3</v>
      </c>
      <c r="Y29">
        <v>1</v>
      </c>
      <c r="Z29">
        <v>1</v>
      </c>
      <c r="AA29">
        <v>3</v>
      </c>
      <c r="AB29">
        <v>1</v>
      </c>
    </row>
    <row r="30" spans="1:28" x14ac:dyDescent="0.35">
      <c r="A30" t="s">
        <v>2088</v>
      </c>
      <c r="B30" t="s">
        <v>2261</v>
      </c>
      <c r="C30" t="s">
        <v>1779</v>
      </c>
      <c r="D30">
        <v>2022</v>
      </c>
      <c r="E30">
        <v>2018</v>
      </c>
      <c r="F30" t="s">
        <v>1951</v>
      </c>
      <c r="G30">
        <v>2020</v>
      </c>
      <c r="H30" t="s">
        <v>1953</v>
      </c>
      <c r="I30" t="s">
        <v>2055</v>
      </c>
      <c r="J30" s="66">
        <v>2050</v>
      </c>
      <c r="L30" s="95"/>
      <c r="M30" s="95"/>
      <c r="N30" s="95"/>
      <c r="O30" s="406"/>
      <c r="T30" s="95">
        <f>'OEO &amp; EPAUS9rT-HDV Data'!V$92*USD2018_to_CAD2020</f>
        <v>7.4188761349693273</v>
      </c>
      <c r="U30" s="95">
        <f>'OEO &amp; EPAUS9rT-HDV Data'!W$92*USD2018_to_CAD2020</f>
        <v>7.4188761349693273</v>
      </c>
      <c r="V30" s="95">
        <f>'OEO &amp; EPAUS9rT-HDV Data'!X$92*USD2018_to_CAD2020</f>
        <v>7.4188761349693273</v>
      </c>
      <c r="W30" s="66" t="s">
        <v>2143</v>
      </c>
      <c r="X30">
        <v>3</v>
      </c>
      <c r="Y30">
        <v>1</v>
      </c>
      <c r="Z30">
        <v>1</v>
      </c>
      <c r="AA30">
        <v>3</v>
      </c>
      <c r="AB30">
        <v>1</v>
      </c>
    </row>
    <row r="31" spans="1:28" x14ac:dyDescent="0.35">
      <c r="A31" t="s">
        <v>2089</v>
      </c>
      <c r="B31" t="s">
        <v>2261</v>
      </c>
      <c r="C31" t="s">
        <v>1779</v>
      </c>
      <c r="D31">
        <v>2022</v>
      </c>
      <c r="E31">
        <v>2018</v>
      </c>
      <c r="F31" t="s">
        <v>1951</v>
      </c>
      <c r="G31">
        <v>2020</v>
      </c>
      <c r="H31" t="s">
        <v>1953</v>
      </c>
      <c r="I31" t="s">
        <v>2055</v>
      </c>
      <c r="J31" s="66">
        <v>2021</v>
      </c>
      <c r="N31" s="95"/>
      <c r="O31" s="406"/>
      <c r="P31" s="95">
        <f>'OEO &amp; EPAUS9rT-HDV Data'!R$93*USD2018_to_CAD2020</f>
        <v>2.7702542944785278</v>
      </c>
      <c r="W31" s="66" t="s">
        <v>2143</v>
      </c>
      <c r="X31">
        <v>3</v>
      </c>
      <c r="Y31">
        <v>1</v>
      </c>
      <c r="Z31">
        <v>1</v>
      </c>
      <c r="AA31">
        <v>3</v>
      </c>
      <c r="AB31">
        <v>1</v>
      </c>
    </row>
    <row r="32" spans="1:28" x14ac:dyDescent="0.35">
      <c r="A32" t="s">
        <v>2089</v>
      </c>
      <c r="B32" t="s">
        <v>2261</v>
      </c>
      <c r="C32" t="s">
        <v>1779</v>
      </c>
      <c r="D32">
        <v>2022</v>
      </c>
      <c r="E32">
        <v>2018</v>
      </c>
      <c r="F32" t="s">
        <v>1951</v>
      </c>
      <c r="G32">
        <v>2020</v>
      </c>
      <c r="H32" t="s">
        <v>1953</v>
      </c>
      <c r="I32" t="s">
        <v>2055</v>
      </c>
      <c r="J32" s="66">
        <v>2025</v>
      </c>
      <c r="O32" s="406"/>
      <c r="P32" s="95">
        <f>'OEO &amp; EPAUS9rT-HDV Data'!R$93*USD2018_to_CAD2020</f>
        <v>2.7702542944785278</v>
      </c>
      <c r="Q32" s="95">
        <f>'OEO &amp; EPAUS9rT-HDV Data'!S$93*USD2018_to_CAD2020</f>
        <v>2.7702542944785278</v>
      </c>
      <c r="W32" s="66" t="s">
        <v>2143</v>
      </c>
      <c r="X32">
        <v>3</v>
      </c>
      <c r="Y32">
        <v>1</v>
      </c>
      <c r="Z32">
        <v>1</v>
      </c>
      <c r="AA32">
        <v>3</v>
      </c>
      <c r="AB32">
        <v>1</v>
      </c>
    </row>
    <row r="33" spans="1:28" x14ac:dyDescent="0.35">
      <c r="A33" t="s">
        <v>2089</v>
      </c>
      <c r="B33" t="s">
        <v>2261</v>
      </c>
      <c r="C33" t="s">
        <v>1779</v>
      </c>
      <c r="D33">
        <v>2022</v>
      </c>
      <c r="E33">
        <v>2018</v>
      </c>
      <c r="F33" t="s">
        <v>1951</v>
      </c>
      <c r="G33">
        <v>2020</v>
      </c>
      <c r="H33" t="s">
        <v>1953</v>
      </c>
      <c r="I33" t="s">
        <v>2055</v>
      </c>
      <c r="J33" s="66">
        <v>2030</v>
      </c>
      <c r="L33" s="95"/>
      <c r="M33" s="95"/>
      <c r="N33" s="95"/>
      <c r="O33" s="406"/>
      <c r="P33" s="95">
        <f>'OEO &amp; EPAUS9rT-HDV Data'!R$93*USD2018_to_CAD2020</f>
        <v>2.7702542944785278</v>
      </c>
      <c r="Q33" s="95">
        <f>'OEO &amp; EPAUS9rT-HDV Data'!S$93*USD2018_to_CAD2020</f>
        <v>2.7702542944785278</v>
      </c>
      <c r="R33" s="95">
        <f>'OEO &amp; EPAUS9rT-HDV Data'!T$93*USD2018_to_CAD2020</f>
        <v>2.7702542944785278</v>
      </c>
      <c r="W33" s="66" t="s">
        <v>2143</v>
      </c>
      <c r="X33">
        <v>3</v>
      </c>
      <c r="Y33">
        <v>1</v>
      </c>
      <c r="Z33">
        <v>1</v>
      </c>
      <c r="AA33">
        <v>3</v>
      </c>
      <c r="AB33">
        <v>1</v>
      </c>
    </row>
    <row r="34" spans="1:28" x14ac:dyDescent="0.35">
      <c r="A34" t="s">
        <v>2089</v>
      </c>
      <c r="B34" t="s">
        <v>2261</v>
      </c>
      <c r="C34" t="s">
        <v>1779</v>
      </c>
      <c r="D34">
        <v>2022</v>
      </c>
      <c r="E34">
        <v>2018</v>
      </c>
      <c r="F34" t="s">
        <v>1951</v>
      </c>
      <c r="G34">
        <v>2020</v>
      </c>
      <c r="H34" t="s">
        <v>1953</v>
      </c>
      <c r="I34" t="s">
        <v>2055</v>
      </c>
      <c r="J34" s="66">
        <v>2035</v>
      </c>
      <c r="M34" s="95"/>
      <c r="N34" s="95"/>
      <c r="O34" s="406"/>
      <c r="P34" s="95">
        <f>'OEO &amp; EPAUS9rT-HDV Data'!R$93*USD2018_to_CAD2020</f>
        <v>2.7702542944785278</v>
      </c>
      <c r="Q34" s="95">
        <f>'OEO &amp; EPAUS9rT-HDV Data'!S$93*USD2018_to_CAD2020</f>
        <v>2.7702542944785278</v>
      </c>
      <c r="R34" s="95">
        <f>'OEO &amp; EPAUS9rT-HDV Data'!T$93*USD2018_to_CAD2020</f>
        <v>2.7702542944785278</v>
      </c>
      <c r="S34" s="95">
        <f>'OEO &amp; EPAUS9rT-HDV Data'!U$93*USD2018_to_CAD2020</f>
        <v>2.7702542944785278</v>
      </c>
      <c r="W34" s="66" t="s">
        <v>2143</v>
      </c>
      <c r="X34">
        <v>3</v>
      </c>
      <c r="Y34">
        <v>1</v>
      </c>
      <c r="Z34">
        <v>1</v>
      </c>
      <c r="AA34">
        <v>3</v>
      </c>
      <c r="AB34">
        <v>1</v>
      </c>
    </row>
    <row r="35" spans="1:28" x14ac:dyDescent="0.35">
      <c r="A35" t="s">
        <v>2089</v>
      </c>
      <c r="B35" t="s">
        <v>2261</v>
      </c>
      <c r="C35" t="s">
        <v>1779</v>
      </c>
      <c r="D35">
        <v>2022</v>
      </c>
      <c r="E35">
        <v>2018</v>
      </c>
      <c r="F35" t="s">
        <v>1951</v>
      </c>
      <c r="G35">
        <v>2020</v>
      </c>
      <c r="H35" t="s">
        <v>1953</v>
      </c>
      <c r="I35" t="s">
        <v>2055</v>
      </c>
      <c r="J35" s="66">
        <v>2040</v>
      </c>
      <c r="N35" s="95"/>
      <c r="O35" s="406"/>
      <c r="R35" s="95">
        <f>'OEO &amp; EPAUS9rT-HDV Data'!T$93*USD2018_to_CAD2020</f>
        <v>2.7702542944785278</v>
      </c>
      <c r="S35" s="95">
        <f>'OEO &amp; EPAUS9rT-HDV Data'!U$93*USD2018_to_CAD2020</f>
        <v>2.7702542944785278</v>
      </c>
      <c r="T35" s="95">
        <f>'OEO &amp; EPAUS9rT-HDV Data'!V$93*USD2018_to_CAD2020</f>
        <v>2.7702542944785278</v>
      </c>
      <c r="W35" s="66" t="s">
        <v>2143</v>
      </c>
      <c r="X35">
        <v>3</v>
      </c>
      <c r="Y35">
        <v>1</v>
      </c>
      <c r="Z35">
        <v>1</v>
      </c>
      <c r="AA35">
        <v>3</v>
      </c>
      <c r="AB35">
        <v>1</v>
      </c>
    </row>
    <row r="36" spans="1:28" x14ac:dyDescent="0.35">
      <c r="A36" t="s">
        <v>2089</v>
      </c>
      <c r="B36" t="s">
        <v>2261</v>
      </c>
      <c r="C36" t="s">
        <v>1779</v>
      </c>
      <c r="D36">
        <v>2022</v>
      </c>
      <c r="E36">
        <v>2018</v>
      </c>
      <c r="F36" t="s">
        <v>1951</v>
      </c>
      <c r="G36">
        <v>2020</v>
      </c>
      <c r="H36" t="s">
        <v>1953</v>
      </c>
      <c r="I36" t="s">
        <v>2055</v>
      </c>
      <c r="J36" s="66">
        <v>2045</v>
      </c>
      <c r="O36" s="406"/>
      <c r="S36" s="95">
        <f>'OEO &amp; EPAUS9rT-HDV Data'!U$93*USD2018_to_CAD2020</f>
        <v>2.7702542944785278</v>
      </c>
      <c r="T36" s="95">
        <f>'OEO &amp; EPAUS9rT-HDV Data'!V$93*USD2018_to_CAD2020</f>
        <v>2.7702542944785278</v>
      </c>
      <c r="U36" s="95">
        <f>'OEO &amp; EPAUS9rT-HDV Data'!W$93*USD2018_to_CAD2020</f>
        <v>2.7702542944785278</v>
      </c>
      <c r="W36" s="66" t="s">
        <v>2143</v>
      </c>
      <c r="X36">
        <v>3</v>
      </c>
      <c r="Y36">
        <v>1</v>
      </c>
      <c r="Z36">
        <v>1</v>
      </c>
      <c r="AA36">
        <v>3</v>
      </c>
      <c r="AB36">
        <v>1</v>
      </c>
    </row>
    <row r="37" spans="1:28" x14ac:dyDescent="0.35">
      <c r="A37" t="s">
        <v>2089</v>
      </c>
      <c r="B37" t="s">
        <v>2261</v>
      </c>
      <c r="C37" t="s">
        <v>1779</v>
      </c>
      <c r="D37">
        <v>2022</v>
      </c>
      <c r="E37">
        <v>2018</v>
      </c>
      <c r="F37" t="s">
        <v>1951</v>
      </c>
      <c r="G37">
        <v>2020</v>
      </c>
      <c r="H37" t="s">
        <v>1953</v>
      </c>
      <c r="I37" t="s">
        <v>2055</v>
      </c>
      <c r="J37" s="66">
        <v>2050</v>
      </c>
      <c r="L37" s="95"/>
      <c r="M37" s="95"/>
      <c r="N37" s="95"/>
      <c r="O37" s="406"/>
      <c r="T37" s="95">
        <f>'OEO &amp; EPAUS9rT-HDV Data'!V$93*USD2018_to_CAD2020</f>
        <v>2.7702542944785278</v>
      </c>
      <c r="U37" s="95">
        <f>'OEO &amp; EPAUS9rT-HDV Data'!W$93*USD2018_to_CAD2020</f>
        <v>2.7702542944785278</v>
      </c>
      <c r="V37" s="95">
        <f>'OEO &amp; EPAUS9rT-HDV Data'!X$93*USD2018_to_CAD2020</f>
        <v>2.7702542944785278</v>
      </c>
      <c r="W37" s="66" t="s">
        <v>2143</v>
      </c>
      <c r="X37">
        <v>3</v>
      </c>
      <c r="Y37">
        <v>1</v>
      </c>
      <c r="Z37">
        <v>1</v>
      </c>
      <c r="AA37">
        <v>3</v>
      </c>
      <c r="AB37">
        <v>1</v>
      </c>
    </row>
    <row r="38" spans="1:28" x14ac:dyDescent="0.35">
      <c r="A38" t="s">
        <v>2090</v>
      </c>
      <c r="B38" t="s">
        <v>2261</v>
      </c>
      <c r="C38" t="s">
        <v>1779</v>
      </c>
      <c r="D38">
        <v>2022</v>
      </c>
      <c r="E38">
        <v>2018</v>
      </c>
      <c r="F38" t="s">
        <v>1951</v>
      </c>
      <c r="G38">
        <v>2020</v>
      </c>
      <c r="H38" t="s">
        <v>1953</v>
      </c>
      <c r="I38" t="s">
        <v>2055</v>
      </c>
      <c r="J38" s="66">
        <v>2021</v>
      </c>
      <c r="N38" s="95"/>
      <c r="O38" s="406"/>
      <c r="P38" s="95">
        <f>'OEO &amp; EPAUS9rT-HDV Data'!R$94*USD2018_to_CAD2020</f>
        <v>2.4864721472392644</v>
      </c>
      <c r="W38" s="66" t="s">
        <v>2144</v>
      </c>
      <c r="X38">
        <v>3</v>
      </c>
      <c r="Y38">
        <v>1</v>
      </c>
      <c r="Z38">
        <v>1</v>
      </c>
      <c r="AA38">
        <v>3</v>
      </c>
      <c r="AB38">
        <v>1</v>
      </c>
    </row>
    <row r="39" spans="1:28" x14ac:dyDescent="0.35">
      <c r="A39" t="s">
        <v>2090</v>
      </c>
      <c r="B39" t="s">
        <v>2261</v>
      </c>
      <c r="C39" t="s">
        <v>1779</v>
      </c>
      <c r="D39">
        <v>2022</v>
      </c>
      <c r="E39">
        <v>2018</v>
      </c>
      <c r="F39" t="s">
        <v>1951</v>
      </c>
      <c r="G39">
        <v>2020</v>
      </c>
      <c r="H39" t="s">
        <v>1953</v>
      </c>
      <c r="I39" t="s">
        <v>2055</v>
      </c>
      <c r="J39" s="66">
        <v>2025</v>
      </c>
      <c r="O39" s="406"/>
      <c r="P39" s="95">
        <f>'OEO &amp; EPAUS9rT-HDV Data'!R$94*USD2018_to_CAD2020</f>
        <v>2.4864721472392644</v>
      </c>
      <c r="Q39" s="95">
        <f>'OEO &amp; EPAUS9rT-HDV Data'!S$94*USD2018_to_CAD2020</f>
        <v>2.4864721472392644</v>
      </c>
      <c r="W39" s="66" t="s">
        <v>2144</v>
      </c>
      <c r="X39">
        <v>3</v>
      </c>
      <c r="Y39">
        <v>1</v>
      </c>
      <c r="Z39">
        <v>1</v>
      </c>
      <c r="AA39">
        <v>3</v>
      </c>
      <c r="AB39">
        <v>1</v>
      </c>
    </row>
    <row r="40" spans="1:28" x14ac:dyDescent="0.35">
      <c r="A40" t="s">
        <v>2090</v>
      </c>
      <c r="B40" t="s">
        <v>2261</v>
      </c>
      <c r="C40" t="s">
        <v>1779</v>
      </c>
      <c r="D40">
        <v>2022</v>
      </c>
      <c r="E40">
        <v>2018</v>
      </c>
      <c r="F40" t="s">
        <v>1951</v>
      </c>
      <c r="G40">
        <v>2020</v>
      </c>
      <c r="H40" t="s">
        <v>1953</v>
      </c>
      <c r="I40" t="s">
        <v>2055</v>
      </c>
      <c r="J40" s="66">
        <v>2030</v>
      </c>
      <c r="L40" s="95"/>
      <c r="M40" s="95"/>
      <c r="N40" s="95"/>
      <c r="O40" s="406"/>
      <c r="P40" s="95">
        <f>'OEO &amp; EPAUS9rT-HDV Data'!R$94*USD2018_to_CAD2020</f>
        <v>2.4864721472392644</v>
      </c>
      <c r="Q40" s="95">
        <f>'OEO &amp; EPAUS9rT-HDV Data'!S$94*USD2018_to_CAD2020</f>
        <v>2.4864721472392644</v>
      </c>
      <c r="R40" s="95">
        <f>'OEO &amp; EPAUS9rT-HDV Data'!T$94*USD2018_to_CAD2020</f>
        <v>2.4864721472392644</v>
      </c>
      <c r="W40" s="66" t="s">
        <v>2144</v>
      </c>
      <c r="X40">
        <v>3</v>
      </c>
      <c r="Y40">
        <v>1</v>
      </c>
      <c r="Z40">
        <v>1</v>
      </c>
      <c r="AA40">
        <v>3</v>
      </c>
      <c r="AB40">
        <v>1</v>
      </c>
    </row>
    <row r="41" spans="1:28" x14ac:dyDescent="0.35">
      <c r="A41" t="s">
        <v>2090</v>
      </c>
      <c r="B41" t="s">
        <v>2261</v>
      </c>
      <c r="C41" t="s">
        <v>1779</v>
      </c>
      <c r="D41">
        <v>2022</v>
      </c>
      <c r="E41">
        <v>2018</v>
      </c>
      <c r="F41" t="s">
        <v>1951</v>
      </c>
      <c r="G41">
        <v>2020</v>
      </c>
      <c r="H41" t="s">
        <v>1953</v>
      </c>
      <c r="I41" t="s">
        <v>2055</v>
      </c>
      <c r="J41" s="66">
        <v>2035</v>
      </c>
      <c r="M41" s="95"/>
      <c r="N41" s="95"/>
      <c r="O41" s="406"/>
      <c r="P41" s="95">
        <f>'OEO &amp; EPAUS9rT-HDV Data'!R$94*USD2018_to_CAD2020</f>
        <v>2.4864721472392644</v>
      </c>
      <c r="Q41" s="95">
        <f>'OEO &amp; EPAUS9rT-HDV Data'!S$94*USD2018_to_CAD2020</f>
        <v>2.4864721472392644</v>
      </c>
      <c r="R41" s="95">
        <f>'OEO &amp; EPAUS9rT-HDV Data'!T$94*USD2018_to_CAD2020</f>
        <v>2.4864721472392644</v>
      </c>
      <c r="S41" s="95">
        <f>'OEO &amp; EPAUS9rT-HDV Data'!U$94*USD2018_to_CAD2020</f>
        <v>2.4864721472392644</v>
      </c>
      <c r="W41" s="66" t="s">
        <v>2144</v>
      </c>
      <c r="X41">
        <v>3</v>
      </c>
      <c r="Y41">
        <v>1</v>
      </c>
      <c r="Z41">
        <v>1</v>
      </c>
      <c r="AA41">
        <v>3</v>
      </c>
      <c r="AB41">
        <v>1</v>
      </c>
    </row>
    <row r="42" spans="1:28" x14ac:dyDescent="0.35">
      <c r="A42" t="s">
        <v>2090</v>
      </c>
      <c r="B42" t="s">
        <v>2261</v>
      </c>
      <c r="C42" t="s">
        <v>1779</v>
      </c>
      <c r="D42">
        <v>2022</v>
      </c>
      <c r="E42">
        <v>2018</v>
      </c>
      <c r="F42" t="s">
        <v>1951</v>
      </c>
      <c r="G42">
        <v>2020</v>
      </c>
      <c r="H42" t="s">
        <v>1953</v>
      </c>
      <c r="I42" t="s">
        <v>2055</v>
      </c>
      <c r="J42" s="66">
        <v>2040</v>
      </c>
      <c r="N42" s="95"/>
      <c r="O42" s="406"/>
      <c r="R42" s="95">
        <f>'OEO &amp; EPAUS9rT-HDV Data'!T$94*USD2018_to_CAD2020</f>
        <v>2.4864721472392644</v>
      </c>
      <c r="S42" s="95">
        <f>'OEO &amp; EPAUS9rT-HDV Data'!U$94*USD2018_to_CAD2020</f>
        <v>2.4864721472392644</v>
      </c>
      <c r="T42" s="95">
        <f>'OEO &amp; EPAUS9rT-HDV Data'!V$94*USD2018_to_CAD2020</f>
        <v>2.4864721472392644</v>
      </c>
      <c r="W42" s="66" t="s">
        <v>2144</v>
      </c>
      <c r="X42">
        <v>3</v>
      </c>
      <c r="Y42">
        <v>1</v>
      </c>
      <c r="Z42">
        <v>1</v>
      </c>
      <c r="AA42">
        <v>3</v>
      </c>
      <c r="AB42">
        <v>1</v>
      </c>
    </row>
    <row r="43" spans="1:28" x14ac:dyDescent="0.35">
      <c r="A43" t="s">
        <v>2090</v>
      </c>
      <c r="B43" t="s">
        <v>2261</v>
      </c>
      <c r="C43" t="s">
        <v>1779</v>
      </c>
      <c r="D43">
        <v>2022</v>
      </c>
      <c r="E43">
        <v>2018</v>
      </c>
      <c r="F43" t="s">
        <v>1951</v>
      </c>
      <c r="G43">
        <v>2020</v>
      </c>
      <c r="H43" t="s">
        <v>1953</v>
      </c>
      <c r="I43" t="s">
        <v>2055</v>
      </c>
      <c r="J43" s="66">
        <v>2045</v>
      </c>
      <c r="O43" s="406"/>
      <c r="S43" s="95">
        <f>'OEO &amp; EPAUS9rT-HDV Data'!U$94*USD2018_to_CAD2020</f>
        <v>2.4864721472392644</v>
      </c>
      <c r="T43" s="95">
        <f>'OEO &amp; EPAUS9rT-HDV Data'!V$94*USD2018_to_CAD2020</f>
        <v>2.4864721472392644</v>
      </c>
      <c r="U43" s="95">
        <f>'OEO &amp; EPAUS9rT-HDV Data'!W$94*USD2018_to_CAD2020</f>
        <v>2.4864721472392644</v>
      </c>
      <c r="W43" s="66" t="s">
        <v>2144</v>
      </c>
      <c r="X43">
        <v>3</v>
      </c>
      <c r="Y43">
        <v>1</v>
      </c>
      <c r="Z43">
        <v>1</v>
      </c>
      <c r="AA43">
        <v>3</v>
      </c>
      <c r="AB43">
        <v>1</v>
      </c>
    </row>
    <row r="44" spans="1:28" x14ac:dyDescent="0.35">
      <c r="A44" t="s">
        <v>2090</v>
      </c>
      <c r="B44" t="s">
        <v>2261</v>
      </c>
      <c r="C44" t="s">
        <v>1779</v>
      </c>
      <c r="D44">
        <v>2022</v>
      </c>
      <c r="E44">
        <v>2018</v>
      </c>
      <c r="F44" t="s">
        <v>1951</v>
      </c>
      <c r="G44">
        <v>2020</v>
      </c>
      <c r="H44" t="s">
        <v>1953</v>
      </c>
      <c r="I44" t="s">
        <v>2055</v>
      </c>
      <c r="J44" s="66">
        <v>2050</v>
      </c>
      <c r="L44" s="95"/>
      <c r="M44" s="95"/>
      <c r="N44" s="95"/>
      <c r="O44" s="406"/>
      <c r="T44" s="95">
        <f>'OEO &amp; EPAUS9rT-HDV Data'!V$94*USD2018_to_CAD2020</f>
        <v>2.4864721472392644</v>
      </c>
      <c r="U44" s="95">
        <f>'OEO &amp; EPAUS9rT-HDV Data'!W$94*USD2018_to_CAD2020</f>
        <v>2.4864721472392644</v>
      </c>
      <c r="V44" s="95">
        <f>'OEO &amp; EPAUS9rT-HDV Data'!X$94*USD2018_to_CAD2020</f>
        <v>2.4864721472392644</v>
      </c>
      <c r="W44" s="66" t="s">
        <v>2144</v>
      </c>
      <c r="X44">
        <v>3</v>
      </c>
      <c r="Y44">
        <v>1</v>
      </c>
      <c r="Z44">
        <v>1</v>
      </c>
      <c r="AA44">
        <v>3</v>
      </c>
      <c r="AB44">
        <v>1</v>
      </c>
    </row>
    <row r="45" spans="1:28" x14ac:dyDescent="0.35">
      <c r="A45" t="s">
        <v>2091</v>
      </c>
      <c r="B45" t="s">
        <v>2261</v>
      </c>
      <c r="C45" t="s">
        <v>1779</v>
      </c>
      <c r="D45">
        <v>2022</v>
      </c>
      <c r="E45">
        <v>2018</v>
      </c>
      <c r="F45" t="s">
        <v>1951</v>
      </c>
      <c r="G45">
        <v>2020</v>
      </c>
      <c r="H45" t="s">
        <v>1953</v>
      </c>
      <c r="I45" t="s">
        <v>2055</v>
      </c>
      <c r="J45" s="66">
        <v>2021</v>
      </c>
      <c r="N45" s="95"/>
      <c r="O45" s="406"/>
      <c r="P45" s="95">
        <f>'OEO &amp; EPAUS9rT-HDV Data'!R$94*USD2018_to_CAD2020</f>
        <v>2.4864721472392644</v>
      </c>
      <c r="W45" s="66" t="s">
        <v>2143</v>
      </c>
      <c r="X45">
        <v>3</v>
      </c>
      <c r="Y45">
        <v>1</v>
      </c>
      <c r="Z45">
        <v>1</v>
      </c>
      <c r="AA45">
        <v>3</v>
      </c>
      <c r="AB45">
        <v>1</v>
      </c>
    </row>
    <row r="46" spans="1:28" x14ac:dyDescent="0.35">
      <c r="A46" t="s">
        <v>2091</v>
      </c>
      <c r="B46" t="s">
        <v>2261</v>
      </c>
      <c r="C46" t="s">
        <v>1779</v>
      </c>
      <c r="D46">
        <v>2022</v>
      </c>
      <c r="E46">
        <v>2018</v>
      </c>
      <c r="F46" t="s">
        <v>1951</v>
      </c>
      <c r="G46">
        <v>2020</v>
      </c>
      <c r="H46" t="s">
        <v>1953</v>
      </c>
      <c r="I46" t="s">
        <v>2055</v>
      </c>
      <c r="J46" s="66">
        <v>2025</v>
      </c>
      <c r="O46" s="406"/>
      <c r="P46" s="95">
        <f>'OEO &amp; EPAUS9rT-HDV Data'!R$94*USD2018_to_CAD2020</f>
        <v>2.4864721472392644</v>
      </c>
      <c r="Q46" s="95">
        <f>'OEO &amp; EPAUS9rT-HDV Data'!S$94*USD2018_to_CAD2020</f>
        <v>2.4864721472392644</v>
      </c>
      <c r="W46" s="66" t="s">
        <v>2143</v>
      </c>
      <c r="X46">
        <v>3</v>
      </c>
      <c r="Y46">
        <v>1</v>
      </c>
      <c r="Z46">
        <v>1</v>
      </c>
      <c r="AA46">
        <v>3</v>
      </c>
      <c r="AB46">
        <v>1</v>
      </c>
    </row>
    <row r="47" spans="1:28" x14ac:dyDescent="0.35">
      <c r="A47" t="s">
        <v>2091</v>
      </c>
      <c r="B47" t="s">
        <v>2261</v>
      </c>
      <c r="C47" t="s">
        <v>1779</v>
      </c>
      <c r="D47">
        <v>2022</v>
      </c>
      <c r="E47">
        <v>2018</v>
      </c>
      <c r="F47" t="s">
        <v>1951</v>
      </c>
      <c r="G47">
        <v>2020</v>
      </c>
      <c r="H47" t="s">
        <v>1953</v>
      </c>
      <c r="I47" t="s">
        <v>2055</v>
      </c>
      <c r="J47" s="66">
        <v>2030</v>
      </c>
      <c r="L47" s="95"/>
      <c r="M47" s="95"/>
      <c r="N47" s="95"/>
      <c r="O47" s="406"/>
      <c r="P47" s="95">
        <f>'OEO &amp; EPAUS9rT-HDV Data'!R$94*USD2018_to_CAD2020</f>
        <v>2.4864721472392644</v>
      </c>
      <c r="Q47" s="95">
        <f>'OEO &amp; EPAUS9rT-HDV Data'!S$94*USD2018_to_CAD2020</f>
        <v>2.4864721472392644</v>
      </c>
      <c r="R47" s="95">
        <f>'OEO &amp; EPAUS9rT-HDV Data'!T$94*USD2018_to_CAD2020</f>
        <v>2.4864721472392644</v>
      </c>
      <c r="W47" s="66" t="s">
        <v>2143</v>
      </c>
      <c r="X47">
        <v>3</v>
      </c>
      <c r="Y47">
        <v>1</v>
      </c>
      <c r="Z47">
        <v>1</v>
      </c>
      <c r="AA47">
        <v>3</v>
      </c>
      <c r="AB47">
        <v>1</v>
      </c>
    </row>
    <row r="48" spans="1:28" x14ac:dyDescent="0.35">
      <c r="A48" t="s">
        <v>2091</v>
      </c>
      <c r="B48" t="s">
        <v>2261</v>
      </c>
      <c r="C48" t="s">
        <v>1779</v>
      </c>
      <c r="D48">
        <v>2022</v>
      </c>
      <c r="E48">
        <v>2018</v>
      </c>
      <c r="F48" t="s">
        <v>1951</v>
      </c>
      <c r="G48">
        <v>2020</v>
      </c>
      <c r="H48" t="s">
        <v>1953</v>
      </c>
      <c r="I48" t="s">
        <v>2055</v>
      </c>
      <c r="J48" s="66">
        <v>2035</v>
      </c>
      <c r="M48" s="95"/>
      <c r="N48" s="95"/>
      <c r="O48" s="406"/>
      <c r="P48" s="95">
        <f>'OEO &amp; EPAUS9rT-HDV Data'!R$94*USD2018_to_CAD2020</f>
        <v>2.4864721472392644</v>
      </c>
      <c r="Q48" s="95">
        <f>'OEO &amp; EPAUS9rT-HDV Data'!S$94*USD2018_to_CAD2020</f>
        <v>2.4864721472392644</v>
      </c>
      <c r="R48" s="95">
        <f>'OEO &amp; EPAUS9rT-HDV Data'!T$94*USD2018_to_CAD2020</f>
        <v>2.4864721472392644</v>
      </c>
      <c r="S48" s="95">
        <f>'OEO &amp; EPAUS9rT-HDV Data'!U$94*USD2018_to_CAD2020</f>
        <v>2.4864721472392644</v>
      </c>
      <c r="W48" s="66" t="s">
        <v>2143</v>
      </c>
      <c r="X48">
        <v>3</v>
      </c>
      <c r="Y48">
        <v>1</v>
      </c>
      <c r="Z48">
        <v>1</v>
      </c>
      <c r="AA48">
        <v>3</v>
      </c>
      <c r="AB48">
        <v>1</v>
      </c>
    </row>
    <row r="49" spans="1:28" x14ac:dyDescent="0.35">
      <c r="A49" t="s">
        <v>2091</v>
      </c>
      <c r="B49" t="s">
        <v>2261</v>
      </c>
      <c r="C49" t="s">
        <v>1779</v>
      </c>
      <c r="D49">
        <v>2022</v>
      </c>
      <c r="E49">
        <v>2018</v>
      </c>
      <c r="F49" t="s">
        <v>1951</v>
      </c>
      <c r="G49">
        <v>2020</v>
      </c>
      <c r="H49" t="s">
        <v>1953</v>
      </c>
      <c r="I49" t="s">
        <v>2055</v>
      </c>
      <c r="J49" s="66">
        <v>2040</v>
      </c>
      <c r="N49" s="95"/>
      <c r="O49" s="406"/>
      <c r="R49" s="95">
        <f>'OEO &amp; EPAUS9rT-HDV Data'!T$94*USD2018_to_CAD2020</f>
        <v>2.4864721472392644</v>
      </c>
      <c r="S49" s="95">
        <f>'OEO &amp; EPAUS9rT-HDV Data'!U$94*USD2018_to_CAD2020</f>
        <v>2.4864721472392644</v>
      </c>
      <c r="T49" s="95">
        <f>'OEO &amp; EPAUS9rT-HDV Data'!V$94*USD2018_to_CAD2020</f>
        <v>2.4864721472392644</v>
      </c>
      <c r="W49" s="66" t="s">
        <v>2143</v>
      </c>
      <c r="X49">
        <v>3</v>
      </c>
      <c r="Y49">
        <v>1</v>
      </c>
      <c r="Z49">
        <v>1</v>
      </c>
      <c r="AA49">
        <v>3</v>
      </c>
      <c r="AB49">
        <v>1</v>
      </c>
    </row>
    <row r="50" spans="1:28" x14ac:dyDescent="0.35">
      <c r="A50" t="s">
        <v>2091</v>
      </c>
      <c r="B50" t="s">
        <v>2261</v>
      </c>
      <c r="C50" t="s">
        <v>1779</v>
      </c>
      <c r="D50">
        <v>2022</v>
      </c>
      <c r="E50">
        <v>2018</v>
      </c>
      <c r="F50" t="s">
        <v>1951</v>
      </c>
      <c r="G50">
        <v>2020</v>
      </c>
      <c r="H50" t="s">
        <v>1953</v>
      </c>
      <c r="I50" t="s">
        <v>2055</v>
      </c>
      <c r="J50" s="66">
        <v>2045</v>
      </c>
      <c r="O50" s="406"/>
      <c r="S50" s="95">
        <f>'OEO &amp; EPAUS9rT-HDV Data'!U$94*USD2018_to_CAD2020</f>
        <v>2.4864721472392644</v>
      </c>
      <c r="T50" s="95">
        <f>'OEO &amp; EPAUS9rT-HDV Data'!V$94*USD2018_to_CAD2020</f>
        <v>2.4864721472392644</v>
      </c>
      <c r="U50" s="95">
        <f>'OEO &amp; EPAUS9rT-HDV Data'!W$94*USD2018_to_CAD2020</f>
        <v>2.4864721472392644</v>
      </c>
      <c r="W50" s="66" t="s">
        <v>2143</v>
      </c>
      <c r="X50">
        <v>3</v>
      </c>
      <c r="Y50">
        <v>1</v>
      </c>
      <c r="Z50">
        <v>1</v>
      </c>
      <c r="AA50">
        <v>3</v>
      </c>
      <c r="AB50">
        <v>1</v>
      </c>
    </row>
    <row r="51" spans="1:28" x14ac:dyDescent="0.35">
      <c r="A51" t="s">
        <v>2091</v>
      </c>
      <c r="B51" t="s">
        <v>2261</v>
      </c>
      <c r="C51" t="s">
        <v>1779</v>
      </c>
      <c r="D51">
        <v>2022</v>
      </c>
      <c r="E51">
        <v>2018</v>
      </c>
      <c r="F51" t="s">
        <v>1951</v>
      </c>
      <c r="G51">
        <v>2020</v>
      </c>
      <c r="H51" t="s">
        <v>1953</v>
      </c>
      <c r="I51" t="s">
        <v>2055</v>
      </c>
      <c r="J51" s="66">
        <v>2050</v>
      </c>
      <c r="L51" s="95"/>
      <c r="M51" s="95"/>
      <c r="N51" s="95"/>
      <c r="O51" s="406"/>
      <c r="T51" s="95">
        <f>'OEO &amp; EPAUS9rT-HDV Data'!V$94*USD2018_to_CAD2020</f>
        <v>2.4864721472392644</v>
      </c>
      <c r="U51" s="95">
        <f>'OEO &amp; EPAUS9rT-HDV Data'!W$94*USD2018_to_CAD2020</f>
        <v>2.4864721472392644</v>
      </c>
      <c r="V51" s="95">
        <f>'OEO &amp; EPAUS9rT-HDV Data'!X$94*USD2018_to_CAD2020</f>
        <v>2.4864721472392644</v>
      </c>
      <c r="W51" s="66" t="s">
        <v>2143</v>
      </c>
      <c r="X51">
        <v>3</v>
      </c>
      <c r="Y51">
        <v>1</v>
      </c>
      <c r="Z51">
        <v>1</v>
      </c>
      <c r="AA51">
        <v>3</v>
      </c>
      <c r="AB51">
        <v>1</v>
      </c>
    </row>
    <row r="52" spans="1:28" x14ac:dyDescent="0.35">
      <c r="N52" s="95"/>
      <c r="O52" s="406"/>
    </row>
    <row r="53" spans="1:28" x14ac:dyDescent="0.35">
      <c r="O53" s="406"/>
    </row>
    <row r="54" spans="1:28" x14ac:dyDescent="0.35">
      <c r="L54" s="95"/>
      <c r="M54" s="95"/>
      <c r="N54" s="95"/>
      <c r="O54" s="406"/>
    </row>
    <row r="55" spans="1:28" x14ac:dyDescent="0.35">
      <c r="M55" s="95"/>
      <c r="N55" s="95"/>
      <c r="O55" s="406"/>
    </row>
    <row r="56" spans="1:28" x14ac:dyDescent="0.35">
      <c r="N56" s="95"/>
      <c r="O56" s="406"/>
    </row>
    <row r="57" spans="1:28" x14ac:dyDescent="0.35">
      <c r="O57" s="406"/>
    </row>
    <row r="58" spans="1:28" x14ac:dyDescent="0.35">
      <c r="L58" s="95"/>
      <c r="M58" s="95"/>
      <c r="N58" s="95"/>
      <c r="O58" s="406"/>
    </row>
    <row r="59" spans="1:28" x14ac:dyDescent="0.35">
      <c r="M59" s="95"/>
      <c r="N59" s="95"/>
      <c r="O59" s="406"/>
    </row>
    <row r="60" spans="1:28" x14ac:dyDescent="0.35">
      <c r="N60" s="95"/>
      <c r="O60" s="406"/>
    </row>
    <row r="61" spans="1:28" x14ac:dyDescent="0.35">
      <c r="O61" s="406"/>
    </row>
    <row r="62" spans="1:28" x14ac:dyDescent="0.35">
      <c r="L62" s="95"/>
      <c r="M62" s="95"/>
      <c r="N62" s="95"/>
      <c r="O62" s="406"/>
    </row>
    <row r="63" spans="1:28" x14ac:dyDescent="0.35">
      <c r="M63" s="95"/>
      <c r="N63" s="95"/>
      <c r="O63" s="406"/>
    </row>
    <row r="64" spans="1:28" x14ac:dyDescent="0.35">
      <c r="N64" s="95"/>
      <c r="O64" s="406"/>
    </row>
    <row r="65" spans="12:15" x14ac:dyDescent="0.35">
      <c r="O65" s="406"/>
    </row>
    <row r="66" spans="12:15" x14ac:dyDescent="0.35">
      <c r="L66" s="420"/>
      <c r="M66" s="420"/>
      <c r="N66" s="420"/>
      <c r="O66" s="421"/>
    </row>
    <row r="67" spans="12:15" x14ac:dyDescent="0.35">
      <c r="L67" s="420"/>
      <c r="M67" s="420"/>
      <c r="N67" s="420"/>
      <c r="O67" s="421"/>
    </row>
    <row r="68" spans="12:15" x14ac:dyDescent="0.35">
      <c r="L68" s="420"/>
      <c r="M68" s="420"/>
      <c r="N68" s="420"/>
      <c r="O68" s="421"/>
    </row>
    <row r="69" spans="12:15" x14ac:dyDescent="0.35">
      <c r="L69" s="420"/>
      <c r="M69" s="420"/>
      <c r="N69" s="420"/>
      <c r="O69" s="421"/>
    </row>
    <row r="70" spans="12:15" x14ac:dyDescent="0.35">
      <c r="M70" s="95"/>
      <c r="N70" s="95"/>
      <c r="O70" s="406"/>
    </row>
    <row r="71" spans="12:15" x14ac:dyDescent="0.35">
      <c r="M71" s="95"/>
      <c r="N71" s="95"/>
      <c r="O71" s="406"/>
    </row>
    <row r="72" spans="12:15" x14ac:dyDescent="0.35">
      <c r="N72" s="95"/>
      <c r="O72" s="406"/>
    </row>
    <row r="73" spans="12:15" x14ac:dyDescent="0.35">
      <c r="M73" s="95"/>
      <c r="N73" s="95"/>
      <c r="O73" s="406"/>
    </row>
    <row r="74" spans="12:15" x14ac:dyDescent="0.35">
      <c r="M74" s="95"/>
      <c r="N74" s="95"/>
      <c r="O74" s="406"/>
    </row>
    <row r="75" spans="12:15" x14ac:dyDescent="0.35">
      <c r="N75" s="95"/>
      <c r="O75" s="406"/>
    </row>
    <row r="76" spans="12:15" x14ac:dyDescent="0.35">
      <c r="M76" s="95"/>
      <c r="N76" s="95"/>
      <c r="O76" s="406"/>
    </row>
    <row r="77" spans="12:15" x14ac:dyDescent="0.35">
      <c r="M77" s="95"/>
      <c r="N77" s="95"/>
      <c r="O77" s="406"/>
    </row>
    <row r="78" spans="12:15" x14ac:dyDescent="0.35">
      <c r="N78" s="95"/>
      <c r="O78" s="406"/>
    </row>
    <row r="79" spans="12:15" x14ac:dyDescent="0.35">
      <c r="M79" s="95"/>
      <c r="N79" s="95"/>
      <c r="O79" s="406"/>
    </row>
    <row r="80" spans="12:15" x14ac:dyDescent="0.35">
      <c r="M80" s="95"/>
      <c r="N80" s="95"/>
      <c r="O80" s="406"/>
    </row>
    <row r="81" spans="13:15" x14ac:dyDescent="0.35">
      <c r="N81" s="95"/>
      <c r="O81" s="406"/>
    </row>
    <row r="82" spans="13:15" x14ac:dyDescent="0.35">
      <c r="M82" s="95"/>
      <c r="N82" s="95"/>
      <c r="O82" s="406"/>
    </row>
    <row r="83" spans="13:15" x14ac:dyDescent="0.35">
      <c r="M83" s="95"/>
      <c r="N83" s="95"/>
      <c r="O83" s="406"/>
    </row>
    <row r="84" spans="13:15" x14ac:dyDescent="0.35">
      <c r="N84" s="95"/>
      <c r="O84" s="406"/>
    </row>
    <row r="85" spans="13:15" x14ac:dyDescent="0.35">
      <c r="M85" s="95"/>
      <c r="N85" s="95"/>
      <c r="O85" s="406"/>
    </row>
    <row r="86" spans="13:15" x14ac:dyDescent="0.35">
      <c r="M86" s="95"/>
      <c r="N86" s="95"/>
      <c r="O86" s="406"/>
    </row>
    <row r="87" spans="13:15" x14ac:dyDescent="0.35">
      <c r="N87" s="95"/>
      <c r="O87" s="406"/>
    </row>
    <row r="88" spans="13:15" x14ac:dyDescent="0.35">
      <c r="M88" s="95"/>
      <c r="N88" s="95"/>
      <c r="O88" s="406"/>
    </row>
    <row r="89" spans="13:15" x14ac:dyDescent="0.35">
      <c r="M89" s="95"/>
      <c r="N89" s="95"/>
      <c r="O89" s="406"/>
    </row>
    <row r="90" spans="13:15" x14ac:dyDescent="0.35">
      <c r="N90" s="95"/>
      <c r="O90" s="406"/>
    </row>
    <row r="91" spans="13:15" x14ac:dyDescent="0.35">
      <c r="M91" s="95"/>
      <c r="N91" s="95"/>
      <c r="O91" s="406"/>
    </row>
    <row r="92" spans="13:15" x14ac:dyDescent="0.35">
      <c r="M92" s="95"/>
      <c r="N92" s="95"/>
      <c r="O92" s="406"/>
    </row>
    <row r="93" spans="13:15" x14ac:dyDescent="0.35">
      <c r="N93" s="95"/>
      <c r="O93" s="406"/>
    </row>
    <row r="94" spans="13:15" x14ac:dyDescent="0.35">
      <c r="M94" s="95"/>
      <c r="N94" s="95"/>
      <c r="O94" s="406"/>
    </row>
    <row r="95" spans="13:15" x14ac:dyDescent="0.35">
      <c r="M95" s="95"/>
      <c r="N95" s="95"/>
      <c r="O95" s="406"/>
    </row>
    <row r="96" spans="13:15" x14ac:dyDescent="0.35">
      <c r="N96" s="95"/>
      <c r="O96" s="406"/>
    </row>
    <row r="97" spans="11:15" x14ac:dyDescent="0.35">
      <c r="K97" s="95"/>
      <c r="L97" s="95"/>
      <c r="M97" s="95"/>
      <c r="N97" s="95"/>
      <c r="O97" s="406"/>
    </row>
    <row r="98" spans="11:15" x14ac:dyDescent="0.35">
      <c r="L98" s="95"/>
      <c r="M98" s="95"/>
      <c r="N98" s="95"/>
      <c r="O98" s="406"/>
    </row>
    <row r="99" spans="11:15" x14ac:dyDescent="0.35">
      <c r="M99" s="95"/>
      <c r="N99" s="95"/>
      <c r="O99" s="406"/>
    </row>
    <row r="100" spans="11:15" x14ac:dyDescent="0.35">
      <c r="N100" s="95"/>
      <c r="O100" s="406"/>
    </row>
    <row r="101" spans="11:15" x14ac:dyDescent="0.35">
      <c r="O101" s="406"/>
    </row>
    <row r="102" spans="11:15" x14ac:dyDescent="0.35">
      <c r="K102" s="95"/>
      <c r="L102" s="95"/>
      <c r="M102" s="95"/>
      <c r="N102" s="95"/>
      <c r="O102" s="406"/>
    </row>
    <row r="103" spans="11:15" x14ac:dyDescent="0.35">
      <c r="L103" s="95"/>
      <c r="M103" s="95"/>
      <c r="N103" s="95"/>
      <c r="O103" s="406"/>
    </row>
    <row r="104" spans="11:15" x14ac:dyDescent="0.35">
      <c r="M104" s="95"/>
      <c r="N104" s="95"/>
      <c r="O104" s="406"/>
    </row>
    <row r="105" spans="11:15" ht="15.65" customHeight="1" x14ac:dyDescent="0.35">
      <c r="N105" s="95"/>
      <c r="O105" s="406"/>
    </row>
    <row r="106" spans="11:15" x14ac:dyDescent="0.35">
      <c r="O106" s="406"/>
    </row>
    <row r="107" spans="11:15" x14ac:dyDescent="0.35">
      <c r="K107" s="95"/>
      <c r="L107" s="95"/>
      <c r="M107" s="95"/>
      <c r="N107" s="95"/>
      <c r="O107" s="406"/>
    </row>
    <row r="108" spans="11:15" ht="14.5" customHeight="1" x14ac:dyDescent="0.35">
      <c r="K108" s="95"/>
      <c r="L108" s="95"/>
      <c r="M108" s="95"/>
      <c r="N108" s="95"/>
      <c r="O108" s="406"/>
    </row>
    <row r="109" spans="11:15" x14ac:dyDescent="0.35">
      <c r="K109" s="95"/>
      <c r="L109" s="95"/>
      <c r="M109" s="95"/>
      <c r="N109" s="95"/>
      <c r="O109" s="406"/>
    </row>
    <row r="110" spans="11:15" x14ac:dyDescent="0.35">
      <c r="K110" s="95"/>
      <c r="L110" s="95"/>
      <c r="M110" s="95"/>
      <c r="N110" s="95"/>
      <c r="O110" s="406"/>
    </row>
    <row r="111" spans="11:15" x14ac:dyDescent="0.35">
      <c r="K111" s="95"/>
      <c r="L111" s="95"/>
      <c r="M111" s="95"/>
      <c r="N111" s="95"/>
      <c r="O111" s="406"/>
    </row>
    <row r="112" spans="11:15" x14ac:dyDescent="0.35">
      <c r="K112" s="95"/>
      <c r="L112" s="95"/>
      <c r="M112" s="95"/>
      <c r="N112" s="95"/>
      <c r="O112" s="406"/>
    </row>
    <row r="113" spans="11:15" x14ac:dyDescent="0.35">
      <c r="K113" s="95"/>
      <c r="L113" s="95"/>
      <c r="M113" s="95"/>
      <c r="N113" s="95"/>
      <c r="O113" s="406"/>
    </row>
    <row r="114" spans="11:15" x14ac:dyDescent="0.35">
      <c r="K114" s="95"/>
      <c r="L114" s="95"/>
      <c r="M114" s="95"/>
      <c r="N114" s="95"/>
      <c r="O114" s="406"/>
    </row>
    <row r="115" spans="11:15" x14ac:dyDescent="0.35">
      <c r="K115" s="95"/>
      <c r="L115" s="95"/>
      <c r="M115" s="95"/>
      <c r="N115" s="95"/>
      <c r="O115" s="406"/>
    </row>
    <row r="116" spans="11:15" x14ac:dyDescent="0.35">
      <c r="K116" s="95"/>
      <c r="L116" s="95"/>
      <c r="M116" s="95"/>
      <c r="N116" s="95"/>
      <c r="O116" s="406"/>
    </row>
    <row r="117" spans="11:15" x14ac:dyDescent="0.35">
      <c r="K117" s="95"/>
      <c r="L117" s="95"/>
      <c r="M117" s="95"/>
      <c r="N117" s="95"/>
      <c r="O117" s="406"/>
    </row>
    <row r="118" spans="11:15" x14ac:dyDescent="0.35">
      <c r="K118" s="95"/>
      <c r="L118" s="95"/>
      <c r="M118" s="95"/>
      <c r="N118" s="95"/>
      <c r="O118" s="406"/>
    </row>
    <row r="119" spans="11:15" x14ac:dyDescent="0.35">
      <c r="K119" s="95"/>
      <c r="L119" s="95"/>
      <c r="M119" s="95"/>
      <c r="N119" s="95"/>
      <c r="O119" s="406"/>
    </row>
    <row r="120" spans="11:15" x14ac:dyDescent="0.35">
      <c r="K120" s="95"/>
      <c r="L120" s="95"/>
      <c r="M120" s="95"/>
      <c r="N120" s="95"/>
      <c r="O120" s="406"/>
    </row>
    <row r="121" spans="11:15" x14ac:dyDescent="0.35">
      <c r="K121" s="95"/>
      <c r="L121" s="95"/>
      <c r="M121" s="95"/>
      <c r="N121" s="95"/>
      <c r="O121" s="406"/>
    </row>
    <row r="122" spans="11:15" x14ac:dyDescent="0.35">
      <c r="K122" s="95"/>
      <c r="L122" s="95"/>
      <c r="M122" s="95"/>
      <c r="N122" s="95"/>
      <c r="O122" s="406"/>
    </row>
    <row r="123" spans="11:15" x14ac:dyDescent="0.35">
      <c r="K123" s="95"/>
      <c r="L123" s="95"/>
      <c r="M123" s="95"/>
      <c r="N123" s="95"/>
      <c r="O123" s="406"/>
    </row>
    <row r="124" spans="11:15" x14ac:dyDescent="0.35">
      <c r="K124" s="95"/>
      <c r="L124" s="95"/>
      <c r="M124" s="95"/>
      <c r="N124" s="95"/>
      <c r="O124" s="406"/>
    </row>
    <row r="125" spans="11:15" x14ac:dyDescent="0.35">
      <c r="K125" s="95"/>
      <c r="L125" s="95"/>
      <c r="M125" s="95"/>
      <c r="N125" s="95"/>
      <c r="O125" s="406"/>
    </row>
    <row r="126" spans="11:15" x14ac:dyDescent="0.35">
      <c r="K126" s="95"/>
      <c r="L126" s="95"/>
      <c r="M126" s="95"/>
      <c r="N126" s="95"/>
      <c r="O126" s="406"/>
    </row>
    <row r="127" spans="11:15" x14ac:dyDescent="0.35">
      <c r="K127" s="95"/>
      <c r="L127" s="95"/>
      <c r="M127" s="95"/>
      <c r="N127" s="95"/>
      <c r="O127" s="406"/>
    </row>
    <row r="128" spans="11:15" x14ac:dyDescent="0.35">
      <c r="K128" s="95"/>
      <c r="L128" s="95"/>
      <c r="M128" s="95"/>
      <c r="N128" s="95"/>
      <c r="O128" s="406"/>
    </row>
    <row r="129" spans="11:22" x14ac:dyDescent="0.35">
      <c r="K129" s="95"/>
      <c r="L129" s="95"/>
      <c r="M129" s="95"/>
      <c r="N129" s="95"/>
      <c r="O129" s="406"/>
    </row>
    <row r="130" spans="11:22" x14ac:dyDescent="0.35">
      <c r="K130" s="95"/>
      <c r="L130" s="95"/>
      <c r="M130" s="95"/>
      <c r="N130" s="95"/>
      <c r="O130" s="406"/>
    </row>
    <row r="131" spans="11:22" x14ac:dyDescent="0.35">
      <c r="K131" s="95"/>
      <c r="L131" s="95"/>
      <c r="M131" s="95"/>
      <c r="N131" s="95"/>
      <c r="O131" s="406"/>
      <c r="P131" s="95"/>
      <c r="Q131" s="95"/>
    </row>
    <row r="132" spans="11:22" x14ac:dyDescent="0.35">
      <c r="K132" s="95"/>
      <c r="L132" s="95"/>
      <c r="M132" s="95"/>
      <c r="N132" s="95"/>
      <c r="O132" s="406"/>
      <c r="P132" s="95"/>
      <c r="Q132" s="95"/>
    </row>
    <row r="133" spans="11:22" x14ac:dyDescent="0.35">
      <c r="K133" s="95"/>
      <c r="L133" s="95"/>
      <c r="M133" s="95"/>
      <c r="N133" s="95"/>
      <c r="O133" s="406"/>
      <c r="P133" s="95"/>
      <c r="Q133" s="95"/>
      <c r="R133" s="95"/>
    </row>
    <row r="134" spans="11:22" x14ac:dyDescent="0.35">
      <c r="Q134" s="95"/>
      <c r="R134" s="95"/>
      <c r="S134" s="95"/>
    </row>
    <row r="135" spans="11:22" x14ac:dyDescent="0.35">
      <c r="R135" s="95"/>
      <c r="S135" s="95"/>
      <c r="T135" s="95"/>
    </row>
    <row r="136" spans="11:22" x14ac:dyDescent="0.35">
      <c r="S136" s="95"/>
      <c r="T136" s="95"/>
      <c r="U136" s="95"/>
    </row>
    <row r="137" spans="11:22" x14ac:dyDescent="0.35">
      <c r="T137" s="95"/>
      <c r="U137" s="95"/>
      <c r="V137" s="406"/>
    </row>
    <row r="138" spans="11:22" x14ac:dyDescent="0.35">
      <c r="P138" s="95"/>
      <c r="Q138" s="95"/>
    </row>
    <row r="139" spans="11:22" x14ac:dyDescent="0.35">
      <c r="P139" s="95"/>
      <c r="Q139" s="95"/>
    </row>
    <row r="140" spans="11:22" x14ac:dyDescent="0.35">
      <c r="P140" s="95"/>
      <c r="Q140" s="95"/>
      <c r="R140" s="95"/>
    </row>
    <row r="141" spans="11:22" x14ac:dyDescent="0.35">
      <c r="Q141" s="95"/>
      <c r="R141" s="95"/>
      <c r="S141" s="95"/>
    </row>
    <row r="142" spans="11:22" x14ac:dyDescent="0.35">
      <c r="R142" s="95"/>
      <c r="S142" s="95"/>
      <c r="T142" s="95"/>
    </row>
    <row r="143" spans="11:22" x14ac:dyDescent="0.35">
      <c r="S143" s="95"/>
      <c r="T143" s="95"/>
      <c r="U143" s="95"/>
    </row>
    <row r="144" spans="11:22" x14ac:dyDescent="0.35">
      <c r="T144" s="95"/>
      <c r="U144" s="95"/>
      <c r="V144" s="406"/>
    </row>
    <row r="145" spans="16:22" x14ac:dyDescent="0.35">
      <c r="P145" s="95"/>
      <c r="Q145" s="95"/>
    </row>
    <row r="146" spans="16:22" x14ac:dyDescent="0.35">
      <c r="P146" s="95"/>
      <c r="Q146" s="95"/>
    </row>
    <row r="147" spans="16:22" x14ac:dyDescent="0.35">
      <c r="P147" s="95"/>
      <c r="Q147" s="95"/>
      <c r="R147" s="95"/>
    </row>
    <row r="148" spans="16:22" x14ac:dyDescent="0.35">
      <c r="Q148" s="95"/>
      <c r="R148" s="95"/>
      <c r="S148" s="95"/>
    </row>
    <row r="149" spans="16:22" x14ac:dyDescent="0.35">
      <c r="R149" s="95"/>
      <c r="S149" s="95"/>
      <c r="T149" s="95"/>
    </row>
    <row r="150" spans="16:22" x14ac:dyDescent="0.35">
      <c r="S150" s="95"/>
      <c r="T150" s="95"/>
      <c r="U150" s="95"/>
    </row>
    <row r="151" spans="16:22" x14ac:dyDescent="0.35">
      <c r="T151" s="95"/>
      <c r="U151" s="95"/>
      <c r="V151" s="406"/>
    </row>
    <row r="152" spans="16:22" x14ac:dyDescent="0.35">
      <c r="P152" s="95"/>
      <c r="Q152" s="95"/>
    </row>
    <row r="153" spans="16:22" x14ac:dyDescent="0.35">
      <c r="P153" s="95"/>
      <c r="Q153" s="95"/>
    </row>
    <row r="154" spans="16:22" x14ac:dyDescent="0.35">
      <c r="P154" s="95"/>
      <c r="Q154" s="95"/>
      <c r="R154" s="95"/>
    </row>
    <row r="155" spans="16:22" x14ac:dyDescent="0.35">
      <c r="Q155" s="95"/>
      <c r="R155" s="95"/>
      <c r="S155" s="95"/>
    </row>
    <row r="156" spans="16:22" x14ac:dyDescent="0.35">
      <c r="R156" s="95"/>
      <c r="S156" s="95"/>
      <c r="T156" s="95"/>
    </row>
    <row r="157" spans="16:22" x14ac:dyDescent="0.35">
      <c r="S157" s="95"/>
      <c r="T157" s="95"/>
      <c r="U157" s="95"/>
    </row>
    <row r="158" spans="16:22" x14ac:dyDescent="0.35">
      <c r="T158" s="95"/>
      <c r="U158" s="95"/>
      <c r="V158" s="406"/>
    </row>
    <row r="159" spans="16:22" x14ac:dyDescent="0.35">
      <c r="P159" s="95"/>
      <c r="Q159" s="95"/>
    </row>
    <row r="160" spans="16:22" x14ac:dyDescent="0.35">
      <c r="P160" s="95"/>
      <c r="Q160" s="95"/>
    </row>
    <row r="161" spans="16:22" x14ac:dyDescent="0.35">
      <c r="P161" s="95"/>
      <c r="Q161" s="95"/>
      <c r="R161" s="95"/>
    </row>
    <row r="162" spans="16:22" x14ac:dyDescent="0.35">
      <c r="Q162" s="95"/>
      <c r="R162" s="95"/>
      <c r="S162" s="95"/>
    </row>
    <row r="163" spans="16:22" x14ac:dyDescent="0.35">
      <c r="R163" s="95"/>
      <c r="S163" s="95"/>
      <c r="T163" s="95"/>
    </row>
    <row r="164" spans="16:22" x14ac:dyDescent="0.35">
      <c r="S164" s="95"/>
      <c r="T164" s="95"/>
      <c r="U164" s="95"/>
    </row>
    <row r="165" spans="16:22" x14ac:dyDescent="0.35">
      <c r="T165" s="95"/>
      <c r="U165" s="95"/>
      <c r="V165" s="406"/>
    </row>
    <row r="166" spans="16:22" x14ac:dyDescent="0.35">
      <c r="P166" s="95"/>
      <c r="Q166" s="95"/>
    </row>
    <row r="167" spans="16:22" x14ac:dyDescent="0.35">
      <c r="P167" s="95"/>
      <c r="Q167" s="95"/>
    </row>
    <row r="168" spans="16:22" x14ac:dyDescent="0.35">
      <c r="P168" s="95"/>
      <c r="Q168" s="95"/>
      <c r="R168" s="95"/>
    </row>
    <row r="169" spans="16:22" x14ac:dyDescent="0.35">
      <c r="Q169" s="95"/>
      <c r="R169" s="95"/>
      <c r="S169" s="95"/>
    </row>
    <row r="170" spans="16:22" x14ac:dyDescent="0.35">
      <c r="R170" s="95"/>
      <c r="S170" s="95"/>
      <c r="T170" s="95"/>
    </row>
    <row r="171" spans="16:22" x14ac:dyDescent="0.35">
      <c r="S171" s="95"/>
      <c r="T171" s="95"/>
      <c r="U171" s="95"/>
    </row>
    <row r="172" spans="16:22" x14ac:dyDescent="0.35">
      <c r="T172" s="95"/>
      <c r="U172" s="95"/>
      <c r="V172" s="406"/>
    </row>
    <row r="173" spans="16:22" x14ac:dyDescent="0.35">
      <c r="P173" s="95"/>
      <c r="Q173" s="95"/>
    </row>
    <row r="174" spans="16:22" x14ac:dyDescent="0.35">
      <c r="P174" s="95"/>
      <c r="Q174" s="95"/>
    </row>
    <row r="175" spans="16:22" x14ac:dyDescent="0.35">
      <c r="P175" s="95"/>
      <c r="Q175" s="95"/>
      <c r="R175" s="95"/>
    </row>
    <row r="176" spans="16:22" x14ac:dyDescent="0.35">
      <c r="Q176" s="95"/>
      <c r="R176" s="95"/>
      <c r="S176" s="95"/>
    </row>
    <row r="177" spans="16:22" x14ac:dyDescent="0.35">
      <c r="R177" s="95"/>
      <c r="S177" s="95"/>
      <c r="T177" s="95"/>
    </row>
    <row r="178" spans="16:22" x14ac:dyDescent="0.35">
      <c r="S178" s="95"/>
      <c r="T178" s="95"/>
      <c r="U178" s="95"/>
    </row>
    <row r="179" spans="16:22" x14ac:dyDescent="0.35">
      <c r="T179" s="95"/>
      <c r="U179" s="95"/>
      <c r="V179" s="406"/>
    </row>
    <row r="180" spans="16:22" x14ac:dyDescent="0.35">
      <c r="P180" s="95"/>
      <c r="Q180" s="95"/>
    </row>
    <row r="181" spans="16:22" x14ac:dyDescent="0.35">
      <c r="P181" s="95"/>
      <c r="Q181" s="95"/>
    </row>
    <row r="182" spans="16:22" x14ac:dyDescent="0.35">
      <c r="P182" s="95"/>
      <c r="Q182" s="95"/>
      <c r="R182" s="95"/>
    </row>
    <row r="183" spans="16:22" x14ac:dyDescent="0.35">
      <c r="Q183" s="95"/>
      <c r="R183" s="95"/>
      <c r="S183" s="95"/>
    </row>
    <row r="184" spans="16:22" x14ac:dyDescent="0.35">
      <c r="R184" s="95"/>
      <c r="S184" s="95"/>
      <c r="T184" s="95"/>
    </row>
    <row r="185" spans="16:22" x14ac:dyDescent="0.35">
      <c r="S185" s="95"/>
      <c r="T185" s="95"/>
      <c r="U185" s="95"/>
    </row>
    <row r="186" spans="16:22" x14ac:dyDescent="0.35">
      <c r="T186" s="95"/>
      <c r="U186" s="95"/>
      <c r="V186" s="406"/>
    </row>
    <row r="187" spans="16:22" x14ac:dyDescent="0.35">
      <c r="P187" s="95"/>
      <c r="Q187" s="95"/>
    </row>
    <row r="188" spans="16:22" x14ac:dyDescent="0.35">
      <c r="P188" s="95"/>
      <c r="Q188" s="95"/>
    </row>
    <row r="189" spans="16:22" x14ac:dyDescent="0.35">
      <c r="P189" s="95"/>
      <c r="Q189" s="95"/>
      <c r="R189" s="95"/>
    </row>
    <row r="190" spans="16:22" x14ac:dyDescent="0.35">
      <c r="Q190" s="95"/>
      <c r="R190" s="95"/>
      <c r="S190" s="95"/>
    </row>
    <row r="191" spans="16:22" x14ac:dyDescent="0.35">
      <c r="R191" s="95"/>
      <c r="S191" s="95"/>
      <c r="T191" s="95"/>
    </row>
    <row r="192" spans="16:22" x14ac:dyDescent="0.35">
      <c r="S192" s="95"/>
      <c r="T192" s="95"/>
      <c r="U192" s="95"/>
    </row>
    <row r="193" spans="16:22" x14ac:dyDescent="0.35">
      <c r="T193" s="95"/>
      <c r="U193" s="95"/>
      <c r="V193" s="406"/>
    </row>
    <row r="194" spans="16:22" x14ac:dyDescent="0.35">
      <c r="P194" s="95"/>
      <c r="Q194" s="95"/>
    </row>
    <row r="195" spans="16:22" x14ac:dyDescent="0.35">
      <c r="P195" s="95"/>
      <c r="Q195" s="95"/>
    </row>
    <row r="196" spans="16:22" x14ac:dyDescent="0.35">
      <c r="P196" s="95"/>
      <c r="Q196" s="95"/>
      <c r="R196" s="95"/>
    </row>
    <row r="197" spans="16:22" x14ac:dyDescent="0.35">
      <c r="Q197" s="95"/>
      <c r="R197" s="95"/>
      <c r="S197" s="95"/>
    </row>
    <row r="198" spans="16:22" x14ac:dyDescent="0.35">
      <c r="R198" s="95"/>
      <c r="S198" s="95"/>
      <c r="T198" s="95"/>
    </row>
    <row r="199" spans="16:22" x14ac:dyDescent="0.35">
      <c r="S199" s="95"/>
      <c r="T199" s="95"/>
      <c r="U199" s="95"/>
    </row>
    <row r="200" spans="16:22" x14ac:dyDescent="0.35">
      <c r="T200" s="95"/>
      <c r="U200" s="95"/>
      <c r="V200" s="406"/>
    </row>
    <row r="201" spans="16:22" x14ac:dyDescent="0.35">
      <c r="P201" s="95"/>
      <c r="Q201" s="95"/>
    </row>
    <row r="202" spans="16:22" x14ac:dyDescent="0.35">
      <c r="P202" s="95"/>
      <c r="Q202" s="95"/>
    </row>
    <row r="203" spans="16:22" x14ac:dyDescent="0.35">
      <c r="P203" s="95"/>
      <c r="Q203" s="95"/>
      <c r="R203" s="95"/>
    </row>
    <row r="204" spans="16:22" x14ac:dyDescent="0.35">
      <c r="Q204" s="95"/>
      <c r="R204" s="95"/>
      <c r="S204" s="95"/>
    </row>
    <row r="205" spans="16:22" x14ac:dyDescent="0.35">
      <c r="R205" s="95"/>
      <c r="S205" s="95"/>
      <c r="T205" s="95"/>
    </row>
    <row r="206" spans="16:22" x14ac:dyDescent="0.35">
      <c r="S206" s="95"/>
      <c r="T206" s="95"/>
      <c r="U206" s="95"/>
    </row>
    <row r="207" spans="16:22" x14ac:dyDescent="0.35">
      <c r="T207" s="95"/>
      <c r="U207" s="95"/>
      <c r="V207" s="406"/>
    </row>
    <row r="208" spans="16:22" x14ac:dyDescent="0.35">
      <c r="P208" s="95"/>
      <c r="Q208" s="95"/>
    </row>
    <row r="209" spans="15:22" x14ac:dyDescent="0.35">
      <c r="P209" s="95"/>
      <c r="Q209" s="95"/>
    </row>
    <row r="210" spans="15:22" x14ac:dyDescent="0.35">
      <c r="P210" s="95"/>
      <c r="Q210" s="95"/>
      <c r="R210" s="95"/>
    </row>
    <row r="211" spans="15:22" x14ac:dyDescent="0.35">
      <c r="Q211" s="95"/>
      <c r="R211" s="95"/>
      <c r="S211" s="95"/>
    </row>
    <row r="212" spans="15:22" x14ac:dyDescent="0.35">
      <c r="R212" s="95"/>
      <c r="S212" s="95"/>
      <c r="T212" s="95"/>
    </row>
    <row r="213" spans="15:22" x14ac:dyDescent="0.35">
      <c r="S213" s="95"/>
      <c r="T213" s="95"/>
      <c r="U213" s="95"/>
    </row>
    <row r="214" spans="15:22" x14ac:dyDescent="0.35">
      <c r="T214" s="95"/>
      <c r="U214" s="95"/>
      <c r="V214" s="406"/>
    </row>
    <row r="215" spans="15:22" x14ac:dyDescent="0.35">
      <c r="O215"/>
      <c r="P215" s="407"/>
    </row>
    <row r="216" spans="15:22" x14ac:dyDescent="0.35">
      <c r="O216"/>
      <c r="P216" s="407"/>
      <c r="Q216" s="95"/>
    </row>
    <row r="217" spans="15:22" x14ac:dyDescent="0.35">
      <c r="O217"/>
      <c r="P217" s="407"/>
      <c r="Q217" s="95"/>
      <c r="R217" s="95"/>
    </row>
    <row r="218" spans="15:22" x14ac:dyDescent="0.35">
      <c r="O218"/>
      <c r="P218" s="407"/>
      <c r="Q218" s="95"/>
      <c r="R218" s="95"/>
      <c r="S218" s="95"/>
    </row>
    <row r="219" spans="15:22" x14ac:dyDescent="0.35">
      <c r="O219"/>
      <c r="P219" s="87"/>
      <c r="Q219" s="95"/>
      <c r="R219" s="95"/>
      <c r="S219" s="95"/>
      <c r="T219" s="95"/>
    </row>
    <row r="220" spans="15:22" x14ac:dyDescent="0.35">
      <c r="O220"/>
      <c r="P220" s="87"/>
      <c r="R220" s="95"/>
      <c r="S220" s="95"/>
      <c r="T220" s="95"/>
      <c r="U220" s="95"/>
    </row>
    <row r="221" spans="15:22" x14ac:dyDescent="0.35">
      <c r="O221"/>
      <c r="P221" s="87"/>
      <c r="S221" s="95"/>
      <c r="T221" s="95"/>
      <c r="U221" s="95"/>
      <c r="V221" s="406"/>
    </row>
    <row r="222" spans="15:22" x14ac:dyDescent="0.35">
      <c r="O222"/>
      <c r="P222" s="407"/>
    </row>
    <row r="223" spans="15:22" x14ac:dyDescent="0.35">
      <c r="P223" s="407"/>
      <c r="Q223" s="95"/>
    </row>
    <row r="224" spans="15:22" x14ac:dyDescent="0.35">
      <c r="P224" s="407"/>
      <c r="Q224" s="95"/>
      <c r="R224" s="95"/>
    </row>
    <row r="225" spans="16:22" x14ac:dyDescent="0.35">
      <c r="P225" s="407"/>
      <c r="Q225" s="95"/>
      <c r="R225" s="95"/>
      <c r="S225" s="95"/>
    </row>
    <row r="226" spans="16:22" x14ac:dyDescent="0.35">
      <c r="P226" s="87"/>
      <c r="Q226" s="95"/>
      <c r="R226" s="95"/>
      <c r="S226" s="95"/>
      <c r="T226" s="95"/>
    </row>
    <row r="227" spans="16:22" x14ac:dyDescent="0.35">
      <c r="P227" s="87"/>
      <c r="R227" s="95"/>
      <c r="S227" s="95"/>
      <c r="T227" s="95"/>
      <c r="U227" s="95"/>
    </row>
    <row r="228" spans="16:22" x14ac:dyDescent="0.35">
      <c r="P228" s="87"/>
      <c r="S228" s="95"/>
      <c r="T228" s="95"/>
      <c r="U228" s="95"/>
      <c r="V228" s="406"/>
    </row>
    <row r="229" spans="16:22" x14ac:dyDescent="0.35">
      <c r="P229" s="407"/>
    </row>
    <row r="230" spans="16:22" x14ac:dyDescent="0.35">
      <c r="P230" s="407"/>
      <c r="Q230" s="95"/>
    </row>
    <row r="231" spans="16:22" x14ac:dyDescent="0.35">
      <c r="P231" s="407"/>
      <c r="Q231" s="95"/>
      <c r="R231" s="95"/>
    </row>
    <row r="232" spans="16:22" x14ac:dyDescent="0.35">
      <c r="P232" s="407"/>
      <c r="Q232" s="95"/>
      <c r="R232" s="95"/>
      <c r="S232" s="95"/>
    </row>
    <row r="233" spans="16:22" x14ac:dyDescent="0.35">
      <c r="P233" s="87"/>
      <c r="Q233" s="95"/>
      <c r="R233" s="95"/>
      <c r="S233" s="95"/>
      <c r="T233" s="95"/>
    </row>
    <row r="234" spans="16:22" x14ac:dyDescent="0.35">
      <c r="P234" s="87"/>
      <c r="R234" s="95"/>
      <c r="S234" s="95"/>
      <c r="T234" s="95"/>
      <c r="U234" s="95"/>
    </row>
    <row r="235" spans="16:22" x14ac:dyDescent="0.35">
      <c r="P235" s="87"/>
      <c r="S235" s="95"/>
      <c r="T235" s="95"/>
      <c r="U235" s="95"/>
      <c r="V235" s="406"/>
    </row>
    <row r="236" spans="16:22" x14ac:dyDescent="0.35">
      <c r="P236" s="407"/>
    </row>
    <row r="237" spans="16:22" x14ac:dyDescent="0.35">
      <c r="P237" s="407"/>
      <c r="Q237" s="95"/>
    </row>
    <row r="238" spans="16:22" x14ac:dyDescent="0.35">
      <c r="P238" s="407"/>
      <c r="Q238" s="95"/>
      <c r="R238" s="95"/>
    </row>
    <row r="239" spans="16:22" x14ac:dyDescent="0.35">
      <c r="P239" s="407"/>
      <c r="Q239" s="95"/>
      <c r="R239" s="95"/>
      <c r="S239" s="95"/>
    </row>
    <row r="240" spans="16:22" x14ac:dyDescent="0.35">
      <c r="P240" s="87"/>
      <c r="Q240" s="95"/>
      <c r="R240" s="95"/>
      <c r="S240" s="95"/>
      <c r="T240" s="95"/>
    </row>
    <row r="241" spans="16:22" x14ac:dyDescent="0.35">
      <c r="P241" s="87"/>
      <c r="R241" s="95"/>
      <c r="S241" s="95"/>
      <c r="T241" s="95"/>
      <c r="U241" s="95"/>
    </row>
    <row r="242" spans="16:22" x14ac:dyDescent="0.35">
      <c r="P242" s="87"/>
      <c r="S242" s="95"/>
      <c r="T242" s="95"/>
      <c r="U242" s="95"/>
      <c r="V242" s="406"/>
    </row>
    <row r="243" spans="16:22" x14ac:dyDescent="0.35">
      <c r="P243" s="407"/>
    </row>
    <row r="244" spans="16:22" x14ac:dyDescent="0.35">
      <c r="P244" s="407"/>
      <c r="Q244" s="95"/>
    </row>
    <row r="245" spans="16:22" x14ac:dyDescent="0.35">
      <c r="P245" s="407"/>
      <c r="Q245" s="95"/>
      <c r="R245" s="95"/>
    </row>
    <row r="246" spans="16:22" x14ac:dyDescent="0.35">
      <c r="P246" s="407"/>
      <c r="Q246" s="95"/>
      <c r="R246" s="95"/>
      <c r="S246" s="95"/>
    </row>
    <row r="247" spans="16:22" x14ac:dyDescent="0.35">
      <c r="P247" s="87"/>
      <c r="Q247" s="95"/>
      <c r="R247" s="95"/>
      <c r="S247" s="95"/>
      <c r="T247" s="95"/>
    </row>
    <row r="248" spans="16:22" x14ac:dyDescent="0.35">
      <c r="P248" s="87"/>
      <c r="R248" s="95"/>
      <c r="S248" s="95"/>
      <c r="T248" s="95"/>
      <c r="U248" s="95"/>
    </row>
    <row r="249" spans="16:22" x14ac:dyDescent="0.35">
      <c r="P249" s="87"/>
      <c r="S249" s="95"/>
      <c r="T249" s="95"/>
      <c r="U249" s="95"/>
      <c r="V249" s="406"/>
    </row>
    <row r="250" spans="16:22" x14ac:dyDescent="0.35">
      <c r="P250" s="407"/>
    </row>
    <row r="251" spans="16:22" x14ac:dyDescent="0.35">
      <c r="P251" s="407"/>
      <c r="Q251" s="95"/>
    </row>
    <row r="252" spans="16:22" x14ac:dyDescent="0.35">
      <c r="P252" s="407"/>
      <c r="Q252" s="95"/>
      <c r="R252" s="95"/>
    </row>
    <row r="253" spans="16:22" x14ac:dyDescent="0.35">
      <c r="P253" s="407"/>
      <c r="Q253" s="95"/>
      <c r="R253" s="95"/>
      <c r="S253" s="95"/>
    </row>
    <row r="254" spans="16:22" x14ac:dyDescent="0.35">
      <c r="P254" s="87"/>
      <c r="Q254" s="95"/>
      <c r="R254" s="95"/>
      <c r="S254" s="95"/>
      <c r="T254" s="95"/>
    </row>
    <row r="255" spans="16:22" x14ac:dyDescent="0.35">
      <c r="P255" s="87"/>
      <c r="R255" s="95"/>
      <c r="S255" s="95"/>
      <c r="T255" s="95"/>
      <c r="U255" s="95"/>
    </row>
    <row r="256" spans="16:22" x14ac:dyDescent="0.35">
      <c r="P256" s="87"/>
      <c r="S256" s="95"/>
      <c r="T256" s="95"/>
      <c r="U256" s="95"/>
      <c r="V256" s="406"/>
    </row>
    <row r="257" spans="16:22" x14ac:dyDescent="0.35">
      <c r="P257" s="407"/>
    </row>
    <row r="258" spans="16:22" x14ac:dyDescent="0.35">
      <c r="P258" s="407"/>
      <c r="Q258" s="95"/>
    </row>
    <row r="259" spans="16:22" x14ac:dyDescent="0.35">
      <c r="P259" s="407"/>
      <c r="Q259" s="95"/>
      <c r="R259" s="95"/>
    </row>
    <row r="260" spans="16:22" x14ac:dyDescent="0.35">
      <c r="P260" s="407"/>
      <c r="Q260" s="95"/>
      <c r="R260" s="95"/>
      <c r="S260" s="95"/>
    </row>
    <row r="261" spans="16:22" x14ac:dyDescent="0.35">
      <c r="P261" s="87"/>
      <c r="Q261" s="95"/>
      <c r="R261" s="95"/>
      <c r="S261" s="95"/>
      <c r="T261" s="95"/>
    </row>
    <row r="262" spans="16:22" x14ac:dyDescent="0.35">
      <c r="P262" s="87"/>
      <c r="R262" s="95"/>
      <c r="S262" s="95"/>
      <c r="T262" s="95"/>
      <c r="U262" s="95"/>
    </row>
    <row r="263" spans="16:22" x14ac:dyDescent="0.35">
      <c r="P263" s="87"/>
      <c r="S263" s="95"/>
      <c r="T263" s="95"/>
      <c r="U263" s="95"/>
      <c r="V263" s="406"/>
    </row>
    <row r="264" spans="16:22" x14ac:dyDescent="0.35">
      <c r="P264" s="407"/>
    </row>
    <row r="265" spans="16:22" x14ac:dyDescent="0.35">
      <c r="P265" s="407"/>
      <c r="Q265" s="95"/>
    </row>
    <row r="266" spans="16:22" x14ac:dyDescent="0.35">
      <c r="P266" s="407"/>
      <c r="Q266" s="95"/>
      <c r="R266" s="95"/>
    </row>
    <row r="267" spans="16:22" x14ac:dyDescent="0.35">
      <c r="P267" s="407"/>
      <c r="Q267" s="95"/>
      <c r="R267" s="95"/>
      <c r="S267" s="95"/>
    </row>
    <row r="268" spans="16:22" x14ac:dyDescent="0.35">
      <c r="P268" s="87"/>
      <c r="Q268" s="95"/>
      <c r="R268" s="95"/>
      <c r="S268" s="95"/>
      <c r="T268" s="95"/>
    </row>
    <row r="269" spans="16:22" x14ac:dyDescent="0.35">
      <c r="P269" s="87"/>
      <c r="R269" s="95"/>
      <c r="S269" s="95"/>
      <c r="T269" s="95"/>
      <c r="U269" s="95"/>
    </row>
    <row r="270" spans="16:22" x14ac:dyDescent="0.35">
      <c r="P270" s="87"/>
      <c r="S270" s="95"/>
      <c r="T270" s="95"/>
      <c r="U270" s="95"/>
      <c r="V270" s="406"/>
    </row>
    <row r="271" spans="16:22" x14ac:dyDescent="0.35">
      <c r="P271" s="407"/>
    </row>
    <row r="272" spans="16:22" x14ac:dyDescent="0.35">
      <c r="P272" s="407"/>
      <c r="Q272" s="95"/>
    </row>
    <row r="273" spans="16:22" x14ac:dyDescent="0.35">
      <c r="P273" s="407"/>
      <c r="Q273" s="95"/>
      <c r="R273" s="95"/>
    </row>
    <row r="274" spans="16:22" x14ac:dyDescent="0.35">
      <c r="P274" s="407"/>
      <c r="Q274" s="95"/>
      <c r="R274" s="95"/>
      <c r="S274" s="95"/>
    </row>
    <row r="275" spans="16:22" x14ac:dyDescent="0.35">
      <c r="P275" s="87"/>
      <c r="Q275" s="95"/>
      <c r="R275" s="95"/>
      <c r="S275" s="95"/>
      <c r="T275" s="95"/>
    </row>
    <row r="276" spans="16:22" x14ac:dyDescent="0.35">
      <c r="P276" s="87"/>
      <c r="R276" s="95"/>
      <c r="S276" s="95"/>
      <c r="T276" s="95"/>
      <c r="U276" s="95"/>
    </row>
    <row r="277" spans="16:22" x14ac:dyDescent="0.35">
      <c r="P277" s="87"/>
      <c r="S277" s="95"/>
      <c r="T277" s="95"/>
      <c r="U277" s="95"/>
      <c r="V277" s="406"/>
    </row>
    <row r="278" spans="16:22" x14ac:dyDescent="0.35">
      <c r="P278" s="407"/>
    </row>
    <row r="279" spans="16:22" x14ac:dyDescent="0.35">
      <c r="P279" s="407"/>
      <c r="Q279" s="95"/>
    </row>
    <row r="280" spans="16:22" x14ac:dyDescent="0.35">
      <c r="P280" s="407"/>
      <c r="Q280" s="95"/>
      <c r="R280" s="95"/>
    </row>
    <row r="281" spans="16:22" x14ac:dyDescent="0.35">
      <c r="P281" s="407"/>
      <c r="Q281" s="95"/>
      <c r="R281" s="95"/>
      <c r="S281" s="95"/>
    </row>
    <row r="282" spans="16:22" x14ac:dyDescent="0.35">
      <c r="P282" s="87"/>
      <c r="Q282" s="95"/>
      <c r="R282" s="95"/>
      <c r="S282" s="95"/>
      <c r="T282" s="95"/>
    </row>
    <row r="283" spans="16:22" x14ac:dyDescent="0.35">
      <c r="P283" s="87"/>
      <c r="R283" s="95"/>
      <c r="S283" s="95"/>
      <c r="T283" s="95"/>
      <c r="U283" s="95"/>
    </row>
    <row r="284" spans="16:22" x14ac:dyDescent="0.35">
      <c r="P284" s="87"/>
      <c r="S284" s="95"/>
      <c r="T284" s="95"/>
      <c r="U284" s="95"/>
      <c r="V284" s="406"/>
    </row>
    <row r="285" spans="16:22" x14ac:dyDescent="0.35">
      <c r="P285" s="407"/>
    </row>
    <row r="286" spans="16:22" x14ac:dyDescent="0.35">
      <c r="P286" s="407"/>
      <c r="Q286" s="95"/>
    </row>
    <row r="287" spans="16:22" x14ac:dyDescent="0.35">
      <c r="P287" s="407"/>
      <c r="Q287" s="95"/>
      <c r="R287" s="95"/>
    </row>
    <row r="288" spans="16:22" x14ac:dyDescent="0.35">
      <c r="P288" s="407"/>
      <c r="Q288" s="95"/>
      <c r="R288" s="95"/>
      <c r="S288" s="95"/>
    </row>
    <row r="289" spans="16:22" x14ac:dyDescent="0.35">
      <c r="P289" s="87"/>
      <c r="Q289" s="95"/>
      <c r="R289" s="95"/>
      <c r="S289" s="95"/>
      <c r="T289" s="95"/>
    </row>
    <row r="290" spans="16:22" x14ac:dyDescent="0.35">
      <c r="P290" s="87"/>
      <c r="R290" s="95"/>
      <c r="S290" s="95"/>
      <c r="T290" s="95"/>
      <c r="U290" s="95"/>
    </row>
    <row r="291" spans="16:22" x14ac:dyDescent="0.35">
      <c r="P291" s="87"/>
      <c r="S291" s="95"/>
      <c r="T291" s="95"/>
      <c r="U291" s="95"/>
      <c r="V291" s="406"/>
    </row>
    <row r="292" spans="16:22" x14ac:dyDescent="0.35">
      <c r="P292" s="407"/>
    </row>
    <row r="293" spans="16:22" x14ac:dyDescent="0.35">
      <c r="P293" s="407"/>
      <c r="Q293" s="95"/>
    </row>
    <row r="294" spans="16:22" x14ac:dyDescent="0.35">
      <c r="P294" s="407"/>
      <c r="Q294" s="95"/>
      <c r="R294" s="95"/>
    </row>
    <row r="295" spans="16:22" x14ac:dyDescent="0.35">
      <c r="P295" s="407"/>
      <c r="Q295" s="95"/>
      <c r="R295" s="95"/>
      <c r="S295" s="95"/>
    </row>
    <row r="296" spans="16:22" x14ac:dyDescent="0.35">
      <c r="P296" s="87"/>
      <c r="Q296" s="95"/>
      <c r="R296" s="95"/>
      <c r="S296" s="95"/>
      <c r="T296" s="95"/>
    </row>
    <row r="297" spans="16:22" x14ac:dyDescent="0.35">
      <c r="P297" s="87"/>
      <c r="R297" s="95"/>
      <c r="S297" s="95"/>
      <c r="T297" s="95"/>
      <c r="U297" s="95"/>
    </row>
    <row r="298" spans="16:22" x14ac:dyDescent="0.35">
      <c r="P298" s="87"/>
      <c r="S298" s="95"/>
      <c r="T298" s="95"/>
      <c r="U298" s="95"/>
      <c r="V298" s="406"/>
    </row>
    <row r="299" spans="16:22" x14ac:dyDescent="0.35">
      <c r="P299" s="407"/>
    </row>
    <row r="300" spans="16:22" x14ac:dyDescent="0.35">
      <c r="P300" s="407"/>
      <c r="Q300" s="95"/>
    </row>
    <row r="301" spans="16:22" x14ac:dyDescent="0.35">
      <c r="P301" s="407"/>
      <c r="Q301" s="95"/>
      <c r="R301" s="95"/>
    </row>
    <row r="302" spans="16:22" x14ac:dyDescent="0.35">
      <c r="P302" s="407"/>
      <c r="Q302" s="95"/>
      <c r="R302" s="95"/>
      <c r="S302" s="95"/>
    </row>
    <row r="303" spans="16:22" x14ac:dyDescent="0.35">
      <c r="P303" s="87"/>
      <c r="Q303" s="95"/>
      <c r="R303" s="95"/>
      <c r="S303" s="95"/>
      <c r="T303" s="95"/>
    </row>
    <row r="304" spans="16:22" x14ac:dyDescent="0.35">
      <c r="P304" s="87"/>
      <c r="R304" s="95"/>
      <c r="S304" s="95"/>
      <c r="T304" s="95"/>
      <c r="U304" s="95"/>
    </row>
    <row r="305" spans="16:22" x14ac:dyDescent="0.35">
      <c r="P305" s="87"/>
      <c r="S305" s="95"/>
      <c r="T305" s="95"/>
      <c r="U305" s="95"/>
      <c r="V305" s="406"/>
    </row>
    <row r="306" spans="16:22" x14ac:dyDescent="0.35">
      <c r="P306" s="407"/>
    </row>
    <row r="307" spans="16:22" x14ac:dyDescent="0.35">
      <c r="P307" s="407"/>
      <c r="Q307" s="95"/>
    </row>
    <row r="308" spans="16:22" x14ac:dyDescent="0.35">
      <c r="P308" s="407"/>
      <c r="Q308" s="95"/>
      <c r="R308" s="95"/>
    </row>
    <row r="309" spans="16:22" x14ac:dyDescent="0.35">
      <c r="P309" s="407"/>
      <c r="Q309" s="95"/>
      <c r="R309" s="95"/>
      <c r="S309" s="95"/>
    </row>
    <row r="310" spans="16:22" x14ac:dyDescent="0.35">
      <c r="P310" s="87"/>
      <c r="Q310" s="95"/>
      <c r="R310" s="95"/>
      <c r="S310" s="95"/>
      <c r="T310" s="95"/>
    </row>
    <row r="311" spans="16:22" x14ac:dyDescent="0.35">
      <c r="P311" s="87"/>
      <c r="R311" s="95"/>
      <c r="S311" s="95"/>
      <c r="T311" s="95"/>
      <c r="U311" s="95"/>
    </row>
    <row r="312" spans="16:22" x14ac:dyDescent="0.35">
      <c r="P312" s="87"/>
      <c r="S312" s="95"/>
      <c r="T312" s="95"/>
      <c r="U312" s="95"/>
      <c r="V312" s="406"/>
    </row>
    <row r="313" spans="16:22" x14ac:dyDescent="0.35">
      <c r="P313" s="407"/>
    </row>
    <row r="314" spans="16:22" x14ac:dyDescent="0.35">
      <c r="P314" s="407"/>
      <c r="Q314" s="95"/>
    </row>
    <row r="315" spans="16:22" x14ac:dyDescent="0.35">
      <c r="P315" s="407"/>
      <c r="Q315" s="95"/>
      <c r="R315" s="95"/>
    </row>
    <row r="316" spans="16:22" x14ac:dyDescent="0.35">
      <c r="P316" s="407"/>
      <c r="Q316" s="95"/>
      <c r="R316" s="95"/>
      <c r="S316" s="95"/>
    </row>
    <row r="317" spans="16:22" x14ac:dyDescent="0.35">
      <c r="P317" s="87"/>
      <c r="Q317" s="95"/>
      <c r="R317" s="95"/>
      <c r="S317" s="95"/>
      <c r="T317" s="95"/>
    </row>
    <row r="318" spans="16:22" x14ac:dyDescent="0.35">
      <c r="P318" s="87"/>
      <c r="R318" s="95"/>
      <c r="S318" s="95"/>
      <c r="T318" s="95"/>
      <c r="U318" s="95"/>
    </row>
    <row r="319" spans="16:22" x14ac:dyDescent="0.35">
      <c r="P319" s="87"/>
      <c r="S319" s="95"/>
      <c r="T319" s="95"/>
      <c r="U319" s="95"/>
      <c r="V319" s="406"/>
    </row>
    <row r="320" spans="16:22" x14ac:dyDescent="0.35">
      <c r="P320" s="407"/>
    </row>
    <row r="321" spans="16:22" x14ac:dyDescent="0.35">
      <c r="P321" s="407"/>
      <c r="Q321" s="95"/>
    </row>
    <row r="322" spans="16:22" x14ac:dyDescent="0.35">
      <c r="P322" s="407"/>
      <c r="Q322" s="95"/>
      <c r="R322" s="95"/>
    </row>
    <row r="323" spans="16:22" x14ac:dyDescent="0.35">
      <c r="P323" s="407"/>
      <c r="Q323" s="95"/>
      <c r="R323" s="95"/>
      <c r="S323" s="95"/>
    </row>
    <row r="324" spans="16:22" x14ac:dyDescent="0.35">
      <c r="P324" s="87"/>
      <c r="Q324" s="95"/>
      <c r="R324" s="95"/>
      <c r="S324" s="95"/>
      <c r="T324" s="95"/>
    </row>
    <row r="325" spans="16:22" x14ac:dyDescent="0.35">
      <c r="P325" s="87"/>
      <c r="R325" s="95"/>
      <c r="S325" s="95"/>
      <c r="T325" s="95"/>
      <c r="U325" s="95"/>
    </row>
    <row r="326" spans="16:22" x14ac:dyDescent="0.35">
      <c r="P326" s="87"/>
      <c r="S326" s="95"/>
      <c r="T326" s="95"/>
      <c r="U326" s="95"/>
      <c r="V326" s="406"/>
    </row>
    <row r="327" spans="16:22" x14ac:dyDescent="0.35">
      <c r="P327" s="407"/>
    </row>
    <row r="328" spans="16:22" x14ac:dyDescent="0.35">
      <c r="P328" s="407"/>
      <c r="Q328" s="95"/>
    </row>
    <row r="329" spans="16:22" x14ac:dyDescent="0.35">
      <c r="P329" s="407"/>
      <c r="Q329" s="95"/>
      <c r="R329" s="95"/>
    </row>
    <row r="330" spans="16:22" x14ac:dyDescent="0.35">
      <c r="P330" s="407"/>
      <c r="Q330" s="95"/>
      <c r="R330" s="95"/>
      <c r="S330" s="95"/>
    </row>
    <row r="331" spans="16:22" x14ac:dyDescent="0.35">
      <c r="P331" s="87"/>
      <c r="Q331" s="95"/>
      <c r="R331" s="95"/>
      <c r="S331" s="95"/>
      <c r="T331" s="95"/>
    </row>
    <row r="332" spans="16:22" x14ac:dyDescent="0.35">
      <c r="P332" s="87"/>
      <c r="R332" s="95"/>
      <c r="S332" s="95"/>
      <c r="T332" s="95"/>
      <c r="U332" s="95"/>
    </row>
    <row r="333" spans="16:22" x14ac:dyDescent="0.35">
      <c r="P333" s="87"/>
      <c r="S333" s="95"/>
      <c r="T333" s="95"/>
      <c r="U333" s="95"/>
      <c r="V333" s="406"/>
    </row>
    <row r="334" spans="16:22" x14ac:dyDescent="0.35">
      <c r="P334" s="407"/>
    </row>
    <row r="335" spans="16:22" x14ac:dyDescent="0.35">
      <c r="P335" s="407"/>
      <c r="Q335" s="95"/>
    </row>
    <row r="336" spans="16:22" x14ac:dyDescent="0.35">
      <c r="P336" s="407"/>
      <c r="Q336" s="95"/>
      <c r="R336" s="95"/>
    </row>
    <row r="337" spans="16:22" x14ac:dyDescent="0.35">
      <c r="P337" s="407"/>
      <c r="Q337" s="95"/>
      <c r="R337" s="95"/>
      <c r="S337" s="95"/>
    </row>
    <row r="338" spans="16:22" x14ac:dyDescent="0.35">
      <c r="P338" s="87"/>
      <c r="Q338" s="95"/>
      <c r="R338" s="95"/>
      <c r="S338" s="95"/>
      <c r="T338" s="95"/>
    </row>
    <row r="339" spans="16:22" x14ac:dyDescent="0.35">
      <c r="P339" s="87"/>
      <c r="R339" s="95"/>
      <c r="S339" s="95"/>
      <c r="T339" s="95"/>
      <c r="U339" s="95"/>
    </row>
    <row r="340" spans="16:22" x14ac:dyDescent="0.35">
      <c r="P340" s="87"/>
      <c r="S340" s="95"/>
      <c r="T340" s="95"/>
      <c r="U340" s="95"/>
      <c r="V340" s="406"/>
    </row>
    <row r="341" spans="16:22" x14ac:dyDescent="0.35">
      <c r="P341" s="407"/>
    </row>
    <row r="342" spans="16:22" x14ac:dyDescent="0.35">
      <c r="P342" s="407"/>
      <c r="Q342" s="95"/>
    </row>
    <row r="343" spans="16:22" x14ac:dyDescent="0.35">
      <c r="P343" s="407"/>
      <c r="Q343" s="95"/>
      <c r="R343" s="95"/>
    </row>
    <row r="344" spans="16:22" x14ac:dyDescent="0.35">
      <c r="P344" s="407"/>
      <c r="Q344" s="95"/>
      <c r="R344" s="95"/>
      <c r="S344" s="95"/>
    </row>
    <row r="345" spans="16:22" x14ac:dyDescent="0.35">
      <c r="P345" s="87"/>
      <c r="Q345" s="95"/>
      <c r="R345" s="95"/>
      <c r="S345" s="95"/>
      <c r="T345" s="95"/>
    </row>
    <row r="346" spans="16:22" x14ac:dyDescent="0.35">
      <c r="P346" s="87"/>
      <c r="R346" s="95"/>
      <c r="S346" s="95"/>
      <c r="T346" s="95"/>
      <c r="U346" s="95"/>
    </row>
    <row r="347" spans="16:22" x14ac:dyDescent="0.35">
      <c r="P347" s="87"/>
      <c r="S347" s="95"/>
      <c r="T347" s="95"/>
      <c r="U347" s="95"/>
      <c r="V347" s="406"/>
    </row>
    <row r="348" spans="16:22" x14ac:dyDescent="0.35">
      <c r="P348" s="407"/>
    </row>
    <row r="349" spans="16:22" x14ac:dyDescent="0.35">
      <c r="P349" s="407"/>
      <c r="Q349" s="95"/>
    </row>
    <row r="350" spans="16:22" x14ac:dyDescent="0.35">
      <c r="P350" s="407"/>
      <c r="Q350" s="95"/>
      <c r="R350" s="95"/>
    </row>
    <row r="351" spans="16:22" x14ac:dyDescent="0.35">
      <c r="P351" s="407"/>
      <c r="Q351" s="95"/>
      <c r="R351" s="95"/>
      <c r="S351" s="95"/>
    </row>
    <row r="352" spans="16:22" x14ac:dyDescent="0.35">
      <c r="P352" s="87"/>
      <c r="Q352" s="95"/>
      <c r="R352" s="95"/>
      <c r="S352" s="95"/>
      <c r="T352" s="95"/>
    </row>
    <row r="353" spans="16:22" x14ac:dyDescent="0.35">
      <c r="P353" s="87"/>
      <c r="R353" s="95"/>
      <c r="S353" s="95"/>
      <c r="T353" s="95"/>
      <c r="U353" s="95"/>
    </row>
    <row r="354" spans="16:22" x14ac:dyDescent="0.35">
      <c r="P354" s="87"/>
      <c r="S354" s="95"/>
      <c r="T354" s="95"/>
      <c r="U354" s="95"/>
      <c r="V354" s="406"/>
    </row>
    <row r="355" spans="16:22" x14ac:dyDescent="0.35">
      <c r="P355" s="407"/>
    </row>
    <row r="356" spans="16:22" x14ac:dyDescent="0.35">
      <c r="P356" s="407"/>
      <c r="Q356" s="95"/>
    </row>
    <row r="357" spans="16:22" x14ac:dyDescent="0.35">
      <c r="P357" s="407"/>
      <c r="Q357" s="95"/>
      <c r="R357" s="95"/>
    </row>
    <row r="358" spans="16:22" x14ac:dyDescent="0.35">
      <c r="P358" s="407"/>
      <c r="Q358" s="95"/>
      <c r="R358" s="95"/>
      <c r="S358" s="95"/>
    </row>
    <row r="359" spans="16:22" x14ac:dyDescent="0.35">
      <c r="P359" s="87"/>
      <c r="Q359" s="95"/>
      <c r="R359" s="95"/>
      <c r="S359" s="95"/>
      <c r="T359" s="95"/>
    </row>
    <row r="360" spans="16:22" x14ac:dyDescent="0.35">
      <c r="P360" s="87"/>
      <c r="R360" s="95"/>
      <c r="S360" s="95"/>
      <c r="T360" s="95"/>
      <c r="U360" s="95"/>
    </row>
    <row r="361" spans="16:22" x14ac:dyDescent="0.35">
      <c r="P361" s="87"/>
      <c r="S361" s="95"/>
      <c r="T361" s="95"/>
      <c r="U361" s="95"/>
      <c r="V361" s="406"/>
    </row>
    <row r="362" spans="16:22" x14ac:dyDescent="0.35">
      <c r="P362" s="407"/>
    </row>
    <row r="363" spans="16:22" x14ac:dyDescent="0.35">
      <c r="P363" s="407"/>
      <c r="Q363" s="95"/>
    </row>
    <row r="364" spans="16:22" x14ac:dyDescent="0.35">
      <c r="P364" s="407"/>
      <c r="Q364" s="95"/>
      <c r="R364" s="95"/>
    </row>
    <row r="365" spans="16:22" x14ac:dyDescent="0.35">
      <c r="P365" s="407"/>
      <c r="Q365" s="95"/>
      <c r="R365" s="95"/>
      <c r="S365" s="95"/>
    </row>
    <row r="366" spans="16:22" x14ac:dyDescent="0.35">
      <c r="P366" s="87"/>
      <c r="Q366" s="95"/>
      <c r="R366" s="95"/>
      <c r="S366" s="95"/>
      <c r="T366" s="95"/>
    </row>
    <row r="367" spans="16:22" x14ac:dyDescent="0.35">
      <c r="P367" s="87"/>
      <c r="R367" s="95"/>
      <c r="S367" s="95"/>
      <c r="T367" s="95"/>
      <c r="U367" s="95"/>
    </row>
    <row r="368" spans="16:22" x14ac:dyDescent="0.35">
      <c r="P368" s="87"/>
      <c r="S368" s="95"/>
      <c r="T368" s="95"/>
      <c r="U368" s="95"/>
      <c r="V368" s="406"/>
    </row>
    <row r="369" spans="16:22" x14ac:dyDescent="0.35">
      <c r="P369" s="407"/>
    </row>
    <row r="370" spans="16:22" x14ac:dyDescent="0.35">
      <c r="P370" s="407"/>
      <c r="Q370" s="95"/>
    </row>
    <row r="371" spans="16:22" x14ac:dyDescent="0.35">
      <c r="P371" s="407"/>
      <c r="Q371" s="95"/>
      <c r="R371" s="95"/>
    </row>
    <row r="372" spans="16:22" x14ac:dyDescent="0.35">
      <c r="P372" s="407"/>
      <c r="Q372" s="95"/>
      <c r="R372" s="95"/>
      <c r="S372" s="95"/>
    </row>
    <row r="373" spans="16:22" x14ac:dyDescent="0.35">
      <c r="P373" s="87"/>
      <c r="Q373" s="95"/>
      <c r="R373" s="95"/>
      <c r="S373" s="95"/>
      <c r="T373" s="95"/>
    </row>
    <row r="374" spans="16:22" x14ac:dyDescent="0.35">
      <c r="P374" s="87"/>
      <c r="R374" s="95"/>
      <c r="S374" s="95"/>
      <c r="T374" s="95"/>
      <c r="U374" s="95"/>
    </row>
    <row r="375" spans="16:22" x14ac:dyDescent="0.35">
      <c r="P375" s="87"/>
      <c r="S375" s="95"/>
      <c r="T375" s="95"/>
      <c r="U375" s="95"/>
      <c r="V375" s="406"/>
    </row>
    <row r="376" spans="16:22" x14ac:dyDescent="0.35">
      <c r="P376" s="407"/>
    </row>
    <row r="377" spans="16:22" x14ac:dyDescent="0.35">
      <c r="P377" s="407"/>
      <c r="Q377" s="95"/>
    </row>
    <row r="378" spans="16:22" x14ac:dyDescent="0.35">
      <c r="P378" s="407"/>
      <c r="Q378" s="95"/>
      <c r="R378" s="95"/>
    </row>
    <row r="379" spans="16:22" x14ac:dyDescent="0.35">
      <c r="P379" s="407"/>
      <c r="Q379" s="95"/>
      <c r="R379" s="95"/>
      <c r="S379" s="95"/>
    </row>
    <row r="380" spans="16:22" x14ac:dyDescent="0.35">
      <c r="P380" s="87"/>
      <c r="Q380" s="95"/>
      <c r="R380" s="95"/>
      <c r="S380" s="95"/>
      <c r="T380" s="95"/>
    </row>
    <row r="381" spans="16:22" x14ac:dyDescent="0.35">
      <c r="P381" s="87"/>
      <c r="R381" s="95"/>
      <c r="S381" s="95"/>
      <c r="T381" s="95"/>
      <c r="U381" s="95"/>
    </row>
    <row r="382" spans="16:22" x14ac:dyDescent="0.35">
      <c r="P382" s="87"/>
      <c r="S382" s="95"/>
      <c r="T382" s="95"/>
      <c r="U382" s="95"/>
      <c r="V382" s="406"/>
    </row>
    <row r="383" spans="16:22" x14ac:dyDescent="0.35">
      <c r="P383" s="95"/>
    </row>
    <row r="384" spans="16:22" x14ac:dyDescent="0.35">
      <c r="P384" s="95"/>
      <c r="Q384" s="95"/>
    </row>
    <row r="385" spans="16:22" x14ac:dyDescent="0.35">
      <c r="P385" s="95"/>
      <c r="Q385" s="95"/>
      <c r="R385" s="95"/>
    </row>
    <row r="386" spans="16:22" x14ac:dyDescent="0.35">
      <c r="P386" s="95"/>
      <c r="Q386" s="95"/>
      <c r="R386" s="95"/>
      <c r="S386" s="95"/>
    </row>
    <row r="387" spans="16:22" x14ac:dyDescent="0.35">
      <c r="Q387" s="95"/>
      <c r="R387" s="95"/>
      <c r="S387" s="95"/>
      <c r="T387" s="95"/>
    </row>
    <row r="388" spans="16:22" x14ac:dyDescent="0.35">
      <c r="R388" s="95"/>
      <c r="S388" s="95"/>
      <c r="T388" s="95"/>
      <c r="U388" s="95"/>
    </row>
    <row r="389" spans="16:22" x14ac:dyDescent="0.35">
      <c r="S389" s="95"/>
      <c r="T389" s="95"/>
      <c r="U389" s="95"/>
      <c r="V389" s="95"/>
    </row>
    <row r="390" spans="16:22" x14ac:dyDescent="0.35">
      <c r="P390" s="95"/>
      <c r="T390" s="95"/>
    </row>
    <row r="391" spans="16:22" x14ac:dyDescent="0.35">
      <c r="P391" s="95"/>
      <c r="Q391" s="95"/>
    </row>
    <row r="392" spans="16:22" x14ac:dyDescent="0.35">
      <c r="P392" s="95"/>
      <c r="Q392" s="95"/>
      <c r="R392" s="95"/>
    </row>
    <row r="393" spans="16:22" x14ac:dyDescent="0.35">
      <c r="P393" s="95"/>
      <c r="Q393" s="95"/>
      <c r="R393" s="95"/>
      <c r="S393" s="95"/>
    </row>
    <row r="394" spans="16:22" x14ac:dyDescent="0.35">
      <c r="Q394" s="95"/>
      <c r="R394" s="95"/>
      <c r="S394" s="95"/>
      <c r="T394" s="95"/>
    </row>
    <row r="395" spans="16:22" x14ac:dyDescent="0.35">
      <c r="R395" s="95"/>
      <c r="S395" s="95"/>
      <c r="T395" s="95"/>
      <c r="U395" s="95"/>
    </row>
    <row r="396" spans="16:22" x14ac:dyDescent="0.35">
      <c r="S396" s="95"/>
      <c r="T396" s="95"/>
      <c r="U396" s="95"/>
      <c r="V396" s="95"/>
    </row>
    <row r="397" spans="16:22" x14ac:dyDescent="0.35">
      <c r="P397" s="95"/>
      <c r="T397" s="95"/>
    </row>
    <row r="398" spans="16:22" x14ac:dyDescent="0.35">
      <c r="P398" s="95"/>
      <c r="Q398" s="95"/>
    </row>
    <row r="399" spans="16:22" x14ac:dyDescent="0.35">
      <c r="P399" s="95"/>
      <c r="Q399" s="95"/>
      <c r="R399" s="95"/>
    </row>
    <row r="400" spans="16:22" x14ac:dyDescent="0.35">
      <c r="P400" s="95"/>
      <c r="Q400" s="95"/>
      <c r="R400" s="95"/>
      <c r="S400" s="95"/>
    </row>
    <row r="401" spans="16:22" x14ac:dyDescent="0.35">
      <c r="Q401" s="95"/>
      <c r="R401" s="95"/>
      <c r="S401" s="95"/>
      <c r="T401" s="95"/>
    </row>
    <row r="402" spans="16:22" x14ac:dyDescent="0.35">
      <c r="R402" s="95"/>
      <c r="S402" s="95"/>
      <c r="T402" s="95"/>
      <c r="U402" s="95"/>
    </row>
    <row r="403" spans="16:22" x14ac:dyDescent="0.35">
      <c r="S403" s="95"/>
      <c r="T403" s="95"/>
      <c r="U403" s="95"/>
      <c r="V403" s="95"/>
    </row>
    <row r="404" spans="16:22" x14ac:dyDescent="0.35">
      <c r="P404" s="95"/>
      <c r="T404" s="95"/>
    </row>
    <row r="405" spans="16:22" x14ac:dyDescent="0.35">
      <c r="P405" s="95"/>
      <c r="Q405" s="95"/>
    </row>
    <row r="406" spans="16:22" x14ac:dyDescent="0.35">
      <c r="P406" s="95"/>
      <c r="Q406" s="95"/>
      <c r="R406" s="95"/>
    </row>
    <row r="407" spans="16:22" x14ac:dyDescent="0.35">
      <c r="P407" s="95"/>
      <c r="Q407" s="95"/>
      <c r="R407" s="95"/>
      <c r="S407" s="95"/>
    </row>
    <row r="408" spans="16:22" x14ac:dyDescent="0.35">
      <c r="Q408" s="95"/>
      <c r="R408" s="95"/>
      <c r="S408" s="95"/>
      <c r="T408" s="95"/>
    </row>
    <row r="409" spans="16:22" x14ac:dyDescent="0.35">
      <c r="R409" s="95"/>
      <c r="S409" s="95"/>
      <c r="T409" s="95"/>
      <c r="U409" s="95"/>
    </row>
    <row r="410" spans="16:22" x14ac:dyDescent="0.35">
      <c r="S410" s="95"/>
      <c r="T410" s="95"/>
      <c r="U410" s="95"/>
      <c r="V410" s="95"/>
    </row>
    <row r="411" spans="16:22" x14ac:dyDescent="0.35">
      <c r="P411" s="95"/>
      <c r="T411" s="95"/>
    </row>
    <row r="412" spans="16:22" x14ac:dyDescent="0.35">
      <c r="P412" s="95"/>
      <c r="Q412" s="95"/>
    </row>
    <row r="413" spans="16:22" x14ac:dyDescent="0.35">
      <c r="P413" s="95"/>
      <c r="Q413" s="95"/>
      <c r="R413" s="95"/>
    </row>
    <row r="414" spans="16:22" x14ac:dyDescent="0.35">
      <c r="P414" s="95"/>
      <c r="Q414" s="95"/>
      <c r="R414" s="95"/>
      <c r="S414" s="95"/>
    </row>
    <row r="415" spans="16:22" x14ac:dyDescent="0.35">
      <c r="Q415" s="95"/>
      <c r="R415" s="95"/>
      <c r="S415" s="95"/>
      <c r="T415" s="95"/>
    </row>
    <row r="416" spans="16:22" x14ac:dyDescent="0.35">
      <c r="R416" s="95"/>
      <c r="S416" s="95"/>
      <c r="T416" s="95"/>
      <c r="U416" s="95"/>
    </row>
    <row r="417" spans="16:22" x14ac:dyDescent="0.35">
      <c r="S417" s="95"/>
      <c r="T417" s="95"/>
      <c r="U417" s="95"/>
      <c r="V417" s="95"/>
    </row>
    <row r="418" spans="16:22" x14ac:dyDescent="0.35">
      <c r="P418" s="95"/>
      <c r="T418" s="95"/>
    </row>
    <row r="419" spans="16:22" x14ac:dyDescent="0.35">
      <c r="P419" s="95"/>
      <c r="Q419" s="95"/>
    </row>
    <row r="420" spans="16:22" x14ac:dyDescent="0.35">
      <c r="P420" s="95"/>
      <c r="Q420" s="95"/>
      <c r="R420" s="95"/>
    </row>
    <row r="421" spans="16:22" x14ac:dyDescent="0.35">
      <c r="P421" s="95"/>
      <c r="Q421" s="95"/>
      <c r="R421" s="95"/>
      <c r="S421" s="95"/>
    </row>
    <row r="422" spans="16:22" x14ac:dyDescent="0.35">
      <c r="Q422" s="95"/>
      <c r="R422" s="95"/>
      <c r="S422" s="95"/>
      <c r="T422" s="95"/>
    </row>
    <row r="423" spans="16:22" x14ac:dyDescent="0.35">
      <c r="R423" s="95"/>
      <c r="S423" s="95"/>
      <c r="T423" s="95"/>
      <c r="U423" s="95"/>
    </row>
    <row r="424" spans="16:22" x14ac:dyDescent="0.35">
      <c r="S424" s="95"/>
      <c r="T424" s="95"/>
      <c r="U424" s="95"/>
      <c r="V424" s="95"/>
    </row>
    <row r="425" spans="16:22" x14ac:dyDescent="0.35">
      <c r="P425" s="95"/>
      <c r="T425" s="95"/>
    </row>
    <row r="426" spans="16:22" x14ac:dyDescent="0.35">
      <c r="P426" s="95"/>
      <c r="Q426" s="95"/>
    </row>
    <row r="427" spans="16:22" x14ac:dyDescent="0.35">
      <c r="P427" s="95"/>
      <c r="Q427" s="95"/>
      <c r="R427" s="95"/>
    </row>
    <row r="428" spans="16:22" x14ac:dyDescent="0.35">
      <c r="P428" s="95"/>
      <c r="Q428" s="95"/>
      <c r="R428" s="95"/>
      <c r="S428" s="95"/>
    </row>
    <row r="429" spans="16:22" x14ac:dyDescent="0.35">
      <c r="Q429" s="95"/>
      <c r="R429" s="95"/>
      <c r="S429" s="95"/>
      <c r="T429" s="95"/>
    </row>
    <row r="430" spans="16:22" x14ac:dyDescent="0.35">
      <c r="R430" s="95"/>
      <c r="S430" s="95"/>
      <c r="T430" s="95"/>
      <c r="U430" s="95"/>
    </row>
    <row r="431" spans="16:22" x14ac:dyDescent="0.35">
      <c r="S431" s="95"/>
      <c r="T431" s="95"/>
      <c r="U431" s="95"/>
      <c r="V431" s="95"/>
    </row>
    <row r="432" spans="16:22" x14ac:dyDescent="0.35">
      <c r="P432" s="95"/>
    </row>
    <row r="433" spans="16:22" x14ac:dyDescent="0.35">
      <c r="P433" s="95"/>
      <c r="Q433" s="95"/>
    </row>
    <row r="434" spans="16:22" x14ac:dyDescent="0.35">
      <c r="P434" s="95"/>
      <c r="Q434" s="95"/>
      <c r="R434" s="95"/>
    </row>
    <row r="435" spans="16:22" x14ac:dyDescent="0.35">
      <c r="P435" s="95"/>
      <c r="Q435" s="95"/>
      <c r="R435" s="95"/>
      <c r="S435" s="95"/>
    </row>
    <row r="436" spans="16:22" x14ac:dyDescent="0.35">
      <c r="Q436" s="95"/>
      <c r="R436" s="95"/>
      <c r="S436" s="95"/>
      <c r="T436" s="95"/>
    </row>
    <row r="437" spans="16:22" x14ac:dyDescent="0.35">
      <c r="R437" s="95"/>
      <c r="S437" s="95"/>
      <c r="T437" s="95"/>
      <c r="U437" s="95"/>
    </row>
    <row r="438" spans="16:22" x14ac:dyDescent="0.35">
      <c r="S438" s="95"/>
      <c r="T438" s="95"/>
      <c r="U438" s="95"/>
      <c r="V438" s="95"/>
    </row>
    <row r="439" spans="16:22" x14ac:dyDescent="0.35">
      <c r="P439" s="95"/>
    </row>
    <row r="440" spans="16:22" x14ac:dyDescent="0.35">
      <c r="P440" s="95"/>
      <c r="Q440" s="95"/>
    </row>
    <row r="441" spans="16:22" x14ac:dyDescent="0.35">
      <c r="P441" s="95"/>
      <c r="Q441" s="95"/>
      <c r="R441" s="95"/>
    </row>
    <row r="442" spans="16:22" x14ac:dyDescent="0.35">
      <c r="P442" s="95"/>
      <c r="Q442" s="95"/>
      <c r="R442" s="95"/>
      <c r="S442" s="95"/>
    </row>
    <row r="443" spans="16:22" x14ac:dyDescent="0.35">
      <c r="Q443" s="95"/>
      <c r="R443" s="95"/>
      <c r="S443" s="95"/>
      <c r="T443" s="95"/>
    </row>
    <row r="444" spans="16:22" x14ac:dyDescent="0.35">
      <c r="R444" s="95"/>
      <c r="S444" s="95"/>
      <c r="T444" s="95"/>
      <c r="U444" s="95"/>
    </row>
    <row r="445" spans="16:22" x14ac:dyDescent="0.35">
      <c r="S445" s="95"/>
      <c r="T445" s="95"/>
      <c r="U445" s="95"/>
      <c r="V445" s="95"/>
    </row>
    <row r="446" spans="16:22" x14ac:dyDescent="0.35">
      <c r="P446" s="95"/>
    </row>
    <row r="447" spans="16:22" x14ac:dyDescent="0.35">
      <c r="P447" s="95"/>
      <c r="Q447" s="95"/>
    </row>
    <row r="448" spans="16:22" x14ac:dyDescent="0.35">
      <c r="P448" s="95"/>
      <c r="Q448" s="95"/>
      <c r="R448" s="95"/>
    </row>
    <row r="449" spans="16:22" x14ac:dyDescent="0.35">
      <c r="P449" s="95"/>
      <c r="Q449" s="95"/>
      <c r="R449" s="95"/>
      <c r="S449" s="95"/>
    </row>
    <row r="450" spans="16:22" x14ac:dyDescent="0.35">
      <c r="Q450" s="95"/>
      <c r="R450" s="95"/>
      <c r="S450" s="95"/>
      <c r="T450" s="95"/>
    </row>
    <row r="451" spans="16:22" x14ac:dyDescent="0.35">
      <c r="R451" s="95"/>
      <c r="S451" s="95"/>
      <c r="T451" s="95"/>
      <c r="U451" s="95"/>
    </row>
    <row r="452" spans="16:22" x14ac:dyDescent="0.35">
      <c r="S452" s="95"/>
      <c r="T452" s="95"/>
      <c r="U452" s="95"/>
      <c r="V452" s="95"/>
    </row>
    <row r="453" spans="16:22" x14ac:dyDescent="0.35">
      <c r="P453" s="95"/>
    </row>
    <row r="454" spans="16:22" x14ac:dyDescent="0.35">
      <c r="P454" s="95"/>
      <c r="Q454" s="95"/>
    </row>
    <row r="455" spans="16:22" x14ac:dyDescent="0.35">
      <c r="P455" s="95"/>
      <c r="Q455" s="95"/>
      <c r="R455" s="95"/>
    </row>
    <row r="456" spans="16:22" x14ac:dyDescent="0.35">
      <c r="P456" s="95"/>
      <c r="Q456" s="95"/>
      <c r="R456" s="95"/>
      <c r="S456" s="95"/>
    </row>
    <row r="457" spans="16:22" x14ac:dyDescent="0.35">
      <c r="Q457" s="95"/>
      <c r="R457" s="95"/>
      <c r="S457" s="95"/>
      <c r="T457" s="95"/>
    </row>
    <row r="458" spans="16:22" x14ac:dyDescent="0.35">
      <c r="R458" s="95"/>
      <c r="S458" s="95"/>
      <c r="T458" s="95"/>
      <c r="U458" s="95"/>
    </row>
    <row r="459" spans="16:22" x14ac:dyDescent="0.35">
      <c r="S459" s="95"/>
      <c r="T459" s="95"/>
      <c r="U459" s="95"/>
      <c r="V459" s="95"/>
    </row>
    <row r="460" spans="16:22" x14ac:dyDescent="0.35">
      <c r="P460" s="95"/>
    </row>
    <row r="461" spans="16:22" x14ac:dyDescent="0.35">
      <c r="P461" s="95"/>
      <c r="Q461" s="95"/>
    </row>
    <row r="462" spans="16:22" x14ac:dyDescent="0.35">
      <c r="P462" s="95"/>
      <c r="Q462" s="95"/>
      <c r="R462" s="95"/>
    </row>
    <row r="463" spans="16:22" x14ac:dyDescent="0.35">
      <c r="P463" s="95"/>
      <c r="Q463" s="95"/>
      <c r="R463" s="95"/>
      <c r="S463" s="95"/>
    </row>
    <row r="464" spans="16:22" x14ac:dyDescent="0.35">
      <c r="Q464" s="95"/>
      <c r="R464" s="95"/>
      <c r="S464" s="95"/>
      <c r="T464" s="95"/>
    </row>
    <row r="465" spans="16:22" x14ac:dyDescent="0.35">
      <c r="R465" s="95"/>
      <c r="S465" s="95"/>
      <c r="T465" s="95"/>
      <c r="U465" s="95"/>
    </row>
    <row r="466" spans="16:22" x14ac:dyDescent="0.35">
      <c r="S466" s="95"/>
      <c r="T466" s="95"/>
      <c r="U466" s="95"/>
      <c r="V466" s="95"/>
    </row>
    <row r="467" spans="16:22" x14ac:dyDescent="0.35">
      <c r="P467" s="95"/>
    </row>
    <row r="468" spans="16:22" x14ac:dyDescent="0.35">
      <c r="P468" s="95"/>
      <c r="Q468" s="95"/>
    </row>
    <row r="469" spans="16:22" x14ac:dyDescent="0.35">
      <c r="P469" s="95"/>
      <c r="Q469" s="95"/>
      <c r="R469" s="95"/>
    </row>
    <row r="470" spans="16:22" x14ac:dyDescent="0.35">
      <c r="P470" s="95"/>
      <c r="Q470" s="95"/>
      <c r="R470" s="95"/>
      <c r="S470" s="95"/>
    </row>
    <row r="471" spans="16:22" x14ac:dyDescent="0.35">
      <c r="Q471" s="95"/>
      <c r="R471" s="95"/>
      <c r="S471" s="95"/>
      <c r="T471" s="95"/>
    </row>
    <row r="472" spans="16:22" x14ac:dyDescent="0.35">
      <c r="R472" s="95"/>
      <c r="S472" s="95"/>
      <c r="T472" s="95"/>
      <c r="U472" s="95"/>
    </row>
    <row r="473" spans="16:22" x14ac:dyDescent="0.35">
      <c r="S473" s="95"/>
      <c r="T473" s="95"/>
      <c r="U473" s="95"/>
      <c r="V473" s="95"/>
    </row>
    <row r="474" spans="16:22" x14ac:dyDescent="0.35">
      <c r="P474" s="420"/>
      <c r="Q474" s="420"/>
      <c r="R474" s="420"/>
      <c r="S474" s="420"/>
      <c r="T474" s="420"/>
      <c r="U474" s="420"/>
      <c r="V474" s="420"/>
    </row>
    <row r="475" spans="16:22" x14ac:dyDescent="0.35">
      <c r="P475" s="420"/>
      <c r="Q475" s="420"/>
      <c r="R475" s="420"/>
      <c r="S475" s="420"/>
      <c r="T475" s="420"/>
      <c r="U475" s="420"/>
      <c r="V475" s="420"/>
    </row>
    <row r="476" spans="16:22" x14ac:dyDescent="0.35">
      <c r="P476" s="420"/>
      <c r="Q476" s="420"/>
      <c r="R476" s="420"/>
      <c r="S476" s="420"/>
      <c r="T476" s="420"/>
      <c r="U476" s="420"/>
      <c r="V476" s="420"/>
    </row>
    <row r="477" spans="16:22" x14ac:dyDescent="0.35">
      <c r="P477" s="420"/>
      <c r="Q477" s="420"/>
      <c r="R477" s="420"/>
      <c r="S477" s="420"/>
      <c r="T477" s="420"/>
      <c r="U477" s="420"/>
      <c r="V477" s="420"/>
    </row>
    <row r="478" spans="16:22" x14ac:dyDescent="0.35">
      <c r="P478" s="420"/>
      <c r="Q478" s="420"/>
      <c r="R478" s="420"/>
      <c r="S478" s="420"/>
      <c r="T478" s="420"/>
      <c r="U478" s="420"/>
      <c r="V478" s="420"/>
    </row>
    <row r="479" spans="16:22" x14ac:dyDescent="0.35">
      <c r="P479" s="420"/>
      <c r="Q479" s="420"/>
      <c r="R479" s="420"/>
      <c r="S479" s="420"/>
      <c r="T479" s="420"/>
      <c r="U479" s="420"/>
      <c r="V479" s="420"/>
    </row>
    <row r="480" spans="16:22" x14ac:dyDescent="0.35">
      <c r="P480" s="420"/>
      <c r="Q480" s="420"/>
      <c r="R480" s="420"/>
      <c r="S480" s="420"/>
      <c r="T480" s="420"/>
      <c r="U480" s="420"/>
      <c r="V480" s="420"/>
    </row>
    <row r="481" spans="16:22" x14ac:dyDescent="0.35">
      <c r="P481" s="420"/>
      <c r="Q481" s="420"/>
      <c r="R481" s="420"/>
      <c r="S481" s="420"/>
      <c r="T481" s="420"/>
      <c r="U481" s="420"/>
      <c r="V481" s="420"/>
    </row>
    <row r="482" spans="16:22" x14ac:dyDescent="0.35">
      <c r="P482" s="420"/>
      <c r="Q482" s="420"/>
      <c r="R482" s="420"/>
      <c r="S482" s="420"/>
      <c r="T482" s="420"/>
      <c r="U482" s="420"/>
      <c r="V482" s="420"/>
    </row>
    <row r="483" spans="16:22" x14ac:dyDescent="0.35">
      <c r="P483" s="420"/>
      <c r="Q483" s="420"/>
      <c r="R483" s="420"/>
      <c r="S483" s="420"/>
      <c r="T483" s="420"/>
      <c r="U483" s="420"/>
      <c r="V483" s="420"/>
    </row>
    <row r="484" spans="16:22" x14ac:dyDescent="0.35">
      <c r="P484" s="420"/>
      <c r="Q484" s="420"/>
      <c r="R484" s="420"/>
      <c r="S484" s="420"/>
      <c r="T484" s="420"/>
      <c r="U484" s="420"/>
      <c r="V484" s="420"/>
    </row>
    <row r="485" spans="16:22" x14ac:dyDescent="0.35">
      <c r="P485" s="420"/>
      <c r="Q485" s="420"/>
      <c r="R485" s="420"/>
      <c r="S485" s="420"/>
      <c r="T485" s="420"/>
      <c r="U485" s="420"/>
      <c r="V485" s="420"/>
    </row>
    <row r="486" spans="16:22" x14ac:dyDescent="0.35">
      <c r="P486" s="420"/>
      <c r="Q486" s="420"/>
      <c r="R486" s="420"/>
      <c r="S486" s="420"/>
      <c r="T486" s="420"/>
      <c r="U486" s="420"/>
      <c r="V486" s="420"/>
    </row>
    <row r="487" spans="16:22" x14ac:dyDescent="0.35">
      <c r="P487" s="420"/>
      <c r="Q487" s="420"/>
      <c r="R487" s="420"/>
      <c r="S487" s="420"/>
      <c r="T487" s="420"/>
      <c r="U487" s="420"/>
      <c r="V487" s="420"/>
    </row>
    <row r="488" spans="16:22" x14ac:dyDescent="0.35">
      <c r="P488" s="95"/>
    </row>
    <row r="489" spans="16:22" x14ac:dyDescent="0.35">
      <c r="P489" s="95"/>
      <c r="Q489" s="95"/>
    </row>
    <row r="490" spans="16:22" x14ac:dyDescent="0.35">
      <c r="P490" s="95"/>
      <c r="Q490" s="95"/>
      <c r="R490" s="95"/>
    </row>
    <row r="491" spans="16:22" x14ac:dyDescent="0.35">
      <c r="Q491" s="95"/>
      <c r="R491" s="95"/>
      <c r="S491" s="95"/>
    </row>
    <row r="492" spans="16:22" x14ac:dyDescent="0.35">
      <c r="R492" s="95"/>
      <c r="S492" s="95"/>
      <c r="T492" s="95"/>
    </row>
    <row r="493" spans="16:22" x14ac:dyDescent="0.35">
      <c r="S493" s="95"/>
      <c r="T493" s="95"/>
      <c r="U493" s="95"/>
    </row>
    <row r="494" spans="16:22" x14ac:dyDescent="0.35">
      <c r="T494" s="95"/>
      <c r="U494" s="95"/>
      <c r="V494" s="95"/>
    </row>
    <row r="495" spans="16:22" x14ac:dyDescent="0.35">
      <c r="P495" s="95"/>
    </row>
    <row r="496" spans="16:22" x14ac:dyDescent="0.35">
      <c r="P496" s="95"/>
      <c r="Q496" s="95"/>
    </row>
    <row r="497" spans="16:22" x14ac:dyDescent="0.35">
      <c r="P497" s="95"/>
      <c r="Q497" s="95"/>
      <c r="R497" s="95"/>
    </row>
    <row r="498" spans="16:22" x14ac:dyDescent="0.35">
      <c r="Q498" s="95"/>
      <c r="R498" s="95"/>
      <c r="S498" s="95"/>
    </row>
    <row r="499" spans="16:22" x14ac:dyDescent="0.35">
      <c r="R499" s="95"/>
      <c r="S499" s="95"/>
      <c r="T499" s="95"/>
    </row>
    <row r="500" spans="16:22" x14ac:dyDescent="0.35">
      <c r="S500" s="95"/>
      <c r="T500" s="95"/>
      <c r="U500" s="95"/>
    </row>
    <row r="501" spans="16:22" x14ac:dyDescent="0.35">
      <c r="T501" s="95"/>
      <c r="U501" s="95"/>
      <c r="V501" s="95"/>
    </row>
    <row r="502" spans="16:22" x14ac:dyDescent="0.35">
      <c r="P502" s="95"/>
    </row>
    <row r="503" spans="16:22" x14ac:dyDescent="0.35">
      <c r="P503" s="95"/>
      <c r="Q503" s="95"/>
    </row>
    <row r="504" spans="16:22" x14ac:dyDescent="0.35">
      <c r="P504" s="95"/>
      <c r="Q504" s="95"/>
      <c r="R504" s="95"/>
    </row>
    <row r="505" spans="16:22" x14ac:dyDescent="0.35">
      <c r="Q505" s="95"/>
      <c r="R505" s="95"/>
      <c r="S505" s="95"/>
    </row>
    <row r="506" spans="16:22" x14ac:dyDescent="0.35">
      <c r="R506" s="95"/>
      <c r="S506" s="95"/>
      <c r="T506" s="95"/>
    </row>
    <row r="507" spans="16:22" x14ac:dyDescent="0.35">
      <c r="S507" s="95"/>
      <c r="T507" s="95"/>
      <c r="U507" s="95"/>
    </row>
    <row r="508" spans="16:22" x14ac:dyDescent="0.35">
      <c r="T508" s="95"/>
      <c r="U508" s="95"/>
      <c r="V508" s="95"/>
    </row>
    <row r="509" spans="16:22" x14ac:dyDescent="0.35">
      <c r="P509" s="95"/>
    </row>
    <row r="510" spans="16:22" x14ac:dyDescent="0.35">
      <c r="P510" s="95"/>
      <c r="Q510" s="95"/>
    </row>
    <row r="511" spans="16:22" x14ac:dyDescent="0.35">
      <c r="P511" s="95"/>
      <c r="Q511" s="95"/>
      <c r="R511" s="95"/>
    </row>
    <row r="512" spans="16:22" x14ac:dyDescent="0.35">
      <c r="Q512" s="95"/>
      <c r="R512" s="95"/>
      <c r="S512" s="95"/>
    </row>
    <row r="513" spans="16:22" x14ac:dyDescent="0.35">
      <c r="R513" s="95"/>
      <c r="S513" s="95"/>
      <c r="T513" s="95"/>
    </row>
    <row r="514" spans="16:22" x14ac:dyDescent="0.35">
      <c r="S514" s="95"/>
      <c r="T514" s="95"/>
      <c r="U514" s="95"/>
    </row>
    <row r="515" spans="16:22" x14ac:dyDescent="0.35">
      <c r="T515" s="95"/>
      <c r="U515" s="95"/>
      <c r="V515" s="95"/>
    </row>
    <row r="516" spans="16:22" x14ac:dyDescent="0.35">
      <c r="P516" s="95"/>
    </row>
    <row r="517" spans="16:22" x14ac:dyDescent="0.35">
      <c r="P517" s="95"/>
      <c r="Q517" s="95"/>
    </row>
    <row r="518" spans="16:22" x14ac:dyDescent="0.35">
      <c r="P518" s="95"/>
      <c r="Q518" s="95"/>
      <c r="R518" s="95"/>
    </row>
    <row r="519" spans="16:22" x14ac:dyDescent="0.35">
      <c r="Q519" s="95"/>
      <c r="R519" s="95"/>
      <c r="S519" s="95"/>
    </row>
    <row r="520" spans="16:22" x14ac:dyDescent="0.35">
      <c r="R520" s="95"/>
      <c r="S520" s="95"/>
      <c r="T520" s="95"/>
    </row>
    <row r="521" spans="16:22" x14ac:dyDescent="0.35">
      <c r="S521" s="95"/>
      <c r="T521" s="95"/>
      <c r="U521" s="95"/>
    </row>
    <row r="522" spans="16:22" x14ac:dyDescent="0.35">
      <c r="T522" s="95"/>
      <c r="U522" s="95"/>
      <c r="V522" s="95"/>
    </row>
    <row r="523" spans="16:22" x14ac:dyDescent="0.35">
      <c r="P523" s="95"/>
    </row>
    <row r="524" spans="16:22" x14ac:dyDescent="0.35">
      <c r="P524" s="95"/>
      <c r="Q524" s="95"/>
    </row>
    <row r="525" spans="16:22" x14ac:dyDescent="0.35">
      <c r="P525" s="95"/>
      <c r="Q525" s="95"/>
      <c r="R525" s="95"/>
    </row>
    <row r="526" spans="16:22" x14ac:dyDescent="0.35">
      <c r="Q526" s="95"/>
      <c r="R526" s="95"/>
      <c r="S526" s="95"/>
    </row>
    <row r="527" spans="16:22" x14ac:dyDescent="0.35">
      <c r="R527" s="95"/>
      <c r="S527" s="95"/>
      <c r="T527" s="95"/>
    </row>
    <row r="528" spans="16:22" x14ac:dyDescent="0.35">
      <c r="S528" s="95"/>
      <c r="T528" s="95"/>
      <c r="U528" s="95"/>
    </row>
    <row r="529" spans="16:22" x14ac:dyDescent="0.35">
      <c r="T529" s="95"/>
      <c r="U529" s="95"/>
      <c r="V529" s="95"/>
    </row>
    <row r="530" spans="16:22" x14ac:dyDescent="0.35">
      <c r="P530" s="95"/>
    </row>
    <row r="531" spans="16:22" x14ac:dyDescent="0.35">
      <c r="P531" s="95"/>
      <c r="Q531" s="95"/>
    </row>
    <row r="532" spans="16:22" x14ac:dyDescent="0.35">
      <c r="P532" s="95"/>
      <c r="Q532" s="95"/>
      <c r="R532" s="95"/>
    </row>
    <row r="533" spans="16:22" x14ac:dyDescent="0.35">
      <c r="Q533" s="95"/>
      <c r="R533" s="95"/>
      <c r="S533" s="95"/>
    </row>
    <row r="534" spans="16:22" x14ac:dyDescent="0.35">
      <c r="R534" s="95"/>
      <c r="S534" s="95"/>
      <c r="T534" s="95"/>
    </row>
    <row r="535" spans="16:22" x14ac:dyDescent="0.35">
      <c r="S535" s="95"/>
      <c r="T535" s="95"/>
      <c r="U535" s="95"/>
    </row>
    <row r="536" spans="16:22" x14ac:dyDescent="0.35">
      <c r="T536" s="95"/>
      <c r="U536" s="95"/>
      <c r="V536" s="95"/>
    </row>
    <row r="537" spans="16:22" x14ac:dyDescent="0.35">
      <c r="P537" s="95"/>
    </row>
    <row r="538" spans="16:22" x14ac:dyDescent="0.35">
      <c r="P538" s="95"/>
      <c r="Q538" s="95"/>
    </row>
    <row r="539" spans="16:22" x14ac:dyDescent="0.35">
      <c r="P539" s="95"/>
      <c r="Q539" s="95"/>
      <c r="R539" s="95"/>
    </row>
    <row r="540" spans="16:22" x14ac:dyDescent="0.35">
      <c r="Q540" s="95"/>
      <c r="R540" s="95"/>
      <c r="S540" s="95"/>
    </row>
    <row r="541" spans="16:22" x14ac:dyDescent="0.35">
      <c r="R541" s="95"/>
      <c r="S541" s="95"/>
      <c r="T541" s="95"/>
    </row>
    <row r="542" spans="16:22" x14ac:dyDescent="0.35">
      <c r="S542" s="95"/>
      <c r="T542" s="95"/>
      <c r="U542" s="95"/>
    </row>
    <row r="543" spans="16:22" x14ac:dyDescent="0.35">
      <c r="T543" s="95"/>
      <c r="U543" s="95"/>
      <c r="V543" s="95"/>
    </row>
    <row r="544" spans="16:22" x14ac:dyDescent="0.35">
      <c r="P544" s="95"/>
    </row>
    <row r="545" spans="16:22" x14ac:dyDescent="0.35">
      <c r="P545" s="95"/>
      <c r="Q545" s="95"/>
    </row>
    <row r="546" spans="16:22" x14ac:dyDescent="0.35">
      <c r="P546" s="95"/>
      <c r="Q546" s="95"/>
      <c r="R546" s="95"/>
    </row>
    <row r="547" spans="16:22" x14ac:dyDescent="0.35">
      <c r="Q547" s="95"/>
      <c r="R547" s="95"/>
      <c r="S547" s="95"/>
    </row>
    <row r="548" spans="16:22" x14ac:dyDescent="0.35">
      <c r="R548" s="95"/>
      <c r="S548" s="95"/>
      <c r="T548" s="95"/>
    </row>
    <row r="549" spans="16:22" x14ac:dyDescent="0.35">
      <c r="S549" s="95"/>
      <c r="T549" s="95"/>
      <c r="U549" s="95"/>
    </row>
    <row r="550" spans="16:22" x14ac:dyDescent="0.35">
      <c r="T550" s="95"/>
      <c r="U550" s="95"/>
      <c r="V550" s="95"/>
    </row>
    <row r="551" spans="16:22" x14ac:dyDescent="0.35">
      <c r="P551" s="95"/>
    </row>
    <row r="552" spans="16:22" x14ac:dyDescent="0.35">
      <c r="P552" s="95"/>
      <c r="Q552" s="95"/>
    </row>
    <row r="553" spans="16:22" x14ac:dyDescent="0.35">
      <c r="P553" s="95"/>
      <c r="Q553" s="95"/>
      <c r="R553" s="95"/>
    </row>
    <row r="554" spans="16:22" x14ac:dyDescent="0.35">
      <c r="Q554" s="95"/>
      <c r="R554" s="95"/>
      <c r="S554" s="95"/>
    </row>
    <row r="555" spans="16:22" x14ac:dyDescent="0.35">
      <c r="R555" s="95"/>
      <c r="S555" s="95"/>
      <c r="T555" s="95"/>
    </row>
    <row r="556" spans="16:22" x14ac:dyDescent="0.35">
      <c r="S556" s="95"/>
      <c r="T556" s="95"/>
      <c r="U556" s="95"/>
    </row>
    <row r="557" spans="16:22" x14ac:dyDescent="0.35">
      <c r="T557" s="95"/>
      <c r="U557" s="95"/>
      <c r="V557" s="95"/>
    </row>
    <row r="558" spans="16:22" x14ac:dyDescent="0.35">
      <c r="P558" s="95"/>
    </row>
    <row r="559" spans="16:22" x14ac:dyDescent="0.35">
      <c r="P559" s="95"/>
      <c r="Q559" s="95"/>
    </row>
    <row r="560" spans="16:22" x14ac:dyDescent="0.35">
      <c r="P560" s="95"/>
      <c r="Q560" s="95"/>
      <c r="R560" s="95"/>
    </row>
    <row r="561" spans="16:22" x14ac:dyDescent="0.35">
      <c r="Q561" s="95"/>
      <c r="R561" s="95"/>
      <c r="S561" s="95"/>
    </row>
    <row r="562" spans="16:22" x14ac:dyDescent="0.35">
      <c r="R562" s="95"/>
      <c r="S562" s="95"/>
      <c r="T562" s="95"/>
    </row>
    <row r="563" spans="16:22" x14ac:dyDescent="0.35">
      <c r="S563" s="95"/>
      <c r="T563" s="95"/>
      <c r="U563" s="95"/>
    </row>
    <row r="564" spans="16:22" x14ac:dyDescent="0.35">
      <c r="T564" s="95"/>
      <c r="U564" s="95"/>
      <c r="V564" s="95"/>
    </row>
    <row r="565" spans="16:22" x14ac:dyDescent="0.35">
      <c r="P565" s="95"/>
    </row>
    <row r="566" spans="16:22" x14ac:dyDescent="0.35">
      <c r="P566" s="95"/>
      <c r="Q566" s="95"/>
    </row>
    <row r="567" spans="16:22" x14ac:dyDescent="0.35">
      <c r="P567" s="95"/>
      <c r="Q567" s="95"/>
      <c r="R567" s="95"/>
    </row>
    <row r="568" spans="16:22" x14ac:dyDescent="0.35">
      <c r="Q568" s="95"/>
      <c r="R568" s="95"/>
      <c r="S568" s="95"/>
    </row>
    <row r="569" spans="16:22" x14ac:dyDescent="0.35">
      <c r="R569" s="95"/>
      <c r="S569" s="95"/>
      <c r="T569" s="95"/>
    </row>
    <row r="570" spans="16:22" x14ac:dyDescent="0.35">
      <c r="S570" s="95"/>
      <c r="T570" s="95"/>
      <c r="U570" s="95"/>
    </row>
    <row r="571" spans="16:22" x14ac:dyDescent="0.35">
      <c r="T571" s="95"/>
      <c r="U571" s="95"/>
      <c r="V571" s="95"/>
    </row>
    <row r="572" spans="16:22" x14ac:dyDescent="0.35">
      <c r="P572" s="95"/>
    </row>
    <row r="573" spans="16:22" x14ac:dyDescent="0.35">
      <c r="P573" s="95"/>
      <c r="Q573" s="95"/>
    </row>
    <row r="574" spans="16:22" x14ac:dyDescent="0.35">
      <c r="P574" s="95"/>
      <c r="Q574" s="95"/>
      <c r="R574" s="95"/>
    </row>
    <row r="575" spans="16:22" x14ac:dyDescent="0.35">
      <c r="Q575" s="95"/>
      <c r="R575" s="95"/>
      <c r="S575" s="95"/>
    </row>
    <row r="576" spans="16:22" x14ac:dyDescent="0.35">
      <c r="R576" s="95"/>
      <c r="S576" s="95"/>
      <c r="T576" s="95"/>
    </row>
    <row r="577" spans="16:22" x14ac:dyDescent="0.35">
      <c r="S577" s="95"/>
      <c r="T577" s="95"/>
      <c r="U577" s="95"/>
    </row>
    <row r="578" spans="16:22" x14ac:dyDescent="0.35">
      <c r="T578" s="95"/>
      <c r="U578" s="95"/>
      <c r="V578" s="95"/>
    </row>
    <row r="579" spans="16:22" x14ac:dyDescent="0.35">
      <c r="P579" s="95"/>
    </row>
    <row r="580" spans="16:22" x14ac:dyDescent="0.35">
      <c r="P580" s="95"/>
      <c r="Q580" s="95"/>
    </row>
    <row r="581" spans="16:22" x14ac:dyDescent="0.35">
      <c r="P581" s="95"/>
      <c r="Q581" s="95"/>
      <c r="R581" s="95"/>
    </row>
    <row r="582" spans="16:22" x14ac:dyDescent="0.35">
      <c r="Q582" s="95"/>
      <c r="R582" s="95"/>
      <c r="S582" s="95"/>
    </row>
    <row r="583" spans="16:22" x14ac:dyDescent="0.35">
      <c r="R583" s="95"/>
      <c r="S583" s="95"/>
      <c r="T583" s="95"/>
    </row>
    <row r="584" spans="16:22" x14ac:dyDescent="0.35">
      <c r="S584" s="95"/>
      <c r="T584" s="95"/>
      <c r="U584" s="95"/>
    </row>
    <row r="585" spans="16:22" x14ac:dyDescent="0.35">
      <c r="T585" s="95"/>
      <c r="U585" s="95"/>
      <c r="V585" s="95"/>
    </row>
    <row r="586" spans="16:22" x14ac:dyDescent="0.35">
      <c r="P586" s="95"/>
    </row>
    <row r="587" spans="16:22" x14ac:dyDescent="0.35">
      <c r="P587" s="95"/>
      <c r="Q587" s="95"/>
    </row>
    <row r="588" spans="16:22" x14ac:dyDescent="0.35">
      <c r="P588" s="95"/>
      <c r="Q588" s="95"/>
      <c r="R588" s="95"/>
    </row>
    <row r="589" spans="16:22" x14ac:dyDescent="0.35">
      <c r="Q589" s="95"/>
      <c r="R589" s="95"/>
      <c r="S589" s="95"/>
    </row>
    <row r="590" spans="16:22" x14ac:dyDescent="0.35">
      <c r="R590" s="95"/>
      <c r="S590" s="95"/>
      <c r="T590" s="95"/>
    </row>
    <row r="591" spans="16:22" x14ac:dyDescent="0.35">
      <c r="S591" s="95"/>
      <c r="T591" s="95"/>
      <c r="U591" s="95"/>
    </row>
    <row r="592" spans="16:22" x14ac:dyDescent="0.35">
      <c r="T592" s="95"/>
      <c r="U592" s="95"/>
      <c r="V592" s="95"/>
    </row>
    <row r="593" spans="16:22" x14ac:dyDescent="0.35">
      <c r="P593" s="95"/>
    </row>
    <row r="594" spans="16:22" x14ac:dyDescent="0.35">
      <c r="P594" s="95"/>
      <c r="Q594" s="95"/>
    </row>
    <row r="595" spans="16:22" x14ac:dyDescent="0.35">
      <c r="P595" s="95"/>
      <c r="Q595" s="95"/>
      <c r="R595" s="95"/>
    </row>
    <row r="596" spans="16:22" x14ac:dyDescent="0.35">
      <c r="Q596" s="95"/>
      <c r="R596" s="95"/>
      <c r="S596" s="95"/>
    </row>
    <row r="597" spans="16:22" x14ac:dyDescent="0.35">
      <c r="R597" s="95"/>
      <c r="S597" s="95"/>
      <c r="T597" s="95"/>
    </row>
    <row r="598" spans="16:22" x14ac:dyDescent="0.35">
      <c r="S598" s="95"/>
      <c r="T598" s="95"/>
      <c r="U598" s="95"/>
    </row>
    <row r="599" spans="16:22" x14ac:dyDescent="0.35">
      <c r="T599" s="95"/>
      <c r="U599" s="95"/>
      <c r="V599" s="95"/>
    </row>
    <row r="600" spans="16:22" x14ac:dyDescent="0.35">
      <c r="P600" s="95"/>
    </row>
    <row r="601" spans="16:22" x14ac:dyDescent="0.35">
      <c r="P601" s="95"/>
      <c r="Q601" s="95"/>
    </row>
    <row r="602" spans="16:22" x14ac:dyDescent="0.35">
      <c r="P602" s="95"/>
      <c r="Q602" s="95"/>
      <c r="R602" s="95"/>
    </row>
    <row r="603" spans="16:22" x14ac:dyDescent="0.35">
      <c r="Q603" s="95"/>
      <c r="R603" s="95"/>
      <c r="S603" s="95"/>
    </row>
    <row r="604" spans="16:22" x14ac:dyDescent="0.35">
      <c r="R604" s="95"/>
      <c r="S604" s="95"/>
      <c r="T604" s="95"/>
    </row>
    <row r="605" spans="16:22" x14ac:dyDescent="0.35">
      <c r="S605" s="95"/>
      <c r="T605" s="95"/>
      <c r="U605" s="95"/>
    </row>
    <row r="606" spans="16:22" x14ac:dyDescent="0.35">
      <c r="T606" s="95"/>
      <c r="U606" s="95"/>
      <c r="V606" s="95"/>
    </row>
    <row r="607" spans="16:22" x14ac:dyDescent="0.35">
      <c r="P607" s="95"/>
    </row>
    <row r="608" spans="16:22" x14ac:dyDescent="0.35">
      <c r="P608" s="95"/>
      <c r="Q608" s="95"/>
    </row>
    <row r="609" spans="16:22" x14ac:dyDescent="0.35">
      <c r="P609" s="95"/>
      <c r="Q609" s="95"/>
      <c r="R609" s="95"/>
    </row>
    <row r="610" spans="16:22" x14ac:dyDescent="0.35">
      <c r="Q610" s="95"/>
      <c r="R610" s="95"/>
      <c r="S610" s="95"/>
    </row>
    <row r="611" spans="16:22" x14ac:dyDescent="0.35">
      <c r="R611" s="95"/>
      <c r="S611" s="95"/>
      <c r="T611" s="95"/>
    </row>
    <row r="612" spans="16:22" x14ac:dyDescent="0.35">
      <c r="S612" s="95"/>
      <c r="T612" s="95"/>
      <c r="U612" s="95"/>
    </row>
    <row r="613" spans="16:22" x14ac:dyDescent="0.35">
      <c r="T613" s="95"/>
      <c r="U613" s="95"/>
      <c r="V613" s="95"/>
    </row>
    <row r="614" spans="16:22" x14ac:dyDescent="0.35">
      <c r="P614" s="95"/>
    </row>
    <row r="615" spans="16:22" x14ac:dyDescent="0.35">
      <c r="P615" s="95"/>
      <c r="Q615" s="95"/>
    </row>
    <row r="616" spans="16:22" x14ac:dyDescent="0.35">
      <c r="P616" s="95"/>
      <c r="Q616" s="95"/>
      <c r="R616" s="95"/>
    </row>
    <row r="617" spans="16:22" x14ac:dyDescent="0.35">
      <c r="Q617" s="95"/>
      <c r="R617" s="95"/>
      <c r="S617" s="95"/>
    </row>
    <row r="618" spans="16:22" x14ac:dyDescent="0.35">
      <c r="R618" s="95"/>
      <c r="S618" s="95"/>
      <c r="T618" s="95"/>
    </row>
    <row r="619" spans="16:22" x14ac:dyDescent="0.35">
      <c r="S619" s="95"/>
      <c r="T619" s="95"/>
      <c r="U619" s="95"/>
    </row>
    <row r="620" spans="16:22" x14ac:dyDescent="0.35">
      <c r="T620" s="95"/>
      <c r="U620" s="95"/>
      <c r="V620" s="95"/>
    </row>
    <row r="621" spans="16:22" x14ac:dyDescent="0.35">
      <c r="P621" s="95"/>
    </row>
    <row r="622" spans="16:22" x14ac:dyDescent="0.35">
      <c r="P622" s="95"/>
      <c r="Q622" s="95"/>
    </row>
    <row r="623" spans="16:22" x14ac:dyDescent="0.35">
      <c r="P623" s="95"/>
      <c r="Q623" s="95"/>
      <c r="R623" s="95"/>
    </row>
    <row r="624" spans="16:22" x14ac:dyDescent="0.35">
      <c r="Q624" s="95"/>
      <c r="R624" s="95"/>
      <c r="S624" s="95"/>
    </row>
    <row r="625" spans="16:22" x14ac:dyDescent="0.35">
      <c r="R625" s="95"/>
      <c r="S625" s="95"/>
      <c r="T625" s="95"/>
    </row>
    <row r="626" spans="16:22" x14ac:dyDescent="0.35">
      <c r="S626" s="95"/>
      <c r="T626" s="95"/>
      <c r="U626" s="95"/>
    </row>
    <row r="627" spans="16:22" x14ac:dyDescent="0.35">
      <c r="T627" s="95"/>
      <c r="U627" s="95"/>
      <c r="V627" s="95"/>
    </row>
    <row r="628" spans="16:22" x14ac:dyDescent="0.35">
      <c r="P628" s="95"/>
    </row>
    <row r="629" spans="16:22" x14ac:dyDescent="0.35">
      <c r="P629" s="95"/>
      <c r="Q629" s="95"/>
    </row>
    <row r="630" spans="16:22" x14ac:dyDescent="0.35">
      <c r="P630" s="95"/>
      <c r="Q630" s="95"/>
      <c r="R630" s="95"/>
    </row>
    <row r="631" spans="16:22" x14ac:dyDescent="0.35">
      <c r="Q631" s="95"/>
      <c r="R631" s="95"/>
      <c r="S631" s="95"/>
    </row>
    <row r="632" spans="16:22" x14ac:dyDescent="0.35">
      <c r="R632" s="95"/>
      <c r="S632" s="95"/>
      <c r="T632" s="95"/>
    </row>
    <row r="633" spans="16:22" x14ac:dyDescent="0.35">
      <c r="S633" s="95"/>
      <c r="T633" s="95"/>
      <c r="U633" s="95"/>
    </row>
    <row r="634" spans="16:22" x14ac:dyDescent="0.35">
      <c r="T634" s="95"/>
      <c r="U634" s="95"/>
      <c r="V634" s="95"/>
    </row>
    <row r="635" spans="16:22" x14ac:dyDescent="0.35">
      <c r="P635" s="95"/>
    </row>
    <row r="636" spans="16:22" x14ac:dyDescent="0.35">
      <c r="P636" s="95"/>
      <c r="Q636" s="95"/>
    </row>
    <row r="637" spans="16:22" x14ac:dyDescent="0.35">
      <c r="P637" s="95"/>
      <c r="Q637" s="95"/>
      <c r="R637" s="95"/>
    </row>
    <row r="638" spans="16:22" x14ac:dyDescent="0.35">
      <c r="Q638" s="95"/>
      <c r="R638" s="95"/>
      <c r="S638" s="95"/>
    </row>
    <row r="639" spans="16:22" x14ac:dyDescent="0.35">
      <c r="R639" s="95"/>
      <c r="S639" s="95"/>
      <c r="T639" s="95"/>
    </row>
    <row r="640" spans="16:22" x14ac:dyDescent="0.35">
      <c r="S640" s="95"/>
      <c r="T640" s="95"/>
      <c r="U640" s="95"/>
    </row>
    <row r="641" spans="16:22" x14ac:dyDescent="0.35">
      <c r="T641" s="95"/>
      <c r="U641" s="95"/>
      <c r="V641" s="95"/>
    </row>
    <row r="642" spans="16:22" x14ac:dyDescent="0.35">
      <c r="P642" s="95"/>
      <c r="Q642" s="95"/>
      <c r="R642" s="95"/>
      <c r="S642" s="95"/>
      <c r="T642" s="95"/>
      <c r="U642" s="95"/>
      <c r="V642" s="95"/>
    </row>
    <row r="643" spans="16:22" x14ac:dyDescent="0.35">
      <c r="P643" s="95"/>
      <c r="Q643" s="95"/>
      <c r="R643" s="95"/>
      <c r="S643" s="95"/>
      <c r="T643" s="95"/>
      <c r="U643" s="95"/>
      <c r="V643" s="95"/>
    </row>
    <row r="644" spans="16:22" x14ac:dyDescent="0.35">
      <c r="P644" s="95"/>
      <c r="Q644" s="95"/>
      <c r="R644" s="95"/>
      <c r="S644" s="95"/>
      <c r="T644" s="95"/>
      <c r="U644" s="95"/>
      <c r="V644" s="95"/>
    </row>
    <row r="645" spans="16:22" x14ac:dyDescent="0.35">
      <c r="P645" s="95"/>
      <c r="Q645" s="95"/>
      <c r="R645" s="95"/>
      <c r="S645" s="95"/>
      <c r="T645" s="95"/>
      <c r="U645" s="95"/>
      <c r="V645" s="95"/>
    </row>
    <row r="646" spans="16:22" x14ac:dyDescent="0.35">
      <c r="P646" s="95"/>
      <c r="Q646" s="95"/>
      <c r="R646" s="95"/>
      <c r="S646" s="95"/>
      <c r="T646" s="95"/>
      <c r="U646" s="95"/>
      <c r="V646" s="95"/>
    </row>
    <row r="647" spans="16:22" x14ac:dyDescent="0.35">
      <c r="P647" s="95"/>
      <c r="Q647" s="95"/>
      <c r="R647" s="95"/>
      <c r="S647" s="95"/>
      <c r="T647" s="95"/>
      <c r="U647" s="95"/>
      <c r="V647" s="95"/>
    </row>
    <row r="648" spans="16:22" x14ac:dyDescent="0.35">
      <c r="P648" s="95"/>
      <c r="Q648" s="95"/>
      <c r="R648" s="95"/>
      <c r="S648" s="95"/>
      <c r="T648" s="95"/>
      <c r="U648" s="95"/>
      <c r="V648" s="95"/>
    </row>
    <row r="649" spans="16:22" x14ac:dyDescent="0.35">
      <c r="P649" s="95"/>
      <c r="Q649" s="95"/>
      <c r="R649" s="95"/>
      <c r="S649" s="95"/>
      <c r="T649" s="95"/>
      <c r="U649" s="95"/>
      <c r="V649" s="95"/>
    </row>
    <row r="650" spans="16:22" x14ac:dyDescent="0.35">
      <c r="P650" s="95"/>
      <c r="Q650" s="95"/>
      <c r="R650" s="95"/>
      <c r="S650" s="95"/>
      <c r="T650" s="95"/>
      <c r="U650" s="95"/>
      <c r="V650" s="95"/>
    </row>
    <row r="651" spans="16:22" x14ac:dyDescent="0.35">
      <c r="P651" s="95"/>
      <c r="Q651" s="95"/>
      <c r="R651" s="95"/>
      <c r="S651" s="95"/>
      <c r="T651" s="95"/>
      <c r="U651" s="95"/>
      <c r="V651" s="95"/>
    </row>
    <row r="652" spans="16:22" x14ac:dyDescent="0.35">
      <c r="P652" s="95"/>
      <c r="Q652" s="95"/>
      <c r="R652" s="95"/>
      <c r="S652" s="95"/>
      <c r="T652" s="95"/>
      <c r="U652" s="95"/>
      <c r="V652" s="95"/>
    </row>
    <row r="653" spans="16:22" x14ac:dyDescent="0.35">
      <c r="P653" s="95"/>
      <c r="Q653" s="95"/>
      <c r="R653" s="95"/>
      <c r="S653" s="95"/>
      <c r="T653" s="95"/>
      <c r="U653" s="95"/>
      <c r="V653" s="95"/>
    </row>
    <row r="654" spans="16:22" x14ac:dyDescent="0.35">
      <c r="P654" s="95"/>
      <c r="Q654" s="95"/>
      <c r="R654" s="95"/>
      <c r="S654" s="95"/>
      <c r="T654" s="95"/>
      <c r="U654" s="95"/>
      <c r="V654" s="95"/>
    </row>
    <row r="655" spans="16:22" x14ac:dyDescent="0.35">
      <c r="P655" s="95"/>
      <c r="Q655" s="95"/>
      <c r="R655" s="95"/>
      <c r="S655" s="95"/>
      <c r="T655" s="95"/>
      <c r="U655" s="95"/>
      <c r="V655" s="95"/>
    </row>
    <row r="656" spans="16:22" x14ac:dyDescent="0.35">
      <c r="P656" s="95"/>
      <c r="Q656" s="95"/>
      <c r="R656" s="95"/>
      <c r="S656" s="95"/>
      <c r="T656" s="95"/>
      <c r="U656" s="95"/>
      <c r="V656" s="95"/>
    </row>
    <row r="657" spans="16:22" x14ac:dyDescent="0.35">
      <c r="P657" s="95"/>
      <c r="Q657" s="95"/>
      <c r="R657" s="95"/>
      <c r="S657" s="95"/>
      <c r="T657" s="95"/>
      <c r="U657" s="95"/>
      <c r="V657" s="95"/>
    </row>
    <row r="658" spans="16:22" x14ac:dyDescent="0.35">
      <c r="P658" s="95"/>
      <c r="Q658" s="95"/>
      <c r="R658" s="95"/>
      <c r="S658" s="95"/>
      <c r="T658" s="95"/>
      <c r="U658" s="95"/>
      <c r="V658" s="95"/>
    </row>
    <row r="659" spans="16:22" x14ac:dyDescent="0.35">
      <c r="P659" s="95"/>
      <c r="Q659" s="95"/>
      <c r="R659" s="95"/>
      <c r="S659" s="95"/>
      <c r="T659" s="95"/>
      <c r="U659" s="95"/>
      <c r="V659" s="95"/>
    </row>
    <row r="660" spans="16:22" x14ac:dyDescent="0.35">
      <c r="P660" s="95"/>
      <c r="Q660" s="95"/>
      <c r="R660" s="95"/>
      <c r="S660" s="95"/>
      <c r="T660" s="95"/>
      <c r="U660" s="95"/>
      <c r="V660" s="95"/>
    </row>
    <row r="661" spans="16:22" x14ac:dyDescent="0.35">
      <c r="P661" s="95"/>
      <c r="Q661" s="95"/>
      <c r="R661" s="95"/>
      <c r="S661" s="95"/>
      <c r="T661" s="95"/>
      <c r="U661" s="95"/>
      <c r="V661" s="95"/>
    </row>
    <row r="662" spans="16:22" x14ac:dyDescent="0.35">
      <c r="P662" s="95"/>
      <c r="Q662" s="95"/>
      <c r="R662" s="95"/>
      <c r="S662" s="95"/>
      <c r="T662" s="95"/>
      <c r="U662" s="95"/>
      <c r="V662" s="95"/>
    </row>
    <row r="663" spans="16:22" x14ac:dyDescent="0.35">
      <c r="P663" s="95"/>
      <c r="Q663" s="95"/>
      <c r="R663" s="95"/>
      <c r="S663" s="95"/>
      <c r="T663" s="95"/>
      <c r="U663" s="95"/>
      <c r="V663" s="95"/>
    </row>
    <row r="664" spans="16:22" x14ac:dyDescent="0.35">
      <c r="P664" s="95"/>
      <c r="Q664" s="95"/>
      <c r="R664" s="95"/>
      <c r="S664" s="95"/>
      <c r="T664" s="95"/>
      <c r="U664" s="95"/>
      <c r="V664" s="95"/>
    </row>
    <row r="665" spans="16:22" x14ac:dyDescent="0.35">
      <c r="P665" s="95"/>
      <c r="Q665" s="95"/>
      <c r="R665" s="95"/>
      <c r="S665" s="95"/>
      <c r="T665" s="95"/>
      <c r="U665" s="95"/>
      <c r="V665" s="95"/>
    </row>
    <row r="666" spans="16:22" x14ac:dyDescent="0.35">
      <c r="P666" s="95"/>
      <c r="Q666" s="95"/>
      <c r="R666" s="95"/>
      <c r="S666" s="95"/>
      <c r="T666" s="95"/>
      <c r="U666" s="95"/>
      <c r="V666" s="95"/>
    </row>
    <row r="667" spans="16:22" x14ac:dyDescent="0.35">
      <c r="P667" s="95"/>
      <c r="Q667" s="95"/>
      <c r="R667" s="95"/>
      <c r="S667" s="95"/>
      <c r="T667" s="95"/>
      <c r="U667" s="95"/>
      <c r="V667" s="95"/>
    </row>
    <row r="668" spans="16:22" x14ac:dyDescent="0.35">
      <c r="P668" s="95"/>
      <c r="Q668" s="95"/>
      <c r="R668" s="95"/>
      <c r="S668" s="95"/>
      <c r="T668" s="95"/>
      <c r="U668" s="95"/>
      <c r="V668" s="95"/>
    </row>
    <row r="669" spans="16:22" x14ac:dyDescent="0.35">
      <c r="P669" s="95"/>
      <c r="Q669" s="95"/>
      <c r="R669" s="95"/>
      <c r="S669" s="95"/>
      <c r="T669" s="95"/>
      <c r="U669" s="95"/>
      <c r="V669" s="95"/>
    </row>
    <row r="670" spans="16:22" x14ac:dyDescent="0.35">
      <c r="P670" s="95"/>
      <c r="Q670" s="95"/>
      <c r="R670" s="95"/>
      <c r="S670" s="95"/>
      <c r="T670" s="95"/>
      <c r="U670" s="95"/>
      <c r="V670" s="95"/>
    </row>
    <row r="671" spans="16:22" x14ac:dyDescent="0.35">
      <c r="P671" s="95"/>
      <c r="Q671" s="95"/>
      <c r="R671" s="95"/>
      <c r="S671" s="95"/>
      <c r="T671" s="95"/>
      <c r="U671" s="95"/>
      <c r="V671" s="95"/>
    </row>
    <row r="672" spans="16:22" x14ac:dyDescent="0.35">
      <c r="P672" s="95"/>
      <c r="Q672" s="95"/>
      <c r="R672" s="95"/>
      <c r="S672" s="95"/>
      <c r="T672" s="95"/>
      <c r="U672" s="95"/>
      <c r="V672" s="95"/>
    </row>
    <row r="673" spans="16:22" x14ac:dyDescent="0.35">
      <c r="P673" s="95"/>
      <c r="Q673" s="95"/>
      <c r="R673" s="95"/>
      <c r="S673" s="95"/>
      <c r="T673" s="95"/>
      <c r="U673" s="95"/>
      <c r="V673" s="95"/>
    </row>
    <row r="674" spans="16:22" x14ac:dyDescent="0.35">
      <c r="P674" s="95"/>
      <c r="Q674" s="95"/>
      <c r="R674" s="95"/>
      <c r="S674" s="95"/>
      <c r="T674" s="95"/>
      <c r="U674" s="95"/>
      <c r="V674" s="95"/>
    </row>
    <row r="675" spans="16:22" x14ac:dyDescent="0.35">
      <c r="P675" s="95"/>
      <c r="Q675" s="95"/>
      <c r="R675" s="95"/>
      <c r="S675" s="95"/>
      <c r="T675" s="95"/>
      <c r="U675" s="95"/>
      <c r="V675" s="95"/>
    </row>
    <row r="676" spans="16:22" x14ac:dyDescent="0.35">
      <c r="P676" s="95"/>
      <c r="Q676" s="95"/>
      <c r="R676" s="95"/>
      <c r="S676" s="95"/>
      <c r="T676" s="95"/>
      <c r="U676" s="95"/>
      <c r="V676" s="95"/>
    </row>
    <row r="677" spans="16:22" x14ac:dyDescent="0.35">
      <c r="P677" s="95"/>
      <c r="Q677" s="95"/>
      <c r="R677" s="95"/>
      <c r="S677" s="95"/>
      <c r="T677" s="95"/>
      <c r="U677" s="95"/>
      <c r="V677" s="95"/>
    </row>
    <row r="678" spans="16:22" x14ac:dyDescent="0.35">
      <c r="P678" s="95"/>
      <c r="Q678" s="95"/>
      <c r="R678" s="95"/>
      <c r="S678" s="95"/>
      <c r="T678" s="95"/>
      <c r="U678" s="95"/>
      <c r="V678" s="95"/>
    </row>
    <row r="679" spans="16:22" x14ac:dyDescent="0.35">
      <c r="P679" s="95"/>
      <c r="Q679" s="95"/>
      <c r="R679" s="95"/>
      <c r="S679" s="95"/>
      <c r="T679" s="95"/>
      <c r="U679" s="95"/>
      <c r="V679" s="95"/>
    </row>
    <row r="680" spans="16:22" x14ac:dyDescent="0.35">
      <c r="P680" s="95"/>
      <c r="Q680" s="95"/>
      <c r="R680" s="95"/>
      <c r="S680" s="95"/>
      <c r="T680" s="95"/>
      <c r="U680" s="95"/>
      <c r="V680" s="95"/>
    </row>
    <row r="681" spans="16:22" x14ac:dyDescent="0.35">
      <c r="P681" s="95"/>
      <c r="Q681" s="95"/>
      <c r="R681" s="95"/>
      <c r="S681" s="95"/>
      <c r="T681" s="95"/>
      <c r="U681" s="95"/>
      <c r="V681" s="95"/>
    </row>
    <row r="682" spans="16:22" x14ac:dyDescent="0.35">
      <c r="P682" s="95"/>
      <c r="Q682" s="95"/>
      <c r="R682" s="95"/>
      <c r="S682" s="95"/>
      <c r="T682" s="95"/>
      <c r="U682" s="95"/>
      <c r="V682" s="95"/>
    </row>
    <row r="683" spans="16:22" x14ac:dyDescent="0.35">
      <c r="P683" s="95"/>
      <c r="Q683" s="95"/>
      <c r="R683" s="95"/>
      <c r="S683" s="95"/>
      <c r="T683" s="95"/>
      <c r="U683" s="95"/>
      <c r="V683" s="95"/>
    </row>
    <row r="684" spans="16:22" x14ac:dyDescent="0.35">
      <c r="P684" s="95"/>
      <c r="Q684" s="95"/>
      <c r="R684" s="95"/>
      <c r="S684" s="95"/>
      <c r="T684" s="95"/>
      <c r="U684" s="95"/>
      <c r="V684" s="95"/>
    </row>
    <row r="685" spans="16:22" x14ac:dyDescent="0.35">
      <c r="P685" s="95"/>
      <c r="Q685" s="95"/>
      <c r="R685" s="95"/>
      <c r="S685" s="95"/>
      <c r="T685" s="95"/>
      <c r="U685" s="95"/>
      <c r="V685" s="95"/>
    </row>
    <row r="686" spans="16:22" x14ac:dyDescent="0.35">
      <c r="P686" s="95"/>
      <c r="Q686" s="95"/>
      <c r="R686" s="95"/>
      <c r="S686" s="95"/>
      <c r="T686" s="95"/>
      <c r="U686" s="95"/>
      <c r="V686" s="95"/>
    </row>
    <row r="687" spans="16:22" x14ac:dyDescent="0.35">
      <c r="P687" s="95"/>
      <c r="Q687" s="95"/>
      <c r="R687" s="95"/>
      <c r="S687" s="95"/>
      <c r="T687" s="95"/>
      <c r="U687" s="95"/>
      <c r="V687" s="95"/>
    </row>
    <row r="688" spans="16:22" x14ac:dyDescent="0.35">
      <c r="P688" s="95"/>
      <c r="Q688" s="95"/>
      <c r="R688" s="95"/>
      <c r="S688" s="95"/>
      <c r="T688" s="95"/>
      <c r="U688" s="95"/>
      <c r="V688" s="95"/>
    </row>
    <row r="689" spans="16:22" x14ac:dyDescent="0.35">
      <c r="P689" s="95"/>
      <c r="Q689" s="95"/>
      <c r="R689" s="95"/>
      <c r="S689" s="95"/>
      <c r="T689" s="95"/>
      <c r="U689" s="95"/>
      <c r="V689" s="95"/>
    </row>
    <row r="690" spans="16:22" x14ac:dyDescent="0.35">
      <c r="P690" s="95"/>
      <c r="Q690" s="95"/>
      <c r="R690" s="95"/>
      <c r="S690" s="95"/>
      <c r="T690" s="95"/>
      <c r="U690" s="95"/>
      <c r="V690" s="95"/>
    </row>
    <row r="691" spans="16:22" x14ac:dyDescent="0.35">
      <c r="P691" s="95"/>
      <c r="Q691" s="95"/>
      <c r="R691" s="95"/>
      <c r="S691" s="95"/>
      <c r="T691" s="95"/>
      <c r="U691" s="95"/>
      <c r="V691" s="95"/>
    </row>
    <row r="692" spans="16:22" x14ac:dyDescent="0.35">
      <c r="P692" s="95"/>
      <c r="Q692" s="95"/>
      <c r="R692" s="95"/>
      <c r="S692" s="95"/>
      <c r="T692" s="95"/>
      <c r="U692" s="95"/>
      <c r="V692" s="95"/>
    </row>
    <row r="693" spans="16:22" x14ac:dyDescent="0.35">
      <c r="P693" s="95"/>
      <c r="Q693" s="95"/>
      <c r="R693" s="95"/>
      <c r="S693" s="95"/>
      <c r="T693" s="95"/>
      <c r="U693" s="95"/>
      <c r="V693" s="95"/>
    </row>
    <row r="694" spans="16:22" x14ac:dyDescent="0.35">
      <c r="P694" s="95"/>
      <c r="Q694" s="95"/>
      <c r="R694" s="95"/>
      <c r="S694" s="95"/>
      <c r="T694" s="95"/>
      <c r="U694" s="95"/>
      <c r="V694" s="95"/>
    </row>
    <row r="695" spans="16:22" x14ac:dyDescent="0.35">
      <c r="P695" s="95"/>
      <c r="Q695" s="95"/>
      <c r="R695" s="95"/>
      <c r="S695" s="95"/>
      <c r="T695" s="95"/>
      <c r="U695" s="95"/>
      <c r="V695" s="95"/>
    </row>
    <row r="696" spans="16:22" x14ac:dyDescent="0.35">
      <c r="P696" s="95"/>
      <c r="Q696" s="95"/>
      <c r="R696" s="95"/>
      <c r="S696" s="95"/>
      <c r="T696" s="95"/>
      <c r="U696" s="95"/>
      <c r="V696" s="95"/>
    </row>
    <row r="697" spans="16:22" x14ac:dyDescent="0.35">
      <c r="P697" s="95"/>
      <c r="Q697" s="95"/>
      <c r="R697" s="95"/>
      <c r="S697" s="95"/>
      <c r="T697" s="95"/>
      <c r="U697" s="95"/>
      <c r="V697" s="95"/>
    </row>
    <row r="698" spans="16:22" x14ac:dyDescent="0.35">
      <c r="P698" s="95"/>
      <c r="Q698" s="95"/>
      <c r="R698" s="95"/>
      <c r="S698" s="95"/>
      <c r="T698" s="95"/>
      <c r="U698" s="95"/>
      <c r="V698" s="95"/>
    </row>
    <row r="699" spans="16:22" x14ac:dyDescent="0.35">
      <c r="P699" s="95"/>
      <c r="Q699" s="95"/>
      <c r="R699" s="95"/>
      <c r="S699" s="95"/>
      <c r="T699" s="95"/>
      <c r="U699" s="95"/>
      <c r="V699" s="95"/>
    </row>
    <row r="700" spans="16:22" x14ac:dyDescent="0.35">
      <c r="P700" s="95"/>
      <c r="Q700" s="95"/>
      <c r="R700" s="95"/>
      <c r="S700" s="95"/>
      <c r="T700" s="95"/>
      <c r="U700" s="95"/>
      <c r="V700" s="95"/>
    </row>
    <row r="701" spans="16:22" x14ac:dyDescent="0.35">
      <c r="P701" s="95"/>
      <c r="Q701" s="95"/>
      <c r="R701" s="95"/>
      <c r="S701" s="95"/>
      <c r="T701" s="95"/>
      <c r="U701" s="95"/>
      <c r="V701" s="95"/>
    </row>
    <row r="702" spans="16:22" x14ac:dyDescent="0.35">
      <c r="P702" s="95"/>
      <c r="Q702" s="95"/>
      <c r="R702" s="95"/>
      <c r="S702" s="95"/>
      <c r="T702" s="95"/>
      <c r="U702" s="95"/>
      <c r="V702" s="95"/>
    </row>
    <row r="703" spans="16:22" x14ac:dyDescent="0.35">
      <c r="P703" s="95"/>
      <c r="Q703" s="95"/>
      <c r="R703" s="95"/>
      <c r="S703" s="95"/>
      <c r="T703" s="95"/>
      <c r="U703" s="95"/>
      <c r="V703" s="95"/>
    </row>
    <row r="704" spans="16:22" x14ac:dyDescent="0.35">
      <c r="P704" s="95"/>
      <c r="Q704" s="95"/>
      <c r="R704" s="95"/>
      <c r="S704" s="95"/>
      <c r="T704" s="95"/>
      <c r="U704" s="95"/>
      <c r="V704" s="95"/>
    </row>
    <row r="705" spans="16:22" x14ac:dyDescent="0.35">
      <c r="P705" s="95"/>
      <c r="Q705" s="95"/>
      <c r="R705" s="95"/>
      <c r="S705" s="95"/>
      <c r="T705" s="95"/>
      <c r="U705" s="95"/>
      <c r="V705" s="95"/>
    </row>
    <row r="706" spans="16:22" x14ac:dyDescent="0.35">
      <c r="P706" s="95"/>
      <c r="Q706" s="95"/>
      <c r="R706" s="95"/>
      <c r="S706" s="95"/>
      <c r="T706" s="95"/>
      <c r="U706" s="95"/>
      <c r="V706" s="95"/>
    </row>
    <row r="707" spans="16:22" x14ac:dyDescent="0.35">
      <c r="P707" s="95"/>
      <c r="Q707" s="95"/>
      <c r="R707" s="95"/>
      <c r="S707" s="95"/>
      <c r="T707" s="95"/>
      <c r="U707" s="95"/>
      <c r="V707" s="95"/>
    </row>
    <row r="708" spans="16:22" x14ac:dyDescent="0.35">
      <c r="P708" s="95"/>
      <c r="Q708" s="95"/>
      <c r="R708" s="95"/>
      <c r="S708" s="95"/>
      <c r="T708" s="95"/>
      <c r="U708" s="95"/>
      <c r="V708" s="95"/>
    </row>
    <row r="709" spans="16:22" x14ac:dyDescent="0.35">
      <c r="P709" s="95"/>
      <c r="Q709" s="95"/>
      <c r="R709" s="95"/>
      <c r="S709" s="95"/>
      <c r="T709" s="95"/>
      <c r="U709" s="95"/>
      <c r="V709" s="95"/>
    </row>
    <row r="710" spans="16:22" x14ac:dyDescent="0.35">
      <c r="P710" s="95"/>
      <c r="Q710" s="95"/>
      <c r="R710" s="95"/>
      <c r="S710" s="95"/>
      <c r="T710" s="95"/>
      <c r="U710" s="95"/>
      <c r="V710" s="95"/>
    </row>
    <row r="711" spans="16:22" x14ac:dyDescent="0.35">
      <c r="P711" s="95"/>
      <c r="Q711" s="95"/>
      <c r="R711" s="95"/>
      <c r="S711" s="95"/>
      <c r="T711" s="95"/>
      <c r="U711" s="95"/>
      <c r="V711" s="95"/>
    </row>
    <row r="712" spans="16:22" x14ac:dyDescent="0.35">
      <c r="P712" s="95"/>
      <c r="Q712" s="95"/>
      <c r="R712" s="95"/>
      <c r="S712" s="95"/>
      <c r="T712" s="95"/>
      <c r="U712" s="95"/>
      <c r="V712" s="95"/>
    </row>
    <row r="713" spans="16:22" x14ac:dyDescent="0.35">
      <c r="P713" s="95"/>
      <c r="Q713" s="95"/>
      <c r="R713" s="95"/>
      <c r="S713" s="95"/>
      <c r="T713" s="95"/>
      <c r="U713" s="95"/>
      <c r="V713" s="95"/>
    </row>
    <row r="714" spans="16:22" x14ac:dyDescent="0.35">
      <c r="P714" s="95"/>
      <c r="Q714" s="95"/>
      <c r="R714" s="95"/>
      <c r="S714" s="95"/>
      <c r="T714" s="95"/>
      <c r="U714" s="95"/>
      <c r="V714" s="95"/>
    </row>
    <row r="715" spans="16:22" x14ac:dyDescent="0.35">
      <c r="P715" s="95"/>
      <c r="Q715" s="95"/>
      <c r="R715" s="95"/>
      <c r="S715" s="95"/>
      <c r="T715" s="95"/>
      <c r="U715" s="95"/>
      <c r="V715" s="95"/>
    </row>
    <row r="716" spans="16:22" x14ac:dyDescent="0.35">
      <c r="P716" s="95"/>
      <c r="Q716" s="95"/>
      <c r="R716" s="95"/>
      <c r="S716" s="95"/>
      <c r="T716" s="95"/>
      <c r="U716" s="95"/>
      <c r="V716" s="95"/>
    </row>
    <row r="717" spans="16:22" x14ac:dyDescent="0.35">
      <c r="P717" s="95"/>
      <c r="Q717" s="95"/>
      <c r="R717" s="95"/>
      <c r="S717" s="95"/>
      <c r="T717" s="95"/>
      <c r="U717" s="95"/>
      <c r="V717" s="95"/>
    </row>
    <row r="718" spans="16:22" x14ac:dyDescent="0.35">
      <c r="P718" s="95"/>
      <c r="Q718" s="95"/>
      <c r="R718" s="95"/>
      <c r="S718" s="95"/>
      <c r="T718" s="95"/>
      <c r="U718" s="95"/>
      <c r="V718" s="95"/>
    </row>
    <row r="719" spans="16:22" x14ac:dyDescent="0.35">
      <c r="P719" s="95"/>
      <c r="Q719" s="95"/>
      <c r="R719" s="95"/>
      <c r="S719" s="95"/>
      <c r="T719" s="95"/>
      <c r="U719" s="95"/>
      <c r="V719" s="95"/>
    </row>
  </sheetData>
  <mergeCells count="3">
    <mergeCell ref="K1:O1"/>
    <mergeCell ref="P1:V1"/>
    <mergeCell ref="X1:AB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4216FF5-BFC1-4F9A-B2B3-A15D170F0093}">
          <x14:formula1>
            <xm:f>References!$A:$A</xm:f>
          </x14:formula1>
          <xm:sqref>C3:C719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tabColor theme="9" tint="0.59999389629810485"/>
  </sheetPr>
  <dimension ref="A1:S124"/>
  <sheetViews>
    <sheetView workbookViewId="0">
      <selection activeCell="M36" sqref="M36"/>
    </sheetView>
  </sheetViews>
  <sheetFormatPr defaultRowHeight="14.5" x14ac:dyDescent="0.35"/>
  <cols>
    <col min="1" max="1" width="23.54296875" bestFit="1" customWidth="1"/>
    <col min="2" max="2" width="6.453125" bestFit="1" customWidth="1"/>
    <col min="3" max="3" width="35" customWidth="1"/>
    <col min="4" max="4" width="9" bestFit="1" customWidth="1"/>
    <col min="5" max="5" width="15.81640625" bestFit="1" customWidth="1"/>
    <col min="6" max="6" width="17.453125" style="63" bestFit="1" customWidth="1"/>
    <col min="7" max="7" width="10.453125" bestFit="1" customWidth="1"/>
    <col min="8" max="12" width="10.453125" customWidth="1"/>
    <col min="13" max="13" width="10.453125" style="63" customWidth="1"/>
    <col min="14" max="14" width="81.453125" customWidth="1"/>
    <col min="15" max="15" width="9.54296875" bestFit="1" customWidth="1"/>
    <col min="16" max="16" width="13.1796875" bestFit="1" customWidth="1"/>
    <col min="17" max="17" width="8.81640625" bestFit="1" customWidth="1"/>
    <col min="18" max="18" width="12.1796875" bestFit="1" customWidth="1"/>
    <col min="19" max="19" width="12.54296875" bestFit="1" customWidth="1"/>
  </cols>
  <sheetData>
    <row r="1" spans="1:19" ht="15.5" x14ac:dyDescent="0.35">
      <c r="G1" s="471" t="s">
        <v>2082</v>
      </c>
      <c r="H1" s="472"/>
      <c r="I1" s="472"/>
      <c r="J1" s="472"/>
      <c r="K1" s="472"/>
      <c r="L1" s="472"/>
      <c r="M1" s="473"/>
      <c r="O1" s="475" t="s">
        <v>146</v>
      </c>
      <c r="P1" s="474"/>
      <c r="Q1" s="474"/>
      <c r="R1" s="474"/>
      <c r="S1" s="474"/>
    </row>
    <row r="2" spans="1:19" ht="15" thickBot="1" x14ac:dyDescent="0.4">
      <c r="A2" s="12" t="s">
        <v>94</v>
      </c>
      <c r="B2" s="12" t="s">
        <v>95</v>
      </c>
      <c r="C2" s="12" t="s">
        <v>179</v>
      </c>
      <c r="D2" s="12" t="s">
        <v>140</v>
      </c>
      <c r="E2" s="12" t="s">
        <v>280</v>
      </c>
      <c r="F2" s="13" t="s">
        <v>281</v>
      </c>
      <c r="G2" s="12">
        <v>2021</v>
      </c>
      <c r="H2" s="12">
        <v>2025</v>
      </c>
      <c r="I2" s="12">
        <v>2030</v>
      </c>
      <c r="J2" s="12">
        <v>2035</v>
      </c>
      <c r="K2" s="12">
        <v>2040</v>
      </c>
      <c r="L2" s="12">
        <v>2045</v>
      </c>
      <c r="M2" s="13">
        <v>2050</v>
      </c>
      <c r="N2" s="12" t="s">
        <v>93</v>
      </c>
      <c r="O2" s="67" t="s">
        <v>147</v>
      </c>
      <c r="P2" s="15" t="s">
        <v>399</v>
      </c>
      <c r="Q2" s="12" t="s">
        <v>148</v>
      </c>
      <c r="R2" s="12" t="s">
        <v>149</v>
      </c>
      <c r="S2" s="12" t="s">
        <v>150</v>
      </c>
    </row>
    <row r="3" spans="1:19" ht="15" thickTop="1" x14ac:dyDescent="0.35">
      <c r="A3" t="s">
        <v>2075</v>
      </c>
      <c r="B3" t="s">
        <v>2261</v>
      </c>
      <c r="C3" t="s">
        <v>851</v>
      </c>
      <c r="D3">
        <v>2022</v>
      </c>
      <c r="E3" t="s">
        <v>1094</v>
      </c>
      <c r="F3" s="63" t="s">
        <v>2071</v>
      </c>
      <c r="G3" s="317">
        <f>'ANL-DOE-LDV Data'!$BB$3</f>
        <v>0.69852123696330215</v>
      </c>
      <c r="H3" s="317">
        <f>'ANL-DOE-LDV Data'!$BB$3</f>
        <v>0.69852123696330215</v>
      </c>
      <c r="I3" s="317">
        <f>'ANL-DOE-LDV Data'!$BB$3</f>
        <v>0.69852123696330215</v>
      </c>
      <c r="J3" s="317">
        <f>'ANL-DOE-LDV Data'!$BB$3</f>
        <v>0.69852123696330215</v>
      </c>
      <c r="K3" s="317">
        <f>'ANL-DOE-LDV Data'!$BB$3</f>
        <v>0.69852123696330215</v>
      </c>
      <c r="L3" s="317">
        <f>'ANL-DOE-LDV Data'!$BB$3</f>
        <v>0.69852123696330215</v>
      </c>
      <c r="M3" s="425">
        <f>'ANL-DOE-LDV Data'!$BB$3</f>
        <v>0.69852123696330215</v>
      </c>
      <c r="N3" t="s">
        <v>2145</v>
      </c>
      <c r="O3" s="87">
        <v>3</v>
      </c>
      <c r="P3">
        <v>1</v>
      </c>
      <c r="Q3">
        <v>1</v>
      </c>
      <c r="R3">
        <v>3</v>
      </c>
      <c r="S3">
        <v>1</v>
      </c>
    </row>
    <row r="4" spans="1:19" x14ac:dyDescent="0.35">
      <c r="A4" t="s">
        <v>2075</v>
      </c>
      <c r="B4" t="s">
        <v>2261</v>
      </c>
      <c r="C4" t="s">
        <v>851</v>
      </c>
      <c r="D4">
        <v>2022</v>
      </c>
      <c r="E4" t="s">
        <v>493</v>
      </c>
      <c r="F4" s="63" t="s">
        <v>2071</v>
      </c>
      <c r="G4" s="317">
        <f>1-G3</f>
        <v>0.30147876303669785</v>
      </c>
      <c r="H4" s="317">
        <f t="shared" ref="H4:M4" si="0">1-H3</f>
        <v>0.30147876303669785</v>
      </c>
      <c r="I4" s="317">
        <f t="shared" si="0"/>
        <v>0.30147876303669785</v>
      </c>
      <c r="J4" s="317">
        <f t="shared" si="0"/>
        <v>0.30147876303669785</v>
      </c>
      <c r="K4" s="317">
        <f t="shared" si="0"/>
        <v>0.30147876303669785</v>
      </c>
      <c r="L4" s="317">
        <f t="shared" si="0"/>
        <v>0.30147876303669785</v>
      </c>
      <c r="M4" s="425">
        <f t="shared" si="0"/>
        <v>0.30147876303669785</v>
      </c>
      <c r="N4" t="s">
        <v>2146</v>
      </c>
      <c r="O4" s="87">
        <v>3</v>
      </c>
      <c r="P4">
        <v>1</v>
      </c>
      <c r="Q4">
        <v>1</v>
      </c>
      <c r="R4">
        <v>3</v>
      </c>
      <c r="S4">
        <v>1</v>
      </c>
    </row>
    <row r="5" spans="1:19" x14ac:dyDescent="0.35">
      <c r="A5" t="s">
        <v>2069</v>
      </c>
      <c r="B5" t="s">
        <v>2261</v>
      </c>
      <c r="C5" t="s">
        <v>851</v>
      </c>
      <c r="D5">
        <v>2022</v>
      </c>
      <c r="E5" t="s">
        <v>1094</v>
      </c>
      <c r="F5" s="63" t="s">
        <v>2072</v>
      </c>
      <c r="G5" s="317">
        <f>'ANL-DOE-LDV Data'!$BC$3</f>
        <v>0.40777126496922705</v>
      </c>
      <c r="H5" s="317">
        <f>'ANL-DOE-LDV Data'!$BC$3</f>
        <v>0.40777126496922705</v>
      </c>
      <c r="I5" s="317">
        <f>'ANL-DOE-LDV Data'!$BC$3</f>
        <v>0.40777126496922705</v>
      </c>
      <c r="J5" s="317">
        <f>'ANL-DOE-LDV Data'!$BC$3</f>
        <v>0.40777126496922705</v>
      </c>
      <c r="K5" s="317">
        <f>'ANL-DOE-LDV Data'!$BC$3</f>
        <v>0.40777126496922705</v>
      </c>
      <c r="L5" s="317">
        <f>'ANL-DOE-LDV Data'!$BC$3</f>
        <v>0.40777126496922705</v>
      </c>
      <c r="M5" s="425">
        <f>'ANL-DOE-LDV Data'!$BC$3</f>
        <v>0.40777126496922705</v>
      </c>
      <c r="N5" t="s">
        <v>2150</v>
      </c>
      <c r="O5" s="87">
        <v>3</v>
      </c>
      <c r="P5">
        <v>1</v>
      </c>
      <c r="Q5">
        <v>1</v>
      </c>
      <c r="R5">
        <v>3</v>
      </c>
      <c r="S5">
        <v>1</v>
      </c>
    </row>
    <row r="6" spans="1:19" x14ac:dyDescent="0.35">
      <c r="A6" t="s">
        <v>2069</v>
      </c>
      <c r="B6" t="s">
        <v>2261</v>
      </c>
      <c r="C6" t="s">
        <v>851</v>
      </c>
      <c r="D6">
        <v>2022</v>
      </c>
      <c r="E6" t="s">
        <v>493</v>
      </c>
      <c r="F6" s="63" t="s">
        <v>2072</v>
      </c>
      <c r="G6" s="317">
        <f>1-G5</f>
        <v>0.59222873503077289</v>
      </c>
      <c r="H6" s="317">
        <f t="shared" ref="H6:M6" si="1">1-H5</f>
        <v>0.59222873503077289</v>
      </c>
      <c r="I6" s="317">
        <f t="shared" si="1"/>
        <v>0.59222873503077289</v>
      </c>
      <c r="J6" s="317">
        <f t="shared" si="1"/>
        <v>0.59222873503077289</v>
      </c>
      <c r="K6" s="317">
        <f t="shared" si="1"/>
        <v>0.59222873503077289</v>
      </c>
      <c r="L6" s="317">
        <f t="shared" si="1"/>
        <v>0.59222873503077289</v>
      </c>
      <c r="M6" s="425">
        <f t="shared" si="1"/>
        <v>0.59222873503077289</v>
      </c>
      <c r="N6" t="s">
        <v>2147</v>
      </c>
      <c r="O6" s="87">
        <v>3</v>
      </c>
      <c r="P6">
        <v>1</v>
      </c>
      <c r="Q6">
        <v>1</v>
      </c>
      <c r="R6">
        <v>3</v>
      </c>
      <c r="S6">
        <v>1</v>
      </c>
    </row>
    <row r="7" spans="1:19" x14ac:dyDescent="0.35">
      <c r="A7" t="s">
        <v>2004</v>
      </c>
      <c r="B7" t="s">
        <v>2261</v>
      </c>
      <c r="C7" t="s">
        <v>851</v>
      </c>
      <c r="D7">
        <v>2022</v>
      </c>
      <c r="E7" t="s">
        <v>10</v>
      </c>
      <c r="F7" s="63" t="s">
        <v>503</v>
      </c>
      <c r="G7" s="317">
        <f>'ANL-DOE-MHDV Data'!$BB$3</f>
        <v>0.410014824935303</v>
      </c>
      <c r="H7" s="317">
        <f>'ANL-DOE-MHDV Data'!$BB$3</f>
        <v>0.410014824935303</v>
      </c>
      <c r="I7" s="317">
        <f>'ANL-DOE-MHDV Data'!$BB$3</f>
        <v>0.410014824935303</v>
      </c>
      <c r="J7" s="317">
        <f>'ANL-DOE-MHDV Data'!$BB$3</f>
        <v>0.410014824935303</v>
      </c>
      <c r="K7" s="317">
        <f>'ANL-DOE-MHDV Data'!$BB$3</f>
        <v>0.410014824935303</v>
      </c>
      <c r="L7" s="317">
        <f>'ANL-DOE-MHDV Data'!$BB$3</f>
        <v>0.410014824935303</v>
      </c>
      <c r="M7" s="425">
        <f>'ANL-DOE-MHDV Data'!$BB$3</f>
        <v>0.410014824935303</v>
      </c>
      <c r="N7" t="s">
        <v>2148</v>
      </c>
      <c r="O7" s="87">
        <v>3</v>
      </c>
      <c r="P7">
        <v>1</v>
      </c>
      <c r="Q7">
        <v>1</v>
      </c>
      <c r="R7">
        <v>3</v>
      </c>
      <c r="S7">
        <v>1</v>
      </c>
    </row>
    <row r="8" spans="1:19" x14ac:dyDescent="0.35">
      <c r="A8" t="s">
        <v>2004</v>
      </c>
      <c r="B8" t="s">
        <v>2261</v>
      </c>
      <c r="C8" t="s">
        <v>851</v>
      </c>
      <c r="D8">
        <v>2022</v>
      </c>
      <c r="E8" t="s">
        <v>493</v>
      </c>
      <c r="F8" s="63" t="s">
        <v>503</v>
      </c>
      <c r="G8" s="317">
        <f>1-G7</f>
        <v>0.58998517506469694</v>
      </c>
      <c r="H8" s="317">
        <f t="shared" ref="H8:M8" si="2">1-H7</f>
        <v>0.58998517506469694</v>
      </c>
      <c r="I8" s="317">
        <f t="shared" si="2"/>
        <v>0.58998517506469694</v>
      </c>
      <c r="J8" s="317">
        <f t="shared" si="2"/>
        <v>0.58998517506469694</v>
      </c>
      <c r="K8" s="317">
        <f t="shared" si="2"/>
        <v>0.58998517506469694</v>
      </c>
      <c r="L8" s="317">
        <f t="shared" si="2"/>
        <v>0.58998517506469694</v>
      </c>
      <c r="M8" s="425">
        <f t="shared" si="2"/>
        <v>0.58998517506469694</v>
      </c>
      <c r="N8" t="s">
        <v>2149</v>
      </c>
      <c r="O8" s="87">
        <v>3</v>
      </c>
      <c r="P8">
        <v>1</v>
      </c>
      <c r="Q8">
        <v>1</v>
      </c>
      <c r="R8">
        <v>3</v>
      </c>
      <c r="S8">
        <v>1</v>
      </c>
    </row>
    <row r="9" spans="1:19" x14ac:dyDescent="0.35">
      <c r="A9" t="s">
        <v>2005</v>
      </c>
      <c r="B9" t="s">
        <v>2261</v>
      </c>
      <c r="C9" t="s">
        <v>2076</v>
      </c>
      <c r="D9">
        <v>2020</v>
      </c>
      <c r="E9" t="s">
        <v>2013</v>
      </c>
      <c r="F9" s="63" t="s">
        <v>1094</v>
      </c>
      <c r="G9">
        <v>0.05</v>
      </c>
      <c r="H9">
        <v>0.05</v>
      </c>
      <c r="I9">
        <v>0.05</v>
      </c>
      <c r="J9">
        <v>0.05</v>
      </c>
      <c r="K9">
        <v>0.05</v>
      </c>
      <c r="L9">
        <v>0.05</v>
      </c>
      <c r="M9">
        <v>0.05</v>
      </c>
      <c r="N9" t="s">
        <v>2299</v>
      </c>
      <c r="O9" s="87">
        <v>1</v>
      </c>
      <c r="P9">
        <v>1</v>
      </c>
      <c r="Q9">
        <v>1</v>
      </c>
      <c r="R9">
        <v>1</v>
      </c>
      <c r="S9">
        <v>1</v>
      </c>
    </row>
    <row r="10" spans="1:19" x14ac:dyDescent="0.35">
      <c r="A10" t="s">
        <v>2005</v>
      </c>
      <c r="B10" t="s">
        <v>2261</v>
      </c>
      <c r="C10" t="s">
        <v>2076</v>
      </c>
      <c r="D10">
        <v>2020</v>
      </c>
      <c r="E10" t="s">
        <v>1833</v>
      </c>
      <c r="F10" s="63" t="s">
        <v>1094</v>
      </c>
      <c r="G10">
        <f>1-G9</f>
        <v>0.95</v>
      </c>
      <c r="H10">
        <f t="shared" ref="H10:M10" si="3">1-H9</f>
        <v>0.95</v>
      </c>
      <c r="I10">
        <f t="shared" si="3"/>
        <v>0.95</v>
      </c>
      <c r="J10">
        <f t="shared" si="3"/>
        <v>0.95</v>
      </c>
      <c r="K10">
        <f t="shared" si="3"/>
        <v>0.95</v>
      </c>
      <c r="L10">
        <f t="shared" si="3"/>
        <v>0.95</v>
      </c>
      <c r="M10">
        <f t="shared" si="3"/>
        <v>0.95</v>
      </c>
      <c r="N10" t="s">
        <v>2299</v>
      </c>
      <c r="O10" s="87">
        <v>1</v>
      </c>
      <c r="P10">
        <v>1</v>
      </c>
      <c r="Q10">
        <v>1</v>
      </c>
      <c r="R10">
        <v>1</v>
      </c>
      <c r="S10">
        <v>1</v>
      </c>
    </row>
    <row r="11" spans="1:19" x14ac:dyDescent="0.35">
      <c r="A11" t="s">
        <v>2077</v>
      </c>
      <c r="B11" t="s">
        <v>2261</v>
      </c>
      <c r="C11" t="s">
        <v>2076</v>
      </c>
      <c r="D11">
        <v>2020</v>
      </c>
      <c r="E11" t="s">
        <v>2014</v>
      </c>
      <c r="F11" s="63" t="s">
        <v>10</v>
      </c>
      <c r="G11">
        <v>0.02</v>
      </c>
      <c r="H11">
        <v>0.02</v>
      </c>
      <c r="I11">
        <v>0.02</v>
      </c>
      <c r="J11">
        <v>0.02</v>
      </c>
      <c r="K11">
        <v>0.02</v>
      </c>
      <c r="L11">
        <v>0.02</v>
      </c>
      <c r="M11">
        <v>0.02</v>
      </c>
      <c r="N11" t="s">
        <v>2299</v>
      </c>
      <c r="O11" s="87">
        <v>1</v>
      </c>
      <c r="P11">
        <v>1</v>
      </c>
      <c r="Q11">
        <v>1</v>
      </c>
      <c r="R11">
        <v>1</v>
      </c>
      <c r="S11">
        <v>1</v>
      </c>
    </row>
    <row r="12" spans="1:19" x14ac:dyDescent="0.35">
      <c r="A12" t="s">
        <v>2077</v>
      </c>
      <c r="B12" t="s">
        <v>2261</v>
      </c>
      <c r="C12" t="s">
        <v>2076</v>
      </c>
      <c r="D12">
        <v>2020</v>
      </c>
      <c r="E12" t="s">
        <v>1727</v>
      </c>
      <c r="F12" s="63" t="s">
        <v>10</v>
      </c>
      <c r="G12">
        <f>1-G11</f>
        <v>0.98</v>
      </c>
      <c r="H12">
        <f t="shared" ref="H12:M12" si="4">1-H11</f>
        <v>0.98</v>
      </c>
      <c r="I12">
        <f t="shared" si="4"/>
        <v>0.98</v>
      </c>
      <c r="J12">
        <f t="shared" si="4"/>
        <v>0.98</v>
      </c>
      <c r="K12">
        <f t="shared" si="4"/>
        <v>0.98</v>
      </c>
      <c r="L12">
        <f t="shared" si="4"/>
        <v>0.98</v>
      </c>
      <c r="M12">
        <f t="shared" si="4"/>
        <v>0.98</v>
      </c>
      <c r="N12" t="s">
        <v>2299</v>
      </c>
      <c r="O12" s="87">
        <v>1</v>
      </c>
      <c r="P12">
        <v>1</v>
      </c>
      <c r="Q12">
        <v>1</v>
      </c>
      <c r="R12">
        <v>1</v>
      </c>
      <c r="S12">
        <v>1</v>
      </c>
    </row>
    <row r="13" spans="1:19" x14ac:dyDescent="0.35">
      <c r="A13" t="s">
        <v>2084</v>
      </c>
      <c r="B13" t="s">
        <v>2261</v>
      </c>
      <c r="C13" t="s">
        <v>2021</v>
      </c>
      <c r="D13">
        <v>2023</v>
      </c>
      <c r="E13" t="s">
        <v>2018</v>
      </c>
      <c r="F13" s="63" t="s">
        <v>1301</v>
      </c>
      <c r="G13">
        <v>0.5</v>
      </c>
      <c r="H13">
        <v>0.5</v>
      </c>
      <c r="I13">
        <v>0.5</v>
      </c>
      <c r="J13">
        <v>0.5</v>
      </c>
      <c r="K13">
        <v>0.5</v>
      </c>
      <c r="L13">
        <v>0.5</v>
      </c>
      <c r="M13" s="63">
        <v>0.5</v>
      </c>
      <c r="N13" t="s">
        <v>2152</v>
      </c>
      <c r="O13" s="87">
        <v>1</v>
      </c>
      <c r="P13">
        <v>1</v>
      </c>
      <c r="Q13">
        <v>1</v>
      </c>
      <c r="R13">
        <v>1</v>
      </c>
      <c r="S13">
        <v>1</v>
      </c>
    </row>
    <row r="14" spans="1:19" x14ac:dyDescent="0.35">
      <c r="A14" t="s">
        <v>2084</v>
      </c>
      <c r="B14" t="s">
        <v>2261</v>
      </c>
      <c r="C14" t="s">
        <v>2021</v>
      </c>
      <c r="D14">
        <v>2023</v>
      </c>
      <c r="E14" t="s">
        <v>501</v>
      </c>
      <c r="F14" s="63" t="s">
        <v>1301</v>
      </c>
      <c r="G14">
        <f>1-G13</f>
        <v>0.5</v>
      </c>
      <c r="H14">
        <f t="shared" ref="H14:M14" si="5">1-H13</f>
        <v>0.5</v>
      </c>
      <c r="I14">
        <f t="shared" si="5"/>
        <v>0.5</v>
      </c>
      <c r="J14">
        <f t="shared" si="5"/>
        <v>0.5</v>
      </c>
      <c r="K14">
        <f t="shared" si="5"/>
        <v>0.5</v>
      </c>
      <c r="L14">
        <f t="shared" si="5"/>
        <v>0.5</v>
      </c>
      <c r="M14" s="63">
        <f t="shared" si="5"/>
        <v>0.5</v>
      </c>
      <c r="N14" t="s">
        <v>2152</v>
      </c>
      <c r="O14" s="87">
        <v>1</v>
      </c>
      <c r="P14">
        <v>1</v>
      </c>
      <c r="Q14">
        <v>1</v>
      </c>
      <c r="R14">
        <v>1</v>
      </c>
      <c r="S14">
        <v>1</v>
      </c>
    </row>
    <row r="15" spans="1:19" s="89" customFormat="1" x14ac:dyDescent="0.35">
      <c r="A15" s="89" t="s">
        <v>2083</v>
      </c>
      <c r="B15" s="89" t="s">
        <v>2261</v>
      </c>
      <c r="E15" s="89" t="s">
        <v>2018</v>
      </c>
      <c r="F15" s="430" t="s">
        <v>13</v>
      </c>
      <c r="G15" s="89">
        <v>0</v>
      </c>
      <c r="H15" s="89">
        <v>0</v>
      </c>
      <c r="I15" s="89">
        <v>0</v>
      </c>
      <c r="J15" s="89">
        <v>0</v>
      </c>
      <c r="K15" s="89">
        <v>0</v>
      </c>
      <c r="L15" s="89">
        <v>0</v>
      </c>
      <c r="M15" s="430">
        <v>0</v>
      </c>
      <c r="O15" s="429"/>
    </row>
    <row r="16" spans="1:19" s="89" customFormat="1" x14ac:dyDescent="0.35">
      <c r="A16" s="89" t="s">
        <v>2083</v>
      </c>
      <c r="B16" s="89" t="s">
        <v>2261</v>
      </c>
      <c r="E16" s="89" t="s">
        <v>501</v>
      </c>
      <c r="F16" s="430" t="s">
        <v>13</v>
      </c>
      <c r="G16" s="89">
        <v>1</v>
      </c>
      <c r="H16" s="89">
        <v>1</v>
      </c>
      <c r="I16" s="89">
        <v>1</v>
      </c>
      <c r="J16" s="89">
        <v>1</v>
      </c>
      <c r="K16" s="89">
        <v>1</v>
      </c>
      <c r="L16" s="89">
        <v>1</v>
      </c>
      <c r="M16" s="430">
        <v>1</v>
      </c>
      <c r="O16" s="429"/>
    </row>
    <row r="17" spans="1:19" x14ac:dyDescent="0.35">
      <c r="A17" t="s">
        <v>2088</v>
      </c>
      <c r="B17" t="s">
        <v>2261</v>
      </c>
      <c r="C17" t="s">
        <v>1779</v>
      </c>
      <c r="D17">
        <v>2022</v>
      </c>
      <c r="E17" t="s">
        <v>2118</v>
      </c>
      <c r="F17" s="63" t="s">
        <v>498</v>
      </c>
      <c r="G17">
        <v>4.8000000000000001E-2</v>
      </c>
      <c r="H17">
        <v>4.8000000000000001E-2</v>
      </c>
      <c r="I17">
        <v>4.8000000000000001E-2</v>
      </c>
      <c r="J17">
        <v>4.8000000000000001E-2</v>
      </c>
      <c r="K17">
        <v>4.8000000000000001E-2</v>
      </c>
      <c r="L17">
        <v>4.8000000000000001E-2</v>
      </c>
      <c r="M17" s="63">
        <v>4.8000000000000001E-2</v>
      </c>
      <c r="N17" t="s">
        <v>2153</v>
      </c>
      <c r="O17" s="87">
        <v>3</v>
      </c>
      <c r="P17">
        <v>1</v>
      </c>
      <c r="Q17">
        <v>1</v>
      </c>
      <c r="R17">
        <v>3</v>
      </c>
      <c r="S17">
        <v>1</v>
      </c>
    </row>
    <row r="18" spans="1:19" x14ac:dyDescent="0.35">
      <c r="A18" t="s">
        <v>2088</v>
      </c>
      <c r="B18" t="s">
        <v>2261</v>
      </c>
      <c r="C18" t="s">
        <v>1779</v>
      </c>
      <c r="D18">
        <v>2022</v>
      </c>
      <c r="E18" t="s">
        <v>497</v>
      </c>
      <c r="F18" s="63" t="s">
        <v>498</v>
      </c>
      <c r="G18">
        <f>1-G17</f>
        <v>0.95199999999999996</v>
      </c>
      <c r="H18">
        <f t="shared" ref="H18:M18" si="6">1-H17</f>
        <v>0.95199999999999996</v>
      </c>
      <c r="I18">
        <f t="shared" si="6"/>
        <v>0.95199999999999996</v>
      </c>
      <c r="J18">
        <f t="shared" si="6"/>
        <v>0.95199999999999996</v>
      </c>
      <c r="K18">
        <f t="shared" si="6"/>
        <v>0.95199999999999996</v>
      </c>
      <c r="L18">
        <f t="shared" si="6"/>
        <v>0.95199999999999996</v>
      </c>
      <c r="M18" s="63">
        <f t="shared" si="6"/>
        <v>0.95199999999999996</v>
      </c>
      <c r="N18" t="s">
        <v>2153</v>
      </c>
      <c r="O18" s="87">
        <v>3</v>
      </c>
      <c r="P18">
        <v>1</v>
      </c>
      <c r="Q18">
        <v>1</v>
      </c>
      <c r="R18">
        <v>3</v>
      </c>
      <c r="S18">
        <v>1</v>
      </c>
    </row>
    <row r="19" spans="1:19" x14ac:dyDescent="0.35">
      <c r="O19" s="87"/>
    </row>
    <row r="20" spans="1:19" x14ac:dyDescent="0.35">
      <c r="O20" s="87"/>
    </row>
    <row r="21" spans="1:19" x14ac:dyDescent="0.35">
      <c r="O21" s="87"/>
    </row>
    <row r="22" spans="1:19" x14ac:dyDescent="0.35">
      <c r="O22" s="87"/>
    </row>
    <row r="23" spans="1:19" x14ac:dyDescent="0.35">
      <c r="O23" s="87"/>
    </row>
    <row r="24" spans="1:19" x14ac:dyDescent="0.35">
      <c r="O24" s="87"/>
    </row>
    <row r="25" spans="1:19" x14ac:dyDescent="0.35">
      <c r="O25" s="87"/>
    </row>
    <row r="26" spans="1:19" x14ac:dyDescent="0.35">
      <c r="O26" s="87"/>
    </row>
    <row r="27" spans="1:19" x14ac:dyDescent="0.35">
      <c r="O27" s="87"/>
    </row>
    <row r="28" spans="1:19" x14ac:dyDescent="0.35">
      <c r="O28" s="87"/>
    </row>
    <row r="29" spans="1:19" x14ac:dyDescent="0.35">
      <c r="O29" s="87"/>
    </row>
    <row r="30" spans="1:19" x14ac:dyDescent="0.35">
      <c r="O30" s="87"/>
    </row>
    <row r="31" spans="1:19" x14ac:dyDescent="0.35">
      <c r="O31" s="87"/>
    </row>
    <row r="32" spans="1:19" x14ac:dyDescent="0.35">
      <c r="O32" s="87"/>
    </row>
    <row r="33" spans="14:15" x14ac:dyDescent="0.35">
      <c r="O33" s="87"/>
    </row>
    <row r="34" spans="14:15" x14ac:dyDescent="0.35">
      <c r="O34" s="87"/>
    </row>
    <row r="35" spans="14:15" x14ac:dyDescent="0.35">
      <c r="N35" s="63"/>
    </row>
    <row r="36" spans="14:15" x14ac:dyDescent="0.35">
      <c r="N36" s="63"/>
    </row>
    <row r="37" spans="14:15" x14ac:dyDescent="0.35">
      <c r="O37" s="87"/>
    </row>
    <row r="38" spans="14:15" x14ac:dyDescent="0.35">
      <c r="O38" s="87"/>
    </row>
    <row r="39" spans="14:15" x14ac:dyDescent="0.35">
      <c r="O39" s="87"/>
    </row>
    <row r="40" spans="14:15" x14ac:dyDescent="0.35">
      <c r="O40" s="87"/>
    </row>
    <row r="41" spans="14:15" x14ac:dyDescent="0.35">
      <c r="O41" s="87"/>
    </row>
    <row r="42" spans="14:15" x14ac:dyDescent="0.35">
      <c r="O42" s="87"/>
    </row>
    <row r="43" spans="14:15" x14ac:dyDescent="0.35">
      <c r="O43" s="87"/>
    </row>
    <row r="44" spans="14:15" x14ac:dyDescent="0.35">
      <c r="O44" s="87"/>
    </row>
    <row r="45" spans="14:15" x14ac:dyDescent="0.35">
      <c r="O45" s="87"/>
    </row>
    <row r="46" spans="14:15" x14ac:dyDescent="0.35">
      <c r="O46" s="87"/>
    </row>
    <row r="47" spans="14:15" x14ac:dyDescent="0.35">
      <c r="O47" s="87"/>
    </row>
    <row r="48" spans="14:15" x14ac:dyDescent="0.35">
      <c r="O48" s="87"/>
    </row>
    <row r="49" spans="15:15" x14ac:dyDescent="0.35">
      <c r="O49" s="87"/>
    </row>
    <row r="50" spans="15:15" x14ac:dyDescent="0.35">
      <c r="O50" s="87"/>
    </row>
    <row r="51" spans="15:15" x14ac:dyDescent="0.35">
      <c r="O51" s="87"/>
    </row>
    <row r="52" spans="15:15" x14ac:dyDescent="0.35">
      <c r="O52" s="87"/>
    </row>
    <row r="53" spans="15:15" x14ac:dyDescent="0.35">
      <c r="O53" s="87"/>
    </row>
    <row r="54" spans="15:15" x14ac:dyDescent="0.35">
      <c r="O54" s="87"/>
    </row>
    <row r="55" spans="15:15" x14ac:dyDescent="0.35">
      <c r="O55" s="87"/>
    </row>
    <row r="56" spans="15:15" x14ac:dyDescent="0.35">
      <c r="O56" s="87"/>
    </row>
    <row r="57" spans="15:15" x14ac:dyDescent="0.35">
      <c r="O57" s="87"/>
    </row>
    <row r="58" spans="15:15" x14ac:dyDescent="0.35">
      <c r="O58" s="87"/>
    </row>
    <row r="59" spans="15:15" x14ac:dyDescent="0.35">
      <c r="O59" s="87"/>
    </row>
    <row r="60" spans="15:15" x14ac:dyDescent="0.35">
      <c r="O60" s="87"/>
    </row>
    <row r="61" spans="15:15" x14ac:dyDescent="0.35">
      <c r="O61" s="87"/>
    </row>
    <row r="62" spans="15:15" x14ac:dyDescent="0.35">
      <c r="O62" s="87"/>
    </row>
    <row r="63" spans="15:15" x14ac:dyDescent="0.35">
      <c r="O63" s="87"/>
    </row>
    <row r="64" spans="15:15" x14ac:dyDescent="0.35">
      <c r="O64" s="87"/>
    </row>
    <row r="65" spans="15:15" x14ac:dyDescent="0.35">
      <c r="O65" s="87"/>
    </row>
    <row r="66" spans="15:15" x14ac:dyDescent="0.35">
      <c r="O66" s="87"/>
    </row>
    <row r="67" spans="15:15" x14ac:dyDescent="0.35">
      <c r="O67" s="87"/>
    </row>
    <row r="68" spans="15:15" x14ac:dyDescent="0.35">
      <c r="O68" s="87"/>
    </row>
    <row r="69" spans="15:15" x14ac:dyDescent="0.35">
      <c r="O69" s="87"/>
    </row>
    <row r="70" spans="15:15" x14ac:dyDescent="0.35">
      <c r="O70" s="87"/>
    </row>
    <row r="71" spans="15:15" x14ac:dyDescent="0.35">
      <c r="O71" s="87"/>
    </row>
    <row r="72" spans="15:15" x14ac:dyDescent="0.35">
      <c r="O72" s="87"/>
    </row>
    <row r="73" spans="15:15" x14ac:dyDescent="0.35">
      <c r="O73" s="87"/>
    </row>
    <row r="74" spans="15:15" x14ac:dyDescent="0.35">
      <c r="O74" s="87"/>
    </row>
    <row r="75" spans="15:15" x14ac:dyDescent="0.35">
      <c r="O75" s="87"/>
    </row>
    <row r="76" spans="15:15" x14ac:dyDescent="0.35">
      <c r="O76" s="87"/>
    </row>
    <row r="77" spans="15:15" x14ac:dyDescent="0.35">
      <c r="O77" s="87"/>
    </row>
    <row r="78" spans="15:15" x14ac:dyDescent="0.35">
      <c r="O78" s="87"/>
    </row>
    <row r="79" spans="15:15" x14ac:dyDescent="0.35">
      <c r="O79" s="87"/>
    </row>
    <row r="80" spans="15:15" x14ac:dyDescent="0.35">
      <c r="O80" s="87"/>
    </row>
    <row r="81" spans="15:15" x14ac:dyDescent="0.35">
      <c r="O81" s="87"/>
    </row>
    <row r="82" spans="15:15" x14ac:dyDescent="0.35">
      <c r="O82" s="87"/>
    </row>
    <row r="83" spans="15:15" x14ac:dyDescent="0.35">
      <c r="O83" s="87"/>
    </row>
    <row r="84" spans="15:15" x14ac:dyDescent="0.35">
      <c r="O84" s="87"/>
    </row>
    <row r="85" spans="15:15" x14ac:dyDescent="0.35">
      <c r="O85" s="87"/>
    </row>
    <row r="86" spans="15:15" x14ac:dyDescent="0.35">
      <c r="O86" s="87"/>
    </row>
    <row r="87" spans="15:15" x14ac:dyDescent="0.35">
      <c r="O87" s="87"/>
    </row>
    <row r="88" spans="15:15" x14ac:dyDescent="0.35">
      <c r="O88" s="87"/>
    </row>
    <row r="89" spans="15:15" x14ac:dyDescent="0.35">
      <c r="O89" s="87"/>
    </row>
    <row r="90" spans="15:15" x14ac:dyDescent="0.35">
      <c r="O90" s="87"/>
    </row>
    <row r="91" spans="15:15" x14ac:dyDescent="0.35">
      <c r="O91" s="87"/>
    </row>
    <row r="92" spans="15:15" x14ac:dyDescent="0.35">
      <c r="O92" s="87"/>
    </row>
    <row r="93" spans="15:15" x14ac:dyDescent="0.35">
      <c r="O93" s="87"/>
    </row>
    <row r="94" spans="15:15" x14ac:dyDescent="0.35">
      <c r="O94" s="87"/>
    </row>
    <row r="95" spans="15:15" x14ac:dyDescent="0.35">
      <c r="O95" s="87"/>
    </row>
    <row r="96" spans="15:15" x14ac:dyDescent="0.35">
      <c r="O96" s="87"/>
    </row>
    <row r="97" spans="15:15" x14ac:dyDescent="0.35">
      <c r="O97" s="87"/>
    </row>
    <row r="98" spans="15:15" x14ac:dyDescent="0.35">
      <c r="O98" s="87"/>
    </row>
    <row r="99" spans="15:15" x14ac:dyDescent="0.35">
      <c r="O99" s="87"/>
    </row>
    <row r="100" spans="15:15" x14ac:dyDescent="0.35">
      <c r="O100" s="87"/>
    </row>
    <row r="101" spans="15:15" x14ac:dyDescent="0.35">
      <c r="O101" s="87"/>
    </row>
    <row r="102" spans="15:15" x14ac:dyDescent="0.35">
      <c r="O102" s="87"/>
    </row>
    <row r="103" spans="15:15" x14ac:dyDescent="0.35">
      <c r="O103" s="87"/>
    </row>
    <row r="104" spans="15:15" x14ac:dyDescent="0.35">
      <c r="O104" s="87"/>
    </row>
    <row r="105" spans="15:15" x14ac:dyDescent="0.35">
      <c r="O105" s="87"/>
    </row>
    <row r="106" spans="15:15" x14ac:dyDescent="0.35">
      <c r="O106" s="87"/>
    </row>
    <row r="107" spans="15:15" x14ac:dyDescent="0.35">
      <c r="O107" s="87"/>
    </row>
    <row r="108" spans="15:15" x14ac:dyDescent="0.35">
      <c r="O108" s="87"/>
    </row>
    <row r="109" spans="15:15" x14ac:dyDescent="0.35">
      <c r="O109" s="87"/>
    </row>
    <row r="110" spans="15:15" x14ac:dyDescent="0.35">
      <c r="O110" s="87"/>
    </row>
    <row r="111" spans="15:15" x14ac:dyDescent="0.35">
      <c r="O111" s="87"/>
    </row>
    <row r="112" spans="15:15" x14ac:dyDescent="0.35">
      <c r="O112" s="87"/>
    </row>
    <row r="113" spans="15:15" x14ac:dyDescent="0.35">
      <c r="O113" s="87"/>
    </row>
    <row r="114" spans="15:15" x14ac:dyDescent="0.35">
      <c r="O114" s="87"/>
    </row>
    <row r="115" spans="15:15" x14ac:dyDescent="0.35">
      <c r="O115" s="87"/>
    </row>
    <row r="116" spans="15:15" x14ac:dyDescent="0.35">
      <c r="O116" s="87"/>
    </row>
    <row r="117" spans="15:15" x14ac:dyDescent="0.35">
      <c r="O117" s="87"/>
    </row>
    <row r="118" spans="15:15" x14ac:dyDescent="0.35">
      <c r="O118" s="87"/>
    </row>
    <row r="119" spans="15:15" x14ac:dyDescent="0.35">
      <c r="O119" s="87"/>
    </row>
    <row r="120" spans="15:15" x14ac:dyDescent="0.35">
      <c r="O120" s="87"/>
    </row>
    <row r="121" spans="15:15" x14ac:dyDescent="0.35">
      <c r="O121" s="87"/>
    </row>
    <row r="122" spans="15:15" x14ac:dyDescent="0.35">
      <c r="O122" s="87"/>
    </row>
    <row r="123" spans="15:15" x14ac:dyDescent="0.35">
      <c r="O123" s="87"/>
    </row>
    <row r="124" spans="15:15" x14ac:dyDescent="0.35">
      <c r="O124" s="8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E2E30BC-1F75-413F-9FBF-6D714937C5C2}">
          <x14:formula1>
            <xm:f>References!$A:$A</xm:f>
          </x14:formula1>
          <xm:sqref>C122:C124 C3:C120</xm:sqref>
        </x14:dataValidation>
        <x14:dataValidation type="list" allowBlank="1" showInputMessage="1" showErrorMessage="1" xr:uid="{E4FAF355-E07A-4FEC-AA21-3D699097BE4D}">
          <x14:formula1>
            <xm:f>Techs!#REF!</xm:f>
          </x14:formula1>
          <xm:sqref>E3:F1048576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tabColor rgb="FFFFFF00"/>
    <pageSetUpPr autoPageBreaks="0"/>
  </sheetPr>
  <dimension ref="A1:BP245"/>
  <sheetViews>
    <sheetView topLeftCell="AO1" zoomScale="85" zoomScaleNormal="85" workbookViewId="0">
      <selection activeCell="AQ11" sqref="AQ11"/>
    </sheetView>
  </sheetViews>
  <sheetFormatPr defaultColWidth="8.7265625" defaultRowHeight="14.5" x14ac:dyDescent="0.35"/>
  <cols>
    <col min="1" max="1" width="45.26953125" style="192" customWidth="1"/>
    <col min="2" max="22" width="11.90625" style="3" customWidth="1"/>
    <col min="23" max="23" width="9.1796875" style="3" customWidth="1"/>
    <col min="24" max="24" width="1.26953125" style="25" customWidth="1"/>
    <col min="25" max="25" width="9.26953125" style="3" customWidth="1"/>
    <col min="26" max="26" width="49.453125" style="3" customWidth="1"/>
    <col min="27" max="27" width="40.54296875" style="10" customWidth="1"/>
    <col min="28" max="28" width="44.453125" style="10" customWidth="1"/>
    <col min="29" max="29" width="18.26953125" style="10" customWidth="1"/>
    <col min="30" max="30" width="15.54296875" style="10" bestFit="1" customWidth="1"/>
    <col min="31" max="31" width="17.54296875" style="10" customWidth="1"/>
    <col min="32" max="32" width="18.81640625" style="10" customWidth="1"/>
    <col min="33" max="33" width="33.81640625" style="10" customWidth="1"/>
    <col min="34" max="34" width="20.1796875" style="10" customWidth="1"/>
    <col min="35" max="35" width="38.54296875" style="10" customWidth="1"/>
    <col min="36" max="36" width="17.54296875" style="10" customWidth="1"/>
    <col min="37" max="37" width="18.1796875" style="10" bestFit="1" customWidth="1"/>
    <col min="38" max="38" width="38.453125" style="3" customWidth="1"/>
    <col min="39" max="41" width="40.453125" style="3" customWidth="1"/>
    <col min="42" max="44" width="18.1796875" style="3" customWidth="1"/>
    <col min="45" max="45" width="43.81640625" style="3" customWidth="1"/>
    <col min="46" max="46" width="80.81640625" style="3" customWidth="1"/>
    <col min="47" max="47" width="10.81640625" style="3" bestFit="1" customWidth="1"/>
    <col min="48" max="48" width="38.54296875" style="3" customWidth="1"/>
    <col min="49" max="50" width="12.1796875" style="3" bestFit="1" customWidth="1"/>
    <col min="51" max="51" width="12.1796875" style="3" customWidth="1"/>
    <col min="52" max="53" width="12.26953125" style="3" customWidth="1"/>
    <col min="54" max="54" width="31" style="3" customWidth="1"/>
    <col min="55" max="55" width="10.1796875" style="3" bestFit="1" customWidth="1"/>
    <col min="56" max="56" width="14" style="3" bestFit="1" customWidth="1"/>
    <col min="57" max="57" width="28.453125" style="3" bestFit="1" customWidth="1"/>
    <col min="58" max="58" width="11.1796875" style="3" bestFit="1" customWidth="1"/>
    <col min="59" max="59" width="21.54296875" style="3" customWidth="1"/>
    <col min="60" max="60" width="15.7265625" style="3" customWidth="1"/>
    <col min="61" max="61" width="19.7265625" style="3" bestFit="1" customWidth="1"/>
    <col min="62" max="62" width="17.54296875" style="3" bestFit="1" customWidth="1"/>
    <col min="63" max="63" width="16.7265625" style="3" bestFit="1" customWidth="1"/>
    <col min="64" max="64" width="23" style="3" bestFit="1" customWidth="1"/>
    <col min="65" max="65" width="16" style="3" bestFit="1" customWidth="1"/>
    <col min="66" max="66" width="11.81640625" style="3" bestFit="1" customWidth="1"/>
    <col min="67" max="67" width="12.54296875" style="3" bestFit="1" customWidth="1"/>
    <col min="68" max="70" width="13.54296875" style="3" bestFit="1" customWidth="1"/>
    <col min="71" max="16384" width="8.7265625" style="3"/>
  </cols>
  <sheetData>
    <row r="1" spans="1:68" ht="16" thickBot="1" x14ac:dyDescent="0.4">
      <c r="A1" s="508" t="s">
        <v>2262</v>
      </c>
      <c r="B1" s="508"/>
      <c r="C1" s="508"/>
      <c r="D1" s="508"/>
      <c r="E1" s="508"/>
      <c r="F1" s="508"/>
      <c r="G1" s="508"/>
      <c r="H1" s="508"/>
      <c r="I1" s="508"/>
      <c r="J1" s="508"/>
      <c r="K1" s="508"/>
      <c r="L1" s="508"/>
      <c r="M1" s="508"/>
      <c r="N1" s="508"/>
      <c r="O1" s="508"/>
      <c r="P1" s="508"/>
      <c r="Q1" s="508"/>
      <c r="R1" s="508"/>
      <c r="S1" s="508"/>
      <c r="T1" s="508"/>
      <c r="U1" s="508"/>
      <c r="V1" s="508"/>
      <c r="Z1" s="508" t="s">
        <v>741</v>
      </c>
      <c r="AA1" s="508"/>
      <c r="AB1" s="508"/>
      <c r="AC1" s="508"/>
      <c r="AD1" s="508"/>
      <c r="AE1" s="508"/>
      <c r="AF1" s="508"/>
      <c r="AG1" s="508"/>
      <c r="AH1" s="508"/>
      <c r="AI1" s="508"/>
      <c r="AJ1" s="3"/>
      <c r="AK1" s="3"/>
      <c r="AL1" s="508" t="s">
        <v>864</v>
      </c>
      <c r="AM1" s="508"/>
      <c r="AN1" s="508"/>
      <c r="AO1" s="508"/>
      <c r="AP1"/>
      <c r="AQ1"/>
      <c r="AR1"/>
      <c r="AS1" s="231" t="s">
        <v>2330</v>
      </c>
    </row>
    <row r="2" spans="1:68" s="192" customFormat="1" ht="29.5" thickBot="1" x14ac:dyDescent="0.4">
      <c r="A2" s="190"/>
      <c r="B2" s="211">
        <v>2000</v>
      </c>
      <c r="C2" s="212">
        <v>2001</v>
      </c>
      <c r="D2" s="212">
        <v>2002</v>
      </c>
      <c r="E2" s="212">
        <v>2003</v>
      </c>
      <c r="F2" s="212">
        <v>2004</v>
      </c>
      <c r="G2" s="212">
        <v>2005</v>
      </c>
      <c r="H2" s="212">
        <v>2006</v>
      </c>
      <c r="I2" s="212">
        <v>2007</v>
      </c>
      <c r="J2" s="212">
        <v>2008</v>
      </c>
      <c r="K2" s="212">
        <v>2009</v>
      </c>
      <c r="L2" s="212">
        <v>2010</v>
      </c>
      <c r="M2" s="212">
        <v>2011</v>
      </c>
      <c r="N2" s="212">
        <v>2012</v>
      </c>
      <c r="O2" s="212">
        <v>2013</v>
      </c>
      <c r="P2" s="212">
        <v>2014</v>
      </c>
      <c r="Q2" s="212">
        <v>2015</v>
      </c>
      <c r="R2" s="212">
        <v>2016</v>
      </c>
      <c r="S2" s="212">
        <v>2017</v>
      </c>
      <c r="T2" s="212">
        <v>2018</v>
      </c>
      <c r="U2" s="212">
        <v>2019</v>
      </c>
      <c r="V2" s="212">
        <v>2020</v>
      </c>
      <c r="X2" s="210"/>
      <c r="Z2" s="196" t="s">
        <v>107</v>
      </c>
      <c r="AA2" s="237" t="s">
        <v>2</v>
      </c>
      <c r="AB2" s="197" t="s">
        <v>724</v>
      </c>
      <c r="AC2" s="197" t="s">
        <v>723</v>
      </c>
      <c r="AD2" s="197" t="s">
        <v>739</v>
      </c>
      <c r="AE2" s="197" t="s">
        <v>725</v>
      </c>
      <c r="AF2" s="197" t="s">
        <v>727</v>
      </c>
      <c r="AG2" s="197" t="s">
        <v>763</v>
      </c>
      <c r="AH2" s="197" t="s">
        <v>740</v>
      </c>
      <c r="AI2" s="197" t="s">
        <v>823</v>
      </c>
      <c r="AJ2" s="213" t="s">
        <v>2261</v>
      </c>
      <c r="AL2" s="238" t="s">
        <v>858</v>
      </c>
      <c r="AM2" s="197" t="s">
        <v>857</v>
      </c>
      <c r="AN2" s="197" t="s">
        <v>846</v>
      </c>
      <c r="AO2" s="197" t="s">
        <v>847</v>
      </c>
      <c r="AP2"/>
      <c r="AQ2"/>
      <c r="AR2"/>
      <c r="AS2" s="338" t="s">
        <v>1432</v>
      </c>
      <c r="AT2" s="338" t="s">
        <v>1406</v>
      </c>
      <c r="AU2" s="338" t="s">
        <v>1407</v>
      </c>
      <c r="AV2" s="338" t="s">
        <v>1408</v>
      </c>
      <c r="AW2" s="238" t="s">
        <v>1409</v>
      </c>
      <c r="AX2" s="238" t="s">
        <v>1410</v>
      </c>
      <c r="AY2" s="238" t="s">
        <v>1411</v>
      </c>
      <c r="AZ2" s="238" t="s">
        <v>1412</v>
      </c>
      <c r="BA2" s="238" t="s">
        <v>1413</v>
      </c>
      <c r="BB2" s="238" t="s">
        <v>1414</v>
      </c>
      <c r="BC2" s="238" t="s">
        <v>1415</v>
      </c>
      <c r="BD2" s="238" t="s">
        <v>1416</v>
      </c>
      <c r="BE2" s="238" t="s">
        <v>1417</v>
      </c>
      <c r="BF2" s="238" t="s">
        <v>1418</v>
      </c>
      <c r="BG2" s="238" t="s">
        <v>1419</v>
      </c>
      <c r="BH2" s="238" t="s">
        <v>1420</v>
      </c>
      <c r="BI2" s="238" t="s">
        <v>1421</v>
      </c>
      <c r="BJ2" s="370">
        <v>2021</v>
      </c>
      <c r="BK2" s="238" t="s">
        <v>1422</v>
      </c>
      <c r="BL2" s="238" t="s">
        <v>1423</v>
      </c>
      <c r="BM2" s="238" t="s">
        <v>1424</v>
      </c>
      <c r="BN2" s="238" t="s">
        <v>1425</v>
      </c>
      <c r="BO2" s="238" t="s">
        <v>1426</v>
      </c>
      <c r="BP2" s="238" t="s">
        <v>1427</v>
      </c>
    </row>
    <row r="3" spans="1:68" ht="58.5" thickTop="1" x14ac:dyDescent="0.35">
      <c r="A3" s="202" t="s">
        <v>31</v>
      </c>
      <c r="B3" s="22"/>
      <c r="C3" s="22"/>
      <c r="D3" s="22"/>
      <c r="E3" s="22"/>
      <c r="F3" s="22"/>
      <c r="G3" s="22"/>
      <c r="H3" s="22"/>
      <c r="I3" s="22"/>
      <c r="J3" s="22"/>
      <c r="K3" s="22"/>
      <c r="L3" s="22"/>
      <c r="M3" s="22"/>
      <c r="N3" s="22"/>
      <c r="O3" s="22"/>
      <c r="P3" s="22"/>
      <c r="Q3" s="22"/>
      <c r="R3" s="22"/>
      <c r="S3" s="22"/>
      <c r="T3" s="22"/>
      <c r="U3" s="22"/>
      <c r="V3" s="22"/>
      <c r="Z3" s="190" t="s">
        <v>32</v>
      </c>
      <c r="AA3" s="191" t="s">
        <v>263</v>
      </c>
      <c r="AB3" s="191" t="s">
        <v>713</v>
      </c>
      <c r="AC3" s="194" t="s">
        <v>728</v>
      </c>
      <c r="AD3" s="194" t="s">
        <v>729</v>
      </c>
      <c r="AE3" s="195" t="s">
        <v>734</v>
      </c>
      <c r="AF3" s="195" t="s">
        <v>899</v>
      </c>
      <c r="AG3" s="195" t="s">
        <v>899</v>
      </c>
      <c r="AH3" s="195" t="s">
        <v>899</v>
      </c>
      <c r="AI3" s="195" t="s">
        <v>824</v>
      </c>
      <c r="AJ3" s="214" t="s">
        <v>108</v>
      </c>
      <c r="AL3" s="243" t="s">
        <v>894</v>
      </c>
      <c r="AM3" s="241" t="s">
        <v>896</v>
      </c>
      <c r="AN3" s="241" t="s">
        <v>898</v>
      </c>
      <c r="AO3" s="233" t="s">
        <v>895</v>
      </c>
      <c r="AP3"/>
      <c r="AQ3"/>
      <c r="AR3"/>
      <c r="AS3" s="123" t="s">
        <v>1428</v>
      </c>
      <c r="AT3" s="337">
        <v>259282</v>
      </c>
      <c r="AU3" s="337">
        <v>275756</v>
      </c>
      <c r="AV3" s="337">
        <v>280600</v>
      </c>
      <c r="AW3" s="337">
        <v>285125</v>
      </c>
      <c r="AX3" s="337">
        <v>269322</v>
      </c>
      <c r="AY3" s="337">
        <v>282702</v>
      </c>
      <c r="AZ3" s="337">
        <v>300948</v>
      </c>
      <c r="BA3" s="337">
        <v>312708</v>
      </c>
      <c r="BB3" s="337">
        <v>330548</v>
      </c>
      <c r="BC3" s="337">
        <v>350033</v>
      </c>
      <c r="BD3" s="337">
        <v>337069</v>
      </c>
      <c r="BE3" s="337">
        <v>325421</v>
      </c>
      <c r="BF3" s="337">
        <v>341029</v>
      </c>
      <c r="BG3" s="337">
        <v>346477</v>
      </c>
      <c r="BH3" s="337">
        <v>344304</v>
      </c>
      <c r="BI3" s="337">
        <v>321426</v>
      </c>
      <c r="BJ3" s="337">
        <v>339113</v>
      </c>
      <c r="BK3" s="337">
        <v>379887</v>
      </c>
      <c r="BL3" s="337">
        <v>423912</v>
      </c>
      <c r="BM3" s="337">
        <v>458356</v>
      </c>
      <c r="BN3" s="337">
        <v>491053</v>
      </c>
      <c r="BO3" s="337">
        <v>526344</v>
      </c>
      <c r="BP3" s="337">
        <v>561697</v>
      </c>
    </row>
    <row r="4" spans="1:68" ht="29.5" thickBot="1" x14ac:dyDescent="0.4">
      <c r="A4" s="218" t="s">
        <v>32</v>
      </c>
      <c r="B4" s="22">
        <v>64.134</v>
      </c>
      <c r="C4" s="22">
        <v>71.207999999999998</v>
      </c>
      <c r="D4" s="22">
        <v>77.917000000000002</v>
      </c>
      <c r="E4" s="22">
        <v>72.150000000000006</v>
      </c>
      <c r="F4" s="22">
        <v>72.942999999999998</v>
      </c>
      <c r="G4" s="22">
        <v>79.902000000000001</v>
      </c>
      <c r="H4" s="22">
        <v>86.399000000000001</v>
      </c>
      <c r="I4" s="22">
        <v>91.323999999999998</v>
      </c>
      <c r="J4" s="22">
        <v>90.334999999999994</v>
      </c>
      <c r="K4" s="22">
        <v>64.734999999999999</v>
      </c>
      <c r="L4" s="22">
        <v>58.820999999999998</v>
      </c>
      <c r="M4" s="22">
        <v>55.453000000000003</v>
      </c>
      <c r="N4" s="22">
        <v>62.576999999999998</v>
      </c>
      <c r="O4" s="22">
        <v>66.491</v>
      </c>
      <c r="P4" s="22">
        <v>63.837000000000003</v>
      </c>
      <c r="Q4" s="22">
        <v>55.134999999999998</v>
      </c>
      <c r="R4" s="22">
        <v>49.703000000000003</v>
      </c>
      <c r="S4" s="22">
        <v>51.530999999999999</v>
      </c>
      <c r="T4" s="22">
        <v>45.426000000000002</v>
      </c>
      <c r="U4" s="22">
        <v>39.703000000000003</v>
      </c>
      <c r="V4" s="22">
        <v>26.030999999999999</v>
      </c>
      <c r="Z4" s="190" t="s">
        <v>41</v>
      </c>
      <c r="AA4" s="191" t="s">
        <v>264</v>
      </c>
      <c r="AB4" s="191" t="s">
        <v>714</v>
      </c>
      <c r="AC4" s="194" t="s">
        <v>728</v>
      </c>
      <c r="AD4" s="194" t="s">
        <v>729</v>
      </c>
      <c r="AE4" s="195" t="s">
        <v>734</v>
      </c>
      <c r="AF4" s="195" t="s">
        <v>899</v>
      </c>
      <c r="AG4" s="195" t="s">
        <v>899</v>
      </c>
      <c r="AH4" s="195" t="s">
        <v>899</v>
      </c>
      <c r="AI4" s="195" t="s">
        <v>824</v>
      </c>
      <c r="AJ4" s="215" t="s">
        <v>742</v>
      </c>
      <c r="AL4" s="243" t="s">
        <v>859</v>
      </c>
      <c r="AM4" s="234" t="s">
        <v>860</v>
      </c>
      <c r="AN4" s="241" t="s">
        <v>861</v>
      </c>
      <c r="AO4" s="242" t="s">
        <v>862</v>
      </c>
      <c r="AP4"/>
      <c r="AQ4"/>
      <c r="AR4"/>
      <c r="AS4" s="123" t="s">
        <v>1429</v>
      </c>
      <c r="AT4" s="336">
        <v>3321.8</v>
      </c>
      <c r="AU4" s="336">
        <v>3421.4</v>
      </c>
      <c r="AV4" s="336">
        <v>3514.1</v>
      </c>
      <c r="AW4" s="336">
        <v>3595.9</v>
      </c>
      <c r="AX4" s="336">
        <v>3679</v>
      </c>
      <c r="AY4" s="336">
        <v>3732.1</v>
      </c>
      <c r="AZ4" s="336">
        <v>3789</v>
      </c>
      <c r="BA4" s="336">
        <v>3874.5</v>
      </c>
      <c r="BB4" s="336">
        <v>3981</v>
      </c>
      <c r="BC4" s="336">
        <v>4083.6</v>
      </c>
      <c r="BD4" s="336">
        <v>4144.5</v>
      </c>
      <c r="BE4" s="336">
        <v>4196.1000000000004</v>
      </c>
      <c r="BF4" s="336">
        <v>4243.5</v>
      </c>
      <c r="BG4" s="336">
        <v>4300.7</v>
      </c>
      <c r="BH4" s="336">
        <v>4371.3</v>
      </c>
      <c r="BI4" s="336">
        <v>4431.1000000000004</v>
      </c>
      <c r="BJ4" s="336">
        <v>4469.2</v>
      </c>
      <c r="BK4" s="336">
        <v>4708.1000000000004</v>
      </c>
      <c r="BL4" s="336">
        <v>5072.7</v>
      </c>
      <c r="BM4" s="336">
        <v>5356.5</v>
      </c>
      <c r="BN4" s="336">
        <v>5639.1</v>
      </c>
      <c r="BO4" s="336">
        <v>5913.4</v>
      </c>
      <c r="BP4" s="336">
        <v>6177.1</v>
      </c>
    </row>
    <row r="5" spans="1:68" ht="29" x14ac:dyDescent="0.35">
      <c r="A5" s="218" t="s">
        <v>41</v>
      </c>
      <c r="B5" s="22">
        <v>61.753999999999998</v>
      </c>
      <c r="C5" s="22">
        <v>65.427999999999997</v>
      </c>
      <c r="D5" s="22">
        <v>70.361000000000004</v>
      </c>
      <c r="E5" s="22">
        <v>67.683999999999997</v>
      </c>
      <c r="F5" s="22">
        <v>67.290999999999997</v>
      </c>
      <c r="G5" s="22">
        <v>72.932000000000002</v>
      </c>
      <c r="H5" s="22">
        <v>78.304000000000002</v>
      </c>
      <c r="I5" s="22">
        <v>86.561000000000007</v>
      </c>
      <c r="J5" s="22">
        <v>80.653999999999996</v>
      </c>
      <c r="K5" s="22">
        <v>64.97</v>
      </c>
      <c r="L5" s="22">
        <v>78.680000000000007</v>
      </c>
      <c r="M5" s="22">
        <v>88.909000000000006</v>
      </c>
      <c r="N5" s="22">
        <v>97.676000000000002</v>
      </c>
      <c r="O5" s="22">
        <v>106.06100000000001</v>
      </c>
      <c r="P5" s="22">
        <v>117.54300000000001</v>
      </c>
      <c r="Q5" s="22">
        <v>106.779</v>
      </c>
      <c r="R5" s="22">
        <v>99.707999999999998</v>
      </c>
      <c r="S5" s="22">
        <v>110.26900000000001</v>
      </c>
      <c r="T5" s="22">
        <v>110.26900000000001</v>
      </c>
      <c r="U5" s="22">
        <v>105.57299999999999</v>
      </c>
      <c r="V5" s="22">
        <v>87.281999999999996</v>
      </c>
      <c r="Z5" s="190" t="s">
        <v>42</v>
      </c>
      <c r="AA5" s="191" t="s">
        <v>265</v>
      </c>
      <c r="AB5" s="191" t="s">
        <v>715</v>
      </c>
      <c r="AC5" s="194" t="s">
        <v>728</v>
      </c>
      <c r="AD5" s="194" t="s">
        <v>729</v>
      </c>
      <c r="AE5" s="195" t="s">
        <v>734</v>
      </c>
      <c r="AF5" s="195" t="s">
        <v>899</v>
      </c>
      <c r="AG5" s="195" t="s">
        <v>899</v>
      </c>
      <c r="AH5" s="195" t="s">
        <v>899</v>
      </c>
      <c r="AI5" s="195" t="s">
        <v>824</v>
      </c>
      <c r="AK5" s="3"/>
      <c r="AL5" s="243" t="s">
        <v>856</v>
      </c>
      <c r="AM5" s="241" t="s">
        <v>863</v>
      </c>
      <c r="AN5" s="241" t="s">
        <v>865</v>
      </c>
      <c r="AO5" s="241" t="s">
        <v>865</v>
      </c>
      <c r="AP5"/>
      <c r="AQ5"/>
      <c r="AR5"/>
      <c r="AS5" s="123" t="s">
        <v>1430</v>
      </c>
      <c r="AT5" s="192">
        <v>0.87</v>
      </c>
      <c r="AU5" s="192">
        <v>0.89</v>
      </c>
      <c r="AV5" s="192">
        <v>0.93</v>
      </c>
      <c r="AW5" s="192">
        <v>1.04</v>
      </c>
      <c r="AX5" s="192">
        <v>0.91</v>
      </c>
      <c r="AY5" s="192">
        <v>0.96</v>
      </c>
      <c r="AZ5" s="192">
        <v>1</v>
      </c>
      <c r="BA5" s="192">
        <v>1</v>
      </c>
      <c r="BB5" s="192">
        <v>1.04</v>
      </c>
      <c r="BC5" s="192">
        <v>1.08</v>
      </c>
      <c r="BD5" s="192">
        <v>0.96</v>
      </c>
      <c r="BE5" s="192">
        <v>0.94</v>
      </c>
      <c r="BF5" s="192">
        <v>0.97</v>
      </c>
      <c r="BG5" s="192">
        <v>1</v>
      </c>
      <c r="BH5" s="192">
        <v>1.01</v>
      </c>
      <c r="BI5" s="192">
        <v>0.93</v>
      </c>
      <c r="BJ5" s="192">
        <v>0.99</v>
      </c>
      <c r="BK5" s="192">
        <v>1.1200000000000001</v>
      </c>
      <c r="BL5" s="192">
        <v>1.26</v>
      </c>
      <c r="BM5" s="192">
        <v>1.4</v>
      </c>
      <c r="BN5" s="192">
        <v>1.52</v>
      </c>
      <c r="BO5" s="192">
        <v>1.66</v>
      </c>
      <c r="BP5" s="192">
        <v>1.82</v>
      </c>
    </row>
    <row r="6" spans="1:68" ht="29" x14ac:dyDescent="0.35">
      <c r="A6" s="218" t="s">
        <v>42</v>
      </c>
      <c r="B6" s="22">
        <v>30.425999999999998</v>
      </c>
      <c r="C6" s="22">
        <v>32.063000000000002</v>
      </c>
      <c r="D6" s="22">
        <v>34.353999999999999</v>
      </c>
      <c r="E6" s="22">
        <v>32.850999999999999</v>
      </c>
      <c r="F6" s="22">
        <v>32.646000000000001</v>
      </c>
      <c r="G6" s="22">
        <v>35.271999999999998</v>
      </c>
      <c r="H6" s="22">
        <v>37.734000000000002</v>
      </c>
      <c r="I6" s="22">
        <v>41.61</v>
      </c>
      <c r="J6" s="22">
        <v>38.844000000000001</v>
      </c>
      <c r="K6" s="22">
        <v>31.334</v>
      </c>
      <c r="L6" s="22">
        <v>37.957000000000001</v>
      </c>
      <c r="M6" s="22">
        <v>42.866999999999997</v>
      </c>
      <c r="N6" s="22">
        <v>46.948999999999998</v>
      </c>
      <c r="O6" s="22">
        <v>50.95</v>
      </c>
      <c r="P6" s="22">
        <v>56.465000000000003</v>
      </c>
      <c r="Q6" s="22">
        <v>51.286000000000001</v>
      </c>
      <c r="R6" s="22">
        <v>47.932000000000002</v>
      </c>
      <c r="S6" s="22">
        <v>53.103999999999999</v>
      </c>
      <c r="T6" s="22">
        <v>53.182000000000002</v>
      </c>
      <c r="U6" s="22">
        <v>50.975999999999999</v>
      </c>
      <c r="V6" s="22">
        <v>42.267000000000003</v>
      </c>
      <c r="Z6" s="190" t="s">
        <v>43</v>
      </c>
      <c r="AA6" s="191" t="s">
        <v>790</v>
      </c>
      <c r="AB6" s="191" t="s">
        <v>716</v>
      </c>
      <c r="AC6" s="194" t="s">
        <v>762</v>
      </c>
      <c r="AD6" s="194" t="s">
        <v>729</v>
      </c>
      <c r="AE6" s="195" t="s">
        <v>734</v>
      </c>
      <c r="AF6" s="195" t="s">
        <v>899</v>
      </c>
      <c r="AG6" s="195" t="s">
        <v>899</v>
      </c>
      <c r="AH6" s="195" t="s">
        <v>899</v>
      </c>
      <c r="AI6" s="195" t="s">
        <v>824</v>
      </c>
      <c r="AJ6" s="3"/>
      <c r="AK6" s="3"/>
      <c r="AL6" s="243" t="s">
        <v>867</v>
      </c>
      <c r="AM6" s="241" t="s">
        <v>877</v>
      </c>
      <c r="AN6" s="241" t="s">
        <v>876</v>
      </c>
      <c r="AO6" s="241" t="s">
        <v>878</v>
      </c>
      <c r="AP6"/>
      <c r="AQ6"/>
      <c r="AR6"/>
      <c r="AS6" s="123" t="s">
        <v>1431</v>
      </c>
      <c r="AT6" s="192">
        <v>1.08</v>
      </c>
      <c r="AU6" s="192">
        <v>1.1200000000000001</v>
      </c>
      <c r="AV6" s="192">
        <v>1.18</v>
      </c>
      <c r="AW6" s="192">
        <v>1.22</v>
      </c>
      <c r="AX6" s="192">
        <v>1.22</v>
      </c>
      <c r="AY6" s="192">
        <v>1.23</v>
      </c>
      <c r="AZ6" s="192">
        <v>1.26</v>
      </c>
      <c r="BA6" s="192">
        <v>1.27</v>
      </c>
      <c r="BB6" s="192">
        <v>1.29</v>
      </c>
      <c r="BC6" s="192">
        <v>1.32</v>
      </c>
      <c r="BD6" s="192">
        <v>1.34</v>
      </c>
      <c r="BE6" s="192">
        <v>1.35</v>
      </c>
      <c r="BF6" s="192">
        <v>1.37</v>
      </c>
      <c r="BG6" s="192">
        <v>1.41</v>
      </c>
      <c r="BH6" s="192">
        <v>1.43</v>
      </c>
      <c r="BI6" s="192">
        <v>1.44</v>
      </c>
      <c r="BJ6" s="192">
        <v>1.47</v>
      </c>
      <c r="BK6" s="192">
        <v>1.58</v>
      </c>
      <c r="BL6" s="192">
        <v>1.78</v>
      </c>
      <c r="BM6" s="192">
        <v>1.96</v>
      </c>
      <c r="BN6" s="192">
        <v>2.15</v>
      </c>
      <c r="BO6" s="192">
        <v>2.35</v>
      </c>
      <c r="BP6" s="192">
        <v>2.61</v>
      </c>
    </row>
    <row r="7" spans="1:68" ht="29" x14ac:dyDescent="0.35">
      <c r="A7" s="218" t="s">
        <v>43</v>
      </c>
      <c r="B7" s="22">
        <v>13.462999999999999</v>
      </c>
      <c r="C7" s="22">
        <v>15.584</v>
      </c>
      <c r="D7" s="22">
        <v>16.312000000000001</v>
      </c>
      <c r="E7" s="22">
        <v>16.856000000000002</v>
      </c>
      <c r="F7" s="22">
        <v>17.774999999999999</v>
      </c>
      <c r="G7" s="22">
        <v>22.423999999999999</v>
      </c>
      <c r="H7" s="22">
        <v>37.911999999999999</v>
      </c>
      <c r="I7" s="22">
        <v>43.570999999999998</v>
      </c>
      <c r="J7" s="22">
        <v>37.622</v>
      </c>
      <c r="K7" s="22">
        <v>26.463999999999999</v>
      </c>
      <c r="L7" s="22">
        <v>33.302999999999997</v>
      </c>
      <c r="M7" s="22">
        <v>39.533000000000001</v>
      </c>
      <c r="N7" s="22">
        <v>42.561</v>
      </c>
      <c r="O7" s="22">
        <v>44.887</v>
      </c>
      <c r="P7" s="22">
        <v>45.902000000000001</v>
      </c>
      <c r="Q7" s="22">
        <v>37.460999999999999</v>
      </c>
      <c r="R7" s="22">
        <v>33.124000000000002</v>
      </c>
      <c r="S7" s="22">
        <v>38.31</v>
      </c>
      <c r="T7" s="22">
        <v>37.36</v>
      </c>
      <c r="U7" s="22">
        <v>33.598999999999997</v>
      </c>
      <c r="V7" s="22">
        <v>32.353000000000002</v>
      </c>
      <c r="Z7" s="190" t="s">
        <v>44</v>
      </c>
      <c r="AA7" s="191" t="s">
        <v>266</v>
      </c>
      <c r="AB7" s="191" t="s">
        <v>717</v>
      </c>
      <c r="AC7" s="194" t="s">
        <v>729</v>
      </c>
      <c r="AD7" s="194" t="s">
        <v>729</v>
      </c>
      <c r="AE7" s="195" t="s">
        <v>824</v>
      </c>
      <c r="AF7" s="195" t="s">
        <v>899</v>
      </c>
      <c r="AG7" s="195" t="s">
        <v>899</v>
      </c>
      <c r="AH7" s="195" t="s">
        <v>899</v>
      </c>
      <c r="AI7" s="195" t="s">
        <v>824</v>
      </c>
      <c r="AJ7" s="3"/>
      <c r="AK7" s="3"/>
      <c r="AL7" s="243" t="s">
        <v>875</v>
      </c>
      <c r="AM7" s="241" t="s">
        <v>879</v>
      </c>
      <c r="AN7" s="241" t="s">
        <v>879</v>
      </c>
      <c r="AO7" s="234" t="s">
        <v>880</v>
      </c>
      <c r="AP7"/>
      <c r="AQ7"/>
      <c r="AR7"/>
      <c r="AS7"/>
      <c r="AT7"/>
      <c r="AU7"/>
      <c r="AV7"/>
    </row>
    <row r="8" spans="1:68" ht="15.5" x14ac:dyDescent="0.35">
      <c r="A8" s="218" t="s">
        <v>44</v>
      </c>
      <c r="B8" s="22">
        <v>4.71</v>
      </c>
      <c r="C8" s="22">
        <v>4.3019999999999996</v>
      </c>
      <c r="D8" s="22">
        <v>4.5060000000000002</v>
      </c>
      <c r="E8" s="22">
        <v>4.4379999999999997</v>
      </c>
      <c r="F8" s="22">
        <v>5.2960000000000003</v>
      </c>
      <c r="G8" s="22">
        <v>6.9080000000000004</v>
      </c>
      <c r="H8" s="22">
        <v>9.3350000000000009</v>
      </c>
      <c r="I8" s="22">
        <v>7.4359999999999999</v>
      </c>
      <c r="J8" s="22">
        <v>6.6539999999999999</v>
      </c>
      <c r="K8" s="22">
        <v>3.161</v>
      </c>
      <c r="L8" s="22">
        <v>3.665</v>
      </c>
      <c r="M8" s="22">
        <v>6.2919999999999998</v>
      </c>
      <c r="N8" s="22">
        <v>8.5790000000000006</v>
      </c>
      <c r="O8" s="22">
        <v>7.4290000000000003</v>
      </c>
      <c r="P8" s="22">
        <v>7.9329999999999998</v>
      </c>
      <c r="Q8" s="22">
        <v>5.1379999999999999</v>
      </c>
      <c r="R8" s="22">
        <v>3.0139999999999998</v>
      </c>
      <c r="S8" s="22">
        <v>4.2560000000000002</v>
      </c>
      <c r="T8" s="22">
        <v>4.9400000000000004</v>
      </c>
      <c r="U8" s="22">
        <v>4.5</v>
      </c>
      <c r="V8" s="22">
        <v>3.1549999999999998</v>
      </c>
      <c r="Z8" s="190" t="s">
        <v>57</v>
      </c>
      <c r="AA8" s="191" t="s">
        <v>267</v>
      </c>
      <c r="AB8" s="192" t="s">
        <v>718</v>
      </c>
      <c r="AC8" s="194" t="s">
        <v>729</v>
      </c>
      <c r="AD8" s="194" t="s">
        <v>729</v>
      </c>
      <c r="AE8" s="195" t="s">
        <v>735</v>
      </c>
      <c r="AF8" s="182" t="s">
        <v>729</v>
      </c>
      <c r="AG8" s="195" t="s">
        <v>735</v>
      </c>
      <c r="AH8" s="195" t="s">
        <v>735</v>
      </c>
      <c r="AI8" s="195" t="s">
        <v>824</v>
      </c>
      <c r="AJ8" s="3"/>
      <c r="AK8" s="3"/>
      <c r="AL8" s="243" t="s">
        <v>868</v>
      </c>
      <c r="AM8" s="234" t="s">
        <v>869</v>
      </c>
      <c r="AN8" s="234" t="s">
        <v>874</v>
      </c>
      <c r="AO8" s="234" t="s">
        <v>870</v>
      </c>
      <c r="AP8"/>
      <c r="AQ8"/>
      <c r="AR8"/>
      <c r="AS8" s="231" t="s">
        <v>2331</v>
      </c>
      <c r="AT8"/>
      <c r="AU8"/>
    </row>
    <row r="9" spans="1:68" ht="44" thickBot="1" x14ac:dyDescent="0.4">
      <c r="A9" s="203" t="s">
        <v>33</v>
      </c>
      <c r="Z9" s="190" t="s">
        <v>62</v>
      </c>
      <c r="AA9" s="191" t="s">
        <v>268</v>
      </c>
      <c r="AB9" s="191" t="s">
        <v>719</v>
      </c>
      <c r="AC9" s="194" t="s">
        <v>730</v>
      </c>
      <c r="AD9" s="194" t="s">
        <v>729</v>
      </c>
      <c r="AE9" s="194" t="s">
        <v>736</v>
      </c>
      <c r="AF9" s="195" t="s">
        <v>899</v>
      </c>
      <c r="AG9" s="195" t="s">
        <v>899</v>
      </c>
      <c r="AH9" s="195" t="s">
        <v>899</v>
      </c>
      <c r="AI9" s="195" t="s">
        <v>825</v>
      </c>
      <c r="AJ9" s="3"/>
      <c r="AK9" s="3"/>
      <c r="AL9" s="243" t="s">
        <v>871</v>
      </c>
      <c r="AM9" s="234" t="s">
        <v>872</v>
      </c>
      <c r="AN9" s="234" t="s">
        <v>873</v>
      </c>
      <c r="AO9" s="234" t="s">
        <v>881</v>
      </c>
      <c r="AP9"/>
      <c r="AQ9"/>
      <c r="AR9"/>
      <c r="AS9" s="338" t="s">
        <v>1432</v>
      </c>
      <c r="AT9" s="338" t="s">
        <v>1406</v>
      </c>
      <c r="AU9" s="338" t="s">
        <v>1407</v>
      </c>
      <c r="AV9" s="338" t="s">
        <v>1408</v>
      </c>
      <c r="AW9" s="338" t="s">
        <v>1409</v>
      </c>
      <c r="AX9" s="338" t="s">
        <v>1410</v>
      </c>
      <c r="AY9" s="338" t="s">
        <v>1411</v>
      </c>
      <c r="AZ9" s="338" t="s">
        <v>1412</v>
      </c>
      <c r="BA9" s="338" t="s">
        <v>1413</v>
      </c>
      <c r="BB9" s="338" t="s">
        <v>1414</v>
      </c>
      <c r="BC9" s="338" t="s">
        <v>1415</v>
      </c>
      <c r="BD9" s="338" t="s">
        <v>1416</v>
      </c>
      <c r="BE9" s="338" t="s">
        <v>1417</v>
      </c>
      <c r="BF9" s="338" t="s">
        <v>1418</v>
      </c>
      <c r="BG9" s="338" t="s">
        <v>1419</v>
      </c>
      <c r="BH9" s="338" t="s">
        <v>1420</v>
      </c>
      <c r="BI9" s="338" t="s">
        <v>1421</v>
      </c>
      <c r="BJ9" s="369">
        <v>2021</v>
      </c>
      <c r="BK9" s="338" t="s">
        <v>1422</v>
      </c>
      <c r="BL9" s="338" t="s">
        <v>1423</v>
      </c>
      <c r="BM9" s="338" t="s">
        <v>1424</v>
      </c>
      <c r="BN9" s="338" t="s">
        <v>1425</v>
      </c>
      <c r="BO9" s="338" t="s">
        <v>1426</v>
      </c>
      <c r="BP9" s="338" t="s">
        <v>1427</v>
      </c>
    </row>
    <row r="10" spans="1:68" ht="102" thickTop="1" x14ac:dyDescent="0.35">
      <c r="A10" s="217" t="s">
        <v>32</v>
      </c>
      <c r="B10" s="3">
        <v>983.846</v>
      </c>
      <c r="C10" s="3">
        <v>1023.689</v>
      </c>
      <c r="D10" s="3">
        <v>1030.2929999999999</v>
      </c>
      <c r="E10" s="3">
        <v>985.28</v>
      </c>
      <c r="F10" s="3">
        <v>1014.845</v>
      </c>
      <c r="G10" s="3">
        <v>1033.4870000000001</v>
      </c>
      <c r="H10" s="3">
        <v>1068.6610000000001</v>
      </c>
      <c r="I10" s="3">
        <v>1152.7929999999999</v>
      </c>
      <c r="J10" s="3">
        <v>1294.4580000000001</v>
      </c>
      <c r="K10" s="3">
        <v>1331.498</v>
      </c>
      <c r="L10" s="3">
        <v>1305.623</v>
      </c>
      <c r="M10" s="3">
        <v>1284.8309999999999</v>
      </c>
      <c r="N10" s="3">
        <v>1272.1279999999999</v>
      </c>
      <c r="O10" s="3">
        <v>1269.0989999999999</v>
      </c>
      <c r="P10" s="3">
        <v>1271.692</v>
      </c>
      <c r="Q10" s="3">
        <v>1269.539</v>
      </c>
      <c r="R10" s="3">
        <v>1242.0229999999999</v>
      </c>
      <c r="S10" s="3">
        <v>1214.6179999999999</v>
      </c>
      <c r="T10" s="3">
        <v>1188.442</v>
      </c>
      <c r="U10" s="3">
        <v>1153.499</v>
      </c>
      <c r="V10" s="3">
        <v>1131.8699999999999</v>
      </c>
      <c r="Z10" s="190" t="s">
        <v>63</v>
      </c>
      <c r="AA10" s="191" t="s">
        <v>270</v>
      </c>
      <c r="AB10" s="191" t="s">
        <v>719</v>
      </c>
      <c r="AC10" s="194" t="s">
        <v>730</v>
      </c>
      <c r="AD10" s="194" t="s">
        <v>729</v>
      </c>
      <c r="AE10" s="194" t="s">
        <v>736</v>
      </c>
      <c r="AF10" s="195" t="s">
        <v>899</v>
      </c>
      <c r="AG10" s="195" t="s">
        <v>899</v>
      </c>
      <c r="AH10" s="195" t="s">
        <v>899</v>
      </c>
      <c r="AI10" s="195" t="s">
        <v>824</v>
      </c>
      <c r="AJ10" s="3"/>
      <c r="AK10" s="3"/>
      <c r="AL10" s="243" t="s">
        <v>866</v>
      </c>
      <c r="AM10" s="241" t="s">
        <v>882</v>
      </c>
      <c r="AN10" s="241" t="s">
        <v>883</v>
      </c>
      <c r="AO10" s="241" t="s">
        <v>883</v>
      </c>
      <c r="AP10"/>
      <c r="AQ10"/>
      <c r="AR10"/>
      <c r="AS10" s="123" t="s">
        <v>1428</v>
      </c>
      <c r="AT10" s="337">
        <v>259282</v>
      </c>
      <c r="AU10" s="337">
        <v>275756</v>
      </c>
      <c r="AV10" s="337">
        <v>280600</v>
      </c>
      <c r="AW10" s="337">
        <v>285125</v>
      </c>
      <c r="AX10" s="337">
        <v>269322</v>
      </c>
      <c r="AY10" s="337">
        <v>282702</v>
      </c>
      <c r="AZ10" s="337">
        <v>300948</v>
      </c>
      <c r="BA10" s="337">
        <v>312708</v>
      </c>
      <c r="BB10" s="337">
        <v>330548</v>
      </c>
      <c r="BC10" s="337">
        <v>350033</v>
      </c>
      <c r="BD10" s="337">
        <v>337069</v>
      </c>
      <c r="BE10" s="337">
        <v>325421</v>
      </c>
      <c r="BF10" s="337">
        <v>341029</v>
      </c>
      <c r="BG10" s="337">
        <v>346477</v>
      </c>
      <c r="BH10" s="337">
        <v>344304</v>
      </c>
      <c r="BI10" s="337">
        <v>321635</v>
      </c>
      <c r="BJ10" s="337">
        <v>338074</v>
      </c>
      <c r="BK10" s="337">
        <v>370762</v>
      </c>
      <c r="BL10" s="337">
        <v>407610</v>
      </c>
      <c r="BM10" s="337">
        <v>432770</v>
      </c>
      <c r="BN10" s="337">
        <v>456499</v>
      </c>
      <c r="BO10" s="337">
        <v>485233</v>
      </c>
      <c r="BP10" s="337">
        <v>515727</v>
      </c>
    </row>
    <row r="11" spans="1:68" ht="43.5" x14ac:dyDescent="0.35">
      <c r="A11" s="217" t="s">
        <v>41</v>
      </c>
      <c r="B11" s="3">
        <v>590.17399999999998</v>
      </c>
      <c r="C11" s="3">
        <v>620.12900000000002</v>
      </c>
      <c r="D11" s="3">
        <v>646.08500000000004</v>
      </c>
      <c r="E11" s="3">
        <v>643.904</v>
      </c>
      <c r="F11" s="3">
        <v>677.26400000000001</v>
      </c>
      <c r="G11" s="3">
        <v>714.08299999999997</v>
      </c>
      <c r="H11" s="3">
        <v>713.4</v>
      </c>
      <c r="I11" s="3">
        <v>797.39599999999996</v>
      </c>
      <c r="J11" s="3">
        <v>911.63599999999997</v>
      </c>
      <c r="K11" s="3">
        <v>963.21799999999996</v>
      </c>
      <c r="L11" s="3">
        <v>992.91899999999998</v>
      </c>
      <c r="M11" s="3">
        <v>1039.5730000000001</v>
      </c>
      <c r="N11" s="3">
        <v>1072.634</v>
      </c>
      <c r="O11" s="3">
        <v>1144.627</v>
      </c>
      <c r="P11" s="3">
        <v>1237.366</v>
      </c>
      <c r="Q11" s="3">
        <v>1310.518</v>
      </c>
      <c r="R11" s="3">
        <v>1372.452</v>
      </c>
      <c r="S11" s="3">
        <v>1416.259</v>
      </c>
      <c r="T11" s="3">
        <v>1459.057</v>
      </c>
      <c r="U11" s="3">
        <v>1478.4559999999999</v>
      </c>
      <c r="V11" s="3">
        <v>1518.7180000000001</v>
      </c>
      <c r="Z11" s="190" t="s">
        <v>64</v>
      </c>
      <c r="AA11" s="192" t="s">
        <v>726</v>
      </c>
      <c r="AB11" s="191" t="s">
        <v>275</v>
      </c>
      <c r="AC11" s="194" t="s">
        <v>730</v>
      </c>
      <c r="AD11" s="194" t="s">
        <v>729</v>
      </c>
      <c r="AE11" s="194" t="s">
        <v>736</v>
      </c>
      <c r="AF11" s="195" t="s">
        <v>899</v>
      </c>
      <c r="AG11" s="195" t="s">
        <v>899</v>
      </c>
      <c r="AH11" s="195" t="s">
        <v>899</v>
      </c>
      <c r="AI11" s="195" t="s">
        <v>824</v>
      </c>
      <c r="AJ11" s="3"/>
      <c r="AK11" s="3"/>
      <c r="AL11" s="246" t="s">
        <v>903</v>
      </c>
      <c r="AM11" s="241" t="s">
        <v>890</v>
      </c>
      <c r="AN11" s="241" t="s">
        <v>889</v>
      </c>
      <c r="AO11" s="233" t="s">
        <v>888</v>
      </c>
      <c r="AP11"/>
      <c r="AQ11"/>
      <c r="AR11"/>
      <c r="AS11" s="123" t="s">
        <v>1429</v>
      </c>
      <c r="AT11" s="336">
        <v>3321.8</v>
      </c>
      <c r="AU11" s="336">
        <v>3421.4</v>
      </c>
      <c r="AV11" s="336">
        <v>3514.1</v>
      </c>
      <c r="AW11" s="336">
        <v>3595.9</v>
      </c>
      <c r="AX11" s="336">
        <v>3679</v>
      </c>
      <c r="AY11" s="336">
        <v>3732.1</v>
      </c>
      <c r="AZ11" s="336">
        <v>3789</v>
      </c>
      <c r="BA11" s="336">
        <v>3874.5</v>
      </c>
      <c r="BB11" s="336">
        <v>3981</v>
      </c>
      <c r="BC11" s="336">
        <v>4083.6</v>
      </c>
      <c r="BD11" s="336">
        <v>4144.5</v>
      </c>
      <c r="BE11" s="336">
        <v>4196.1000000000004</v>
      </c>
      <c r="BF11" s="336">
        <v>4243.5</v>
      </c>
      <c r="BG11" s="336">
        <v>4300.7</v>
      </c>
      <c r="BH11" s="336">
        <v>4371.3</v>
      </c>
      <c r="BI11" s="336">
        <v>4433</v>
      </c>
      <c r="BJ11" s="336">
        <v>4469.8</v>
      </c>
      <c r="BK11" s="336">
        <v>4674.5</v>
      </c>
      <c r="BL11" s="336">
        <v>5014.1000000000004</v>
      </c>
      <c r="BM11" s="336">
        <v>5301.9</v>
      </c>
      <c r="BN11" s="336">
        <v>5560.1</v>
      </c>
      <c r="BO11" s="336">
        <v>5823.3</v>
      </c>
      <c r="BP11" s="336">
        <v>6077.1</v>
      </c>
    </row>
    <row r="12" spans="1:68" ht="58" x14ac:dyDescent="0.35">
      <c r="A12" s="217" t="s">
        <v>42</v>
      </c>
      <c r="B12" s="3">
        <v>290.77600000000001</v>
      </c>
      <c r="C12" s="3">
        <v>303.90100000000001</v>
      </c>
      <c r="D12" s="3">
        <v>315.45699999999999</v>
      </c>
      <c r="E12" s="3">
        <v>312.51900000000001</v>
      </c>
      <c r="F12" s="3">
        <v>328.57499999999999</v>
      </c>
      <c r="G12" s="3">
        <v>345.35</v>
      </c>
      <c r="H12" s="3">
        <v>343.77699999999999</v>
      </c>
      <c r="I12" s="3">
        <v>383.31299999999999</v>
      </c>
      <c r="J12" s="3">
        <v>439.05099999999999</v>
      </c>
      <c r="K12" s="3">
        <v>464.54700000000003</v>
      </c>
      <c r="L12" s="3">
        <v>479.00700000000001</v>
      </c>
      <c r="M12" s="3">
        <v>501.21699999999998</v>
      </c>
      <c r="N12" s="3">
        <v>515.57000000000005</v>
      </c>
      <c r="O12" s="3">
        <v>549.85599999999999</v>
      </c>
      <c r="P12" s="3">
        <v>594.39599999999996</v>
      </c>
      <c r="Q12" s="3">
        <v>629.45000000000005</v>
      </c>
      <c r="R12" s="3">
        <v>659.76300000000003</v>
      </c>
      <c r="S12" s="3">
        <v>682.05200000000002</v>
      </c>
      <c r="T12" s="3">
        <v>703.702</v>
      </c>
      <c r="U12" s="3">
        <v>713.88</v>
      </c>
      <c r="V12" s="3">
        <v>735.44899999999996</v>
      </c>
      <c r="Z12" s="190" t="s">
        <v>88</v>
      </c>
      <c r="AA12" s="191" t="s">
        <v>273</v>
      </c>
      <c r="AB12" s="192" t="s">
        <v>720</v>
      </c>
      <c r="AC12" s="182" t="s">
        <v>731</v>
      </c>
      <c r="AD12" s="182" t="s">
        <v>729</v>
      </c>
      <c r="AE12" s="195" t="s">
        <v>737</v>
      </c>
      <c r="AF12" s="195" t="s">
        <v>825</v>
      </c>
      <c r="AG12" s="195" t="s">
        <v>738</v>
      </c>
      <c r="AH12" s="195" t="s">
        <v>738</v>
      </c>
      <c r="AI12" s="195" t="s">
        <v>825</v>
      </c>
      <c r="AJ12" s="3"/>
      <c r="AK12" s="3"/>
      <c r="AL12" s="243" t="s">
        <v>884</v>
      </c>
      <c r="AM12" s="241" t="s">
        <v>885</v>
      </c>
      <c r="AN12" s="241" t="s">
        <v>887</v>
      </c>
      <c r="AO12" s="233" t="s">
        <v>891</v>
      </c>
      <c r="AP12"/>
      <c r="AQ12"/>
      <c r="AR12"/>
      <c r="AS12" s="123" t="s">
        <v>1430</v>
      </c>
      <c r="AT12" s="192">
        <v>0.87</v>
      </c>
      <c r="AU12" s="192">
        <v>0.89</v>
      </c>
      <c r="AV12" s="192">
        <v>0.93</v>
      </c>
      <c r="AW12" s="192">
        <v>1.04</v>
      </c>
      <c r="AX12" s="192">
        <v>0.91</v>
      </c>
      <c r="AY12" s="192">
        <v>0.96</v>
      </c>
      <c r="AZ12" s="192">
        <v>1</v>
      </c>
      <c r="BA12" s="192">
        <v>1</v>
      </c>
      <c r="BB12" s="192">
        <v>1.04</v>
      </c>
      <c r="BC12" s="192">
        <v>1.08</v>
      </c>
      <c r="BD12" s="192">
        <v>0.96</v>
      </c>
      <c r="BE12" s="192">
        <v>0.94</v>
      </c>
      <c r="BF12" s="192">
        <v>0.97</v>
      </c>
      <c r="BG12" s="192">
        <v>1</v>
      </c>
      <c r="BH12" s="192">
        <v>1.01</v>
      </c>
      <c r="BI12" s="192">
        <v>0.86</v>
      </c>
      <c r="BJ12" s="192">
        <v>0.92</v>
      </c>
      <c r="BK12" s="192">
        <v>1.05</v>
      </c>
      <c r="BL12" s="192">
        <v>1.18</v>
      </c>
      <c r="BM12" s="192">
        <v>1.27</v>
      </c>
      <c r="BN12" s="192">
        <v>1.36</v>
      </c>
      <c r="BO12" s="192">
        <v>1.45</v>
      </c>
      <c r="BP12" s="192">
        <v>1.57</v>
      </c>
    </row>
    <row r="13" spans="1:68" ht="72.5" x14ac:dyDescent="0.35">
      <c r="A13" s="217" t="s">
        <v>43</v>
      </c>
      <c r="B13" s="3">
        <v>140.423</v>
      </c>
      <c r="C13" s="3">
        <v>158.4</v>
      </c>
      <c r="D13" s="3">
        <v>169.75700000000001</v>
      </c>
      <c r="E13" s="3">
        <v>186.28200000000001</v>
      </c>
      <c r="F13" s="3">
        <v>208.41499999999999</v>
      </c>
      <c r="G13" s="3">
        <v>225.554</v>
      </c>
      <c r="H13" s="3">
        <v>270.709</v>
      </c>
      <c r="I13" s="3">
        <v>303.084</v>
      </c>
      <c r="J13" s="3">
        <v>347.81400000000002</v>
      </c>
      <c r="K13" s="3">
        <v>371.83199999999999</v>
      </c>
      <c r="L13" s="3">
        <v>388.72500000000002</v>
      </c>
      <c r="M13" s="3">
        <v>398.33499999999998</v>
      </c>
      <c r="N13" s="3">
        <v>409.67500000000001</v>
      </c>
      <c r="O13" s="3">
        <v>435.262</v>
      </c>
      <c r="P13" s="3">
        <v>452.10599999999999</v>
      </c>
      <c r="Q13" s="3">
        <v>461.04</v>
      </c>
      <c r="R13" s="3">
        <v>456.15499999999997</v>
      </c>
      <c r="S13" s="3">
        <v>453.67599999999999</v>
      </c>
      <c r="T13" s="3">
        <v>453.64</v>
      </c>
      <c r="U13" s="3">
        <v>447.13</v>
      </c>
      <c r="V13" s="3">
        <v>440.58300000000003</v>
      </c>
      <c r="Z13" s="190" t="s">
        <v>89</v>
      </c>
      <c r="AA13" s="191"/>
      <c r="AB13" s="192" t="s">
        <v>720</v>
      </c>
      <c r="AC13" s="182" t="s">
        <v>731</v>
      </c>
      <c r="AD13" s="182" t="s">
        <v>729</v>
      </c>
      <c r="AE13" s="195" t="s">
        <v>737</v>
      </c>
      <c r="AF13" s="195" t="s">
        <v>825</v>
      </c>
      <c r="AG13" s="195" t="s">
        <v>738</v>
      </c>
      <c r="AH13" s="195" t="s">
        <v>738</v>
      </c>
      <c r="AI13" s="195" t="s">
        <v>825</v>
      </c>
      <c r="AJ13" s="3"/>
      <c r="AK13" s="3"/>
      <c r="AL13" s="243" t="s">
        <v>904</v>
      </c>
      <c r="AM13" s="241" t="s">
        <v>886</v>
      </c>
      <c r="AN13" s="241" t="s">
        <v>893</v>
      </c>
      <c r="AO13" s="241" t="s">
        <v>893</v>
      </c>
      <c r="AP13"/>
      <c r="AQ13"/>
      <c r="AR13"/>
      <c r="AS13" s="123" t="s">
        <v>1431</v>
      </c>
      <c r="AT13" s="192">
        <v>1.08</v>
      </c>
      <c r="AU13" s="192">
        <v>1.1200000000000001</v>
      </c>
      <c r="AV13" s="192">
        <v>1.18</v>
      </c>
      <c r="AW13" s="192">
        <v>1.22</v>
      </c>
      <c r="AX13" s="192">
        <v>1.22</v>
      </c>
      <c r="AY13" s="192">
        <v>1.23</v>
      </c>
      <c r="AZ13" s="192">
        <v>1.26</v>
      </c>
      <c r="BA13" s="192">
        <v>1.27</v>
      </c>
      <c r="BB13" s="192">
        <v>1.29</v>
      </c>
      <c r="BC13" s="192">
        <v>1.32</v>
      </c>
      <c r="BD13" s="192">
        <v>1.34</v>
      </c>
      <c r="BE13" s="192">
        <v>1.35</v>
      </c>
      <c r="BF13" s="192">
        <v>1.37</v>
      </c>
      <c r="BG13" s="192">
        <v>1.41</v>
      </c>
      <c r="BH13" s="192">
        <v>1.43</v>
      </c>
      <c r="BI13" s="192">
        <v>1.44</v>
      </c>
      <c r="BJ13" s="192">
        <v>1.47</v>
      </c>
      <c r="BK13" s="192">
        <v>1.57</v>
      </c>
      <c r="BL13" s="192">
        <v>1.77</v>
      </c>
      <c r="BM13" s="192">
        <v>1.94</v>
      </c>
      <c r="BN13" s="192">
        <v>2.1</v>
      </c>
      <c r="BO13" s="192">
        <v>2.29</v>
      </c>
      <c r="BP13" s="192">
        <v>2.52</v>
      </c>
    </row>
    <row r="14" spans="1:68" ht="116" x14ac:dyDescent="0.35">
      <c r="A14" s="217" t="s">
        <v>44</v>
      </c>
      <c r="B14" s="3">
        <v>51.789000000000001</v>
      </c>
      <c r="C14" s="3">
        <v>55.738</v>
      </c>
      <c r="D14" s="22">
        <v>56.820999999999998</v>
      </c>
      <c r="E14" s="22">
        <v>68.046000000000006</v>
      </c>
      <c r="F14" s="22">
        <v>68.929000000000002</v>
      </c>
      <c r="G14" s="22">
        <v>73.522999999999996</v>
      </c>
      <c r="H14" s="22">
        <v>80.965000000000003</v>
      </c>
      <c r="I14" s="22">
        <v>87.052000000000007</v>
      </c>
      <c r="J14" s="22">
        <v>90.968999999999994</v>
      </c>
      <c r="K14" s="22">
        <v>89.718000000000004</v>
      </c>
      <c r="L14" s="22">
        <v>89.631</v>
      </c>
      <c r="M14" s="22">
        <v>95.006</v>
      </c>
      <c r="N14" s="22">
        <v>101.17100000000001</v>
      </c>
      <c r="O14" s="22">
        <v>107.161</v>
      </c>
      <c r="P14" s="22">
        <v>111.845</v>
      </c>
      <c r="Q14" s="22">
        <v>112.10899999999999</v>
      </c>
      <c r="R14" s="22">
        <v>106.938</v>
      </c>
      <c r="S14" s="22">
        <v>107.518</v>
      </c>
      <c r="T14" s="22">
        <v>110.595</v>
      </c>
      <c r="U14" s="22">
        <v>111.41500000000001</v>
      </c>
      <c r="V14" s="22">
        <v>110.907</v>
      </c>
      <c r="Z14" s="190" t="s">
        <v>80</v>
      </c>
      <c r="AA14" s="191" t="s">
        <v>274</v>
      </c>
      <c r="AB14" s="192" t="s">
        <v>721</v>
      </c>
      <c r="AC14" s="182" t="s">
        <v>732</v>
      </c>
      <c r="AD14" s="182" t="s">
        <v>729</v>
      </c>
      <c r="AE14" s="195" t="s">
        <v>738</v>
      </c>
      <c r="AF14" s="195" t="s">
        <v>825</v>
      </c>
      <c r="AG14" s="195" t="s">
        <v>738</v>
      </c>
      <c r="AH14" s="195" t="s">
        <v>738</v>
      </c>
      <c r="AI14" s="195" t="s">
        <v>825</v>
      </c>
      <c r="AJ14" s="3"/>
      <c r="AK14" s="3"/>
      <c r="AL14" s="243" t="s">
        <v>897</v>
      </c>
      <c r="AM14" s="241" t="s">
        <v>892</v>
      </c>
      <c r="AN14" s="244" t="s">
        <v>902</v>
      </c>
      <c r="AO14" s="233" t="s">
        <v>901</v>
      </c>
      <c r="AP14"/>
      <c r="AQ14"/>
      <c r="AR14"/>
      <c r="AS14"/>
      <c r="AT14"/>
      <c r="AU14"/>
      <c r="AV14"/>
      <c r="AW14"/>
      <c r="AX14"/>
    </row>
    <row r="15" spans="1:68" ht="29" x14ac:dyDescent="0.35">
      <c r="A15" s="217" t="s">
        <v>57</v>
      </c>
      <c r="B15" s="3">
        <v>36.668999999999997</v>
      </c>
      <c r="C15" s="3">
        <v>44.386000000000003</v>
      </c>
      <c r="D15" s="22">
        <v>49.17</v>
      </c>
      <c r="E15" s="22">
        <v>53.231999999999999</v>
      </c>
      <c r="F15" s="22">
        <v>58.646000000000001</v>
      </c>
      <c r="G15" s="22">
        <v>63.496000000000002</v>
      </c>
      <c r="H15" s="22">
        <v>71.119</v>
      </c>
      <c r="I15" s="22">
        <v>81.694999999999993</v>
      </c>
      <c r="J15" s="22">
        <v>95.53</v>
      </c>
      <c r="K15" s="22">
        <v>102.77800000000001</v>
      </c>
      <c r="L15" s="22">
        <v>106.672</v>
      </c>
      <c r="M15" s="22">
        <v>107.28400000000001</v>
      </c>
      <c r="N15" s="22">
        <v>112.255</v>
      </c>
      <c r="O15" s="22">
        <v>116.605</v>
      </c>
      <c r="P15" s="22">
        <v>122.175</v>
      </c>
      <c r="Q15" s="22">
        <v>129.21299999999999</v>
      </c>
      <c r="R15" s="22">
        <v>129.17699999999999</v>
      </c>
      <c r="S15" s="22">
        <v>124.32899999999999</v>
      </c>
      <c r="T15" s="22">
        <v>121.93</v>
      </c>
      <c r="U15" s="22">
        <v>126.014</v>
      </c>
      <c r="V15" s="22">
        <v>124.723</v>
      </c>
      <c r="Z15" s="190" t="s">
        <v>81</v>
      </c>
      <c r="AA15" s="191"/>
      <c r="AB15" s="192" t="s">
        <v>721</v>
      </c>
      <c r="AC15" s="182" t="s">
        <v>732</v>
      </c>
      <c r="AD15" s="182" t="s">
        <v>729</v>
      </c>
      <c r="AE15" s="195" t="s">
        <v>738</v>
      </c>
      <c r="AF15" s="195" t="s">
        <v>825</v>
      </c>
      <c r="AG15" s="195" t="s">
        <v>738</v>
      </c>
      <c r="AH15" s="195" t="s">
        <v>738</v>
      </c>
      <c r="AI15" s="195" t="s">
        <v>825</v>
      </c>
      <c r="AJ15" s="3"/>
      <c r="AK15" s="3"/>
      <c r="AP15"/>
      <c r="AQ15"/>
      <c r="AR15"/>
      <c r="AS15"/>
      <c r="AT15"/>
      <c r="AU15"/>
      <c r="AV15"/>
      <c r="AW15"/>
      <c r="AX15"/>
    </row>
    <row r="16" spans="1:68" ht="29" x14ac:dyDescent="0.35">
      <c r="A16" s="217" t="s">
        <v>62</v>
      </c>
      <c r="B16" s="3">
        <v>7.23</v>
      </c>
      <c r="C16" s="3">
        <v>7.157</v>
      </c>
      <c r="D16" s="22">
        <v>7.3339999999999996</v>
      </c>
      <c r="E16" s="22">
        <v>7.5549999999999997</v>
      </c>
      <c r="F16" s="22">
        <v>7.7039999999999997</v>
      </c>
      <c r="G16" s="22">
        <v>7.8869999999999996</v>
      </c>
      <c r="H16" s="22">
        <v>8.3059999999999992</v>
      </c>
      <c r="I16" s="22">
        <v>8.2129999999999992</v>
      </c>
      <c r="J16" s="22">
        <v>8.4990000000000006</v>
      </c>
      <c r="K16" s="22">
        <v>8.7880000000000003</v>
      </c>
      <c r="L16" s="22">
        <v>8.8179999999999996</v>
      </c>
      <c r="M16" s="22">
        <v>8.7409999999999997</v>
      </c>
      <c r="N16" s="22">
        <v>8.7279999999999998</v>
      </c>
      <c r="O16" s="22">
        <v>8.93</v>
      </c>
      <c r="P16" s="22">
        <v>9.59</v>
      </c>
      <c r="Q16" s="22">
        <v>9.0950000000000006</v>
      </c>
      <c r="R16" s="22">
        <v>8.8480000000000008</v>
      </c>
      <c r="S16" s="22">
        <v>9.5489999999999995</v>
      </c>
      <c r="T16" s="22">
        <v>9.0020000000000007</v>
      </c>
      <c r="U16" s="22">
        <v>8.6519999999999992</v>
      </c>
      <c r="V16" s="22">
        <v>8.9019999999999992</v>
      </c>
      <c r="Z16" s="466" t="s">
        <v>126</v>
      </c>
      <c r="AA16" s="191" t="s">
        <v>2292</v>
      </c>
      <c r="AB16" s="467" t="s">
        <v>722</v>
      </c>
      <c r="AC16" s="468" t="s">
        <v>733</v>
      </c>
      <c r="AD16" s="468" t="s">
        <v>729</v>
      </c>
      <c r="AE16" s="469" t="s">
        <v>738</v>
      </c>
      <c r="AF16" s="468" t="s">
        <v>826</v>
      </c>
      <c r="AG16" s="469" t="s">
        <v>827</v>
      </c>
      <c r="AH16" s="469" t="s">
        <v>827</v>
      </c>
      <c r="AI16" s="469" t="s">
        <v>825</v>
      </c>
      <c r="AJ16" s="3"/>
      <c r="AK16" s="3"/>
      <c r="AP16"/>
      <c r="AQ16"/>
      <c r="AR16"/>
      <c r="AS16"/>
      <c r="AT16"/>
      <c r="AU16"/>
      <c r="AV16"/>
      <c r="AW16"/>
      <c r="AX16"/>
    </row>
    <row r="17" spans="1:62" ht="29" x14ac:dyDescent="0.35">
      <c r="A17" s="217" t="s">
        <v>63</v>
      </c>
      <c r="B17" s="3">
        <v>3.6059999999999999</v>
      </c>
      <c r="C17" s="3">
        <v>3.8620000000000001</v>
      </c>
      <c r="D17" s="22">
        <v>3.9289999999999998</v>
      </c>
      <c r="E17" s="22">
        <v>3.83</v>
      </c>
      <c r="F17" s="22">
        <v>3.8620000000000001</v>
      </c>
      <c r="G17" s="22">
        <v>4.0369999999999999</v>
      </c>
      <c r="H17" s="22">
        <v>3.88</v>
      </c>
      <c r="I17" s="22">
        <v>4.43</v>
      </c>
      <c r="J17" s="22">
        <v>4.7480000000000002</v>
      </c>
      <c r="K17" s="22">
        <v>4.9870000000000001</v>
      </c>
      <c r="L17" s="22">
        <v>4.97</v>
      </c>
      <c r="M17" s="22">
        <v>5.05</v>
      </c>
      <c r="N17" s="22">
        <v>5.173</v>
      </c>
      <c r="O17" s="22">
        <v>5.1760000000000002</v>
      </c>
      <c r="P17" s="22">
        <v>5.0830000000000002</v>
      </c>
      <c r="Q17" s="22">
        <v>5.5789999999999997</v>
      </c>
      <c r="R17" s="22">
        <v>5.07</v>
      </c>
      <c r="S17" s="22">
        <v>5.1260000000000003</v>
      </c>
      <c r="T17" s="22">
        <v>5.3620000000000001</v>
      </c>
      <c r="U17" s="22">
        <v>5.2169999999999996</v>
      </c>
      <c r="V17" s="22">
        <v>5.0389999999999997</v>
      </c>
      <c r="Z17" s="190" t="s">
        <v>271</v>
      </c>
      <c r="AA17" s="191" t="s">
        <v>272</v>
      </c>
      <c r="AB17" s="192" t="s">
        <v>822</v>
      </c>
      <c r="AC17" s="194" t="s">
        <v>729</v>
      </c>
      <c r="AD17" s="194" t="s">
        <v>729</v>
      </c>
      <c r="AE17" s="59"/>
      <c r="AF17" s="59"/>
      <c r="AG17" s="59"/>
      <c r="AH17" s="59"/>
      <c r="AI17"/>
      <c r="AJ17" s="3"/>
      <c r="AK17" s="3"/>
      <c r="AM17" s="239"/>
      <c r="AN17" s="239"/>
      <c r="AO17" s="240"/>
      <c r="AP17"/>
      <c r="AQ17"/>
      <c r="AR17"/>
      <c r="AS17"/>
      <c r="AT17"/>
      <c r="AU17"/>
      <c r="AV17"/>
      <c r="AW17"/>
      <c r="AX17"/>
    </row>
    <row r="18" spans="1:62" x14ac:dyDescent="0.35">
      <c r="A18" s="217" t="s">
        <v>64</v>
      </c>
      <c r="B18" s="3">
        <v>1.069</v>
      </c>
      <c r="C18" s="3">
        <v>1.304</v>
      </c>
      <c r="D18" s="22">
        <v>1.3140000000000001</v>
      </c>
      <c r="E18" s="22">
        <v>1.3169999999999999</v>
      </c>
      <c r="F18" s="22">
        <v>1.2230000000000001</v>
      </c>
      <c r="G18" s="22">
        <v>1.347</v>
      </c>
      <c r="H18" s="22">
        <v>1.391</v>
      </c>
      <c r="I18" s="22">
        <v>1.4950000000000001</v>
      </c>
      <c r="J18" s="22">
        <v>1.516</v>
      </c>
      <c r="K18" s="22">
        <v>1.4259999999999999</v>
      </c>
      <c r="L18" s="22">
        <v>1.425</v>
      </c>
      <c r="M18" s="22">
        <v>1.4</v>
      </c>
      <c r="N18" s="22">
        <v>1.4470000000000001</v>
      </c>
      <c r="O18" s="22">
        <v>1.746</v>
      </c>
      <c r="P18" s="22">
        <v>1.659</v>
      </c>
      <c r="Q18" s="22">
        <v>1.6459999999999999</v>
      </c>
      <c r="R18" s="22">
        <v>1.875</v>
      </c>
      <c r="S18" s="22">
        <v>1.1120000000000001</v>
      </c>
      <c r="T18" s="22">
        <v>1.087</v>
      </c>
      <c r="U18" s="22">
        <v>1.0629999999999999</v>
      </c>
      <c r="V18" s="22">
        <v>0.86699999999999999</v>
      </c>
      <c r="Z18" s="74"/>
      <c r="AA18"/>
      <c r="AB18"/>
      <c r="AC18"/>
      <c r="AD18"/>
      <c r="AE18"/>
      <c r="AF18"/>
      <c r="AG18"/>
      <c r="AH18"/>
      <c r="AI18"/>
      <c r="AJ18" s="3"/>
      <c r="AK18" s="3"/>
    </row>
    <row r="19" spans="1:62" x14ac:dyDescent="0.35">
      <c r="A19" s="218"/>
      <c r="B19" s="448"/>
      <c r="C19" s="448"/>
      <c r="D19" s="448"/>
      <c r="E19" s="448"/>
      <c r="F19" s="448"/>
      <c r="G19" s="448"/>
      <c r="H19" s="448"/>
      <c r="I19" s="448"/>
      <c r="J19" s="448"/>
      <c r="K19" s="448"/>
      <c r="L19" s="448"/>
      <c r="M19" s="448"/>
      <c r="N19" s="448"/>
      <c r="O19" s="448"/>
      <c r="P19" s="448"/>
      <c r="Q19" s="448"/>
      <c r="R19" s="448"/>
      <c r="S19" s="448"/>
      <c r="T19" s="448"/>
      <c r="U19" s="448"/>
      <c r="V19" s="448"/>
      <c r="Z19"/>
      <c r="AA19"/>
      <c r="AB19"/>
      <c r="AC19"/>
      <c r="AD19"/>
      <c r="AE19"/>
      <c r="AF19"/>
      <c r="AG19"/>
      <c r="AH19"/>
      <c r="AI19"/>
      <c r="AJ19" s="3"/>
      <c r="AK19" s="3"/>
    </row>
    <row r="20" spans="1:62" ht="15.5" x14ac:dyDescent="0.35">
      <c r="A20" s="203" t="s">
        <v>49</v>
      </c>
      <c r="D20" s="22"/>
      <c r="E20" s="22"/>
      <c r="F20" s="22"/>
      <c r="G20" s="22"/>
      <c r="H20" s="22"/>
      <c r="I20" s="22"/>
      <c r="J20" s="22"/>
      <c r="K20" s="22"/>
      <c r="L20" s="22"/>
      <c r="M20" s="22"/>
      <c r="N20" s="22"/>
      <c r="O20" s="22"/>
      <c r="P20" s="22"/>
      <c r="Q20" s="22"/>
      <c r="R20" s="22"/>
      <c r="S20" s="22"/>
      <c r="T20" s="22"/>
      <c r="U20" s="22"/>
      <c r="V20" s="22"/>
      <c r="AA20" s="3"/>
      <c r="AB20" s="3"/>
      <c r="AC20" s="3"/>
      <c r="AD20" s="3"/>
      <c r="AE20" s="3"/>
      <c r="AF20" s="3"/>
      <c r="AG20" s="3"/>
      <c r="AH20" s="3"/>
      <c r="AI20" s="3"/>
      <c r="AJ20" s="3"/>
      <c r="AK20" s="3"/>
      <c r="AT20" s="519" t="s">
        <v>2291</v>
      </c>
      <c r="AU20" s="519"/>
      <c r="AV20" s="519"/>
      <c r="AW20" s="519"/>
      <c r="AX20" s="519"/>
      <c r="AY20" s="519"/>
      <c r="AZ20" s="519"/>
      <c r="BB20" s="231" t="s">
        <v>844</v>
      </c>
      <c r="BG20" s="231" t="s">
        <v>842</v>
      </c>
    </row>
    <row r="21" spans="1:62" ht="15.75" customHeight="1" thickBot="1" x14ac:dyDescent="0.4">
      <c r="A21" s="217" t="s">
        <v>50</v>
      </c>
      <c r="B21" s="3">
        <v>28329.726919000001</v>
      </c>
      <c r="C21" s="3">
        <v>29675.241316</v>
      </c>
      <c r="D21" s="22">
        <v>29896.516327000001</v>
      </c>
      <c r="E21" s="22">
        <v>27862.110285999999</v>
      </c>
      <c r="F21" s="22">
        <v>26868.672245999998</v>
      </c>
      <c r="G21" s="22">
        <v>27685.256207999999</v>
      </c>
      <c r="H21" s="22">
        <v>27939.061754999999</v>
      </c>
      <c r="I21" s="22">
        <v>29744.309945000001</v>
      </c>
      <c r="J21" s="22">
        <v>28475.711339000001</v>
      </c>
      <c r="K21" s="22">
        <v>27402.520709</v>
      </c>
      <c r="L21" s="22">
        <v>26211.016519000001</v>
      </c>
      <c r="M21" s="22">
        <v>23228.762429999999</v>
      </c>
      <c r="N21" s="22">
        <v>24479.440726000001</v>
      </c>
      <c r="O21" s="22">
        <v>25219.697583000001</v>
      </c>
      <c r="P21" s="22">
        <v>25131.324808000001</v>
      </c>
      <c r="Q21" s="22">
        <v>23180.693323</v>
      </c>
      <c r="R21" s="22">
        <v>23194.416767999999</v>
      </c>
      <c r="S21" s="22">
        <v>22936.931826</v>
      </c>
      <c r="T21" s="22">
        <v>22635.902181000001</v>
      </c>
      <c r="U21" s="22">
        <v>23039.029027</v>
      </c>
      <c r="V21" s="22">
        <v>18676.743195999999</v>
      </c>
      <c r="Z21" s="519" t="s">
        <v>2265</v>
      </c>
      <c r="AA21" s="519"/>
      <c r="AB21" s="519"/>
      <c r="AC21" s="519"/>
      <c r="AD21" s="3"/>
      <c r="AE21" s="3"/>
      <c r="AF21" s="3"/>
      <c r="AG21" s="222" t="s">
        <v>849</v>
      </c>
      <c r="AH21" s="222"/>
      <c r="AI21" s="222"/>
      <c r="AJ21" s="3"/>
      <c r="AK21" s="3"/>
      <c r="AL21" s="231" t="s">
        <v>808</v>
      </c>
      <c r="AO21" s="359" t="s">
        <v>651</v>
      </c>
      <c r="AP21" s="216"/>
      <c r="AQ21" s="216"/>
      <c r="AR21" s="216"/>
      <c r="AT21" s="21" t="s">
        <v>245</v>
      </c>
      <c r="AU21" s="8">
        <v>2017</v>
      </c>
      <c r="AV21" s="8">
        <v>2018</v>
      </c>
      <c r="AW21" s="8">
        <v>2019</v>
      </c>
      <c r="AX21" s="8">
        <v>2020</v>
      </c>
      <c r="AY21" s="8">
        <v>2021</v>
      </c>
      <c r="AZ21" s="8">
        <v>2022</v>
      </c>
      <c r="BB21" s="21" t="s">
        <v>513</v>
      </c>
      <c r="BC21" s="8">
        <v>2018</v>
      </c>
      <c r="BD21" s="8">
        <v>2025</v>
      </c>
      <c r="BE21" s="8">
        <v>2050</v>
      </c>
      <c r="BG21" s="21" t="s">
        <v>513</v>
      </c>
      <c r="BH21" s="8">
        <v>2018</v>
      </c>
      <c r="BI21" s="8">
        <v>2025</v>
      </c>
      <c r="BJ21" s="8">
        <v>2050</v>
      </c>
    </row>
    <row r="22" spans="1:62" ht="15.5" thickTop="1" thickBot="1" x14ac:dyDescent="0.4">
      <c r="A22" s="217" t="s">
        <v>51</v>
      </c>
      <c r="B22" s="3">
        <v>17412.042732999998</v>
      </c>
      <c r="C22" s="3">
        <v>18548.745593</v>
      </c>
      <c r="D22" s="22">
        <v>19351.844448</v>
      </c>
      <c r="E22" s="22">
        <v>18480.816529</v>
      </c>
      <c r="F22" s="22">
        <v>18126.284054</v>
      </c>
      <c r="G22" s="22">
        <v>19426.516586000002</v>
      </c>
      <c r="H22" s="22">
        <v>18919.256677000001</v>
      </c>
      <c r="I22" s="22">
        <v>20916.922847999998</v>
      </c>
      <c r="J22" s="22">
        <v>20597.007513</v>
      </c>
      <c r="K22" s="22">
        <v>20393.320909999999</v>
      </c>
      <c r="L22" s="22">
        <v>20632.108478999999</v>
      </c>
      <c r="M22" s="22">
        <v>19590.3799</v>
      </c>
      <c r="N22" s="22">
        <v>21915.419309000001</v>
      </c>
      <c r="O22" s="22">
        <v>24275.921265000001</v>
      </c>
      <c r="P22" s="22">
        <v>26189.031885</v>
      </c>
      <c r="Q22" s="22">
        <v>25824.759407000001</v>
      </c>
      <c r="R22" s="22">
        <v>28003.305652999999</v>
      </c>
      <c r="S22" s="22">
        <v>29438.033780000002</v>
      </c>
      <c r="T22" s="22">
        <v>30843.476337</v>
      </c>
      <c r="U22" s="22">
        <v>32840.402864999996</v>
      </c>
      <c r="V22" s="22">
        <v>28009.338812999998</v>
      </c>
      <c r="Z22" s="21" t="s">
        <v>116</v>
      </c>
      <c r="AA22" s="8">
        <v>2016</v>
      </c>
      <c r="AB22" s="8">
        <v>2018</v>
      </c>
      <c r="AC22" s="8">
        <v>2020</v>
      </c>
      <c r="AD22" s="96" t="s">
        <v>443</v>
      </c>
      <c r="AE22" s="114" t="s">
        <v>396</v>
      </c>
      <c r="AF22" s="3"/>
      <c r="AG22" s="21" t="s">
        <v>120</v>
      </c>
      <c r="AH22" s="21" t="s">
        <v>106</v>
      </c>
      <c r="AI22" s="21" t="s">
        <v>119</v>
      </c>
      <c r="AJ22" s="114" t="s">
        <v>396</v>
      </c>
      <c r="AK22" s="3"/>
      <c r="AL22" s="21" t="s">
        <v>120</v>
      </c>
      <c r="AM22" s="21" t="s">
        <v>807</v>
      </c>
      <c r="AN22" s="21" t="s">
        <v>119</v>
      </c>
      <c r="AO22" s="21" t="s">
        <v>120</v>
      </c>
      <c r="AP22" s="21" t="s">
        <v>657</v>
      </c>
      <c r="AQ22" s="307"/>
      <c r="AR22" s="307"/>
      <c r="AT22" s="4" t="s">
        <v>764</v>
      </c>
      <c r="AU22" s="9">
        <v>3480263</v>
      </c>
      <c r="AV22" s="9">
        <v>3530021</v>
      </c>
      <c r="AW22" s="9">
        <v>3583685</v>
      </c>
      <c r="AX22" s="9">
        <v>3549362</v>
      </c>
      <c r="AY22" s="9">
        <v>3554592</v>
      </c>
      <c r="AZ22" s="9">
        <v>3519123</v>
      </c>
      <c r="BB22" s="4" t="s">
        <v>831</v>
      </c>
      <c r="BG22" s="4" t="s">
        <v>1263</v>
      </c>
    </row>
    <row r="23" spans="1:62" ht="15" thickTop="1" x14ac:dyDescent="0.35">
      <c r="A23" s="217" t="s">
        <v>52</v>
      </c>
      <c r="B23" s="3">
        <v>3221.534435</v>
      </c>
      <c r="C23" s="3">
        <v>3442.3689399999998</v>
      </c>
      <c r="D23" s="22">
        <v>3553.9041860000002</v>
      </c>
      <c r="E23" s="22">
        <v>3395.4890730000002</v>
      </c>
      <c r="F23" s="22">
        <v>3346.0013709999998</v>
      </c>
      <c r="G23" s="22">
        <v>3549.182112</v>
      </c>
      <c r="H23" s="22">
        <v>3520.051708</v>
      </c>
      <c r="I23" s="22">
        <v>3896.7119670000002</v>
      </c>
      <c r="J23" s="22">
        <v>3802.4082239999998</v>
      </c>
      <c r="K23" s="22">
        <v>3753.617479</v>
      </c>
      <c r="L23" s="22">
        <v>3786.8061010000001</v>
      </c>
      <c r="M23" s="22">
        <v>3616.1934080000001</v>
      </c>
      <c r="N23" s="22">
        <v>4017.6944480000002</v>
      </c>
      <c r="O23" s="22">
        <v>4454.2616420000004</v>
      </c>
      <c r="P23" s="22">
        <v>4780.8146129999996</v>
      </c>
      <c r="Q23" s="22">
        <v>4725.0845929999996</v>
      </c>
      <c r="R23" s="22">
        <v>5114.9027930000002</v>
      </c>
      <c r="S23" s="22">
        <v>5370.6831609999999</v>
      </c>
      <c r="T23" s="22">
        <v>5626.8496080000004</v>
      </c>
      <c r="U23" s="22">
        <v>5991.7562600000001</v>
      </c>
      <c r="V23" s="22">
        <v>5130.3826749999998</v>
      </c>
      <c r="Z23" s="29" t="s">
        <v>100</v>
      </c>
      <c r="AA23" s="31">
        <v>15</v>
      </c>
      <c r="AB23" s="31">
        <v>16</v>
      </c>
      <c r="AC23" s="31">
        <v>14</v>
      </c>
      <c r="AD23" s="97">
        <f t="shared" ref="AD23:AD33" si="0">ROUND(AVERAGE(AA23:AC23),0)</f>
        <v>15</v>
      </c>
      <c r="AE23" s="115">
        <f>1/AD23</f>
        <v>6.6666666666666666E-2</v>
      </c>
      <c r="AF23" s="3"/>
      <c r="AG23" s="29" t="s">
        <v>121</v>
      </c>
      <c r="AH23" s="31">
        <v>14</v>
      </c>
      <c r="AI23" s="108" t="s">
        <v>397</v>
      </c>
      <c r="AJ23" s="115">
        <f>1/AH23</f>
        <v>7.1428571428571425E-2</v>
      </c>
      <c r="AK23" s="3"/>
      <c r="AL23" s="3" t="s">
        <v>800</v>
      </c>
      <c r="AM23" s="10">
        <v>189173.81522714632</v>
      </c>
      <c r="AN23" s="113" t="s">
        <v>801</v>
      </c>
      <c r="AO23" s="3" t="s">
        <v>241</v>
      </c>
      <c r="AP23" s="3">
        <v>1.54</v>
      </c>
      <c r="AT23" s="224" t="s">
        <v>110</v>
      </c>
      <c r="AU23" s="10">
        <v>3073644</v>
      </c>
      <c r="AV23" s="10">
        <v>3119026</v>
      </c>
      <c r="AW23" s="10">
        <v>3168055</v>
      </c>
      <c r="AX23" s="10">
        <v>3140444</v>
      </c>
      <c r="AY23" s="10">
        <v>3137202</v>
      </c>
      <c r="AZ23" s="10">
        <v>3091105</v>
      </c>
      <c r="BB23" s="224" t="s">
        <v>109</v>
      </c>
      <c r="BC23" s="198">
        <v>8.4</v>
      </c>
      <c r="BD23" s="198">
        <v>10.199999999999999</v>
      </c>
      <c r="BE23" s="198">
        <v>12.9</v>
      </c>
      <c r="BG23" s="224" t="s">
        <v>109</v>
      </c>
      <c r="BH23" s="235">
        <v>165</v>
      </c>
      <c r="BI23" s="235">
        <v>175</v>
      </c>
      <c r="BJ23" s="235">
        <v>159</v>
      </c>
    </row>
    <row r="24" spans="1:62" x14ac:dyDescent="0.35">
      <c r="A24" s="217" t="s">
        <v>54</v>
      </c>
      <c r="B24" s="3">
        <v>3270.7645339999999</v>
      </c>
      <c r="C24" s="3">
        <v>4858.149058</v>
      </c>
      <c r="D24" s="22">
        <v>4690.0800529999997</v>
      </c>
      <c r="E24" s="22">
        <v>5285.6756939999996</v>
      </c>
      <c r="F24" s="22">
        <v>7352.9969890000002</v>
      </c>
      <c r="G24" s="22">
        <v>7102.0328300000001</v>
      </c>
      <c r="H24" s="22">
        <v>9990.9231760000002</v>
      </c>
      <c r="I24" s="22">
        <v>10643.968988000001</v>
      </c>
      <c r="J24" s="22">
        <v>10751.376786000001</v>
      </c>
      <c r="K24" s="22">
        <v>10918.371494999999</v>
      </c>
      <c r="L24" s="22">
        <v>14171.649756000001</v>
      </c>
      <c r="M24" s="22">
        <v>13877.932224</v>
      </c>
      <c r="N24" s="22">
        <v>14746.535634</v>
      </c>
      <c r="O24" s="22">
        <v>16563.647266</v>
      </c>
      <c r="P24" s="22">
        <v>17059.12629</v>
      </c>
      <c r="Q24" s="22">
        <v>15720.900914</v>
      </c>
      <c r="R24" s="22">
        <v>14901.021303</v>
      </c>
      <c r="S24" s="22">
        <v>15301.348838</v>
      </c>
      <c r="T24" s="22">
        <v>16451.345444999999</v>
      </c>
      <c r="U24" s="22">
        <v>16748.662632</v>
      </c>
      <c r="V24" s="22">
        <v>14999.942219</v>
      </c>
      <c r="Z24" s="3" t="s">
        <v>101</v>
      </c>
      <c r="AA24" s="10">
        <v>15</v>
      </c>
      <c r="AB24" s="10">
        <v>12</v>
      </c>
      <c r="AC24" s="10">
        <v>18</v>
      </c>
      <c r="AD24" s="98">
        <f t="shared" si="0"/>
        <v>15</v>
      </c>
      <c r="AE24" s="116">
        <f>1/AD24</f>
        <v>6.6666666666666666E-2</v>
      </c>
      <c r="AF24" s="3"/>
      <c r="AG24" s="29" t="s">
        <v>802</v>
      </c>
      <c r="AH24" s="31">
        <v>16</v>
      </c>
      <c r="AI24" s="108" t="s">
        <v>397</v>
      </c>
      <c r="AJ24" s="115">
        <f t="shared" ref="AJ24:AJ31" si="1">1/AH24</f>
        <v>6.25E-2</v>
      </c>
      <c r="AK24" s="3"/>
      <c r="AL24" s="3" t="s">
        <v>804</v>
      </c>
      <c r="AM24" s="10">
        <v>224233.79246891974</v>
      </c>
      <c r="AN24" s="113" t="s">
        <v>801</v>
      </c>
      <c r="AO24" s="3" t="s">
        <v>243</v>
      </c>
      <c r="AP24" s="3">
        <v>1.83</v>
      </c>
      <c r="AT24" s="224" t="s">
        <v>109</v>
      </c>
      <c r="AU24" s="10">
        <v>388300</v>
      </c>
      <c r="AV24" s="10">
        <v>390405</v>
      </c>
      <c r="AW24" s="10">
        <v>391445</v>
      </c>
      <c r="AX24" s="10">
        <v>380917</v>
      </c>
      <c r="AY24" s="10">
        <v>382011</v>
      </c>
      <c r="AZ24" s="10">
        <v>382158</v>
      </c>
      <c r="BB24" s="224" t="s">
        <v>246</v>
      </c>
      <c r="BC24" s="198">
        <v>14.9</v>
      </c>
      <c r="BD24" s="198">
        <v>17.2</v>
      </c>
      <c r="BE24" s="198">
        <v>23.6</v>
      </c>
      <c r="BG24" s="224" t="s">
        <v>246</v>
      </c>
      <c r="BH24" s="235">
        <v>816</v>
      </c>
      <c r="BI24" s="235">
        <v>423</v>
      </c>
      <c r="BJ24" s="235">
        <v>281</v>
      </c>
    </row>
    <row r="25" spans="1:62" x14ac:dyDescent="0.35">
      <c r="A25" s="217" t="s">
        <v>55</v>
      </c>
      <c r="B25" s="3">
        <v>38265.364889999997</v>
      </c>
      <c r="C25" s="3">
        <v>38752.346053000001</v>
      </c>
      <c r="D25" s="22">
        <v>36439.318893999996</v>
      </c>
      <c r="E25" s="22">
        <v>42567.671193000002</v>
      </c>
      <c r="F25" s="22">
        <v>45967.296764999999</v>
      </c>
      <c r="G25" s="22">
        <v>45374.768054</v>
      </c>
      <c r="H25" s="22">
        <v>47967.910072999999</v>
      </c>
      <c r="I25" s="22">
        <v>51646.559646000002</v>
      </c>
      <c r="J25" s="22">
        <v>49057.356611000003</v>
      </c>
      <c r="K25" s="22">
        <v>49649.677313</v>
      </c>
      <c r="L25" s="22">
        <v>56188.600892000002</v>
      </c>
      <c r="M25" s="22">
        <v>55154.011761000002</v>
      </c>
      <c r="N25" s="22">
        <v>58835.14314</v>
      </c>
      <c r="O25" s="22">
        <v>65763.906770999994</v>
      </c>
      <c r="P25" s="22">
        <v>75773.717732999998</v>
      </c>
      <c r="Q25" s="22">
        <v>71864.693979999996</v>
      </c>
      <c r="R25" s="22">
        <v>69629.768840999997</v>
      </c>
      <c r="S25" s="22">
        <v>69300.093064000001</v>
      </c>
      <c r="T25" s="22">
        <v>65729.631244999997</v>
      </c>
      <c r="U25" s="22">
        <v>70222.949783999997</v>
      </c>
      <c r="V25" s="22">
        <v>69622.096466000003</v>
      </c>
      <c r="Z25" s="29" t="s">
        <v>102</v>
      </c>
      <c r="AA25" s="31" t="s">
        <v>39</v>
      </c>
      <c r="AB25" s="31" t="s">
        <v>39</v>
      </c>
      <c r="AC25" s="31">
        <v>16</v>
      </c>
      <c r="AD25" s="97">
        <f t="shared" si="0"/>
        <v>16</v>
      </c>
      <c r="AE25" s="115">
        <f t="shared" ref="AE25:AE33" si="2">1/AD25</f>
        <v>6.25E-2</v>
      </c>
      <c r="AF25" s="3"/>
      <c r="AG25" s="29" t="s">
        <v>803</v>
      </c>
      <c r="AH25" s="31">
        <v>16</v>
      </c>
      <c r="AI25" s="108" t="s">
        <v>397</v>
      </c>
      <c r="AJ25" s="115">
        <f t="shared" si="1"/>
        <v>6.25E-2</v>
      </c>
      <c r="AK25" s="3"/>
      <c r="AL25" s="3" t="s">
        <v>805</v>
      </c>
      <c r="AM25" s="10">
        <v>223554.51907881928</v>
      </c>
      <c r="AN25" s="113" t="s">
        <v>801</v>
      </c>
      <c r="AO25" s="3" t="s">
        <v>652</v>
      </c>
      <c r="AP25" s="3">
        <v>2.44</v>
      </c>
      <c r="AT25" s="224" t="s">
        <v>128</v>
      </c>
      <c r="AU25" s="10">
        <v>509</v>
      </c>
      <c r="AV25" s="10">
        <v>874</v>
      </c>
      <c r="AW25" s="10">
        <v>1648</v>
      </c>
      <c r="AX25" s="10">
        <v>2609</v>
      </c>
      <c r="AY25" s="10">
        <v>4073</v>
      </c>
      <c r="AZ25" s="10">
        <v>6669</v>
      </c>
      <c r="BB25" s="224" t="s">
        <v>627</v>
      </c>
      <c r="BC25" s="198">
        <v>11.8</v>
      </c>
      <c r="BD25" s="198">
        <v>14</v>
      </c>
      <c r="BE25" s="198">
        <v>18.2</v>
      </c>
      <c r="BG25" s="224" t="s">
        <v>627</v>
      </c>
      <c r="BH25" s="235">
        <v>386</v>
      </c>
      <c r="BI25" s="235">
        <v>258</v>
      </c>
      <c r="BJ25" s="235">
        <v>180</v>
      </c>
    </row>
    <row r="26" spans="1:62" x14ac:dyDescent="0.35">
      <c r="A26" s="217" t="s">
        <v>60</v>
      </c>
      <c r="B26" s="3">
        <v>202.50602599999999</v>
      </c>
      <c r="C26" s="3">
        <v>278.47821099999999</v>
      </c>
      <c r="D26" s="22">
        <v>324.23903200000001</v>
      </c>
      <c r="E26" s="22">
        <v>339.06868600000001</v>
      </c>
      <c r="F26" s="22">
        <v>356.070404</v>
      </c>
      <c r="G26" s="22">
        <v>390.20588199999997</v>
      </c>
      <c r="H26" s="22">
        <v>420.719336</v>
      </c>
      <c r="I26" s="22">
        <v>474.37861500000002</v>
      </c>
      <c r="J26" s="22">
        <v>482.42336899999998</v>
      </c>
      <c r="K26" s="22">
        <v>415.03704299999998</v>
      </c>
      <c r="L26" s="22">
        <v>422.99784299999999</v>
      </c>
      <c r="M26" s="22">
        <v>384.679959</v>
      </c>
      <c r="N26" s="22">
        <v>431.26170100000002</v>
      </c>
      <c r="O26" s="22">
        <v>463.8768</v>
      </c>
      <c r="P26" s="22">
        <v>485.87263100000001</v>
      </c>
      <c r="Q26" s="22">
        <v>478.60422799999998</v>
      </c>
      <c r="R26" s="22">
        <v>529.91748099999995</v>
      </c>
      <c r="S26" s="22">
        <v>529.15002200000004</v>
      </c>
      <c r="T26" s="22">
        <v>529.96644100000003</v>
      </c>
      <c r="U26" s="22">
        <v>579.52102400000001</v>
      </c>
      <c r="V26" s="22">
        <v>496.81713200000002</v>
      </c>
      <c r="Z26" s="29" t="s">
        <v>103</v>
      </c>
      <c r="AA26" s="31" t="s">
        <v>39</v>
      </c>
      <c r="AB26" s="31">
        <v>14</v>
      </c>
      <c r="AC26" s="31">
        <v>16</v>
      </c>
      <c r="AD26" s="97">
        <f t="shared" si="0"/>
        <v>15</v>
      </c>
      <c r="AE26" s="115">
        <f t="shared" si="2"/>
        <v>6.6666666666666666E-2</v>
      </c>
      <c r="AF26" s="3"/>
      <c r="AG26" s="29" t="s">
        <v>850</v>
      </c>
      <c r="AH26" s="31">
        <v>19</v>
      </c>
      <c r="AI26" s="109" t="s">
        <v>848</v>
      </c>
      <c r="AJ26" s="115">
        <f t="shared" si="1"/>
        <v>5.2631578947368418E-2</v>
      </c>
      <c r="AK26" s="3"/>
      <c r="AL26" s="3" t="s">
        <v>820</v>
      </c>
      <c r="AM26" s="10">
        <v>300000</v>
      </c>
      <c r="AN26" s="113" t="s">
        <v>806</v>
      </c>
      <c r="AO26" s="3" t="s">
        <v>256</v>
      </c>
      <c r="AP26" s="3">
        <v>1.49</v>
      </c>
      <c r="AT26" s="224" t="s">
        <v>129</v>
      </c>
      <c r="AU26" s="10">
        <v>16315</v>
      </c>
      <c r="AV26" s="10">
        <v>17821</v>
      </c>
      <c r="AW26" s="10">
        <v>20050</v>
      </c>
      <c r="AX26" s="10">
        <v>22352</v>
      </c>
      <c r="AY26" s="10">
        <v>27542</v>
      </c>
      <c r="AZ26" s="10">
        <v>34237</v>
      </c>
      <c r="BB26" s="224" t="s">
        <v>828</v>
      </c>
      <c r="BC26" s="198">
        <v>9.1999999999999993</v>
      </c>
      <c r="BD26" s="198">
        <v>11.3</v>
      </c>
      <c r="BE26" s="198">
        <v>14.4</v>
      </c>
      <c r="BG26" s="224" t="s">
        <v>828</v>
      </c>
      <c r="BH26" s="235">
        <v>165</v>
      </c>
      <c r="BI26" s="235">
        <v>167</v>
      </c>
      <c r="BJ26" s="235">
        <v>154</v>
      </c>
    </row>
    <row r="27" spans="1:62" x14ac:dyDescent="0.35">
      <c r="A27" s="217" t="s">
        <v>73</v>
      </c>
      <c r="B27" s="3">
        <v>4056.17479</v>
      </c>
      <c r="C27" s="3">
        <v>4578.2750379999998</v>
      </c>
      <c r="D27" s="22">
        <v>5387.4899779999996</v>
      </c>
      <c r="E27" s="22">
        <v>4939.3078429999996</v>
      </c>
      <c r="F27" s="22">
        <v>3800.0393589999999</v>
      </c>
      <c r="G27" s="22">
        <v>4573.0939609999996</v>
      </c>
      <c r="H27" s="22">
        <v>5259.2898050000003</v>
      </c>
      <c r="I27" s="22">
        <v>4714.0640700000004</v>
      </c>
      <c r="J27" s="22">
        <v>4940.0004200000003</v>
      </c>
      <c r="K27" s="22">
        <v>6274.1862350000001</v>
      </c>
      <c r="L27" s="22">
        <v>7180.1726749999998</v>
      </c>
      <c r="M27" s="22">
        <v>6661.4652269999997</v>
      </c>
      <c r="N27" s="22">
        <v>6358.0501889999996</v>
      </c>
      <c r="O27" s="22">
        <v>6133.5965640000004</v>
      </c>
      <c r="P27" s="22">
        <v>6189.7685410000004</v>
      </c>
      <c r="Q27" s="22">
        <v>5704.148185</v>
      </c>
      <c r="R27" s="22">
        <v>5778.2857190000004</v>
      </c>
      <c r="S27" s="22">
        <v>7265.2842259999998</v>
      </c>
      <c r="T27" s="22">
        <v>6489.3126789999997</v>
      </c>
      <c r="U27" s="22">
        <v>6307.9980580000001</v>
      </c>
      <c r="V27" s="22">
        <v>7055.4453979999998</v>
      </c>
      <c r="Z27" s="22" t="s">
        <v>104</v>
      </c>
      <c r="AA27" s="24" t="s">
        <v>39</v>
      </c>
      <c r="AB27" s="24">
        <v>15</v>
      </c>
      <c r="AC27" s="24">
        <v>7</v>
      </c>
      <c r="AD27" s="98">
        <f t="shared" si="0"/>
        <v>11</v>
      </c>
      <c r="AE27" s="116">
        <f t="shared" si="2"/>
        <v>9.0909090909090912E-2</v>
      </c>
      <c r="AF27" s="3"/>
      <c r="AG27" s="22" t="s">
        <v>117</v>
      </c>
      <c r="AH27" s="24">
        <v>23</v>
      </c>
      <c r="AI27" s="113" t="s">
        <v>122</v>
      </c>
      <c r="AJ27" s="119">
        <f t="shared" si="1"/>
        <v>4.3478260869565216E-2</v>
      </c>
      <c r="AK27" s="3"/>
      <c r="AL27" s="3" t="s">
        <v>817</v>
      </c>
      <c r="AM27" s="10">
        <v>500000</v>
      </c>
      <c r="AN27" s="232" t="s">
        <v>809</v>
      </c>
      <c r="AO27" s="3" t="s">
        <v>57</v>
      </c>
      <c r="AP27" s="3">
        <v>1.2</v>
      </c>
      <c r="AT27" s="224" t="s">
        <v>130</v>
      </c>
      <c r="AU27" s="10">
        <v>840</v>
      </c>
      <c r="AV27" s="10">
        <v>1122</v>
      </c>
      <c r="AW27" s="10">
        <v>1576</v>
      </c>
      <c r="AX27" s="10">
        <v>1992</v>
      </c>
      <c r="AY27" s="10">
        <v>2692</v>
      </c>
      <c r="AZ27" s="10">
        <v>3799</v>
      </c>
      <c r="BB27" s="224" t="s">
        <v>829</v>
      </c>
      <c r="BC27" s="198">
        <v>8</v>
      </c>
      <c r="BD27" s="198">
        <v>10.1</v>
      </c>
      <c r="BE27" s="198">
        <v>13.4</v>
      </c>
      <c r="BG27" s="224" t="s">
        <v>829</v>
      </c>
      <c r="BH27" s="235">
        <v>257</v>
      </c>
      <c r="BI27" s="235">
        <v>198</v>
      </c>
      <c r="BJ27" s="235">
        <v>170</v>
      </c>
    </row>
    <row r="28" spans="1:62" x14ac:dyDescent="0.35">
      <c r="A28" s="217" t="s">
        <v>69</v>
      </c>
      <c r="B28" s="3">
        <v>2320.041581</v>
      </c>
      <c r="C28" s="3">
        <v>3193.836182</v>
      </c>
      <c r="D28" s="22">
        <v>3932.3204420000002</v>
      </c>
      <c r="E28" s="22">
        <v>3260.1393579999999</v>
      </c>
      <c r="F28" s="22">
        <v>3019.642112</v>
      </c>
      <c r="G28" s="22">
        <v>3531.6273460000002</v>
      </c>
      <c r="H28" s="22">
        <v>3302.5808689999999</v>
      </c>
      <c r="I28" s="22">
        <v>3213.5589799999998</v>
      </c>
      <c r="J28" s="22">
        <v>3277.9236089999999</v>
      </c>
      <c r="K28" s="22">
        <v>3952.688212</v>
      </c>
      <c r="L28" s="22">
        <v>4464.4951090000004</v>
      </c>
      <c r="M28" s="22">
        <v>4805.3342979999998</v>
      </c>
      <c r="N28" s="22">
        <v>4499.5204599999997</v>
      </c>
      <c r="O28" s="22">
        <v>4580.7205809999996</v>
      </c>
      <c r="P28" s="22">
        <v>4910.9235170000002</v>
      </c>
      <c r="Q28" s="22">
        <v>4464.0391810000001</v>
      </c>
      <c r="R28" s="22">
        <v>3305.1627389999999</v>
      </c>
      <c r="S28" s="22">
        <v>4012.851334</v>
      </c>
      <c r="T28" s="22">
        <v>3954.174231</v>
      </c>
      <c r="U28" s="22">
        <v>4039.0703290000001</v>
      </c>
      <c r="V28" s="22">
        <v>4005.7464110000001</v>
      </c>
      <c r="Z28" s="3" t="s">
        <v>2266</v>
      </c>
      <c r="AA28" s="10">
        <v>8</v>
      </c>
      <c r="AB28" s="10">
        <v>11</v>
      </c>
      <c r="AC28" s="10">
        <v>10</v>
      </c>
      <c r="AD28" s="98">
        <f t="shared" si="0"/>
        <v>10</v>
      </c>
      <c r="AE28" s="116">
        <f t="shared" si="2"/>
        <v>0.1</v>
      </c>
      <c r="AF28" s="3"/>
      <c r="AG28" s="29" t="s">
        <v>118</v>
      </c>
      <c r="AH28" s="31">
        <v>17</v>
      </c>
      <c r="AI28" s="108" t="s">
        <v>122</v>
      </c>
      <c r="AJ28" s="115">
        <f t="shared" si="1"/>
        <v>5.8823529411764705E-2</v>
      </c>
      <c r="AK28" s="3"/>
      <c r="AL28" s="3" t="s">
        <v>821</v>
      </c>
      <c r="AM28" s="10">
        <v>1000000</v>
      </c>
      <c r="AN28" s="113" t="s">
        <v>806</v>
      </c>
      <c r="AO28" s="3" t="s">
        <v>242</v>
      </c>
      <c r="AP28" s="3">
        <v>7.5</v>
      </c>
      <c r="AT28" s="224" t="s">
        <v>767</v>
      </c>
      <c r="AU28" s="10">
        <v>655</v>
      </c>
      <c r="AV28" s="10">
        <v>773</v>
      </c>
      <c r="AW28" s="10">
        <v>911</v>
      </c>
      <c r="AX28" s="10">
        <v>1048</v>
      </c>
      <c r="AY28" s="10">
        <v>1072</v>
      </c>
      <c r="AZ28" s="10">
        <v>1155</v>
      </c>
      <c r="BB28" s="224" t="s">
        <v>240</v>
      </c>
      <c r="BC28" s="198">
        <v>6.6</v>
      </c>
      <c r="BD28" s="198">
        <v>7.9</v>
      </c>
      <c r="BE28" s="198">
        <v>10.199999999999999</v>
      </c>
      <c r="BG28" s="224" t="s">
        <v>240</v>
      </c>
      <c r="BH28" s="235">
        <v>208</v>
      </c>
      <c r="BI28" s="235">
        <v>181</v>
      </c>
      <c r="BJ28" s="235">
        <v>170</v>
      </c>
    </row>
    <row r="29" spans="1:62" x14ac:dyDescent="0.35">
      <c r="A29" s="218" t="s">
        <v>72</v>
      </c>
      <c r="B29" s="22">
        <v>1541.8238819999999</v>
      </c>
      <c r="C29" s="22">
        <v>1913.9599069999999</v>
      </c>
      <c r="D29" s="22">
        <v>2373.241391</v>
      </c>
      <c r="E29" s="22">
        <v>1723.850355</v>
      </c>
      <c r="F29" s="22">
        <v>1340.4560080000001</v>
      </c>
      <c r="G29" s="22">
        <v>1626.2119110000001</v>
      </c>
      <c r="H29" s="22">
        <v>1278.866276</v>
      </c>
      <c r="I29" s="22">
        <v>1634.9357</v>
      </c>
      <c r="J29" s="22">
        <v>1524.215974</v>
      </c>
      <c r="K29" s="22">
        <v>1496.5805849999999</v>
      </c>
      <c r="L29" s="22">
        <v>1426.57825</v>
      </c>
      <c r="M29" s="22">
        <v>1400.7109969999999</v>
      </c>
      <c r="N29" s="22">
        <v>1228.21741</v>
      </c>
      <c r="O29" s="22">
        <v>1547.3107440000001</v>
      </c>
      <c r="P29" s="22">
        <v>1399.729137</v>
      </c>
      <c r="Q29" s="22">
        <v>1229.4002860000001</v>
      </c>
      <c r="R29" s="22">
        <v>1036.5668599999999</v>
      </c>
      <c r="S29" s="22">
        <v>964.31981699999994</v>
      </c>
      <c r="T29" s="22">
        <v>963.44511699999998</v>
      </c>
      <c r="U29" s="22">
        <v>938.99078299999996</v>
      </c>
      <c r="V29" s="22">
        <v>819.90299000000005</v>
      </c>
      <c r="Z29" s="3" t="s">
        <v>105</v>
      </c>
      <c r="AA29" s="10" t="s">
        <v>39</v>
      </c>
      <c r="AB29" s="10" t="s">
        <v>39</v>
      </c>
      <c r="AC29" s="10" t="s">
        <v>39</v>
      </c>
      <c r="AD29" s="10" t="s">
        <v>39</v>
      </c>
      <c r="AE29" s="460" t="s">
        <v>39</v>
      </c>
      <c r="AF29" s="3"/>
      <c r="AG29" s="29" t="s">
        <v>124</v>
      </c>
      <c r="AH29" s="31">
        <v>24</v>
      </c>
      <c r="AI29" s="108" t="s">
        <v>123</v>
      </c>
      <c r="AJ29" s="115">
        <f t="shared" si="1"/>
        <v>4.1666666666666664E-2</v>
      </c>
      <c r="AK29" s="3"/>
      <c r="AO29" s="3" t="s">
        <v>653</v>
      </c>
      <c r="AP29" s="3">
        <v>120.4</v>
      </c>
      <c r="AT29" s="4" t="s">
        <v>1076</v>
      </c>
      <c r="AU29" s="9">
        <v>3046376</v>
      </c>
      <c r="AV29" s="9">
        <v>3089303</v>
      </c>
      <c r="AW29" s="9">
        <v>3133051</v>
      </c>
      <c r="AX29" s="9">
        <v>3102031</v>
      </c>
      <c r="AY29" s="9">
        <v>3092734</v>
      </c>
      <c r="AZ29" s="9">
        <v>3055202</v>
      </c>
      <c r="BB29" s="4" t="s">
        <v>830</v>
      </c>
      <c r="BC29" s="198"/>
      <c r="BD29" s="198"/>
      <c r="BE29" s="198"/>
      <c r="BG29" s="4" t="s">
        <v>1264</v>
      </c>
      <c r="BH29" s="235"/>
      <c r="BI29" s="235"/>
      <c r="BJ29" s="235"/>
    </row>
    <row r="30" spans="1:62" ht="15.5" x14ac:dyDescent="0.35">
      <c r="A30" s="203" t="s">
        <v>86</v>
      </c>
      <c r="B30" s="4"/>
      <c r="C30" s="4"/>
      <c r="D30" s="41"/>
      <c r="E30" s="41"/>
      <c r="F30" s="41"/>
      <c r="G30" s="41"/>
      <c r="H30" s="41"/>
      <c r="I30" s="41"/>
      <c r="J30" s="41"/>
      <c r="K30" s="41"/>
      <c r="L30" s="41"/>
      <c r="M30" s="41"/>
      <c r="N30" s="41"/>
      <c r="O30" s="41"/>
      <c r="P30" s="41"/>
      <c r="Q30" s="41"/>
      <c r="R30" s="41"/>
      <c r="S30" s="41"/>
      <c r="T30" s="41"/>
      <c r="U30" s="41"/>
      <c r="V30" s="41"/>
      <c r="Z30" s="3" t="s">
        <v>2267</v>
      </c>
      <c r="AA30" s="10" t="s">
        <v>39</v>
      </c>
      <c r="AB30" s="10" t="s">
        <v>39</v>
      </c>
      <c r="AC30" s="10" t="s">
        <v>39</v>
      </c>
      <c r="AD30" s="10" t="s">
        <v>39</v>
      </c>
      <c r="AE30" s="460" t="s">
        <v>39</v>
      </c>
      <c r="AF30" s="3"/>
      <c r="AG30" s="29" t="s">
        <v>125</v>
      </c>
      <c r="AH30" s="31">
        <v>30</v>
      </c>
      <c r="AI30" s="108" t="s">
        <v>181</v>
      </c>
      <c r="AJ30" s="115">
        <f t="shared" si="1"/>
        <v>3.3333333333333333E-2</v>
      </c>
      <c r="AK30" s="3"/>
      <c r="AL30" s="231" t="s">
        <v>810</v>
      </c>
      <c r="AO30" s="3" t="s">
        <v>654</v>
      </c>
      <c r="AP30" s="3">
        <v>23.2</v>
      </c>
      <c r="AT30" s="224" t="s">
        <v>110</v>
      </c>
      <c r="AU30" s="10">
        <v>2892779</v>
      </c>
      <c r="AV30" s="10">
        <v>2937780</v>
      </c>
      <c r="AW30" s="10">
        <v>2979153</v>
      </c>
      <c r="AX30" s="10">
        <v>2948458</v>
      </c>
      <c r="AY30" s="10">
        <v>2934654</v>
      </c>
      <c r="AZ30" s="10">
        <v>2890615</v>
      </c>
      <c r="BB30" s="224" t="s">
        <v>109</v>
      </c>
      <c r="BC30" s="198">
        <v>8.4</v>
      </c>
      <c r="BD30" s="198">
        <v>10.199999999999999</v>
      </c>
      <c r="BE30" s="198">
        <v>12.9</v>
      </c>
      <c r="BG30" s="224" t="s">
        <v>109</v>
      </c>
      <c r="BH30" s="235">
        <v>165</v>
      </c>
      <c r="BI30" s="235">
        <v>175</v>
      </c>
      <c r="BJ30" s="235">
        <v>159</v>
      </c>
    </row>
    <row r="31" spans="1:62" ht="15" thickBot="1" x14ac:dyDescent="0.4">
      <c r="A31" s="217" t="s">
        <v>32</v>
      </c>
      <c r="B31" s="3">
        <v>18201.567999999999</v>
      </c>
      <c r="C31" s="3">
        <v>18321.66</v>
      </c>
      <c r="D31" s="22">
        <v>18337.646000000001</v>
      </c>
      <c r="E31" s="22">
        <v>17868.297999999999</v>
      </c>
      <c r="F31" s="22">
        <v>16727.092000000001</v>
      </c>
      <c r="G31" s="22">
        <v>16922.425999999999</v>
      </c>
      <c r="H31" s="22">
        <v>16513.383999999998</v>
      </c>
      <c r="I31" s="22">
        <v>16295.284</v>
      </c>
      <c r="J31" s="22">
        <v>13891.244000000001</v>
      </c>
      <c r="K31" s="22">
        <v>12994.203</v>
      </c>
      <c r="L31" s="22">
        <v>12673.918</v>
      </c>
      <c r="M31" s="22">
        <v>11412.218000000001</v>
      </c>
      <c r="N31" s="22">
        <v>12145.233</v>
      </c>
      <c r="O31" s="22">
        <v>12540.785</v>
      </c>
      <c r="P31" s="22">
        <v>12469.785</v>
      </c>
      <c r="Q31" s="22">
        <v>11519.964</v>
      </c>
      <c r="R31" s="22">
        <v>11780.664000000001</v>
      </c>
      <c r="S31" s="22">
        <v>11911.234</v>
      </c>
      <c r="T31" s="22">
        <v>12012.3</v>
      </c>
      <c r="U31" s="22">
        <v>12595.011</v>
      </c>
      <c r="V31" s="22">
        <v>10404.026</v>
      </c>
      <c r="W31" s="10"/>
      <c r="Y31" s="10"/>
      <c r="Z31" s="3" t="s">
        <v>2268</v>
      </c>
      <c r="AA31" s="10" t="s">
        <v>39</v>
      </c>
      <c r="AB31" s="10" t="s">
        <v>39</v>
      </c>
      <c r="AC31" s="10" t="s">
        <v>39</v>
      </c>
      <c r="AD31" s="10" t="s">
        <v>39</v>
      </c>
      <c r="AE31" s="460" t="s">
        <v>39</v>
      </c>
      <c r="AF31" s="3"/>
      <c r="AG31" s="110" t="s">
        <v>126</v>
      </c>
      <c r="AH31" s="111">
        <v>30</v>
      </c>
      <c r="AI31" s="112" t="s">
        <v>181</v>
      </c>
      <c r="AJ31" s="103">
        <f t="shared" si="1"/>
        <v>3.3333333333333333E-2</v>
      </c>
      <c r="AK31" s="3"/>
      <c r="AL31" s="21" t="s">
        <v>120</v>
      </c>
      <c r="AM31" s="21" t="s">
        <v>814</v>
      </c>
      <c r="AN31" s="21" t="s">
        <v>119</v>
      </c>
      <c r="AO31" s="3" t="s">
        <v>655</v>
      </c>
      <c r="AP31" s="3">
        <v>23.6</v>
      </c>
      <c r="AT31" s="224" t="s">
        <v>109</v>
      </c>
      <c r="AU31" s="10">
        <v>135858</v>
      </c>
      <c r="AV31" s="10">
        <v>131610</v>
      </c>
      <c r="AW31" s="10">
        <v>130512</v>
      </c>
      <c r="AX31" s="10">
        <v>126543</v>
      </c>
      <c r="AY31" s="10">
        <v>123729</v>
      </c>
      <c r="AZ31" s="10">
        <v>119866</v>
      </c>
      <c r="BB31" s="224" t="s">
        <v>246</v>
      </c>
      <c r="BC31" s="198">
        <v>15.2</v>
      </c>
      <c r="BD31" s="198">
        <v>18.100000000000001</v>
      </c>
      <c r="BE31" s="198">
        <v>24.2</v>
      </c>
      <c r="BG31" s="224" t="s">
        <v>246</v>
      </c>
      <c r="BH31" s="235">
        <v>579</v>
      </c>
      <c r="BI31" s="235">
        <v>316</v>
      </c>
      <c r="BJ31" s="235">
        <v>228</v>
      </c>
    </row>
    <row r="32" spans="1:62" x14ac:dyDescent="0.35">
      <c r="A32" s="217" t="s">
        <v>41</v>
      </c>
      <c r="B32" s="3">
        <v>17306.999866999999</v>
      </c>
      <c r="C32" s="3">
        <v>17542.130775000001</v>
      </c>
      <c r="D32" s="22">
        <v>17562.290277</v>
      </c>
      <c r="E32" s="22">
        <v>16824.663977</v>
      </c>
      <c r="F32" s="22">
        <v>15685.395151000001</v>
      </c>
      <c r="G32" s="22">
        <v>15940.022833000001</v>
      </c>
      <c r="H32" s="22">
        <v>15535.030618999999</v>
      </c>
      <c r="I32" s="22">
        <v>15362.544293000001</v>
      </c>
      <c r="J32" s="22">
        <v>13228.786054</v>
      </c>
      <c r="K32" s="22">
        <v>12393.644881</v>
      </c>
      <c r="L32" s="22">
        <v>12160.855267999999</v>
      </c>
      <c r="M32" s="22">
        <v>11026.064482</v>
      </c>
      <c r="N32" s="22">
        <v>11951.687929</v>
      </c>
      <c r="O32" s="22">
        <v>12403.409527</v>
      </c>
      <c r="P32" s="22">
        <v>12375.108919</v>
      </c>
      <c r="Q32" s="22">
        <v>11519.121811000001</v>
      </c>
      <c r="R32" s="22">
        <v>11924.408627000001</v>
      </c>
      <c r="S32" s="22">
        <v>12144.771793</v>
      </c>
      <c r="T32" s="22">
        <v>12348.455881</v>
      </c>
      <c r="U32" s="22">
        <v>12972.397593</v>
      </c>
      <c r="V32" s="22">
        <v>10768.234613000001</v>
      </c>
      <c r="W32" s="10"/>
      <c r="Y32" s="10"/>
      <c r="Z32" s="3" t="s">
        <v>2269</v>
      </c>
      <c r="AA32" s="10" t="s">
        <v>39</v>
      </c>
      <c r="AB32" s="10" t="s">
        <v>39</v>
      </c>
      <c r="AC32" s="10" t="s">
        <v>39</v>
      </c>
      <c r="AD32" s="10" t="s">
        <v>39</v>
      </c>
      <c r="AE32" s="460" t="s">
        <v>39</v>
      </c>
      <c r="AF32" s="3"/>
      <c r="AG32" s="14" t="s">
        <v>398</v>
      </c>
      <c r="AH32" s="3"/>
      <c r="AI32" s="3"/>
      <c r="AJ32" s="3"/>
      <c r="AK32" s="3"/>
      <c r="AL32" s="3" t="s">
        <v>811</v>
      </c>
      <c r="AM32" s="10">
        <f>17071*km_mile</f>
        <v>27473.043140000002</v>
      </c>
      <c r="AN32" s="113" t="s">
        <v>813</v>
      </c>
      <c r="AO32" s="3" t="s">
        <v>656</v>
      </c>
      <c r="AP32" s="3">
        <v>33.9</v>
      </c>
      <c r="AT32" s="224" t="s">
        <v>128</v>
      </c>
      <c r="AU32" s="10">
        <v>507</v>
      </c>
      <c r="AV32" s="10">
        <v>870</v>
      </c>
      <c r="AW32" s="10">
        <v>1641</v>
      </c>
      <c r="AX32" s="10">
        <v>2573</v>
      </c>
      <c r="AY32" s="10">
        <v>4015</v>
      </c>
      <c r="AZ32" s="31">
        <v>6585</v>
      </c>
      <c r="BB32" s="224" t="s">
        <v>627</v>
      </c>
      <c r="BC32" s="198">
        <v>12</v>
      </c>
      <c r="BD32" s="198">
        <v>14.1</v>
      </c>
      <c r="BE32" s="198">
        <v>18.2</v>
      </c>
      <c r="BG32" s="224" t="s">
        <v>627</v>
      </c>
      <c r="BH32" s="235">
        <v>329</v>
      </c>
      <c r="BI32" s="235">
        <v>241</v>
      </c>
      <c r="BJ32" s="235">
        <v>175</v>
      </c>
    </row>
    <row r="33" spans="1:62" ht="15" thickBot="1" x14ac:dyDescent="0.4">
      <c r="A33" s="217" t="s">
        <v>42</v>
      </c>
      <c r="B33" s="3">
        <v>20773.290244</v>
      </c>
      <c r="C33" s="3">
        <v>21106.746081000001</v>
      </c>
      <c r="D33" s="22">
        <v>20862.744575000001</v>
      </c>
      <c r="E33" s="22">
        <v>19996.762735</v>
      </c>
      <c r="F33" s="22">
        <v>18628.113334000001</v>
      </c>
      <c r="G33" s="22">
        <v>18685.570614</v>
      </c>
      <c r="H33" s="22">
        <v>18504.832608000001</v>
      </c>
      <c r="I33" s="22">
        <v>18262.040161000001</v>
      </c>
      <c r="J33" s="22">
        <v>15557.830277999999</v>
      </c>
      <c r="K33" s="22">
        <v>14515.282705</v>
      </c>
      <c r="L33" s="22">
        <v>14201.547973999999</v>
      </c>
      <c r="M33" s="22">
        <v>12960.756751000001</v>
      </c>
      <c r="N33" s="22">
        <v>13998.896124000001</v>
      </c>
      <c r="O33" s="22">
        <v>14552.292367</v>
      </c>
      <c r="P33" s="22">
        <v>14448.763557</v>
      </c>
      <c r="Q33" s="22">
        <v>13485.072151</v>
      </c>
      <c r="R33" s="22">
        <v>13926.885119</v>
      </c>
      <c r="S33" s="22">
        <v>14145.442155999999</v>
      </c>
      <c r="T33" s="22">
        <v>14364.196561999999</v>
      </c>
      <c r="U33" s="22">
        <v>15077.649144000001</v>
      </c>
      <c r="V33" s="22">
        <v>12531.463569</v>
      </c>
      <c r="W33" s="10"/>
      <c r="Y33" s="10"/>
      <c r="Z33" s="16" t="s">
        <v>2270</v>
      </c>
      <c r="AA33" s="20" t="s">
        <v>39</v>
      </c>
      <c r="AB33" s="20">
        <v>30</v>
      </c>
      <c r="AC33" s="20" t="s">
        <v>39</v>
      </c>
      <c r="AD33" s="459">
        <f t="shared" si="0"/>
        <v>30</v>
      </c>
      <c r="AE33" s="118">
        <f t="shared" si="2"/>
        <v>3.3333333333333333E-2</v>
      </c>
      <c r="AF33" s="3"/>
      <c r="AG33" s="515" t="s">
        <v>1780</v>
      </c>
      <c r="AH33" s="515"/>
      <c r="AI33" s="515"/>
      <c r="AJ33" s="515"/>
      <c r="AK33" s="3"/>
      <c r="AL33" s="3" t="s">
        <v>812</v>
      </c>
      <c r="AM33" s="10">
        <f>18074*km_mile</f>
        <v>29087.211159999999</v>
      </c>
      <c r="AN33" s="113" t="s">
        <v>813</v>
      </c>
      <c r="AT33" s="224" t="s">
        <v>129</v>
      </c>
      <c r="AU33" s="10">
        <v>16315</v>
      </c>
      <c r="AV33" s="10">
        <v>17821</v>
      </c>
      <c r="AW33" s="10">
        <v>20050</v>
      </c>
      <c r="AX33" s="10">
        <v>22352</v>
      </c>
      <c r="AY33" s="10">
        <v>27542</v>
      </c>
      <c r="AZ33" s="10">
        <v>34234</v>
      </c>
      <c r="BB33" s="224" t="s">
        <v>828</v>
      </c>
      <c r="BC33" s="198">
        <v>9.1999999999999993</v>
      </c>
      <c r="BD33" s="198">
        <v>11.3</v>
      </c>
      <c r="BE33" s="198">
        <v>14.4</v>
      </c>
      <c r="BG33" s="224" t="s">
        <v>828</v>
      </c>
      <c r="BH33" s="235">
        <v>165</v>
      </c>
      <c r="BI33" s="235">
        <v>167</v>
      </c>
      <c r="BJ33" s="235">
        <v>154</v>
      </c>
    </row>
    <row r="34" spans="1:62" x14ac:dyDescent="0.35">
      <c r="A34" s="217" t="s">
        <v>43</v>
      </c>
      <c r="B34" s="3">
        <v>19410.190979999999</v>
      </c>
      <c r="C34" s="3">
        <v>25347.217809000002</v>
      </c>
      <c r="D34" s="22">
        <v>22646.064562</v>
      </c>
      <c r="E34" s="22">
        <v>23068.773721000001</v>
      </c>
      <c r="F34" s="22">
        <v>28452.060866</v>
      </c>
      <c r="G34" s="22">
        <v>25189.649789999999</v>
      </c>
      <c r="H34" s="22">
        <v>29407.596105000001</v>
      </c>
      <c r="I34" s="22">
        <v>27872.159262000001</v>
      </c>
      <c r="J34" s="22">
        <v>24532.763789000001</v>
      </c>
      <c r="K34" s="22">
        <v>23304.541291000001</v>
      </c>
      <c r="L34" s="22">
        <v>28933.927744000001</v>
      </c>
      <c r="M34" s="22">
        <v>27650.675753</v>
      </c>
      <c r="N34" s="22">
        <v>28568.010533000001</v>
      </c>
      <c r="O34" s="22">
        <v>30201.928491999999</v>
      </c>
      <c r="P34" s="22">
        <v>29946.492933000001</v>
      </c>
      <c r="Q34" s="22">
        <v>27062.522785000001</v>
      </c>
      <c r="R34" s="22">
        <v>25925.852827999999</v>
      </c>
      <c r="S34" s="22">
        <v>26767.842331</v>
      </c>
      <c r="T34" s="22">
        <v>28781.904916</v>
      </c>
      <c r="U34" s="22">
        <v>29728.690553</v>
      </c>
      <c r="V34" s="22">
        <v>27020.370829</v>
      </c>
      <c r="W34" s="10"/>
      <c r="Y34" s="10"/>
      <c r="Z34" s="14" t="s">
        <v>111</v>
      </c>
      <c r="AA34" s="3"/>
      <c r="AB34" s="3"/>
      <c r="AC34" s="3"/>
      <c r="AD34" s="3"/>
      <c r="AE34" s="3"/>
      <c r="AF34" s="3"/>
      <c r="AG34" s="515"/>
      <c r="AH34" s="515"/>
      <c r="AI34" s="515"/>
      <c r="AJ34" s="515"/>
      <c r="AK34" s="3"/>
      <c r="AL34" s="3" t="s">
        <v>815</v>
      </c>
      <c r="AM34" s="10">
        <f>19419*km_mile</f>
        <v>31251.77346</v>
      </c>
      <c r="AN34" s="113" t="s">
        <v>813</v>
      </c>
      <c r="AT34" s="224" t="s">
        <v>130</v>
      </c>
      <c r="AU34" s="10">
        <v>840</v>
      </c>
      <c r="AV34" s="10">
        <v>1122</v>
      </c>
      <c r="AW34" s="10">
        <v>1576</v>
      </c>
      <c r="AX34" s="10">
        <v>1992</v>
      </c>
      <c r="AY34" s="10">
        <v>2692</v>
      </c>
      <c r="AZ34" s="10">
        <v>3799</v>
      </c>
      <c r="BB34" s="224" t="s">
        <v>829</v>
      </c>
      <c r="BC34" s="198">
        <v>8.1</v>
      </c>
      <c r="BD34" s="198">
        <v>10.199999999999999</v>
      </c>
      <c r="BE34" s="198">
        <v>13.4</v>
      </c>
      <c r="BG34" s="224" t="s">
        <v>829</v>
      </c>
      <c r="BH34" s="235">
        <v>220</v>
      </c>
      <c r="BI34" s="235">
        <v>183</v>
      </c>
      <c r="BJ34" s="235">
        <v>162</v>
      </c>
    </row>
    <row r="35" spans="1:62" x14ac:dyDescent="0.35">
      <c r="A35" s="217" t="s">
        <v>44</v>
      </c>
      <c r="B35" s="3">
        <v>102640.517339</v>
      </c>
      <c r="C35" s="3">
        <v>96582.206300999998</v>
      </c>
      <c r="D35" s="22">
        <v>89086.496713</v>
      </c>
      <c r="E35" s="22">
        <v>86901.603759999998</v>
      </c>
      <c r="F35" s="22">
        <v>92639.773218999995</v>
      </c>
      <c r="G35" s="22">
        <v>89445.710433</v>
      </c>
      <c r="H35" s="22">
        <v>86018.887459999998</v>
      </c>
      <c r="I35" s="22">
        <v>89062.465125000002</v>
      </c>
      <c r="J35" s="22">
        <v>81175.942867000005</v>
      </c>
      <c r="K35" s="22">
        <v>93366.016266000006</v>
      </c>
      <c r="L35" s="22">
        <v>102756.975974</v>
      </c>
      <c r="M35" s="22">
        <v>96857.887042999995</v>
      </c>
      <c r="N35" s="22">
        <v>94490.824120000005</v>
      </c>
      <c r="O35" s="22">
        <v>97754.531128999995</v>
      </c>
      <c r="P35" s="22">
        <v>102902.504426</v>
      </c>
      <c r="Q35" s="22">
        <v>90171.694090000005</v>
      </c>
      <c r="R35" s="22">
        <v>81628.774372</v>
      </c>
      <c r="S35" s="22">
        <v>85379.830168</v>
      </c>
      <c r="T35" s="22">
        <v>92664.358099999998</v>
      </c>
      <c r="U35" s="22">
        <v>95644.172449000005</v>
      </c>
      <c r="V35" s="22">
        <v>95516.733380999998</v>
      </c>
      <c r="W35" s="10"/>
      <c r="Y35" s="10"/>
      <c r="Z35" s="14" t="s">
        <v>112</v>
      </c>
      <c r="AA35" s="3"/>
      <c r="AB35" s="3"/>
      <c r="AC35" s="3"/>
      <c r="AD35" s="3"/>
      <c r="AE35" s="3"/>
      <c r="AF35" s="3"/>
      <c r="AG35" s="3"/>
      <c r="AH35" s="3"/>
      <c r="AI35" s="3"/>
      <c r="AJ35" s="3"/>
      <c r="AK35" s="3"/>
      <c r="AL35" s="3" t="s">
        <v>818</v>
      </c>
      <c r="AM35" s="10">
        <f>27375*km_mile</f>
        <v>44055.682500000003</v>
      </c>
      <c r="AN35" s="113" t="s">
        <v>813</v>
      </c>
      <c r="AT35" s="224" t="s">
        <v>767</v>
      </c>
      <c r="AU35" s="10">
        <v>77</v>
      </c>
      <c r="AV35" s="10">
        <v>100</v>
      </c>
      <c r="AW35" s="10">
        <v>119</v>
      </c>
      <c r="AX35" s="10">
        <v>113</v>
      </c>
      <c r="AY35" s="10">
        <v>102</v>
      </c>
      <c r="AZ35" s="10">
        <v>103</v>
      </c>
      <c r="BB35" s="224" t="s">
        <v>240</v>
      </c>
      <c r="BC35" s="198">
        <v>6.6</v>
      </c>
      <c r="BD35" s="198">
        <v>8</v>
      </c>
      <c r="BE35" s="198">
        <v>10.3</v>
      </c>
      <c r="BG35" s="224" t="s">
        <v>240</v>
      </c>
      <c r="BH35" s="235">
        <v>191</v>
      </c>
      <c r="BI35" s="235">
        <v>172</v>
      </c>
      <c r="BJ35" s="235">
        <v>164</v>
      </c>
    </row>
    <row r="36" spans="1:62" x14ac:dyDescent="0.35">
      <c r="A36" s="217" t="s">
        <v>57</v>
      </c>
      <c r="B36" s="3">
        <v>5020.4454299999998</v>
      </c>
      <c r="C36" s="3">
        <v>5142.4457469999998</v>
      </c>
      <c r="D36" s="22">
        <v>5192.3353360000001</v>
      </c>
      <c r="E36" s="22">
        <v>5015.3778300000004</v>
      </c>
      <c r="F36" s="22">
        <v>4780.7023870000003</v>
      </c>
      <c r="G36" s="22">
        <v>4838.7150179999999</v>
      </c>
      <c r="H36" s="22">
        <v>4657.8041649999996</v>
      </c>
      <c r="I36" s="22">
        <v>4572.3836339999998</v>
      </c>
      <c r="J36" s="22">
        <v>3976.2832619999999</v>
      </c>
      <c r="K36" s="22">
        <v>3749.0270690000002</v>
      </c>
      <c r="L36" s="22">
        <v>3681.4387339999998</v>
      </c>
      <c r="M36" s="22">
        <v>3328.8920149999999</v>
      </c>
      <c r="N36" s="22">
        <v>3566.7702789999998</v>
      </c>
      <c r="O36" s="22">
        <v>3693.2961359999999</v>
      </c>
      <c r="P36" s="22">
        <v>3692.1353279999998</v>
      </c>
      <c r="Q36" s="22">
        <v>3438.7977559999999</v>
      </c>
      <c r="R36" s="22">
        <v>3580.391627</v>
      </c>
      <c r="S36" s="22">
        <v>3667.5671499999999</v>
      </c>
      <c r="T36" s="22">
        <v>3745.5457459999998</v>
      </c>
      <c r="U36" s="22">
        <v>3956.235126</v>
      </c>
      <c r="V36" s="22">
        <v>3307.1839719999998</v>
      </c>
      <c r="W36" s="10"/>
      <c r="Y36" s="10"/>
      <c r="Z36" s="14" t="s">
        <v>113</v>
      </c>
      <c r="AA36" s="3"/>
      <c r="AB36" s="3"/>
      <c r="AC36" s="3"/>
      <c r="AD36" s="3"/>
      <c r="AE36" s="3"/>
      <c r="AF36" s="3"/>
      <c r="AG36" s="3"/>
      <c r="AH36" s="3"/>
      <c r="AI36" s="3"/>
      <c r="AJ36" s="3"/>
      <c r="AK36" s="3"/>
      <c r="AL36" s="3" t="s">
        <v>816</v>
      </c>
      <c r="AM36" s="10">
        <f>45000*km_mile</f>
        <v>72420.3</v>
      </c>
      <c r="AN36" s="113" t="s">
        <v>813</v>
      </c>
      <c r="AT36" s="4" t="s">
        <v>765</v>
      </c>
      <c r="AU36" s="9">
        <v>996352</v>
      </c>
      <c r="AV36" s="9">
        <v>977495</v>
      </c>
      <c r="AW36" s="9">
        <v>962146</v>
      </c>
      <c r="AX36" s="9">
        <v>918603</v>
      </c>
      <c r="AY36" s="9">
        <v>886174</v>
      </c>
      <c r="AZ36" s="9">
        <v>851296</v>
      </c>
      <c r="BB36" s="4" t="s">
        <v>832</v>
      </c>
      <c r="BC36" s="198"/>
      <c r="BD36" s="198"/>
      <c r="BE36" s="198"/>
      <c r="BG36" s="4" t="s">
        <v>1265</v>
      </c>
      <c r="BH36" s="235"/>
      <c r="BI36" s="235"/>
      <c r="BJ36" s="235"/>
    </row>
    <row r="37" spans="1:62" x14ac:dyDescent="0.35">
      <c r="A37" s="217" t="s">
        <v>62</v>
      </c>
      <c r="B37" s="3">
        <v>28740.780038000001</v>
      </c>
      <c r="C37" s="3">
        <v>32389.464067000001</v>
      </c>
      <c r="D37" s="22">
        <v>36766.313475000003</v>
      </c>
      <c r="E37" s="22">
        <v>32349.33164</v>
      </c>
      <c r="F37" s="22">
        <v>24131.867345999999</v>
      </c>
      <c r="G37" s="22">
        <v>28051.610967000001</v>
      </c>
      <c r="H37" s="22">
        <v>30296.250964999999</v>
      </c>
      <c r="I37" s="22">
        <v>27164.027466</v>
      </c>
      <c r="J37" s="22">
        <v>27211.839969000001</v>
      </c>
      <c r="K37" s="22">
        <v>33068.516706000002</v>
      </c>
      <c r="L37" s="22">
        <v>37317.285734999998</v>
      </c>
      <c r="M37" s="22">
        <v>34562.094329</v>
      </c>
      <c r="N37" s="22">
        <v>32695.955054999999</v>
      </c>
      <c r="O37" s="22">
        <v>30828.227948</v>
      </c>
      <c r="P37" s="22">
        <v>28969.474396000001</v>
      </c>
      <c r="Q37" s="22">
        <v>28149.644166999999</v>
      </c>
      <c r="R37" s="22">
        <v>29311.545107999998</v>
      </c>
      <c r="S37" s="22">
        <v>34149.120983000001</v>
      </c>
      <c r="T37" s="22">
        <v>32355.231049999999</v>
      </c>
      <c r="U37" s="22">
        <v>32723.507948999999</v>
      </c>
      <c r="V37" s="22">
        <v>35573.095542000003</v>
      </c>
      <c r="W37" s="10"/>
      <c r="Y37" s="10"/>
      <c r="Z37" s="14" t="s">
        <v>114</v>
      </c>
      <c r="AA37" s="3"/>
      <c r="AB37" s="3"/>
      <c r="AC37" s="3"/>
      <c r="AD37" s="3"/>
      <c r="AE37" s="3"/>
      <c r="AF37" s="3"/>
      <c r="AG37" s="3"/>
      <c r="AH37" s="3"/>
      <c r="AI37" s="3"/>
      <c r="AJ37" s="3"/>
      <c r="AK37" s="3"/>
      <c r="AL37" s="3" t="s">
        <v>819</v>
      </c>
      <c r="AM37" s="10">
        <f>105907*km_mile</f>
        <v>170440.37138</v>
      </c>
      <c r="AN37" s="113" t="s">
        <v>813</v>
      </c>
      <c r="AT37" s="224" t="s">
        <v>110</v>
      </c>
      <c r="AU37" s="10">
        <v>967381</v>
      </c>
      <c r="AV37" s="10">
        <v>950278</v>
      </c>
      <c r="AW37" s="10">
        <v>932865</v>
      </c>
      <c r="AX37" s="10">
        <v>888083</v>
      </c>
      <c r="AY37" s="10">
        <v>855115</v>
      </c>
      <c r="AZ37" s="10">
        <v>819234</v>
      </c>
      <c r="BB37" s="224" t="s">
        <v>109</v>
      </c>
      <c r="BC37" s="198">
        <v>6.6</v>
      </c>
      <c r="BD37" s="198">
        <v>8.1999999999999993</v>
      </c>
      <c r="BE37" s="198">
        <v>10.7</v>
      </c>
      <c r="BG37" s="224" t="s">
        <v>109</v>
      </c>
      <c r="BH37" s="235">
        <v>153</v>
      </c>
      <c r="BI37" s="235">
        <v>163</v>
      </c>
      <c r="BJ37" s="235">
        <v>146</v>
      </c>
    </row>
    <row r="38" spans="1:62" x14ac:dyDescent="0.35">
      <c r="A38" s="217" t="s">
        <v>63</v>
      </c>
      <c r="B38" s="3">
        <v>57496.308193999997</v>
      </c>
      <c r="C38" s="3">
        <v>73249.796952999997</v>
      </c>
      <c r="D38" s="22">
        <v>87870.510198000004</v>
      </c>
      <c r="E38" s="22">
        <v>74147.327583000006</v>
      </c>
      <c r="F38" s="22">
        <v>67520.343735999995</v>
      </c>
      <c r="G38" s="22">
        <v>74898.527358000007</v>
      </c>
      <c r="H38" s="22">
        <v>72256.420750999998</v>
      </c>
      <c r="I38" s="22">
        <v>61061.308725000003</v>
      </c>
      <c r="J38" s="22">
        <v>57627.701763999998</v>
      </c>
      <c r="K38" s="22">
        <v>65612.450188000003</v>
      </c>
      <c r="L38" s="22">
        <v>73751.129247000004</v>
      </c>
      <c r="M38" s="22">
        <v>77424.845088999995</v>
      </c>
      <c r="N38" s="22">
        <v>70202.478663000002</v>
      </c>
      <c r="O38" s="22">
        <v>71427.956762000002</v>
      </c>
      <c r="P38" s="22">
        <v>77977.939364999998</v>
      </c>
      <c r="Q38" s="22">
        <v>64580.340428000003</v>
      </c>
      <c r="R38" s="22">
        <v>52615.485529999998</v>
      </c>
      <c r="S38" s="22">
        <v>63183.424738000002</v>
      </c>
      <c r="T38" s="22">
        <v>59519.282275999998</v>
      </c>
      <c r="U38" s="22">
        <v>62486.942079</v>
      </c>
      <c r="V38" s="22">
        <v>64160.507054000002</v>
      </c>
      <c r="W38" s="10"/>
      <c r="Y38" s="10"/>
      <c r="Z38" s="14" t="s">
        <v>115</v>
      </c>
      <c r="AA38" s="3"/>
      <c r="AB38" s="3"/>
      <c r="AC38" s="3"/>
      <c r="AD38" s="3"/>
      <c r="AE38" s="3"/>
      <c r="AF38" s="3"/>
      <c r="AG38" s="3"/>
      <c r="AH38" s="3"/>
      <c r="AI38" s="3"/>
      <c r="AJ38" s="3"/>
      <c r="AK38" s="3"/>
      <c r="AT38" s="224" t="s">
        <v>109</v>
      </c>
      <c r="AU38" s="10">
        <v>17371</v>
      </c>
      <c r="AV38" s="10">
        <v>14488</v>
      </c>
      <c r="AW38" s="10">
        <v>14712</v>
      </c>
      <c r="AX38" s="10">
        <v>14564</v>
      </c>
      <c r="AY38" s="10">
        <v>13959</v>
      </c>
      <c r="AZ38" s="10">
        <v>13245</v>
      </c>
      <c r="BB38" s="224" t="s">
        <v>246</v>
      </c>
      <c r="BC38" s="198">
        <v>15.9</v>
      </c>
      <c r="BD38" s="198">
        <v>18.7</v>
      </c>
      <c r="BE38" s="198">
        <v>25.3</v>
      </c>
      <c r="BG38" s="224" t="s">
        <v>246</v>
      </c>
      <c r="BH38" s="235">
        <v>374</v>
      </c>
      <c r="BI38" s="235">
        <v>223</v>
      </c>
      <c r="BJ38" s="235">
        <v>171</v>
      </c>
    </row>
    <row r="39" spans="1:62" ht="15" thickBot="1" x14ac:dyDescent="0.4">
      <c r="A39" s="217" t="s">
        <v>64</v>
      </c>
      <c r="B39" s="3">
        <v>85444.599950000003</v>
      </c>
      <c r="C39" s="3">
        <v>86952.646013999998</v>
      </c>
      <c r="D39" s="22">
        <v>106997.617316</v>
      </c>
      <c r="E39" s="22">
        <v>77542.776167000004</v>
      </c>
      <c r="F39" s="22">
        <v>64931.235457000002</v>
      </c>
      <c r="G39" s="22">
        <v>71521.579956999994</v>
      </c>
      <c r="H39" s="22">
        <v>54466.010175000003</v>
      </c>
      <c r="I39" s="22">
        <v>64786.876467000002</v>
      </c>
      <c r="J39" s="22">
        <v>59562.767058999998</v>
      </c>
      <c r="K39" s="22">
        <v>62173.9041</v>
      </c>
      <c r="L39" s="22">
        <v>59307.318953000002</v>
      </c>
      <c r="M39" s="22">
        <v>59271.792350000003</v>
      </c>
      <c r="N39" s="22">
        <v>50284.516174999997</v>
      </c>
      <c r="O39" s="22">
        <v>52500.188091000004</v>
      </c>
      <c r="P39" s="22">
        <v>49983.328661</v>
      </c>
      <c r="Q39" s="22">
        <v>44247.734214999997</v>
      </c>
      <c r="R39" s="22">
        <v>32750.927638000001</v>
      </c>
      <c r="S39" s="22">
        <v>51374.056879999996</v>
      </c>
      <c r="T39" s="22">
        <v>52507.941586000001</v>
      </c>
      <c r="U39" s="22">
        <v>52330.588935</v>
      </c>
      <c r="V39" s="22">
        <v>56023.589403999998</v>
      </c>
      <c r="W39" s="10"/>
      <c r="Y39" s="10"/>
      <c r="AA39" s="3"/>
      <c r="AB39" s="3"/>
      <c r="AC39" s="3"/>
      <c r="AD39" s="3"/>
      <c r="AE39" s="3"/>
      <c r="AF39" s="3"/>
      <c r="AG39" s="3"/>
      <c r="AH39" s="3"/>
      <c r="AI39" s="3"/>
      <c r="AJ39" s="3"/>
      <c r="AK39" s="3"/>
      <c r="AT39" s="224" t="s">
        <v>128</v>
      </c>
      <c r="AU39" s="10">
        <v>392</v>
      </c>
      <c r="AV39" s="10">
        <v>653</v>
      </c>
      <c r="AW39" s="10">
        <v>1277</v>
      </c>
      <c r="AX39" s="10">
        <v>1937</v>
      </c>
      <c r="AY39" s="24">
        <v>2561</v>
      </c>
      <c r="AZ39" s="31">
        <v>3560</v>
      </c>
      <c r="BB39" s="224" t="s">
        <v>627</v>
      </c>
      <c r="BC39" s="198">
        <v>12.1</v>
      </c>
      <c r="BD39" s="198">
        <v>14.2</v>
      </c>
      <c r="BE39" s="198">
        <v>18.8</v>
      </c>
      <c r="BG39" s="224" t="s">
        <v>627</v>
      </c>
      <c r="BH39" s="235">
        <v>282</v>
      </c>
      <c r="BI39" s="235">
        <v>214</v>
      </c>
      <c r="BJ39" s="235">
        <v>153</v>
      </c>
    </row>
    <row r="40" spans="1:62" ht="15.5" x14ac:dyDescent="0.35">
      <c r="A40" s="204" t="s">
        <v>178</v>
      </c>
      <c r="B40"/>
      <c r="C40"/>
      <c r="D40"/>
      <c r="E40"/>
      <c r="F40"/>
      <c r="G40"/>
      <c r="H40"/>
      <c r="I40"/>
      <c r="J40"/>
      <c r="K40"/>
      <c r="L40"/>
      <c r="M40"/>
      <c r="N40"/>
      <c r="O40"/>
      <c r="P40"/>
      <c r="Q40"/>
      <c r="R40"/>
      <c r="S40"/>
      <c r="T40"/>
      <c r="U40"/>
      <c r="V40"/>
      <c r="Z40" s="519" t="s">
        <v>2288</v>
      </c>
      <c r="AA40" s="519"/>
      <c r="AB40" s="519"/>
      <c r="AC40" s="519"/>
      <c r="AD40" s="519"/>
      <c r="AE40" s="519"/>
      <c r="AF40" s="519"/>
      <c r="AG40" s="519"/>
      <c r="AH40" s="519"/>
      <c r="AI40" s="519"/>
      <c r="AJ40" s="519"/>
      <c r="AK40" s="519"/>
      <c r="AL40" s="522" t="s">
        <v>2289</v>
      </c>
      <c r="AN40" s="189" t="s">
        <v>2180</v>
      </c>
      <c r="AO40" s="33"/>
      <c r="AP40" s="33"/>
      <c r="AQ40" s="33"/>
      <c r="AR40" s="33"/>
      <c r="AT40" s="224" t="s">
        <v>129</v>
      </c>
      <c r="AU40" s="10">
        <v>10540</v>
      </c>
      <c r="AV40" s="10">
        <v>11283</v>
      </c>
      <c r="AW40" s="10">
        <v>12300</v>
      </c>
      <c r="AX40" s="10">
        <v>12845</v>
      </c>
      <c r="AY40" s="10">
        <v>13159</v>
      </c>
      <c r="AZ40" s="10">
        <v>13718</v>
      </c>
      <c r="BB40" s="224" t="s">
        <v>829</v>
      </c>
      <c r="BC40" s="198">
        <v>8.4</v>
      </c>
      <c r="BD40" s="198">
        <v>10.7</v>
      </c>
      <c r="BE40" s="198">
        <v>14.8</v>
      </c>
      <c r="BG40" s="224" t="s">
        <v>828</v>
      </c>
      <c r="BH40" s="235">
        <v>152</v>
      </c>
      <c r="BI40" s="235">
        <v>154</v>
      </c>
      <c r="BJ40" s="235">
        <v>140</v>
      </c>
    </row>
    <row r="41" spans="1:62" ht="15" thickBot="1" x14ac:dyDescent="0.4">
      <c r="A41"/>
      <c r="B41"/>
      <c r="C41"/>
      <c r="D41"/>
      <c r="E41"/>
      <c r="F41"/>
      <c r="G41"/>
      <c r="H41"/>
      <c r="I41"/>
      <c r="J41"/>
      <c r="K41"/>
      <c r="L41"/>
      <c r="M41"/>
      <c r="N41"/>
      <c r="O41"/>
      <c r="P41"/>
      <c r="Q41"/>
      <c r="R41"/>
      <c r="S41"/>
      <c r="T41"/>
      <c r="U41"/>
      <c r="V41"/>
      <c r="W41" s="102"/>
      <c r="Z41" s="21" t="s">
        <v>127</v>
      </c>
      <c r="AA41" s="8">
        <v>2011</v>
      </c>
      <c r="AB41" s="8">
        <v>2012</v>
      </c>
      <c r="AC41" s="8">
        <v>2013</v>
      </c>
      <c r="AD41" s="8">
        <v>2014</v>
      </c>
      <c r="AE41" s="8">
        <v>2015</v>
      </c>
      <c r="AF41" s="8">
        <v>2016</v>
      </c>
      <c r="AG41" s="8">
        <v>2017</v>
      </c>
      <c r="AH41" s="8">
        <v>2018</v>
      </c>
      <c r="AI41" s="8">
        <v>2019</v>
      </c>
      <c r="AJ41" s="8">
        <v>2020</v>
      </c>
      <c r="AK41" s="8">
        <v>2021</v>
      </c>
      <c r="AL41" s="523"/>
      <c r="AN41" s="105" t="s">
        <v>1435</v>
      </c>
      <c r="AO41" s="105" t="s">
        <v>2187</v>
      </c>
      <c r="AP41" s="105" t="s">
        <v>2188</v>
      </c>
      <c r="AQ41" s="105" t="s">
        <v>2183</v>
      </c>
      <c r="AR41" s="105" t="s">
        <v>2184</v>
      </c>
      <c r="AT41" s="224" t="s">
        <v>130</v>
      </c>
      <c r="AU41" s="10">
        <v>666</v>
      </c>
      <c r="AV41" s="10">
        <v>791</v>
      </c>
      <c r="AW41" s="10">
        <v>990</v>
      </c>
      <c r="AX41" s="10">
        <v>1167</v>
      </c>
      <c r="AY41" s="24">
        <v>1365</v>
      </c>
      <c r="AZ41" s="10">
        <v>1524</v>
      </c>
      <c r="BB41" s="224" t="s">
        <v>828</v>
      </c>
      <c r="BC41" s="198">
        <v>8.4</v>
      </c>
      <c r="BD41" s="198">
        <v>10.199999999999999</v>
      </c>
      <c r="BE41" s="198">
        <v>13.1</v>
      </c>
      <c r="BG41" s="224" t="s">
        <v>829</v>
      </c>
      <c r="BH41" s="235">
        <v>178</v>
      </c>
      <c r="BI41" s="235">
        <v>162</v>
      </c>
      <c r="BJ41" s="235">
        <v>149</v>
      </c>
    </row>
    <row r="42" spans="1:62" ht="16" thickTop="1" x14ac:dyDescent="0.35">
      <c r="A42" s="508" t="s">
        <v>277</v>
      </c>
      <c r="B42" s="508"/>
      <c r="C42" s="508"/>
      <c r="D42" s="508"/>
      <c r="E42" s="508"/>
      <c r="F42" s="508"/>
      <c r="G42" s="508"/>
      <c r="H42" s="508"/>
      <c r="I42" s="508"/>
      <c r="J42" s="508"/>
      <c r="K42" s="508"/>
      <c r="L42" s="508"/>
      <c r="M42" s="508"/>
      <c r="N42" s="508"/>
      <c r="O42" s="508"/>
      <c r="P42" s="508"/>
      <c r="Q42" s="508"/>
      <c r="R42" s="508"/>
      <c r="S42" s="508"/>
      <c r="T42" s="508"/>
      <c r="U42" s="508"/>
      <c r="V42" s="508"/>
      <c r="Z42" s="41" t="s">
        <v>187</v>
      </c>
      <c r="AA42" s="42">
        <f>SUM(AA43:AA48)</f>
        <v>52543</v>
      </c>
      <c r="AB42" s="42">
        <f t="shared" ref="AB42:AK42" si="3">SUM(AB43:AB48)</f>
        <v>56247</v>
      </c>
      <c r="AC42" s="42">
        <f t="shared" si="3"/>
        <v>59706</v>
      </c>
      <c r="AD42" s="42">
        <f t="shared" si="3"/>
        <v>59102</v>
      </c>
      <c r="AE42" s="42">
        <f t="shared" si="3"/>
        <v>59054</v>
      </c>
      <c r="AF42" s="42">
        <f t="shared" si="3"/>
        <v>54494</v>
      </c>
      <c r="AG42" s="42">
        <f t="shared" si="3"/>
        <v>56525</v>
      </c>
      <c r="AH42" s="42">
        <f t="shared" si="3"/>
        <v>52267</v>
      </c>
      <c r="AI42" s="42">
        <f t="shared" si="3"/>
        <v>49328</v>
      </c>
      <c r="AJ42" s="42">
        <f t="shared" si="3"/>
        <v>44684</v>
      </c>
      <c r="AK42" s="42">
        <f t="shared" si="3"/>
        <v>44839</v>
      </c>
      <c r="AL42" s="523"/>
      <c r="AN42" s="3" t="s">
        <v>532</v>
      </c>
      <c r="AO42" s="10">
        <v>307590</v>
      </c>
      <c r="AP42" s="34">
        <f>AO42/$AO$49</f>
        <v>0.52852604140713466</v>
      </c>
      <c r="AQ42" s="10">
        <v>149352</v>
      </c>
      <c r="AR42" s="34">
        <f t="shared" ref="AR42:AR48" si="4">AQ42/$AQ$49</f>
        <v>0.46584426318990657</v>
      </c>
      <c r="AT42" s="224" t="s">
        <v>767</v>
      </c>
      <c r="AU42" s="10">
        <v>2</v>
      </c>
      <c r="AV42" s="10">
        <v>2</v>
      </c>
      <c r="AW42" s="10">
        <v>2</v>
      </c>
      <c r="AX42" s="10">
        <v>7</v>
      </c>
      <c r="AY42" s="10">
        <v>15</v>
      </c>
      <c r="AZ42" s="10">
        <v>15</v>
      </c>
      <c r="BB42" s="224" t="s">
        <v>240</v>
      </c>
      <c r="BC42" s="198">
        <v>5.2</v>
      </c>
      <c r="BD42" s="198">
        <v>6.4</v>
      </c>
      <c r="BE42" s="198">
        <v>8.6</v>
      </c>
      <c r="BG42" s="224" t="s">
        <v>240</v>
      </c>
      <c r="BH42" s="235">
        <v>170</v>
      </c>
      <c r="BI42" s="235">
        <v>155</v>
      </c>
      <c r="BJ42" s="235">
        <v>147</v>
      </c>
    </row>
    <row r="43" spans="1:62" ht="15" thickBot="1" x14ac:dyDescent="0.4">
      <c r="A43" s="190"/>
      <c r="B43" s="7">
        <v>2000</v>
      </c>
      <c r="C43" s="8">
        <v>2001</v>
      </c>
      <c r="D43" s="8">
        <v>2002</v>
      </c>
      <c r="E43" s="8">
        <v>2003</v>
      </c>
      <c r="F43" s="8">
        <v>2004</v>
      </c>
      <c r="G43" s="8">
        <v>2005</v>
      </c>
      <c r="H43" s="8">
        <v>2006</v>
      </c>
      <c r="I43" s="8">
        <v>2007</v>
      </c>
      <c r="J43" s="8">
        <v>2008</v>
      </c>
      <c r="K43" s="8">
        <v>2009</v>
      </c>
      <c r="L43" s="8">
        <v>2010</v>
      </c>
      <c r="M43" s="8">
        <v>2011</v>
      </c>
      <c r="N43" s="8">
        <v>2012</v>
      </c>
      <c r="O43" s="8">
        <v>2013</v>
      </c>
      <c r="P43" s="8">
        <v>2014</v>
      </c>
      <c r="Q43" s="8">
        <v>2015</v>
      </c>
      <c r="R43" s="8">
        <v>2016</v>
      </c>
      <c r="S43" s="8">
        <v>2017</v>
      </c>
      <c r="T43" s="8">
        <v>2018</v>
      </c>
      <c r="U43" s="8">
        <v>2019</v>
      </c>
      <c r="V43" s="8">
        <v>2020</v>
      </c>
      <c r="Z43" s="30" t="s">
        <v>110</v>
      </c>
      <c r="AA43" s="31">
        <v>48274</v>
      </c>
      <c r="AB43" s="31">
        <v>51543</v>
      </c>
      <c r="AC43" s="31">
        <v>54972</v>
      </c>
      <c r="AD43" s="31">
        <v>54408</v>
      </c>
      <c r="AE43" s="31">
        <v>54447</v>
      </c>
      <c r="AF43" s="31">
        <v>50198</v>
      </c>
      <c r="AG43" s="31">
        <v>52582</v>
      </c>
      <c r="AH43" s="31">
        <v>48362</v>
      </c>
      <c r="AI43" s="31">
        <v>45627</v>
      </c>
      <c r="AJ43" s="31">
        <v>40219</v>
      </c>
      <c r="AK43" s="24">
        <v>39229</v>
      </c>
      <c r="AL43" s="523"/>
      <c r="AN43" s="3" t="s">
        <v>534</v>
      </c>
      <c r="AO43" s="10">
        <v>46915</v>
      </c>
      <c r="AP43" s="34">
        <f t="shared" ref="AP43:AP48" si="5">AO43/$AO$49</f>
        <v>8.0613151378834555E-2</v>
      </c>
      <c r="AQ43" s="10">
        <v>21077</v>
      </c>
      <c r="AR43" s="34">
        <f t="shared" si="4"/>
        <v>6.5741332792688817E-2</v>
      </c>
      <c r="AT43" s="4" t="s">
        <v>768</v>
      </c>
      <c r="AU43" s="9">
        <v>1004729</v>
      </c>
      <c r="AV43" s="9">
        <v>1069000</v>
      </c>
      <c r="AW43" s="9">
        <v>1134021</v>
      </c>
      <c r="AX43" s="9">
        <v>1171473</v>
      </c>
      <c r="AY43" s="9">
        <v>1214636</v>
      </c>
      <c r="AZ43" s="9">
        <v>1241119</v>
      </c>
      <c r="BB43" s="4" t="s">
        <v>833</v>
      </c>
      <c r="BG43" s="4" t="s">
        <v>1266</v>
      </c>
      <c r="BH43" s="235"/>
      <c r="BI43" s="235"/>
      <c r="BJ43" s="235"/>
    </row>
    <row r="44" spans="1:62" ht="15" thickTop="1" x14ac:dyDescent="0.35">
      <c r="A44" s="203" t="s">
        <v>49</v>
      </c>
      <c r="B44" s="11"/>
      <c r="C44" s="11"/>
      <c r="D44" s="11"/>
      <c r="E44" s="11"/>
      <c r="F44" s="11"/>
      <c r="G44" s="11"/>
      <c r="H44" s="11"/>
      <c r="I44" s="11"/>
      <c r="J44" s="11"/>
      <c r="K44" s="11"/>
      <c r="L44" s="11"/>
      <c r="M44" s="11"/>
      <c r="N44" s="11"/>
      <c r="O44" s="11"/>
      <c r="P44" s="11"/>
      <c r="Q44" s="11"/>
      <c r="R44" s="11"/>
      <c r="S44" s="11"/>
      <c r="T44" s="11"/>
      <c r="U44" s="11"/>
      <c r="V44" s="11"/>
      <c r="Z44" s="30" t="s">
        <v>109</v>
      </c>
      <c r="AA44" s="31">
        <v>4111</v>
      </c>
      <c r="AB44" s="31">
        <v>4437</v>
      </c>
      <c r="AC44" s="31">
        <v>4485</v>
      </c>
      <c r="AD44" s="31">
        <v>4458</v>
      </c>
      <c r="AE44" s="31">
        <v>4425</v>
      </c>
      <c r="AF44" s="31">
        <v>4062</v>
      </c>
      <c r="AG44" s="31">
        <v>3676</v>
      </c>
      <c r="AH44" s="31">
        <v>3587</v>
      </c>
      <c r="AI44" s="31">
        <v>3064</v>
      </c>
      <c r="AJ44" s="31">
        <v>3663</v>
      </c>
      <c r="AK44" s="24">
        <v>3603</v>
      </c>
      <c r="AL44" s="523"/>
      <c r="AN44" s="3" t="s">
        <v>533</v>
      </c>
      <c r="AO44" s="10">
        <v>161295</v>
      </c>
      <c r="AP44" s="34">
        <f t="shared" si="5"/>
        <v>0.27715012792601768</v>
      </c>
      <c r="AQ44" s="10">
        <v>111812</v>
      </c>
      <c r="AR44" s="34">
        <f t="shared" si="4"/>
        <v>0.34875313859733942</v>
      </c>
      <c r="AT44" s="224" t="s">
        <v>110</v>
      </c>
      <c r="AU44" s="10">
        <v>985517</v>
      </c>
      <c r="AV44" s="10">
        <v>1048739</v>
      </c>
      <c r="AW44" s="10">
        <v>1112125</v>
      </c>
      <c r="AX44" s="10">
        <v>1147464</v>
      </c>
      <c r="AY44" s="10">
        <v>1185576</v>
      </c>
      <c r="AZ44" s="10">
        <v>1205781</v>
      </c>
      <c r="BB44" s="224" t="s">
        <v>109</v>
      </c>
      <c r="BC44" s="198">
        <v>10.1</v>
      </c>
      <c r="BD44" s="198">
        <v>14.7</v>
      </c>
      <c r="BE44" s="198">
        <v>17.600000000000001</v>
      </c>
      <c r="BG44" s="224" t="s">
        <v>109</v>
      </c>
      <c r="BH44" s="235">
        <v>45</v>
      </c>
      <c r="BI44" s="235">
        <v>49</v>
      </c>
      <c r="BJ44" s="235">
        <v>42</v>
      </c>
    </row>
    <row r="45" spans="1:62" x14ac:dyDescent="0.35">
      <c r="A45" s="217" t="s">
        <v>286</v>
      </c>
      <c r="B45" s="451">
        <v>104881.671</v>
      </c>
      <c r="C45" s="451">
        <v>102534.77</v>
      </c>
      <c r="D45" s="451">
        <v>95094.45</v>
      </c>
      <c r="E45" s="451">
        <v>90326.455000000002</v>
      </c>
      <c r="F45" s="451">
        <v>101965.192</v>
      </c>
      <c r="G45" s="451">
        <v>109975.113</v>
      </c>
      <c r="H45" s="451">
        <v>118728.73136400001</v>
      </c>
      <c r="I45" s="451">
        <v>126333.878</v>
      </c>
      <c r="J45" s="451">
        <v>129600.466</v>
      </c>
      <c r="K45" s="451">
        <v>122682.87</v>
      </c>
      <c r="L45" s="451">
        <v>136286.48800000001</v>
      </c>
      <c r="M45" s="451">
        <v>147106.71299999999</v>
      </c>
      <c r="N45" s="451">
        <v>156022.96</v>
      </c>
      <c r="O45" s="451">
        <v>155927.079</v>
      </c>
      <c r="P45" s="451">
        <v>166704.41399999999</v>
      </c>
      <c r="Q45" s="451">
        <v>175656.71400000001</v>
      </c>
      <c r="R45" s="451">
        <v>192644.285</v>
      </c>
      <c r="S45" s="451">
        <v>210500.016</v>
      </c>
      <c r="T45" s="451">
        <v>228168.554</v>
      </c>
      <c r="U45" s="451">
        <v>233216.962</v>
      </c>
      <c r="V45" s="451">
        <v>62038.51</v>
      </c>
      <c r="Z45" s="30" t="s">
        <v>128</v>
      </c>
      <c r="AA45" s="31">
        <v>1</v>
      </c>
      <c r="AB45" s="31">
        <v>1</v>
      </c>
      <c r="AC45" s="31">
        <v>7</v>
      </c>
      <c r="AD45" s="31">
        <v>8</v>
      </c>
      <c r="AE45" s="31">
        <v>7</v>
      </c>
      <c r="AF45" s="31">
        <v>7</v>
      </c>
      <c r="AG45" s="31">
        <v>13</v>
      </c>
      <c r="AH45" s="31">
        <v>45</v>
      </c>
      <c r="AI45" s="31">
        <v>105</v>
      </c>
      <c r="AJ45" s="31">
        <v>125</v>
      </c>
      <c r="AK45" s="24">
        <v>303</v>
      </c>
      <c r="AL45" s="523"/>
      <c r="AN45" s="3" t="s">
        <v>530</v>
      </c>
      <c r="AO45" s="10">
        <v>2552</v>
      </c>
      <c r="AP45" s="34">
        <f t="shared" si="5"/>
        <v>4.3850530175591129E-3</v>
      </c>
      <c r="AQ45" s="10">
        <v>1878</v>
      </c>
      <c r="AR45" s="34">
        <f t="shared" si="4"/>
        <v>5.8576753325743514E-3</v>
      </c>
      <c r="AT45" s="224" t="s">
        <v>109</v>
      </c>
      <c r="AU45" s="10">
        <v>13334</v>
      </c>
      <c r="AV45" s="10">
        <v>13371</v>
      </c>
      <c r="AW45" s="10">
        <v>13417</v>
      </c>
      <c r="AX45" s="10">
        <v>13273</v>
      </c>
      <c r="AY45" s="10">
        <v>13204</v>
      </c>
      <c r="AZ45" s="10">
        <v>13119</v>
      </c>
      <c r="BB45" s="224" t="s">
        <v>246</v>
      </c>
      <c r="BC45" s="198">
        <v>28.4</v>
      </c>
      <c r="BD45" s="198">
        <v>41.3</v>
      </c>
      <c r="BE45" s="198">
        <v>52.3</v>
      </c>
      <c r="BG45" s="224" t="s">
        <v>246</v>
      </c>
      <c r="BH45" s="235">
        <v>83</v>
      </c>
      <c r="BI45" s="235">
        <v>45</v>
      </c>
      <c r="BJ45" s="235">
        <v>36</v>
      </c>
    </row>
    <row r="46" spans="1:62" x14ac:dyDescent="0.35">
      <c r="A46" s="217" t="s">
        <v>87</v>
      </c>
      <c r="B46" s="451">
        <v>2327.3020000000001</v>
      </c>
      <c r="C46" s="451">
        <v>2172.424</v>
      </c>
      <c r="D46" s="451">
        <v>2150.9140000000002</v>
      </c>
      <c r="E46" s="451">
        <v>1855.077</v>
      </c>
      <c r="F46" s="451">
        <v>2012.9390000000001</v>
      </c>
      <c r="G46" s="451">
        <v>2235.549</v>
      </c>
      <c r="H46" s="451">
        <v>2226.9948890000001</v>
      </c>
      <c r="I46" s="451">
        <v>1997.175</v>
      </c>
      <c r="J46" s="451">
        <v>1809.4960000000001</v>
      </c>
      <c r="K46" s="451">
        <v>1628.107</v>
      </c>
      <c r="L46" s="451">
        <v>2085.2240000000002</v>
      </c>
      <c r="M46" s="451">
        <v>2211.8530000000001</v>
      </c>
      <c r="N46" s="451">
        <v>2282.826</v>
      </c>
      <c r="O46" s="451">
        <v>2273.0610000000001</v>
      </c>
      <c r="P46" s="451">
        <v>2376.0839999999998</v>
      </c>
      <c r="Q46" s="451">
        <v>2283.7669999999998</v>
      </c>
      <c r="R46" s="451">
        <v>2546.75</v>
      </c>
      <c r="S46" s="451">
        <v>3089.8879999999999</v>
      </c>
      <c r="T46" s="451">
        <v>3352.1129999999998</v>
      </c>
      <c r="U46" s="451">
        <v>3256.982</v>
      </c>
      <c r="V46" s="451">
        <v>2465.3919999999998</v>
      </c>
      <c r="Z46" s="30" t="s">
        <v>129</v>
      </c>
      <c r="AA46" s="31">
        <v>157</v>
      </c>
      <c r="AB46" s="31">
        <v>259</v>
      </c>
      <c r="AC46" s="31">
        <v>231</v>
      </c>
      <c r="AD46" s="31">
        <v>214</v>
      </c>
      <c r="AE46" s="31">
        <v>164</v>
      </c>
      <c r="AF46" s="31">
        <v>198</v>
      </c>
      <c r="AG46" s="31">
        <v>235</v>
      </c>
      <c r="AH46" s="31">
        <v>231</v>
      </c>
      <c r="AI46" s="31">
        <v>452</v>
      </c>
      <c r="AJ46" s="31">
        <v>603</v>
      </c>
      <c r="AK46" s="24">
        <v>1529</v>
      </c>
      <c r="AL46" s="523"/>
      <c r="AN46" s="3" t="s">
        <v>535</v>
      </c>
      <c r="AO46" s="10">
        <v>14831</v>
      </c>
      <c r="AP46" s="34">
        <f t="shared" si="5"/>
        <v>2.5483824962154861E-2</v>
      </c>
      <c r="AQ46" s="10">
        <v>7711</v>
      </c>
      <c r="AR46" s="34">
        <f t="shared" si="4"/>
        <v>2.4051402816549959E-2</v>
      </c>
      <c r="AT46" s="224" t="s">
        <v>128</v>
      </c>
      <c r="AU46" s="10">
        <v>113</v>
      </c>
      <c r="AV46" s="10">
        <v>215</v>
      </c>
      <c r="AW46" s="10">
        <v>362</v>
      </c>
      <c r="AX46" s="10">
        <v>634</v>
      </c>
      <c r="AY46" s="24">
        <v>1452</v>
      </c>
      <c r="AZ46" s="31">
        <v>2940</v>
      </c>
      <c r="BB46" s="224" t="s">
        <v>627</v>
      </c>
      <c r="BC46" s="198">
        <v>22</v>
      </c>
      <c r="BD46" s="198">
        <v>31.6</v>
      </c>
      <c r="BE46" s="198">
        <v>38.9</v>
      </c>
      <c r="BG46" s="224" t="s">
        <v>627</v>
      </c>
      <c r="BH46" s="235">
        <v>93</v>
      </c>
      <c r="BI46" s="235">
        <v>65</v>
      </c>
      <c r="BJ46" s="235">
        <v>42</v>
      </c>
    </row>
    <row r="47" spans="1:62" x14ac:dyDescent="0.35">
      <c r="A47" s="217" t="s">
        <v>90</v>
      </c>
      <c r="B47" s="22">
        <v>1548.5070000000001</v>
      </c>
      <c r="C47" s="22">
        <v>1553.059</v>
      </c>
      <c r="D47" s="22">
        <v>1596.9469999999999</v>
      </c>
      <c r="E47" s="22">
        <v>1433.643</v>
      </c>
      <c r="F47" s="22">
        <v>1420.8040000000001</v>
      </c>
      <c r="G47" s="22">
        <v>1478.454</v>
      </c>
      <c r="H47" s="22">
        <v>1450.481</v>
      </c>
      <c r="I47" s="22">
        <v>1453.0050000000001</v>
      </c>
      <c r="J47" s="22">
        <v>1574.2929999999999</v>
      </c>
      <c r="K47" s="22">
        <v>1413.3520000000001</v>
      </c>
      <c r="L47" s="22">
        <v>1403.8530000000001</v>
      </c>
      <c r="M47" s="22">
        <v>1404.39</v>
      </c>
      <c r="N47" s="22">
        <v>1373.8009999999999</v>
      </c>
      <c r="O47" s="22">
        <v>1365.414</v>
      </c>
      <c r="P47" s="22">
        <v>1327.2170000000001</v>
      </c>
      <c r="Q47" s="22">
        <v>1349.3710000000001</v>
      </c>
      <c r="R47" s="22">
        <v>1408.145</v>
      </c>
      <c r="S47" s="22">
        <v>1528.6289999999999</v>
      </c>
      <c r="T47" s="22">
        <v>1529.5309999999999</v>
      </c>
      <c r="U47" s="22">
        <v>1729.2650000000001</v>
      </c>
      <c r="V47" s="22">
        <v>235.4</v>
      </c>
      <c r="Z47" s="30" t="s">
        <v>130</v>
      </c>
      <c r="AA47" s="31">
        <v>0</v>
      </c>
      <c r="AB47" s="31">
        <v>7</v>
      </c>
      <c r="AC47" s="31">
        <v>11</v>
      </c>
      <c r="AD47" s="31">
        <v>11</v>
      </c>
      <c r="AE47" s="31">
        <v>10</v>
      </c>
      <c r="AF47" s="31">
        <v>28</v>
      </c>
      <c r="AG47" s="31">
        <v>19</v>
      </c>
      <c r="AH47" s="31">
        <v>42</v>
      </c>
      <c r="AI47" s="31">
        <v>80</v>
      </c>
      <c r="AJ47" s="31">
        <v>74</v>
      </c>
      <c r="AK47" s="24">
        <v>175</v>
      </c>
      <c r="AL47" s="523"/>
      <c r="AN47" s="3" t="s">
        <v>531</v>
      </c>
      <c r="AO47" s="10">
        <v>43171</v>
      </c>
      <c r="AP47" s="34">
        <f t="shared" si="5"/>
        <v>7.4179907453387331E-2</v>
      </c>
      <c r="AQ47" s="10">
        <v>23501</v>
      </c>
      <c r="AR47" s="34">
        <f t="shared" si="4"/>
        <v>7.3302038333775202E-2</v>
      </c>
      <c r="AT47" s="224" t="s">
        <v>129</v>
      </c>
      <c r="AU47" s="10">
        <v>5596</v>
      </c>
      <c r="AV47" s="10">
        <v>6375</v>
      </c>
      <c r="AW47" s="10">
        <v>7596</v>
      </c>
      <c r="AX47" s="10">
        <v>9355</v>
      </c>
      <c r="AY47" s="10">
        <v>13180</v>
      </c>
      <c r="AZ47" s="10">
        <v>17204</v>
      </c>
      <c r="BB47" s="224" t="s">
        <v>828</v>
      </c>
      <c r="BC47" s="198">
        <v>13</v>
      </c>
      <c r="BD47" s="198">
        <v>18.899999999999999</v>
      </c>
      <c r="BE47" s="198">
        <v>22.8</v>
      </c>
      <c r="BG47" s="224" t="s">
        <v>828</v>
      </c>
      <c r="BH47" s="235">
        <v>48</v>
      </c>
      <c r="BI47" s="235">
        <v>47</v>
      </c>
      <c r="BJ47" s="235">
        <v>41</v>
      </c>
    </row>
    <row r="48" spans="1:62" x14ac:dyDescent="0.35">
      <c r="A48" s="217" t="s">
        <v>91</v>
      </c>
      <c r="B48" s="24">
        <v>322511</v>
      </c>
      <c r="C48" s="24">
        <v>323211</v>
      </c>
      <c r="D48" s="24">
        <v>317807</v>
      </c>
      <c r="E48" s="24">
        <v>318263</v>
      </c>
      <c r="F48" s="24">
        <v>338898</v>
      </c>
      <c r="G48" s="24">
        <v>352140</v>
      </c>
      <c r="H48" s="24">
        <v>352477</v>
      </c>
      <c r="I48" s="24">
        <v>358832</v>
      </c>
      <c r="J48" s="24">
        <v>340092</v>
      </c>
      <c r="K48" s="24">
        <v>299829</v>
      </c>
      <c r="L48" s="24">
        <v>341325</v>
      </c>
      <c r="M48" s="24">
        <v>352091</v>
      </c>
      <c r="N48" s="24">
        <v>371074</v>
      </c>
      <c r="O48" s="24">
        <v>386132</v>
      </c>
      <c r="P48" s="24">
        <v>415462</v>
      </c>
      <c r="Q48" s="24">
        <v>411813</v>
      </c>
      <c r="R48" s="24">
        <v>395889</v>
      </c>
      <c r="S48" s="24">
        <v>423664</v>
      </c>
      <c r="T48" s="24">
        <v>448319</v>
      </c>
      <c r="U48" s="24">
        <v>451277</v>
      </c>
      <c r="V48" s="24">
        <v>420233</v>
      </c>
      <c r="Z48" s="23" t="s">
        <v>188</v>
      </c>
      <c r="AA48" s="24">
        <v>0</v>
      </c>
      <c r="AB48" s="24">
        <v>0</v>
      </c>
      <c r="AC48" s="24">
        <v>0</v>
      </c>
      <c r="AD48" s="24">
        <v>3</v>
      </c>
      <c r="AE48" s="24">
        <v>1</v>
      </c>
      <c r="AF48" s="24">
        <v>1</v>
      </c>
      <c r="AG48" s="24">
        <v>0</v>
      </c>
      <c r="AH48" s="24">
        <v>0</v>
      </c>
      <c r="AI48" s="24">
        <v>0</v>
      </c>
      <c r="AJ48" s="24">
        <v>0</v>
      </c>
      <c r="AK48" s="24">
        <v>0</v>
      </c>
      <c r="AL48" s="523"/>
      <c r="AN48" s="3" t="s">
        <v>1593</v>
      </c>
      <c r="AO48" s="10">
        <v>5623</v>
      </c>
      <c r="AP48" s="34">
        <f t="shared" si="5"/>
        <v>9.6618938549117919E-3</v>
      </c>
      <c r="AQ48" s="10">
        <v>5274</v>
      </c>
      <c r="AR48" s="34">
        <f t="shared" si="4"/>
        <v>1.6450148937165673E-2</v>
      </c>
      <c r="AT48" s="224" t="s">
        <v>130</v>
      </c>
      <c r="AU48" s="10">
        <v>168</v>
      </c>
      <c r="AV48" s="10">
        <v>300</v>
      </c>
      <c r="AW48" s="10">
        <v>521</v>
      </c>
      <c r="AX48" s="10">
        <v>747</v>
      </c>
      <c r="AY48" s="24">
        <v>1224</v>
      </c>
      <c r="AZ48" s="10">
        <v>2075</v>
      </c>
      <c r="BB48" s="224" t="s">
        <v>829</v>
      </c>
      <c r="BC48" s="198">
        <v>12.8</v>
      </c>
      <c r="BD48" s="198">
        <v>19.7</v>
      </c>
      <c r="BE48" s="198">
        <v>24.2</v>
      </c>
      <c r="BG48" s="224" t="s">
        <v>829</v>
      </c>
      <c r="BH48" s="235">
        <v>49</v>
      </c>
      <c r="BI48" s="235">
        <v>46</v>
      </c>
      <c r="BJ48" s="235">
        <v>40</v>
      </c>
    </row>
    <row r="49" spans="1:65" x14ac:dyDescent="0.35">
      <c r="A49" s="217" t="s">
        <v>92</v>
      </c>
      <c r="B49" s="24">
        <v>210499</v>
      </c>
      <c r="C49" s="24">
        <v>201195</v>
      </c>
      <c r="D49" s="24">
        <v>231463</v>
      </c>
      <c r="E49" s="24">
        <v>243293</v>
      </c>
      <c r="F49" s="24">
        <v>240537</v>
      </c>
      <c r="G49" s="24">
        <v>259113</v>
      </c>
      <c r="H49" s="24">
        <v>259640</v>
      </c>
      <c r="I49" s="24">
        <v>251637</v>
      </c>
      <c r="J49" s="24">
        <v>242848</v>
      </c>
      <c r="K49" s="24">
        <v>211653</v>
      </c>
      <c r="L49" s="24">
        <v>214839</v>
      </c>
      <c r="M49" s="24">
        <v>195675</v>
      </c>
      <c r="N49" s="24">
        <v>199380</v>
      </c>
      <c r="O49" s="24">
        <v>201080</v>
      </c>
      <c r="P49" s="24">
        <v>199935</v>
      </c>
      <c r="Q49" s="24">
        <v>202637</v>
      </c>
      <c r="R49" s="24">
        <v>204085</v>
      </c>
      <c r="S49" s="24">
        <v>205533</v>
      </c>
      <c r="T49" s="24">
        <v>206981</v>
      </c>
      <c r="U49" s="24">
        <v>208429</v>
      </c>
      <c r="V49" s="24">
        <v>209877</v>
      </c>
      <c r="Z49" s="41" t="s">
        <v>131</v>
      </c>
      <c r="AA49" s="42">
        <f>SUM(AA50:AA55)</f>
        <v>12080</v>
      </c>
      <c r="AB49" s="42">
        <f t="shared" ref="AB49" si="6">SUM(AB50:AB55)</f>
        <v>13033</v>
      </c>
      <c r="AC49" s="42">
        <f t="shared" ref="AC49" si="7">SUM(AC50:AC55)</f>
        <v>12645</v>
      </c>
      <c r="AD49" s="42">
        <f t="shared" ref="AD49" si="8">SUM(AD50:AD55)</f>
        <v>12042</v>
      </c>
      <c r="AE49" s="42">
        <f t="shared" ref="AE49" si="9">SUM(AE50:AE55)</f>
        <v>11023</v>
      </c>
      <c r="AF49" s="42">
        <f t="shared" ref="AF49" si="10">SUM(AF50:AF55)</f>
        <v>9215</v>
      </c>
      <c r="AG49" s="42">
        <f t="shared" ref="AG49" si="11">SUM(AG50:AG55)</f>
        <v>8555</v>
      </c>
      <c r="AH49" s="42">
        <f t="shared" ref="AH49" si="12">SUM(AH50:AH55)</f>
        <v>7567</v>
      </c>
      <c r="AI49" s="42">
        <f t="shared" ref="AI49" si="13">SUM(AI50:AI55)</f>
        <v>6259</v>
      </c>
      <c r="AJ49" s="42">
        <f t="shared" ref="AJ49" si="14">SUM(AJ50:AJ55)</f>
        <v>4377</v>
      </c>
      <c r="AK49" s="42">
        <f t="shared" ref="AK49" si="15">SUM(AK50:AK55)</f>
        <v>4642</v>
      </c>
      <c r="AL49" s="523"/>
      <c r="AN49" s="323" t="s">
        <v>247</v>
      </c>
      <c r="AO49" s="324">
        <f t="shared" ref="AO49:AP49" si="16">SUM(AO42:AO48)</f>
        <v>581977</v>
      </c>
      <c r="AP49" s="360">
        <f t="shared" si="16"/>
        <v>0.99999999999999989</v>
      </c>
      <c r="AQ49" s="324">
        <f>SUM(AQ42:AQ48)</f>
        <v>320605</v>
      </c>
      <c r="AR49" s="360">
        <f>SUM(AR42:AR48)</f>
        <v>0.99999999999999989</v>
      </c>
      <c r="AT49" s="224" t="s">
        <v>767</v>
      </c>
      <c r="AU49" s="10">
        <v>1</v>
      </c>
      <c r="AV49" s="10">
        <v>0</v>
      </c>
      <c r="AW49" s="10">
        <v>0</v>
      </c>
      <c r="AX49" s="10">
        <v>0</v>
      </c>
      <c r="AY49" s="10">
        <v>0</v>
      </c>
      <c r="AZ49" s="10">
        <v>0</v>
      </c>
      <c r="BB49" s="224" t="s">
        <v>240</v>
      </c>
      <c r="BC49" s="198">
        <v>8.9</v>
      </c>
      <c r="BD49" s="198">
        <v>12.8</v>
      </c>
      <c r="BE49" s="198">
        <v>16.100000000000001</v>
      </c>
      <c r="BG49" s="224" t="s">
        <v>240</v>
      </c>
      <c r="BH49" s="235">
        <v>45</v>
      </c>
      <c r="BI49" s="235">
        <v>39</v>
      </c>
      <c r="BJ49" s="235">
        <v>38</v>
      </c>
    </row>
    <row r="50" spans="1:65" ht="14.5" customHeight="1" x14ac:dyDescent="0.35">
      <c r="A50" s="205" t="s">
        <v>287</v>
      </c>
      <c r="Z50" s="30" t="s">
        <v>110</v>
      </c>
      <c r="AA50" s="31">
        <v>11490</v>
      </c>
      <c r="AB50" s="31">
        <v>12285</v>
      </c>
      <c r="AC50" s="31">
        <v>11953</v>
      </c>
      <c r="AD50" s="31">
        <v>11438</v>
      </c>
      <c r="AE50" s="31">
        <v>10548</v>
      </c>
      <c r="AF50" s="31">
        <v>9045</v>
      </c>
      <c r="AG50" s="31">
        <v>8360</v>
      </c>
      <c r="AH50" s="31">
        <v>7367</v>
      </c>
      <c r="AI50" s="31">
        <v>5899</v>
      </c>
      <c r="AJ50" s="31">
        <v>4144</v>
      </c>
      <c r="AK50" s="24">
        <v>4241</v>
      </c>
      <c r="AL50" s="523"/>
      <c r="AT50" s="4" t="s">
        <v>769</v>
      </c>
      <c r="AU50" s="9">
        <v>805381</v>
      </c>
      <c r="AV50" s="9">
        <v>807421</v>
      </c>
      <c r="AW50" s="9">
        <v>807479</v>
      </c>
      <c r="AX50" s="9">
        <v>793138</v>
      </c>
      <c r="AY50" s="9">
        <v>780700</v>
      </c>
      <c r="AZ50" s="9">
        <v>760418</v>
      </c>
      <c r="BB50" s="515" t="s">
        <v>845</v>
      </c>
      <c r="BC50" s="515"/>
      <c r="BD50" s="515"/>
      <c r="BE50" s="515"/>
      <c r="BG50" s="358" t="s">
        <v>843</v>
      </c>
      <c r="BH50" s="339"/>
      <c r="BI50" s="339"/>
      <c r="BJ50" s="339"/>
    </row>
    <row r="51" spans="1:65" ht="15.5" x14ac:dyDescent="0.35">
      <c r="A51" s="319"/>
      <c r="B51" s="319"/>
      <c r="C51" s="319"/>
      <c r="D51" s="319"/>
      <c r="E51" s="319"/>
      <c r="F51" s="319"/>
      <c r="G51" s="319"/>
      <c r="H51" s="319"/>
      <c r="I51" s="319"/>
      <c r="J51" s="319"/>
      <c r="K51" s="319"/>
      <c r="L51" s="319"/>
      <c r="M51" s="319"/>
      <c r="N51" s="319"/>
      <c r="O51" s="319"/>
      <c r="P51" s="319"/>
      <c r="Q51" s="319"/>
      <c r="R51" s="319"/>
      <c r="S51" s="319"/>
      <c r="T51" s="319"/>
      <c r="U51" s="319"/>
      <c r="V51" s="319"/>
      <c r="Z51" s="30" t="s">
        <v>109</v>
      </c>
      <c r="AA51" s="31">
        <v>477</v>
      </c>
      <c r="AB51" s="31">
        <v>522</v>
      </c>
      <c r="AC51" s="31">
        <v>481</v>
      </c>
      <c r="AD51" s="31">
        <v>418</v>
      </c>
      <c r="AE51" s="31">
        <v>326</v>
      </c>
      <c r="AF51" s="31">
        <v>40</v>
      </c>
      <c r="AG51" s="31">
        <v>44</v>
      </c>
      <c r="AH51" s="31">
        <v>43</v>
      </c>
      <c r="AI51" s="31">
        <v>27</v>
      </c>
      <c r="AJ51" s="31">
        <v>2</v>
      </c>
      <c r="AK51" s="24">
        <v>0</v>
      </c>
      <c r="AL51" s="523"/>
      <c r="AN51" s="189" t="s">
        <v>2181</v>
      </c>
      <c r="AO51" s="33"/>
      <c r="AP51" s="33"/>
      <c r="AQ51" s="33"/>
      <c r="AR51" s="33"/>
      <c r="AT51" s="224" t="s">
        <v>110</v>
      </c>
      <c r="AU51" s="10">
        <v>704158</v>
      </c>
      <c r="AV51" s="10">
        <v>707685</v>
      </c>
      <c r="AW51" s="10">
        <v>709171</v>
      </c>
      <c r="AX51" s="10">
        <v>698419</v>
      </c>
      <c r="AY51" s="10">
        <v>687628</v>
      </c>
      <c r="AZ51" s="10">
        <v>669036</v>
      </c>
      <c r="BB51" s="515"/>
      <c r="BC51" s="515"/>
      <c r="BD51" s="515"/>
      <c r="BE51" s="515"/>
      <c r="BG51" s="339"/>
      <c r="BH51" s="339"/>
      <c r="BI51" s="339"/>
    </row>
    <row r="52" spans="1:65" ht="16" thickBot="1" x14ac:dyDescent="0.4">
      <c r="A52" s="508" t="s">
        <v>2263</v>
      </c>
      <c r="B52" s="508"/>
      <c r="C52" s="508"/>
      <c r="D52" s="508"/>
      <c r="E52" s="508"/>
      <c r="F52" s="508"/>
      <c r="G52" s="508"/>
      <c r="H52" s="508"/>
      <c r="I52" s="508"/>
      <c r="J52" s="508"/>
      <c r="K52" s="508"/>
      <c r="L52" s="508"/>
      <c r="M52" s="508"/>
      <c r="N52" s="508"/>
      <c r="O52" s="508"/>
      <c r="P52" s="508"/>
      <c r="Q52" s="508"/>
      <c r="R52" s="508"/>
      <c r="S52" s="508"/>
      <c r="T52" s="508"/>
      <c r="U52" s="508"/>
      <c r="V52" s="508"/>
      <c r="Z52" s="30" t="s">
        <v>128</v>
      </c>
      <c r="AA52" s="31">
        <v>1</v>
      </c>
      <c r="AB52" s="31">
        <v>1</v>
      </c>
      <c r="AC52" s="31">
        <v>6</v>
      </c>
      <c r="AD52" s="31">
        <v>8</v>
      </c>
      <c r="AE52" s="31">
        <v>7</v>
      </c>
      <c r="AF52" s="31">
        <v>5</v>
      </c>
      <c r="AG52" s="31">
        <v>10</v>
      </c>
      <c r="AH52" s="31">
        <v>37</v>
      </c>
      <c r="AI52" s="31">
        <v>83</v>
      </c>
      <c r="AJ52" s="31">
        <v>71</v>
      </c>
      <c r="AK52" s="24">
        <v>147</v>
      </c>
      <c r="AL52" s="523"/>
      <c r="AN52" s="105" t="s">
        <v>1435</v>
      </c>
      <c r="AO52" s="105" t="s">
        <v>2187</v>
      </c>
      <c r="AP52" s="105" t="s">
        <v>2188</v>
      </c>
      <c r="AQ52" s="105" t="s">
        <v>2183</v>
      </c>
      <c r="AR52" s="105" t="s">
        <v>2184</v>
      </c>
      <c r="AT52" s="224" t="s">
        <v>109</v>
      </c>
      <c r="AU52" s="10">
        <v>100996</v>
      </c>
      <c r="AV52" s="10">
        <v>99534</v>
      </c>
      <c r="AW52" s="10">
        <v>98119</v>
      </c>
      <c r="AX52" s="10">
        <v>94546</v>
      </c>
      <c r="AY52" s="10">
        <v>92370</v>
      </c>
      <c r="AZ52" s="10">
        <v>89288</v>
      </c>
    </row>
    <row r="53" spans="1:65" ht="16.5" thickTop="1" thickBot="1" x14ac:dyDescent="0.4">
      <c r="A53" s="190"/>
      <c r="B53" s="223">
        <v>2000</v>
      </c>
      <c r="C53" s="107">
        <v>2001</v>
      </c>
      <c r="D53" s="107">
        <v>2002</v>
      </c>
      <c r="E53" s="107">
        <v>2003</v>
      </c>
      <c r="F53" s="107">
        <v>2004</v>
      </c>
      <c r="G53" s="107">
        <v>2005</v>
      </c>
      <c r="H53" s="107">
        <v>2006</v>
      </c>
      <c r="I53" s="107">
        <v>2007</v>
      </c>
      <c r="J53" s="107">
        <v>2008</v>
      </c>
      <c r="K53" s="107">
        <v>2009</v>
      </c>
      <c r="L53" s="107">
        <v>2010</v>
      </c>
      <c r="M53" s="107">
        <v>2011</v>
      </c>
      <c r="N53" s="107">
        <v>2012</v>
      </c>
      <c r="O53" s="107">
        <v>2013</v>
      </c>
      <c r="P53" s="107">
        <v>2014</v>
      </c>
      <c r="Q53" s="107">
        <v>2015</v>
      </c>
      <c r="R53" s="107">
        <v>2016</v>
      </c>
      <c r="S53" s="107">
        <v>2017</v>
      </c>
      <c r="T53" s="107">
        <v>2018</v>
      </c>
      <c r="U53" s="107">
        <v>2019</v>
      </c>
      <c r="V53" s="107">
        <v>2020</v>
      </c>
      <c r="Z53" s="30" t="s">
        <v>129</v>
      </c>
      <c r="AA53" s="31">
        <v>112</v>
      </c>
      <c r="AB53" s="31">
        <v>218</v>
      </c>
      <c r="AC53" s="31">
        <v>194</v>
      </c>
      <c r="AD53" s="31">
        <v>167</v>
      </c>
      <c r="AE53" s="31">
        <v>133</v>
      </c>
      <c r="AF53" s="31">
        <v>109</v>
      </c>
      <c r="AG53" s="31">
        <v>132</v>
      </c>
      <c r="AH53" s="31">
        <v>103</v>
      </c>
      <c r="AI53" s="31">
        <v>213</v>
      </c>
      <c r="AJ53" s="31">
        <v>127</v>
      </c>
      <c r="AK53" s="24">
        <v>215</v>
      </c>
      <c r="AL53" s="523"/>
      <c r="AN53" s="18" t="s">
        <v>541</v>
      </c>
      <c r="AO53" s="10">
        <v>71069</v>
      </c>
      <c r="AP53" s="34">
        <f>AO53/$AO$59</f>
        <v>5.0561290152753166E-2</v>
      </c>
      <c r="AQ53" s="10">
        <v>33648</v>
      </c>
      <c r="AR53" s="34">
        <f t="shared" ref="AR53:AR58" si="17">AQ53/$AQ$59</f>
        <v>2.506757099051473E-2</v>
      </c>
      <c r="AT53" s="224" t="s">
        <v>128</v>
      </c>
      <c r="AU53" s="10">
        <v>0</v>
      </c>
      <c r="AV53" s="10">
        <v>0</v>
      </c>
      <c r="AW53" s="10">
        <v>0</v>
      </c>
      <c r="AX53" s="10">
        <v>0</v>
      </c>
      <c r="AY53" s="24">
        <v>0</v>
      </c>
      <c r="AZ53" s="31">
        <v>74</v>
      </c>
      <c r="BB53" s="231" t="s">
        <v>836</v>
      </c>
    </row>
    <row r="54" spans="1:65" ht="15.5" thickTop="1" thickBot="1" x14ac:dyDescent="0.4">
      <c r="A54" s="203" t="s">
        <v>34</v>
      </c>
      <c r="B54" s="41">
        <v>58.510326999999997</v>
      </c>
      <c r="C54" s="41">
        <v>60.589537999999997</v>
      </c>
      <c r="D54" s="41">
        <v>60.051149000000002</v>
      </c>
      <c r="E54" s="41">
        <v>54.870119000000003</v>
      </c>
      <c r="F54" s="41">
        <v>52.679502999999997</v>
      </c>
      <c r="G54" s="41">
        <v>53.703543000000003</v>
      </c>
      <c r="H54" s="41">
        <v>53.609431000000001</v>
      </c>
      <c r="I54" s="41">
        <v>56.342706</v>
      </c>
      <c r="J54" s="41">
        <v>53.907528999999997</v>
      </c>
      <c r="K54" s="41">
        <v>51.538646</v>
      </c>
      <c r="L54" s="41">
        <v>48.963717000000003</v>
      </c>
      <c r="M54" s="41">
        <v>43.331597000000002</v>
      </c>
      <c r="N54" s="41">
        <v>45.228797999999998</v>
      </c>
      <c r="O54" s="41">
        <v>46.159402999999998</v>
      </c>
      <c r="P54" s="41">
        <v>45.739311000000001</v>
      </c>
      <c r="Q54" s="41">
        <v>41.92577</v>
      </c>
      <c r="R54" s="41">
        <v>41.821511999999998</v>
      </c>
      <c r="S54" s="41">
        <v>41.160294</v>
      </c>
      <c r="T54" s="41">
        <v>40.431137999999997</v>
      </c>
      <c r="U54" s="41">
        <v>40.891452999999998</v>
      </c>
      <c r="V54" s="41">
        <v>33.059666</v>
      </c>
      <c r="Z54" s="30" t="s">
        <v>130</v>
      </c>
      <c r="AA54" s="31">
        <v>0</v>
      </c>
      <c r="AB54" s="31">
        <v>7</v>
      </c>
      <c r="AC54" s="31">
        <v>11</v>
      </c>
      <c r="AD54" s="31">
        <v>11</v>
      </c>
      <c r="AE54" s="31">
        <v>9</v>
      </c>
      <c r="AF54" s="31">
        <v>16</v>
      </c>
      <c r="AG54" s="31">
        <v>9</v>
      </c>
      <c r="AH54" s="31">
        <v>17</v>
      </c>
      <c r="AI54" s="31">
        <v>37</v>
      </c>
      <c r="AJ54" s="31">
        <v>33</v>
      </c>
      <c r="AK54" s="24">
        <v>39</v>
      </c>
      <c r="AL54" s="523"/>
      <c r="AN54" s="18" t="s">
        <v>537</v>
      </c>
      <c r="AO54" s="10">
        <v>29975</v>
      </c>
      <c r="AP54" s="34">
        <f t="shared" ref="AP54:AP58" si="18">AO54/$AO$59</f>
        <v>2.1325397463433791E-2</v>
      </c>
      <c r="AQ54" s="10">
        <v>27749</v>
      </c>
      <c r="AR54" s="34">
        <f t="shared" si="17"/>
        <v>2.0672849126717584E-2</v>
      </c>
      <c r="AT54" s="224" t="s">
        <v>129</v>
      </c>
      <c r="AU54" s="10">
        <v>178</v>
      </c>
      <c r="AV54" s="10">
        <v>162</v>
      </c>
      <c r="AW54" s="10">
        <v>154</v>
      </c>
      <c r="AX54" s="10">
        <v>146</v>
      </c>
      <c r="AY54" s="10">
        <v>683</v>
      </c>
      <c r="AZ54" s="10">
        <v>1998</v>
      </c>
      <c r="BB54" s="21" t="s">
        <v>513</v>
      </c>
      <c r="BC54" s="21" t="s">
        <v>834</v>
      </c>
      <c r="BD54" s="21" t="s">
        <v>246</v>
      </c>
      <c r="BE54" s="21" t="s">
        <v>627</v>
      </c>
      <c r="BF54" s="21" t="s">
        <v>835</v>
      </c>
      <c r="BG54" s="21" t="s">
        <v>240</v>
      </c>
    </row>
    <row r="55" spans="1:65" ht="15.5" thickTop="1" thickBot="1" x14ac:dyDescent="0.4">
      <c r="A55" s="218" t="s">
        <v>35</v>
      </c>
      <c r="B55" s="22">
        <v>2.9907E-2</v>
      </c>
      <c r="C55" s="22">
        <v>3.2308999999999997E-2</v>
      </c>
      <c r="D55" s="22">
        <v>3.3716999999999997E-2</v>
      </c>
      <c r="E55" s="22">
        <v>3.3021000000000002E-2</v>
      </c>
      <c r="F55" s="22">
        <v>3.4851E-2</v>
      </c>
      <c r="G55" s="22">
        <v>3.9049E-2</v>
      </c>
      <c r="H55" s="22">
        <v>4.4683E-2</v>
      </c>
      <c r="I55" s="22">
        <v>3.9667000000000001E-2</v>
      </c>
      <c r="J55" s="22">
        <v>4.1517999999999999E-2</v>
      </c>
      <c r="K55" s="22">
        <v>3.4529999999999998E-2</v>
      </c>
      <c r="L55" s="22">
        <v>3.9079999999999997E-2</v>
      </c>
      <c r="M55" s="22">
        <v>0.179863</v>
      </c>
      <c r="N55" s="22">
        <v>0.121865</v>
      </c>
      <c r="O55" s="22">
        <v>8.6324999999999999E-2</v>
      </c>
      <c r="P55" s="22">
        <v>0.24099899999999999</v>
      </c>
      <c r="Q55" s="22">
        <v>0.106944</v>
      </c>
      <c r="R55" s="22">
        <v>7.3394000000000001E-2</v>
      </c>
      <c r="S55" s="22">
        <v>5.2142000000000001E-2</v>
      </c>
      <c r="T55" s="22">
        <v>3.3745999999999998E-2</v>
      </c>
      <c r="U55" s="22">
        <v>1.8699E-2</v>
      </c>
      <c r="V55" s="22">
        <v>9.6249999999999999E-3</v>
      </c>
      <c r="Z55" s="23" t="s">
        <v>188</v>
      </c>
      <c r="AA55" s="24">
        <v>0</v>
      </c>
      <c r="AB55" s="24">
        <v>0</v>
      </c>
      <c r="AC55" s="24">
        <v>0</v>
      </c>
      <c r="AD55" s="24">
        <v>0</v>
      </c>
      <c r="AE55" s="24">
        <v>0</v>
      </c>
      <c r="AF55" s="24">
        <v>0</v>
      </c>
      <c r="AG55" s="24">
        <v>0</v>
      </c>
      <c r="AH55" s="24">
        <v>0</v>
      </c>
      <c r="AI55" s="24">
        <v>0</v>
      </c>
      <c r="AJ55" s="24">
        <v>0</v>
      </c>
      <c r="AK55" s="24">
        <v>0</v>
      </c>
      <c r="AL55" s="524"/>
      <c r="AN55" s="18" t="s">
        <v>538</v>
      </c>
      <c r="AO55" s="10">
        <v>361195</v>
      </c>
      <c r="AP55" s="34">
        <f t="shared" si="18"/>
        <v>0.25696837153644597</v>
      </c>
      <c r="AQ55" s="10">
        <v>317412</v>
      </c>
      <c r="AR55" s="34">
        <f t="shared" si="17"/>
        <v>0.23647015701501611</v>
      </c>
      <c r="AT55" s="224" t="s">
        <v>130</v>
      </c>
      <c r="AU55" s="10">
        <v>0</v>
      </c>
      <c r="AV55" s="10">
        <v>0</v>
      </c>
      <c r="AW55" s="10">
        <v>0</v>
      </c>
      <c r="AX55" s="10">
        <v>0</v>
      </c>
      <c r="AY55" s="24">
        <v>0</v>
      </c>
      <c r="AZ55" s="10">
        <v>0</v>
      </c>
      <c r="BB55" s="340" t="s">
        <v>840</v>
      </c>
      <c r="BC55" s="3" t="s">
        <v>837</v>
      </c>
      <c r="BD55" s="236">
        <v>4.5999999999999999E-2</v>
      </c>
      <c r="BE55" s="236">
        <v>4.5999999999999999E-2</v>
      </c>
      <c r="BF55" s="236">
        <v>5.7000000000000002E-2</v>
      </c>
      <c r="BG55" s="236">
        <v>4.9000000000000002E-2</v>
      </c>
    </row>
    <row r="56" spans="1:65" x14ac:dyDescent="0.35">
      <c r="A56" s="217" t="s">
        <v>36</v>
      </c>
      <c r="B56" s="22">
        <v>56.791713999999999</v>
      </c>
      <c r="C56" s="22">
        <v>58.8977</v>
      </c>
      <c r="D56" s="22">
        <v>58.532380000000003</v>
      </c>
      <c r="E56" s="22">
        <v>53.499474999999997</v>
      </c>
      <c r="F56" s="22">
        <v>51.502597000000002</v>
      </c>
      <c r="G56" s="22">
        <v>52.683559000000002</v>
      </c>
      <c r="H56" s="22">
        <v>52.191122</v>
      </c>
      <c r="I56" s="22">
        <v>54.793256</v>
      </c>
      <c r="J56" s="22">
        <v>52.634569999999997</v>
      </c>
      <c r="K56" s="22">
        <v>50.244028</v>
      </c>
      <c r="L56" s="22">
        <v>47.626863999999998</v>
      </c>
      <c r="M56" s="22">
        <v>40.170250000000003</v>
      </c>
      <c r="N56" s="22">
        <v>41.505031000000002</v>
      </c>
      <c r="O56" s="22">
        <v>42.982137000000002</v>
      </c>
      <c r="P56" s="22">
        <v>42.211852</v>
      </c>
      <c r="Q56" s="22">
        <v>40.475794</v>
      </c>
      <c r="R56" s="22">
        <v>40.583831000000004</v>
      </c>
      <c r="S56" s="22">
        <v>40.023752000000002</v>
      </c>
      <c r="T56" s="22">
        <v>39.278523999999997</v>
      </c>
      <c r="U56" s="22">
        <v>39.825541999999999</v>
      </c>
      <c r="V56" s="22">
        <v>32.104089999999999</v>
      </c>
      <c r="Z56" s="41" t="s">
        <v>189</v>
      </c>
      <c r="AA56" s="42">
        <f>SUM(AA57:AA62)</f>
        <v>20311</v>
      </c>
      <c r="AB56" s="42">
        <f t="shared" ref="AB56" si="19">SUM(AB57:AB62)</f>
        <v>21928</v>
      </c>
      <c r="AC56" s="42">
        <f t="shared" ref="AC56" si="20">SUM(AC57:AC62)</f>
        <v>23180</v>
      </c>
      <c r="AD56" s="42">
        <f t="shared" ref="AD56" si="21">SUM(AD57:AD62)</f>
        <v>21983</v>
      </c>
      <c r="AE56" s="42">
        <f t="shared" ref="AE56" si="22">SUM(AE57:AE62)</f>
        <v>21882</v>
      </c>
      <c r="AF56" s="42">
        <f t="shared" ref="AF56" si="23">SUM(AF57:AF62)</f>
        <v>19653</v>
      </c>
      <c r="AG56" s="42">
        <f t="shared" ref="AG56" si="24">SUM(AG57:AG62)</f>
        <v>21664</v>
      </c>
      <c r="AH56" s="42">
        <f t="shared" ref="AH56" si="25">SUM(AH57:AH62)</f>
        <v>19084</v>
      </c>
      <c r="AI56" s="42">
        <f t="shared" ref="AI56" si="26">SUM(AI57:AI62)</f>
        <v>18441</v>
      </c>
      <c r="AJ56" s="42">
        <f t="shared" ref="AJ56" si="27">SUM(AJ57:AJ62)</f>
        <v>18010</v>
      </c>
      <c r="AK56" s="42">
        <f t="shared" ref="AK56" si="28">SUM(AK57:AK62)</f>
        <v>15678</v>
      </c>
      <c r="AL56"/>
      <c r="AN56" s="18" t="s">
        <v>539</v>
      </c>
      <c r="AO56" s="10">
        <v>742105</v>
      </c>
      <c r="AP56" s="34">
        <f t="shared" si="18"/>
        <v>0.52796277179654827</v>
      </c>
      <c r="AQ56" s="10">
        <v>763343</v>
      </c>
      <c r="AR56" s="34">
        <f t="shared" si="17"/>
        <v>0.56868624710569682</v>
      </c>
      <c r="AT56" s="224" t="s">
        <v>767</v>
      </c>
      <c r="AU56" s="10">
        <v>49</v>
      </c>
      <c r="AV56" s="10">
        <v>40</v>
      </c>
      <c r="AW56" s="10">
        <v>35</v>
      </c>
      <c r="AX56" s="10">
        <v>27</v>
      </c>
      <c r="AY56" s="10">
        <v>19</v>
      </c>
      <c r="AZ56" s="10">
        <v>22</v>
      </c>
      <c r="BB56" s="206"/>
      <c r="BC56" s="3" t="s">
        <v>838</v>
      </c>
      <c r="BD56" s="236">
        <v>7.5999999999999998E-2</v>
      </c>
      <c r="BE56" s="236">
        <v>0.11799999999999999</v>
      </c>
      <c r="BF56" s="236">
        <v>0.11799999999999999</v>
      </c>
      <c r="BG56" s="236">
        <v>0.11700000000000001</v>
      </c>
    </row>
    <row r="57" spans="1:65" x14ac:dyDescent="0.35">
      <c r="A57" s="217" t="s">
        <v>37</v>
      </c>
      <c r="B57" s="22">
        <v>0.26331700000000002</v>
      </c>
      <c r="C57" s="22">
        <v>0.37182799999999999</v>
      </c>
      <c r="D57" s="22">
        <v>0.47708899999999999</v>
      </c>
      <c r="E57" s="22">
        <v>0.43956400000000001</v>
      </c>
      <c r="F57" s="22">
        <v>0.40891100000000002</v>
      </c>
      <c r="G57" s="22">
        <v>0.52964599999999995</v>
      </c>
      <c r="H57" s="22">
        <v>0.63524099999999994</v>
      </c>
      <c r="I57" s="22">
        <v>0.77420999999999995</v>
      </c>
      <c r="J57" s="22">
        <v>0.73330399999999996</v>
      </c>
      <c r="K57" s="22">
        <v>0.85362400000000005</v>
      </c>
      <c r="L57" s="22">
        <v>0.95705799999999996</v>
      </c>
      <c r="M57" s="22">
        <v>0.931925</v>
      </c>
      <c r="N57" s="22">
        <v>0.92029000000000005</v>
      </c>
      <c r="O57" s="22">
        <v>0.95744300000000004</v>
      </c>
      <c r="P57" s="22">
        <v>1.0286500000000001</v>
      </c>
      <c r="Q57" s="22">
        <v>0.91447800000000001</v>
      </c>
      <c r="R57" s="22">
        <v>0.77274900000000002</v>
      </c>
      <c r="S57" s="22">
        <v>0.75344599999999995</v>
      </c>
      <c r="T57" s="22">
        <v>0.79727199999999998</v>
      </c>
      <c r="U57" s="22">
        <v>0.72377999999999998</v>
      </c>
      <c r="V57" s="22">
        <v>0.63810199999999995</v>
      </c>
      <c r="Z57" s="30" t="s">
        <v>110</v>
      </c>
      <c r="AA57" s="31">
        <v>16886</v>
      </c>
      <c r="AB57" s="31">
        <v>18282</v>
      </c>
      <c r="AC57" s="31">
        <v>19543</v>
      </c>
      <c r="AD57" s="31">
        <v>18423</v>
      </c>
      <c r="AE57" s="31">
        <v>18201</v>
      </c>
      <c r="AF57" s="31">
        <v>15839</v>
      </c>
      <c r="AG57" s="31">
        <v>18169</v>
      </c>
      <c r="AH57" s="31">
        <v>15789</v>
      </c>
      <c r="AI57" s="31">
        <v>15538</v>
      </c>
      <c r="AJ57" s="31">
        <v>14425</v>
      </c>
      <c r="AK57" s="24">
        <v>12066</v>
      </c>
      <c r="AL57"/>
      <c r="AN57" s="18" t="s">
        <v>540</v>
      </c>
      <c r="AO57" s="10">
        <v>153791</v>
      </c>
      <c r="AP57" s="34">
        <f t="shared" si="18"/>
        <v>0.10941298419679553</v>
      </c>
      <c r="AQ57" s="10">
        <v>164298</v>
      </c>
      <c r="AR57" s="34">
        <f t="shared" si="17"/>
        <v>0.1224010870958033</v>
      </c>
      <c r="AT57" s="4" t="s">
        <v>770</v>
      </c>
      <c r="AU57" s="9">
        <v>239300</v>
      </c>
      <c r="AV57" s="9">
        <v>234810</v>
      </c>
      <c r="AW57" s="9">
        <v>228835</v>
      </c>
      <c r="AX57" s="9">
        <v>218273</v>
      </c>
      <c r="AY57" s="9">
        <v>210688</v>
      </c>
      <c r="AZ57" s="9">
        <v>201867</v>
      </c>
      <c r="BB57" s="206"/>
      <c r="BC57" s="3" t="s">
        <v>839</v>
      </c>
      <c r="BD57" s="236">
        <v>0.111</v>
      </c>
      <c r="BE57" s="236">
        <v>0.27</v>
      </c>
      <c r="BF57" s="236">
        <v>0.23300000000000001</v>
      </c>
      <c r="BG57" s="236">
        <v>0.23100000000000001</v>
      </c>
    </row>
    <row r="58" spans="1:65" x14ac:dyDescent="0.35">
      <c r="A58" s="217" t="s">
        <v>38</v>
      </c>
      <c r="B58" s="22" t="s">
        <v>39</v>
      </c>
      <c r="C58" s="22" t="s">
        <v>39</v>
      </c>
      <c r="D58" s="22" t="s">
        <v>39</v>
      </c>
      <c r="E58" s="22" t="s">
        <v>39</v>
      </c>
      <c r="F58" s="22" t="s">
        <v>39</v>
      </c>
      <c r="G58" s="22" t="s">
        <v>39</v>
      </c>
      <c r="H58" s="22" t="s">
        <v>39</v>
      </c>
      <c r="I58" s="22" t="s">
        <v>39</v>
      </c>
      <c r="J58" s="22" t="s">
        <v>39</v>
      </c>
      <c r="K58" s="22" t="s">
        <v>39</v>
      </c>
      <c r="L58" s="22" t="s">
        <v>39</v>
      </c>
      <c r="M58" s="22">
        <v>1.6083270000000001</v>
      </c>
      <c r="N58" s="22">
        <v>2.2954439999999998</v>
      </c>
      <c r="O58" s="22">
        <v>1.668242</v>
      </c>
      <c r="P58" s="22">
        <v>1.8921760000000001</v>
      </c>
      <c r="Q58" s="22" t="s">
        <v>39</v>
      </c>
      <c r="R58" s="22" t="s">
        <v>39</v>
      </c>
      <c r="S58" s="22" t="s">
        <v>39</v>
      </c>
      <c r="T58" s="22" t="s">
        <v>39</v>
      </c>
      <c r="U58" s="22" t="s">
        <v>39</v>
      </c>
      <c r="V58" s="22" t="s">
        <v>39</v>
      </c>
      <c r="Z58" s="30" t="s">
        <v>109</v>
      </c>
      <c r="AA58" s="31">
        <v>3422</v>
      </c>
      <c r="AB58" s="31">
        <v>3643</v>
      </c>
      <c r="AC58" s="31">
        <v>3635</v>
      </c>
      <c r="AD58" s="31">
        <v>3556</v>
      </c>
      <c r="AE58" s="31">
        <v>3681</v>
      </c>
      <c r="AF58" s="31">
        <v>3813</v>
      </c>
      <c r="AG58" s="31">
        <v>3495</v>
      </c>
      <c r="AH58" s="31">
        <v>3295</v>
      </c>
      <c r="AI58" s="31">
        <v>2903</v>
      </c>
      <c r="AJ58" s="31">
        <v>3585</v>
      </c>
      <c r="AK58" s="24">
        <v>3390</v>
      </c>
      <c r="AL58"/>
      <c r="AN58" s="18" t="s">
        <v>542</v>
      </c>
      <c r="AO58" s="10">
        <v>47466</v>
      </c>
      <c r="AP58" s="34">
        <f t="shared" si="18"/>
        <v>3.3769184854023297E-2</v>
      </c>
      <c r="AQ58" s="10">
        <v>35842</v>
      </c>
      <c r="AR58" s="34">
        <f t="shared" si="17"/>
        <v>2.6702088666251456E-2</v>
      </c>
      <c r="AT58" s="224" t="s">
        <v>110</v>
      </c>
      <c r="AU58" s="10">
        <v>235218</v>
      </c>
      <c r="AV58" s="10">
        <v>230610</v>
      </c>
      <c r="AW58" s="10">
        <v>224524</v>
      </c>
      <c r="AX58" s="10">
        <v>214044</v>
      </c>
      <c r="AY58" s="10">
        <v>205896</v>
      </c>
      <c r="AZ58" s="10">
        <v>196158</v>
      </c>
      <c r="BB58" s="234" t="s">
        <v>841</v>
      </c>
      <c r="BC58" s="3" t="s">
        <v>837</v>
      </c>
      <c r="BD58" s="236">
        <v>0.06</v>
      </c>
      <c r="BE58" s="236">
        <v>0.06</v>
      </c>
      <c r="BF58" s="236">
        <v>7.4999999999999997E-2</v>
      </c>
      <c r="BG58" s="236">
        <v>6.4000000000000001E-2</v>
      </c>
    </row>
    <row r="59" spans="1:65" x14ac:dyDescent="0.35">
      <c r="A59" s="217" t="s">
        <v>40</v>
      </c>
      <c r="B59" s="22">
        <v>1.4253880000000001</v>
      </c>
      <c r="C59" s="22">
        <v>1.287701</v>
      </c>
      <c r="D59" s="22">
        <v>1.0079629999999999</v>
      </c>
      <c r="E59" s="22">
        <v>0.89805900000000005</v>
      </c>
      <c r="F59" s="22">
        <v>0.73314400000000002</v>
      </c>
      <c r="G59" s="22">
        <v>0.45129000000000002</v>
      </c>
      <c r="H59" s="22">
        <v>0.73838499999999996</v>
      </c>
      <c r="I59" s="22">
        <v>0.73557399999999995</v>
      </c>
      <c r="J59" s="22">
        <v>0.49813600000000002</v>
      </c>
      <c r="K59" s="22">
        <v>0.40646399999999999</v>
      </c>
      <c r="L59" s="22">
        <v>0.34071499999999999</v>
      </c>
      <c r="M59" s="22">
        <v>0.44123099999999998</v>
      </c>
      <c r="N59" s="22">
        <v>0.38616699999999998</v>
      </c>
      <c r="O59" s="22">
        <v>0.465256</v>
      </c>
      <c r="P59" s="22">
        <v>0.36563400000000001</v>
      </c>
      <c r="Q59" s="22">
        <v>0.42855399999999999</v>
      </c>
      <c r="R59" s="22">
        <v>0.391538</v>
      </c>
      <c r="S59" s="22">
        <v>0.33095400000000003</v>
      </c>
      <c r="T59" s="22">
        <v>0.32159599999999999</v>
      </c>
      <c r="U59" s="22">
        <v>0.32343300000000003</v>
      </c>
      <c r="V59" s="22">
        <v>0.30784800000000001</v>
      </c>
      <c r="Z59" s="23" t="s">
        <v>128</v>
      </c>
      <c r="AA59" s="24">
        <v>0</v>
      </c>
      <c r="AB59" s="24">
        <v>0</v>
      </c>
      <c r="AC59" s="24">
        <v>0</v>
      </c>
      <c r="AD59" s="24">
        <v>0</v>
      </c>
      <c r="AE59" s="24">
        <v>0</v>
      </c>
      <c r="AF59" s="24">
        <v>0</v>
      </c>
      <c r="AG59" s="24">
        <v>0</v>
      </c>
      <c r="AH59" s="24">
        <v>0</v>
      </c>
      <c r="AI59" s="24">
        <v>0</v>
      </c>
      <c r="AJ59" s="24">
        <v>0</v>
      </c>
      <c r="AK59" s="24">
        <v>0</v>
      </c>
      <c r="AL59"/>
      <c r="AN59" s="323" t="s">
        <v>247</v>
      </c>
      <c r="AO59" s="324">
        <f t="shared" ref="AO59:AP59" si="29">SUM(AO53:AO58)</f>
        <v>1405601</v>
      </c>
      <c r="AP59" s="360">
        <f t="shared" si="29"/>
        <v>1</v>
      </c>
      <c r="AQ59" s="324">
        <f>SUM(AQ53:AQ58)</f>
        <v>1342292</v>
      </c>
      <c r="AR59" s="360">
        <f>SUM(AR53:AR58)</f>
        <v>1</v>
      </c>
      <c r="AT59" s="224" t="s">
        <v>109</v>
      </c>
      <c r="AU59" s="10">
        <v>4056</v>
      </c>
      <c r="AV59" s="10">
        <v>4115</v>
      </c>
      <c r="AW59" s="10">
        <v>4167</v>
      </c>
      <c r="AX59" s="10">
        <v>4069</v>
      </c>
      <c r="AY59" s="10">
        <v>4105</v>
      </c>
      <c r="AZ59" s="10">
        <v>4123</v>
      </c>
      <c r="BB59" s="234"/>
      <c r="BC59" s="3" t="s">
        <v>838</v>
      </c>
      <c r="BD59" s="236">
        <v>9.8000000000000004E-2</v>
      </c>
      <c r="BE59" s="236">
        <v>0.153</v>
      </c>
      <c r="BF59" s="236">
        <v>0.152</v>
      </c>
      <c r="BG59" s="236">
        <v>0.151</v>
      </c>
    </row>
    <row r="60" spans="1:65" x14ac:dyDescent="0.35">
      <c r="A60" s="207" t="s">
        <v>47</v>
      </c>
      <c r="B60" s="452">
        <v>51.253005000000002</v>
      </c>
      <c r="C60" s="452">
        <v>53.895473000000003</v>
      </c>
      <c r="D60" s="452">
        <v>55.923250000000003</v>
      </c>
      <c r="E60" s="452">
        <v>52.967064000000001</v>
      </c>
      <c r="F60" s="452">
        <v>51.817346999999998</v>
      </c>
      <c r="G60" s="452">
        <v>54.920405000000002</v>
      </c>
      <c r="H60" s="452">
        <v>52.961022999999997</v>
      </c>
      <c r="I60" s="452">
        <v>57.835904999999997</v>
      </c>
      <c r="J60" s="452">
        <v>56.485196999999999</v>
      </c>
      <c r="K60" s="452">
        <v>55.395252999999997</v>
      </c>
      <c r="L60" s="452">
        <v>55.532541000000002</v>
      </c>
      <c r="M60" s="452">
        <v>52.4223</v>
      </c>
      <c r="N60" s="452">
        <v>57.865509000000003</v>
      </c>
      <c r="O60" s="452">
        <v>63.37</v>
      </c>
      <c r="P60" s="452">
        <v>67.705662000000004</v>
      </c>
      <c r="Q60" s="452">
        <v>66.167857999999995</v>
      </c>
      <c r="R60" s="452">
        <v>71.280629000000005</v>
      </c>
      <c r="S60" s="452">
        <v>74.430529000000007</v>
      </c>
      <c r="T60" s="452">
        <v>77.375636999999998</v>
      </c>
      <c r="U60" s="452">
        <v>81.704438999999994</v>
      </c>
      <c r="V60" s="452">
        <v>69.350903000000002</v>
      </c>
      <c r="Z60" s="30" t="s">
        <v>129</v>
      </c>
      <c r="AA60" s="31">
        <v>3</v>
      </c>
      <c r="AB60" s="31">
        <v>3</v>
      </c>
      <c r="AC60" s="31">
        <v>2</v>
      </c>
      <c r="AD60" s="31">
        <v>1</v>
      </c>
      <c r="AE60" s="31">
        <v>0</v>
      </c>
      <c r="AF60" s="31">
        <v>0</v>
      </c>
      <c r="AG60" s="31">
        <v>0</v>
      </c>
      <c r="AH60" s="31">
        <v>0</v>
      </c>
      <c r="AI60" s="31">
        <v>0</v>
      </c>
      <c r="AJ60" s="31">
        <v>0</v>
      </c>
      <c r="AK60" s="24">
        <v>222</v>
      </c>
      <c r="AL60"/>
      <c r="AT60" s="224" t="s">
        <v>128</v>
      </c>
      <c r="AU60" s="10">
        <v>2</v>
      </c>
      <c r="AV60" s="10">
        <v>2</v>
      </c>
      <c r="AW60" s="10">
        <v>2</v>
      </c>
      <c r="AX60" s="10">
        <v>2</v>
      </c>
      <c r="AY60" s="24">
        <v>2</v>
      </c>
      <c r="AZ60" s="31">
        <v>11</v>
      </c>
      <c r="BB60" s="234"/>
      <c r="BC60" s="3" t="s">
        <v>839</v>
      </c>
      <c r="BD60" s="236">
        <v>0.14299999999999999</v>
      </c>
      <c r="BE60" s="236">
        <v>0.34899999999999998</v>
      </c>
      <c r="BF60" s="236">
        <v>0.30099999999999999</v>
      </c>
      <c r="BG60" s="236">
        <v>0.29799999999999999</v>
      </c>
    </row>
    <row r="61" spans="1:65" ht="15.5" x14ac:dyDescent="0.35">
      <c r="A61" s="219" t="s">
        <v>36</v>
      </c>
      <c r="B61" s="22">
        <v>48.54813</v>
      </c>
      <c r="C61" s="22">
        <v>50.652422999999999</v>
      </c>
      <c r="D61" s="22">
        <v>52.360897999999999</v>
      </c>
      <c r="E61" s="22">
        <v>50.220827999999997</v>
      </c>
      <c r="F61" s="22">
        <v>49.531360999999997</v>
      </c>
      <c r="G61" s="22">
        <v>52.357849999999999</v>
      </c>
      <c r="H61" s="22">
        <v>52.238871000000003</v>
      </c>
      <c r="I61" s="22">
        <v>57.075736999999997</v>
      </c>
      <c r="J61" s="22">
        <v>55.756104999999998</v>
      </c>
      <c r="K61" s="22">
        <v>54.588284999999999</v>
      </c>
      <c r="L61" s="22">
        <v>54.713796000000002</v>
      </c>
      <c r="M61" s="22">
        <v>49.619529</v>
      </c>
      <c r="N61" s="22">
        <v>54.149934000000002</v>
      </c>
      <c r="O61" s="22">
        <v>60.248196</v>
      </c>
      <c r="P61" s="22">
        <v>63.976430999999998</v>
      </c>
      <c r="Q61" s="22">
        <v>65.215630000000004</v>
      </c>
      <c r="R61" s="22">
        <v>70.344133999999997</v>
      </c>
      <c r="S61" s="22">
        <v>73.462907000000001</v>
      </c>
      <c r="T61" s="22">
        <v>76.261904000000001</v>
      </c>
      <c r="U61" s="22">
        <v>80.552535000000006</v>
      </c>
      <c r="V61" s="22">
        <v>68.119320000000002</v>
      </c>
      <c r="Z61" s="23" t="s">
        <v>130</v>
      </c>
      <c r="AA61" s="24">
        <v>0</v>
      </c>
      <c r="AB61" s="24">
        <v>0</v>
      </c>
      <c r="AC61" s="24">
        <v>0</v>
      </c>
      <c r="AD61" s="24">
        <v>0</v>
      </c>
      <c r="AE61" s="24">
        <v>0</v>
      </c>
      <c r="AF61" s="24">
        <v>0</v>
      </c>
      <c r="AG61" s="24">
        <v>0</v>
      </c>
      <c r="AH61" s="24">
        <v>0</v>
      </c>
      <c r="AI61" s="24">
        <v>0</v>
      </c>
      <c r="AJ61" s="24">
        <v>0</v>
      </c>
      <c r="AK61" s="24">
        <v>0</v>
      </c>
      <c r="AL61"/>
      <c r="AN61" s="189" t="s">
        <v>2182</v>
      </c>
      <c r="AO61" s="33"/>
      <c r="AP61" s="33"/>
      <c r="AQ61" s="33"/>
      <c r="AR61" s="33"/>
      <c r="AT61" s="224" t="s">
        <v>129</v>
      </c>
      <c r="AU61" s="10">
        <v>0</v>
      </c>
      <c r="AV61" s="10">
        <v>0</v>
      </c>
      <c r="AW61" s="10">
        <v>0</v>
      </c>
      <c r="AX61" s="10">
        <v>6</v>
      </c>
      <c r="AY61" s="10">
        <v>520</v>
      </c>
      <c r="AZ61" s="10">
        <v>1314</v>
      </c>
    </row>
    <row r="62" spans="1:65" ht="16" thickBot="1" x14ac:dyDescent="0.4">
      <c r="A62" s="219" t="s">
        <v>37</v>
      </c>
      <c r="B62" s="22">
        <v>2.1886269999999999</v>
      </c>
      <c r="C62" s="22">
        <v>2.7346210000000002</v>
      </c>
      <c r="D62" s="22">
        <v>3.1793589999999998</v>
      </c>
      <c r="E62" s="22">
        <v>2.4119670000000002</v>
      </c>
      <c r="F62" s="22">
        <v>1.9855179999999999</v>
      </c>
      <c r="G62" s="22">
        <v>2.3710619999999998</v>
      </c>
      <c r="H62" s="22">
        <v>0.41743200000000003</v>
      </c>
      <c r="I62" s="22">
        <v>0.45041599999999998</v>
      </c>
      <c r="J62" s="22">
        <v>0.51586900000000002</v>
      </c>
      <c r="K62" s="22">
        <v>0.63961199999999996</v>
      </c>
      <c r="L62" s="22">
        <v>0.68247999999999998</v>
      </c>
      <c r="M62" s="22">
        <v>0.64200599999999997</v>
      </c>
      <c r="N62" s="22">
        <v>0.57108199999999998</v>
      </c>
      <c r="O62" s="22">
        <v>0.60303399999999996</v>
      </c>
      <c r="P62" s="22">
        <v>0.71870599999999996</v>
      </c>
      <c r="Q62" s="22">
        <v>0.78759100000000004</v>
      </c>
      <c r="R62" s="22">
        <v>0.78807000000000005</v>
      </c>
      <c r="S62" s="22">
        <v>0.84308499999999997</v>
      </c>
      <c r="T62" s="22">
        <v>0.99561100000000002</v>
      </c>
      <c r="U62" s="22">
        <v>1.035102</v>
      </c>
      <c r="V62" s="22">
        <v>1.1226929999999999</v>
      </c>
      <c r="X62" s="26"/>
      <c r="Z62" s="23" t="s">
        <v>188</v>
      </c>
      <c r="AA62" s="24">
        <v>0</v>
      </c>
      <c r="AB62" s="24">
        <v>0</v>
      </c>
      <c r="AC62" s="24">
        <v>0</v>
      </c>
      <c r="AD62" s="24">
        <v>3</v>
      </c>
      <c r="AE62" s="24">
        <v>0</v>
      </c>
      <c r="AF62" s="24">
        <v>1</v>
      </c>
      <c r="AG62" s="24">
        <v>0</v>
      </c>
      <c r="AH62" s="24">
        <v>0</v>
      </c>
      <c r="AI62" s="24">
        <v>0</v>
      </c>
      <c r="AJ62" s="24">
        <v>0</v>
      </c>
      <c r="AK62" s="24">
        <v>0</v>
      </c>
      <c r="AL62"/>
      <c r="AN62" s="105" t="s">
        <v>1435</v>
      </c>
      <c r="AO62" s="105" t="s">
        <v>2185</v>
      </c>
      <c r="AP62" s="105" t="s">
        <v>2186</v>
      </c>
      <c r="AT62" s="224" t="s">
        <v>130</v>
      </c>
      <c r="AU62" s="10">
        <v>6</v>
      </c>
      <c r="AV62" s="10">
        <v>31</v>
      </c>
      <c r="AW62" s="10">
        <v>65</v>
      </c>
      <c r="AX62" s="10">
        <v>78</v>
      </c>
      <c r="AY62" s="24">
        <v>103</v>
      </c>
      <c r="AZ62" s="10">
        <v>200</v>
      </c>
      <c r="BB62" s="231" t="s">
        <v>1724</v>
      </c>
    </row>
    <row r="63" spans="1:65" ht="15.5" thickTop="1" thickBot="1" x14ac:dyDescent="0.4">
      <c r="A63" s="219" t="s">
        <v>38</v>
      </c>
      <c r="B63" s="453" t="s">
        <v>39</v>
      </c>
      <c r="C63" s="453" t="s">
        <v>39</v>
      </c>
      <c r="D63" s="453" t="s">
        <v>39</v>
      </c>
      <c r="E63" s="453" t="s">
        <v>39</v>
      </c>
      <c r="F63" s="453" t="s">
        <v>39</v>
      </c>
      <c r="G63" s="453" t="s">
        <v>39</v>
      </c>
      <c r="H63" s="453" t="s">
        <v>39</v>
      </c>
      <c r="I63" s="454" t="s">
        <v>39</v>
      </c>
      <c r="J63" s="454" t="s">
        <v>39</v>
      </c>
      <c r="K63" s="454" t="s">
        <v>39</v>
      </c>
      <c r="L63" s="454" t="s">
        <v>39</v>
      </c>
      <c r="M63" s="454">
        <v>1.9866550000000001</v>
      </c>
      <c r="N63" s="454">
        <v>2.9947729999999999</v>
      </c>
      <c r="O63" s="454">
        <v>2.338381</v>
      </c>
      <c r="P63" s="454">
        <v>2.867788</v>
      </c>
      <c r="Q63" s="453" t="s">
        <v>39</v>
      </c>
      <c r="R63" s="453" t="s">
        <v>39</v>
      </c>
      <c r="S63" s="453" t="s">
        <v>39</v>
      </c>
      <c r="T63" s="453" t="s">
        <v>39</v>
      </c>
      <c r="U63" s="453" t="s">
        <v>39</v>
      </c>
      <c r="V63" s="453" t="s">
        <v>39</v>
      </c>
      <c r="X63" s="27"/>
      <c r="Z63" s="41" t="s">
        <v>190</v>
      </c>
      <c r="AA63" s="42">
        <f>SUM(AA64:AA69)</f>
        <v>17462</v>
      </c>
      <c r="AB63" s="42">
        <f t="shared" ref="AB63" si="30">SUM(AB64:AB69)</f>
        <v>18417</v>
      </c>
      <c r="AC63" s="42">
        <f t="shared" ref="AC63" si="31">SUM(AC64:AC69)</f>
        <v>21111</v>
      </c>
      <c r="AD63" s="42">
        <f t="shared" ref="AD63" si="32">SUM(AD64:AD69)</f>
        <v>22306</v>
      </c>
      <c r="AE63" s="42">
        <f t="shared" ref="AE63" si="33">SUM(AE64:AE69)</f>
        <v>23295</v>
      </c>
      <c r="AF63" s="42">
        <f t="shared" ref="AF63" si="34">SUM(AF64:AF69)</f>
        <v>22739</v>
      </c>
      <c r="AG63" s="42">
        <f t="shared" ref="AG63" si="35">SUM(AG64:AG69)</f>
        <v>23445</v>
      </c>
      <c r="AH63" s="42">
        <f t="shared" ref="AH63" si="36">SUM(AH64:AH69)</f>
        <v>23207</v>
      </c>
      <c r="AI63" s="42">
        <f t="shared" ref="AI63" si="37">SUM(AI64:AI69)</f>
        <v>22260</v>
      </c>
      <c r="AJ63" s="42">
        <f t="shared" ref="AJ63" si="38">SUM(AJ64:AJ69)</f>
        <v>20465</v>
      </c>
      <c r="AK63" s="42">
        <f t="shared" ref="AK63" si="39">SUM(AK64:AK69)</f>
        <v>23098</v>
      </c>
      <c r="AL63"/>
      <c r="AN63" s="33" t="s">
        <v>1592</v>
      </c>
      <c r="AO63" s="56">
        <f>SUM(AO64:AO68)</f>
        <v>20954</v>
      </c>
      <c r="AP63" s="102"/>
      <c r="AT63" s="224" t="s">
        <v>767</v>
      </c>
      <c r="AU63" s="10">
        <v>18</v>
      </c>
      <c r="AV63" s="10">
        <v>52</v>
      </c>
      <c r="AW63" s="10">
        <v>77</v>
      </c>
      <c r="AX63" s="10">
        <v>74</v>
      </c>
      <c r="AY63" s="10">
        <v>62</v>
      </c>
      <c r="AZ63" s="10">
        <v>61</v>
      </c>
      <c r="BB63" s="21" t="s">
        <v>127</v>
      </c>
      <c r="BC63" s="21" t="s">
        <v>1270</v>
      </c>
      <c r="BD63" s="21" t="s">
        <v>1726</v>
      </c>
      <c r="BE63" s="21" t="s">
        <v>1729</v>
      </c>
      <c r="BF63" s="21" t="s">
        <v>2309</v>
      </c>
      <c r="BG63" s="21" t="s">
        <v>2310</v>
      </c>
      <c r="BH63" s="21" t="s">
        <v>1730</v>
      </c>
      <c r="BI63" s="21" t="s">
        <v>1731</v>
      </c>
      <c r="BJ63" s="21" t="s">
        <v>1732</v>
      </c>
      <c r="BK63" s="21" t="s">
        <v>1733</v>
      </c>
      <c r="BL63" s="21" t="s">
        <v>1734</v>
      </c>
      <c r="BM63" s="21" t="s">
        <v>1735</v>
      </c>
    </row>
    <row r="64" spans="1:65" ht="15" thickTop="1" x14ac:dyDescent="0.35">
      <c r="A64" s="219" t="s">
        <v>40</v>
      </c>
      <c r="B64" s="22">
        <v>0.51612400000000003</v>
      </c>
      <c r="C64" s="22">
        <v>0.50829599999999997</v>
      </c>
      <c r="D64" s="22">
        <v>0.382851</v>
      </c>
      <c r="E64" s="22">
        <v>0.33412900000000001</v>
      </c>
      <c r="F64" s="22">
        <v>0.30030899999999999</v>
      </c>
      <c r="G64" s="22">
        <v>0.19131500000000001</v>
      </c>
      <c r="H64" s="22">
        <v>0.30452200000000001</v>
      </c>
      <c r="I64" s="22">
        <v>0.30957400000000002</v>
      </c>
      <c r="J64" s="22">
        <v>0.213031</v>
      </c>
      <c r="K64" s="22">
        <v>0.16720299999999999</v>
      </c>
      <c r="L64" s="22">
        <v>0.13608500000000001</v>
      </c>
      <c r="M64" s="22">
        <v>0.17324000000000001</v>
      </c>
      <c r="N64" s="22">
        <v>0.14904400000000001</v>
      </c>
      <c r="O64" s="22">
        <v>0.179867</v>
      </c>
      <c r="P64" s="22">
        <v>0.14099</v>
      </c>
      <c r="Q64" s="22">
        <v>0.16374</v>
      </c>
      <c r="R64" s="22">
        <v>0.14761199999999999</v>
      </c>
      <c r="S64" s="22">
        <v>0.123764</v>
      </c>
      <c r="T64" s="22">
        <v>0.117448</v>
      </c>
      <c r="U64" s="22">
        <v>0.116318</v>
      </c>
      <c r="V64" s="22">
        <v>0.108588</v>
      </c>
      <c r="X64" s="28"/>
      <c r="Z64" s="30" t="s">
        <v>110</v>
      </c>
      <c r="AA64" s="31">
        <v>17272</v>
      </c>
      <c r="AB64" s="31">
        <v>18176</v>
      </c>
      <c r="AC64" s="31">
        <v>20787</v>
      </c>
      <c r="AD64" s="31">
        <v>21853</v>
      </c>
      <c r="AE64" s="31">
        <v>22920</v>
      </c>
      <c r="AF64" s="31">
        <v>22490</v>
      </c>
      <c r="AG64" s="31">
        <v>23266</v>
      </c>
      <c r="AH64" s="31">
        <v>22883</v>
      </c>
      <c r="AI64" s="31">
        <v>21882</v>
      </c>
      <c r="AJ64" s="31">
        <v>19872</v>
      </c>
      <c r="AK64" s="24">
        <v>21697</v>
      </c>
      <c r="AL64"/>
      <c r="AN64" s="17" t="s">
        <v>1586</v>
      </c>
      <c r="AO64" s="10">
        <v>7134</v>
      </c>
      <c r="AP64" s="102">
        <f>AO64/$AO$63</f>
        <v>0.34046005535935858</v>
      </c>
      <c r="AT64" s="4" t="s">
        <v>771</v>
      </c>
      <c r="AU64" s="9">
        <v>614</v>
      </c>
      <c r="AV64" s="9">
        <v>577</v>
      </c>
      <c r="AW64" s="9">
        <v>570</v>
      </c>
      <c r="AX64" s="9">
        <v>544</v>
      </c>
      <c r="AY64" s="9">
        <v>536</v>
      </c>
      <c r="AZ64" s="9">
        <v>502</v>
      </c>
      <c r="BB64" s="4" t="s">
        <v>1728</v>
      </c>
    </row>
    <row r="65" spans="1:68" x14ac:dyDescent="0.35">
      <c r="A65" s="202" t="s">
        <v>48</v>
      </c>
      <c r="B65" s="41">
        <v>30.816980000000001</v>
      </c>
      <c r="C65" s="41">
        <v>32.311565000000002</v>
      </c>
      <c r="D65" s="41">
        <v>32.924914999999999</v>
      </c>
      <c r="E65" s="41">
        <v>31.004010999999998</v>
      </c>
      <c r="F65" s="41">
        <v>30.291464000000001</v>
      </c>
      <c r="G65" s="41">
        <v>31.550605999999998</v>
      </c>
      <c r="H65" s="41">
        <v>30.854776999999999</v>
      </c>
      <c r="I65" s="41">
        <v>33.554464000000003</v>
      </c>
      <c r="J65" s="41">
        <v>32.470723</v>
      </c>
      <c r="K65" s="41">
        <v>31.747095999999999</v>
      </c>
      <c r="L65" s="41">
        <v>31.733798</v>
      </c>
      <c r="M65" s="41">
        <v>30.151115999999998</v>
      </c>
      <c r="N65" s="41">
        <v>33.024191999999999</v>
      </c>
      <c r="O65" s="41">
        <v>36.211027000000001</v>
      </c>
      <c r="P65" s="41">
        <v>38.492927999999999</v>
      </c>
      <c r="Q65" s="41">
        <v>37.711298999999997</v>
      </c>
      <c r="R65" s="41">
        <v>40.548535999999999</v>
      </c>
      <c r="S65" s="41">
        <v>42.293903</v>
      </c>
      <c r="T65" s="41">
        <v>43.972737000000002</v>
      </c>
      <c r="U65" s="41">
        <v>46.443370999999999</v>
      </c>
      <c r="V65" s="41">
        <v>39.581513999999999</v>
      </c>
      <c r="X65" s="28"/>
      <c r="Z65" s="30" t="s">
        <v>109</v>
      </c>
      <c r="AA65" s="31">
        <v>148</v>
      </c>
      <c r="AB65" s="31">
        <v>203</v>
      </c>
      <c r="AC65" s="31">
        <v>288</v>
      </c>
      <c r="AD65" s="31">
        <v>407</v>
      </c>
      <c r="AE65" s="31">
        <v>343</v>
      </c>
      <c r="AF65" s="31">
        <v>147</v>
      </c>
      <c r="AG65" s="31">
        <v>66</v>
      </c>
      <c r="AH65" s="31">
        <v>169</v>
      </c>
      <c r="AI65" s="31">
        <v>78</v>
      </c>
      <c r="AJ65" s="31">
        <v>25</v>
      </c>
      <c r="AK65" s="24">
        <v>195</v>
      </c>
      <c r="AL65"/>
      <c r="AN65" s="17" t="s">
        <v>1587</v>
      </c>
      <c r="AO65" s="10">
        <v>1785</v>
      </c>
      <c r="AP65" s="102">
        <f>AO65/$AO$63</f>
        <v>8.5186599217333209E-2</v>
      </c>
      <c r="AT65" s="224" t="s">
        <v>110</v>
      </c>
      <c r="AU65" s="10">
        <v>505</v>
      </c>
      <c r="AV65" s="10">
        <v>468</v>
      </c>
      <c r="AW65" s="10">
        <v>468</v>
      </c>
      <c r="AX65" s="10">
        <v>448</v>
      </c>
      <c r="AY65" s="10">
        <v>439</v>
      </c>
      <c r="AZ65" s="10">
        <v>406</v>
      </c>
      <c r="BB65" s="17" t="s">
        <v>246</v>
      </c>
      <c r="BC65">
        <v>2030</v>
      </c>
      <c r="BD65" s="381">
        <v>150</v>
      </c>
      <c r="BE65" s="86">
        <v>233</v>
      </c>
      <c r="BF65" s="235">
        <v>102382</v>
      </c>
      <c r="BG65" s="88">
        <v>0.83</v>
      </c>
      <c r="BH65" s="86">
        <v>0.1</v>
      </c>
      <c r="BI65" s="88">
        <v>0.11</v>
      </c>
      <c r="BJ65" s="235">
        <v>67488</v>
      </c>
      <c r="BK65" s="236">
        <v>0.156</v>
      </c>
      <c r="BL65" s="10">
        <v>100000</v>
      </c>
      <c r="BM65" s="376">
        <v>0.94</v>
      </c>
    </row>
    <row r="66" spans="1:68" x14ac:dyDescent="0.35">
      <c r="A66" s="217" t="s">
        <v>35</v>
      </c>
      <c r="B66" s="22">
        <v>27.166734000000002</v>
      </c>
      <c r="C66" s="22">
        <v>28.390768999999999</v>
      </c>
      <c r="D66" s="22">
        <v>29.340986999999998</v>
      </c>
      <c r="E66" s="22">
        <v>28.074396</v>
      </c>
      <c r="F66" s="22">
        <v>27.753419000000001</v>
      </c>
      <c r="G66" s="22">
        <v>29.307036</v>
      </c>
      <c r="H66" s="22">
        <v>29.167539999999999</v>
      </c>
      <c r="I66" s="22">
        <v>31.823751999999999</v>
      </c>
      <c r="J66" s="22">
        <v>31.157333999999999</v>
      </c>
      <c r="K66" s="22">
        <v>30.581761</v>
      </c>
      <c r="L66" s="22">
        <v>30.690632000000001</v>
      </c>
      <c r="M66" s="22">
        <v>27.829552</v>
      </c>
      <c r="N66" s="22">
        <v>30.304580000000001</v>
      </c>
      <c r="O66" s="22">
        <v>33.703716</v>
      </c>
      <c r="P66" s="22">
        <v>35.785787999999997</v>
      </c>
      <c r="Q66" s="22">
        <v>36.488822999999996</v>
      </c>
      <c r="R66" s="22">
        <v>39.405512000000002</v>
      </c>
      <c r="S66" s="22">
        <v>41.231290000000001</v>
      </c>
      <c r="T66" s="22">
        <v>42.856124000000001</v>
      </c>
      <c r="U66" s="22">
        <v>45.313730999999997</v>
      </c>
      <c r="V66" s="22">
        <v>38.439926</v>
      </c>
      <c r="X66" s="28"/>
      <c r="Z66" s="30" t="s">
        <v>128</v>
      </c>
      <c r="AA66" s="31">
        <v>0</v>
      </c>
      <c r="AB66" s="31">
        <v>0</v>
      </c>
      <c r="AC66" s="31">
        <v>1</v>
      </c>
      <c r="AD66" s="31">
        <v>0</v>
      </c>
      <c r="AE66" s="31">
        <v>0</v>
      </c>
      <c r="AF66" s="31">
        <v>2</v>
      </c>
      <c r="AG66" s="31">
        <v>3</v>
      </c>
      <c r="AH66" s="31">
        <v>8</v>
      </c>
      <c r="AI66" s="31">
        <v>22</v>
      </c>
      <c r="AJ66" s="31">
        <v>54</v>
      </c>
      <c r="AK66" s="24">
        <v>156</v>
      </c>
      <c r="AL66"/>
      <c r="AN66" s="17" t="s">
        <v>1588</v>
      </c>
      <c r="AO66" s="10">
        <v>6276</v>
      </c>
      <c r="AP66" s="102">
        <f>AO66/$AO$63</f>
        <v>0.29951321943304382</v>
      </c>
      <c r="AT66" s="224" t="s">
        <v>109</v>
      </c>
      <c r="AU66" s="10">
        <v>101</v>
      </c>
      <c r="AV66" s="10">
        <v>102</v>
      </c>
      <c r="AW66" s="10">
        <v>97</v>
      </c>
      <c r="AX66" s="10">
        <v>91</v>
      </c>
      <c r="AY66" s="10">
        <v>91</v>
      </c>
      <c r="AZ66" s="10">
        <v>91</v>
      </c>
      <c r="BB66" s="17"/>
      <c r="BC66">
        <v>2050</v>
      </c>
      <c r="BD66" s="381">
        <v>150</v>
      </c>
      <c r="BE66" s="86">
        <v>202</v>
      </c>
      <c r="BF66" s="235">
        <v>55707.78</v>
      </c>
      <c r="BG66" s="88">
        <v>0.72</v>
      </c>
      <c r="BH66" s="86">
        <v>0.1</v>
      </c>
      <c r="BI66" s="88">
        <v>0.09</v>
      </c>
      <c r="BJ66" s="235">
        <v>32802</v>
      </c>
      <c r="BK66" s="236">
        <v>0.156</v>
      </c>
      <c r="BL66" s="10">
        <v>100000</v>
      </c>
      <c r="BM66" s="376">
        <v>0.57999999999999996</v>
      </c>
    </row>
    <row r="67" spans="1:68" x14ac:dyDescent="0.35">
      <c r="A67" s="217" t="s">
        <v>36</v>
      </c>
      <c r="B67" s="22">
        <v>1.2202500000000001</v>
      </c>
      <c r="C67" s="22">
        <v>1.5274380000000001</v>
      </c>
      <c r="D67" s="22">
        <v>1.7802979999999999</v>
      </c>
      <c r="E67" s="22">
        <v>1.355154</v>
      </c>
      <c r="F67" s="22">
        <v>1.1222129999999999</v>
      </c>
      <c r="G67" s="22">
        <v>1.3398829999999999</v>
      </c>
      <c r="H67" s="22">
        <v>0.250724</v>
      </c>
      <c r="I67" s="22">
        <v>0.27089200000000002</v>
      </c>
      <c r="J67" s="22">
        <v>0.307259</v>
      </c>
      <c r="K67" s="22">
        <v>0.375612</v>
      </c>
      <c r="L67" s="22">
        <v>0.39919199999999999</v>
      </c>
      <c r="M67" s="22">
        <v>0.37315999999999999</v>
      </c>
      <c r="N67" s="22">
        <v>0.32759300000000002</v>
      </c>
      <c r="O67" s="22">
        <v>0.34165099999999998</v>
      </c>
      <c r="P67" s="22">
        <v>0.400949</v>
      </c>
      <c r="Q67" s="22">
        <v>0.43240899999999999</v>
      </c>
      <c r="R67" s="22">
        <v>0.43069800000000003</v>
      </c>
      <c r="S67" s="22">
        <v>0.46330500000000002</v>
      </c>
      <c r="T67" s="22">
        <v>0.54922499999999996</v>
      </c>
      <c r="U67" s="22">
        <v>0.57179800000000003</v>
      </c>
      <c r="V67" s="22">
        <v>0.62417100000000003</v>
      </c>
      <c r="X67" s="28"/>
      <c r="Z67" s="30" t="s">
        <v>129</v>
      </c>
      <c r="AA67" s="31">
        <v>42</v>
      </c>
      <c r="AB67" s="31">
        <v>38</v>
      </c>
      <c r="AC67" s="31">
        <v>35</v>
      </c>
      <c r="AD67" s="31">
        <v>46</v>
      </c>
      <c r="AE67" s="31">
        <v>31</v>
      </c>
      <c r="AF67" s="31">
        <v>89</v>
      </c>
      <c r="AG67" s="31">
        <v>103</v>
      </c>
      <c r="AH67" s="31">
        <v>128</v>
      </c>
      <c r="AI67" s="31">
        <v>239</v>
      </c>
      <c r="AJ67" s="31">
        <v>476</v>
      </c>
      <c r="AK67" s="24">
        <v>934</v>
      </c>
      <c r="AL67"/>
      <c r="AN67" s="17" t="s">
        <v>1589</v>
      </c>
      <c r="AO67" s="10">
        <v>858</v>
      </c>
      <c r="AP67" s="102">
        <f>AO67/$AO$63</f>
        <v>4.0946835926314783E-2</v>
      </c>
      <c r="AT67" s="224" t="s">
        <v>128</v>
      </c>
      <c r="AU67" s="10">
        <v>0</v>
      </c>
      <c r="AV67" s="10">
        <v>0</v>
      </c>
      <c r="AW67" s="10">
        <v>0</v>
      </c>
      <c r="AX67" s="10">
        <v>0</v>
      </c>
      <c r="AY67" s="10">
        <v>0</v>
      </c>
      <c r="AZ67" s="10">
        <v>0</v>
      </c>
      <c r="BB67" s="17" t="s">
        <v>627</v>
      </c>
      <c r="BC67">
        <v>2030</v>
      </c>
      <c r="BD67" s="381">
        <v>150</v>
      </c>
      <c r="BE67" s="86">
        <v>13.44</v>
      </c>
      <c r="BF67" s="235">
        <v>77386</v>
      </c>
      <c r="BG67" s="88">
        <v>5.6000000000000001E-2</v>
      </c>
      <c r="BH67" s="86">
        <v>5</v>
      </c>
      <c r="BI67" s="88">
        <v>0.36</v>
      </c>
      <c r="BJ67" s="235">
        <v>38693</v>
      </c>
      <c r="BK67" s="236">
        <v>0.156</v>
      </c>
      <c r="BL67" s="10">
        <v>100000</v>
      </c>
      <c r="BM67" s="376">
        <v>0.91</v>
      </c>
    </row>
    <row r="68" spans="1:68" x14ac:dyDescent="0.35">
      <c r="A68" s="217" t="s">
        <v>37</v>
      </c>
      <c r="B68" s="22" t="s">
        <v>39</v>
      </c>
      <c r="C68" s="22" t="s">
        <v>39</v>
      </c>
      <c r="D68" s="22" t="s">
        <v>39</v>
      </c>
      <c r="E68" s="22" t="s">
        <v>39</v>
      </c>
      <c r="F68" s="22" t="s">
        <v>39</v>
      </c>
      <c r="G68" s="22" t="s">
        <v>39</v>
      </c>
      <c r="H68" s="22" t="s">
        <v>39</v>
      </c>
      <c r="I68" s="22" t="s">
        <v>39</v>
      </c>
      <c r="J68" s="22" t="s">
        <v>39</v>
      </c>
      <c r="K68" s="22" t="s">
        <v>39</v>
      </c>
      <c r="L68" s="22" t="s">
        <v>39</v>
      </c>
      <c r="M68" s="22">
        <v>1.114233</v>
      </c>
      <c r="N68" s="22">
        <v>1.6760010000000001</v>
      </c>
      <c r="O68" s="22">
        <v>1.3081240000000001</v>
      </c>
      <c r="P68" s="22">
        <v>1.604123</v>
      </c>
      <c r="Q68" s="22" t="s">
        <v>39</v>
      </c>
      <c r="R68" s="22" t="s">
        <v>39</v>
      </c>
      <c r="S68" s="22" t="s">
        <v>39</v>
      </c>
      <c r="T68" s="22" t="s">
        <v>39</v>
      </c>
      <c r="U68" s="22" t="s">
        <v>39</v>
      </c>
      <c r="V68" s="22" t="s">
        <v>39</v>
      </c>
      <c r="X68" s="27"/>
      <c r="Z68" s="30" t="s">
        <v>130</v>
      </c>
      <c r="AA68" s="31">
        <v>0</v>
      </c>
      <c r="AB68" s="31">
        <v>0</v>
      </c>
      <c r="AC68" s="31">
        <v>0</v>
      </c>
      <c r="AD68" s="31">
        <v>0</v>
      </c>
      <c r="AE68" s="31">
        <v>1</v>
      </c>
      <c r="AF68" s="31">
        <v>11</v>
      </c>
      <c r="AG68" s="31">
        <v>7</v>
      </c>
      <c r="AH68" s="31">
        <v>19</v>
      </c>
      <c r="AI68" s="31">
        <v>39</v>
      </c>
      <c r="AJ68" s="31">
        <v>38</v>
      </c>
      <c r="AK68" s="24">
        <v>116</v>
      </c>
      <c r="AL68"/>
      <c r="AN68" s="17" t="s">
        <v>1590</v>
      </c>
      <c r="AO68" s="78">
        <v>4901</v>
      </c>
      <c r="AP68" s="102">
        <f>AO68/$AO$63</f>
        <v>0.2338932900639496</v>
      </c>
      <c r="AT68" s="224" t="s">
        <v>129</v>
      </c>
      <c r="AU68" s="10">
        <v>1</v>
      </c>
      <c r="AV68" s="10">
        <v>1</v>
      </c>
      <c r="AW68" s="10">
        <v>0</v>
      </c>
      <c r="AX68" s="10">
        <v>0</v>
      </c>
      <c r="AY68" s="10">
        <v>0</v>
      </c>
      <c r="AZ68" s="10">
        <v>0</v>
      </c>
      <c r="BB68" s="17"/>
      <c r="BC68">
        <v>2050</v>
      </c>
      <c r="BD68" s="381">
        <v>150</v>
      </c>
      <c r="BE68" s="86">
        <v>12.48</v>
      </c>
      <c r="BF68" s="235">
        <v>54855</v>
      </c>
      <c r="BG68" s="88">
        <v>5.1999999999999998E-2</v>
      </c>
      <c r="BH68" s="86">
        <v>5</v>
      </c>
      <c r="BI68" s="88">
        <v>0.34</v>
      </c>
      <c r="BJ68" s="235">
        <v>27428</v>
      </c>
      <c r="BK68" s="236">
        <v>0.156</v>
      </c>
      <c r="BL68" s="10">
        <v>100000</v>
      </c>
      <c r="BM68" s="376">
        <v>0.77</v>
      </c>
    </row>
    <row r="69" spans="1:68" x14ac:dyDescent="0.35">
      <c r="A69" s="217" t="s">
        <v>38</v>
      </c>
      <c r="B69" s="22">
        <v>2.4272070000000001</v>
      </c>
      <c r="C69" s="22">
        <v>2.390393</v>
      </c>
      <c r="D69" s="22">
        <v>1.800454</v>
      </c>
      <c r="E69" s="22">
        <v>1.571326</v>
      </c>
      <c r="F69" s="22">
        <v>1.4122809999999999</v>
      </c>
      <c r="G69" s="22">
        <v>0.89970799999999995</v>
      </c>
      <c r="H69" s="22">
        <v>1.4320930000000001</v>
      </c>
      <c r="I69" s="22">
        <v>1.4558519999999999</v>
      </c>
      <c r="J69" s="22">
        <v>1.001833</v>
      </c>
      <c r="K69" s="22">
        <v>0.78631700000000004</v>
      </c>
      <c r="L69" s="22">
        <v>0.63997599999999999</v>
      </c>
      <c r="M69" s="22">
        <v>0.81470399999999998</v>
      </c>
      <c r="N69" s="22">
        <v>0.70091599999999998</v>
      </c>
      <c r="O69" s="22">
        <v>0.84587000000000001</v>
      </c>
      <c r="P69" s="22">
        <v>0.66304300000000005</v>
      </c>
      <c r="Q69" s="22">
        <v>0.77002899999999996</v>
      </c>
      <c r="R69" s="22">
        <v>0.69418400000000002</v>
      </c>
      <c r="S69" s="22">
        <v>0.58203199999999999</v>
      </c>
      <c r="T69" s="22">
        <v>0.55233100000000002</v>
      </c>
      <c r="U69" s="22">
        <v>0.54701699999999998</v>
      </c>
      <c r="V69" s="22">
        <v>0.51066299999999998</v>
      </c>
      <c r="X69" s="27"/>
      <c r="Z69" s="23" t="s">
        <v>188</v>
      </c>
      <c r="AA69" s="24">
        <v>0</v>
      </c>
      <c r="AB69" s="24">
        <v>0</v>
      </c>
      <c r="AC69" s="24">
        <v>0</v>
      </c>
      <c r="AD69" s="24">
        <v>0</v>
      </c>
      <c r="AE69" s="24">
        <v>0</v>
      </c>
      <c r="AF69" s="24">
        <v>0</v>
      </c>
      <c r="AG69" s="24">
        <v>0</v>
      </c>
      <c r="AH69" s="24">
        <v>0</v>
      </c>
      <c r="AI69" s="24">
        <v>0</v>
      </c>
      <c r="AJ69" s="24">
        <v>0</v>
      </c>
      <c r="AK69" s="24">
        <v>0</v>
      </c>
      <c r="AL69"/>
      <c r="AN69" s="33" t="s">
        <v>1591</v>
      </c>
      <c r="AO69" s="9">
        <v>24599</v>
      </c>
      <c r="AP69"/>
      <c r="AT69" s="224" t="s">
        <v>130</v>
      </c>
      <c r="AU69" s="10">
        <v>0</v>
      </c>
      <c r="AV69" s="10">
        <v>0</v>
      </c>
      <c r="AW69" s="10">
        <v>0</v>
      </c>
      <c r="AX69" s="10">
        <v>0</v>
      </c>
      <c r="AY69" s="10">
        <v>0</v>
      </c>
      <c r="AZ69" s="10">
        <v>0</v>
      </c>
      <c r="BB69" s="17" t="s">
        <v>1727</v>
      </c>
      <c r="BC69"/>
      <c r="BD69" s="381"/>
      <c r="BE69" s="86"/>
      <c r="BF69" s="235">
        <v>55000</v>
      </c>
      <c r="BG69" s="88">
        <v>10.5</v>
      </c>
      <c r="BH69" s="86">
        <v>4</v>
      </c>
      <c r="BI69" s="88">
        <v>0.38</v>
      </c>
      <c r="BJ69" s="235">
        <v>27500</v>
      </c>
      <c r="BK69" s="236">
        <v>0.311</v>
      </c>
      <c r="BL69" s="10">
        <v>100000</v>
      </c>
      <c r="BM69" s="376">
        <v>0.97</v>
      </c>
    </row>
    <row r="70" spans="1:68" x14ac:dyDescent="0.35">
      <c r="A70" s="217" t="s">
        <v>40</v>
      </c>
      <c r="B70" s="22">
        <v>2.5044870000000001</v>
      </c>
      <c r="C70" s="22">
        <v>2.5233680000000001</v>
      </c>
      <c r="D70" s="22">
        <v>1.903837</v>
      </c>
      <c r="E70" s="22">
        <v>1.6904159999999999</v>
      </c>
      <c r="F70" s="22">
        <v>1.6149830000000001</v>
      </c>
      <c r="G70" s="22">
        <v>1.0354909999999999</v>
      </c>
      <c r="H70" s="22">
        <v>1.4320930000000001</v>
      </c>
      <c r="I70" s="22">
        <v>1.4558519999999999</v>
      </c>
      <c r="J70" s="22">
        <v>1.001833</v>
      </c>
      <c r="K70" s="22">
        <v>0.98833199999999999</v>
      </c>
      <c r="L70" s="22">
        <v>0.80620000000000003</v>
      </c>
      <c r="M70" s="22">
        <v>1.012529</v>
      </c>
      <c r="N70" s="22">
        <v>0.83678900000000001</v>
      </c>
      <c r="O70" s="22">
        <v>0.96987699999999999</v>
      </c>
      <c r="P70" s="22">
        <v>0.74337500000000001</v>
      </c>
      <c r="Q70" s="22">
        <v>0.87070599999999998</v>
      </c>
      <c r="R70" s="22">
        <v>0.76685000000000003</v>
      </c>
      <c r="S70" s="22">
        <v>0.63828200000000002</v>
      </c>
      <c r="T70" s="22">
        <v>0.60095500000000002</v>
      </c>
      <c r="U70" s="22">
        <v>0.59824900000000003</v>
      </c>
      <c r="V70" s="22">
        <v>0.55456399999999995</v>
      </c>
      <c r="X70" s="27"/>
      <c r="Z70" s="41" t="s">
        <v>191</v>
      </c>
      <c r="AA70" s="42">
        <f>SUM(AA71:AA76)</f>
        <v>2690</v>
      </c>
      <c r="AB70" s="42">
        <f t="shared" ref="AB70" si="40">SUM(AB71:AB76)</f>
        <v>2869</v>
      </c>
      <c r="AC70" s="42">
        <f t="shared" ref="AC70" si="41">SUM(AC71:AC76)</f>
        <v>2770</v>
      </c>
      <c r="AD70" s="42">
        <f t="shared" ref="AD70" si="42">SUM(AD71:AD76)</f>
        <v>2771</v>
      </c>
      <c r="AE70" s="42">
        <f t="shared" ref="AE70" si="43">SUM(AE71:AE76)</f>
        <v>2854</v>
      </c>
      <c r="AF70" s="42">
        <f t="shared" ref="AF70" si="44">SUM(AF71:AF76)</f>
        <v>2887</v>
      </c>
      <c r="AG70" s="42">
        <f t="shared" ref="AG70" si="45">SUM(AG71:AG76)</f>
        <v>2861</v>
      </c>
      <c r="AH70" s="42">
        <f t="shared" ref="AH70" si="46">SUM(AH71:AH76)</f>
        <v>2409</v>
      </c>
      <c r="AI70" s="42">
        <f t="shared" ref="AI70" si="47">SUM(AI71:AI76)</f>
        <v>2368</v>
      </c>
      <c r="AJ70" s="42">
        <f t="shared" ref="AJ70" si="48">SUM(AJ71:AJ76)</f>
        <v>1832</v>
      </c>
      <c r="AK70" s="42">
        <f t="shared" ref="AK70" si="49">SUM(AK71:AK76)</f>
        <v>1421</v>
      </c>
      <c r="AL70"/>
      <c r="AT70" s="224" t="s">
        <v>767</v>
      </c>
      <c r="AU70" s="10">
        <v>7</v>
      </c>
      <c r="AV70" s="10">
        <v>6</v>
      </c>
      <c r="AW70" s="10">
        <v>5</v>
      </c>
      <c r="AX70" s="10">
        <v>5</v>
      </c>
      <c r="AY70" s="10">
        <v>6</v>
      </c>
      <c r="AZ70" s="10">
        <v>5</v>
      </c>
      <c r="BB70" s="4" t="s">
        <v>1736</v>
      </c>
      <c r="BM70" s="376"/>
    </row>
    <row r="71" spans="1:68" x14ac:dyDescent="0.35">
      <c r="A71" s="207" t="s">
        <v>53</v>
      </c>
      <c r="B71" s="452">
        <v>25.239118999999999</v>
      </c>
      <c r="C71" s="452">
        <v>37.561602999999998</v>
      </c>
      <c r="D71" s="452">
        <v>36.132989999999999</v>
      </c>
      <c r="E71" s="452">
        <v>40.032032000000001</v>
      </c>
      <c r="F71" s="452">
        <v>55.011702999999997</v>
      </c>
      <c r="G71" s="452">
        <v>52.731344</v>
      </c>
      <c r="H71" s="452">
        <v>66.953455000000005</v>
      </c>
      <c r="I71" s="452">
        <v>69.877870999999999</v>
      </c>
      <c r="J71" s="452">
        <v>72.149877000000004</v>
      </c>
      <c r="K71" s="452">
        <v>78.517028999999994</v>
      </c>
      <c r="L71" s="452">
        <v>95.315269000000001</v>
      </c>
      <c r="M71" s="452">
        <v>92.049499999999995</v>
      </c>
      <c r="N71" s="452">
        <v>96.040514000000002</v>
      </c>
      <c r="O71" s="452">
        <v>106.145515</v>
      </c>
      <c r="P71" s="452">
        <v>107.66513</v>
      </c>
      <c r="Q71" s="452">
        <v>97.485283999999993</v>
      </c>
      <c r="R71" s="452">
        <v>90.598506999999998</v>
      </c>
      <c r="S71" s="452">
        <v>91.577296000000004</v>
      </c>
      <c r="T71" s="452">
        <v>97.098652000000001</v>
      </c>
      <c r="U71" s="452">
        <v>97.129846999999998</v>
      </c>
      <c r="V71" s="452">
        <v>85.896321999999998</v>
      </c>
      <c r="Z71" s="30" t="s">
        <v>110</v>
      </c>
      <c r="AA71" s="31">
        <v>2626</v>
      </c>
      <c r="AB71" s="31">
        <v>2800</v>
      </c>
      <c r="AC71" s="31">
        <v>2689</v>
      </c>
      <c r="AD71" s="31">
        <v>2694</v>
      </c>
      <c r="AE71" s="31">
        <v>2778</v>
      </c>
      <c r="AF71" s="31">
        <v>2824</v>
      </c>
      <c r="AG71" s="31">
        <v>2787</v>
      </c>
      <c r="AH71" s="31">
        <v>2323</v>
      </c>
      <c r="AI71" s="31">
        <v>2308</v>
      </c>
      <c r="AJ71" s="31">
        <v>1778</v>
      </c>
      <c r="AK71" s="24">
        <v>1225</v>
      </c>
      <c r="AL71"/>
      <c r="AT71" s="4" t="s">
        <v>1077</v>
      </c>
      <c r="AU71" s="99">
        <v>169017</v>
      </c>
      <c r="AV71" s="99">
        <v>174189</v>
      </c>
      <c r="AW71" s="99">
        <v>176911</v>
      </c>
      <c r="AX71" s="99">
        <v>176949</v>
      </c>
      <c r="AY71" s="99">
        <v>180895</v>
      </c>
      <c r="AZ71" s="42">
        <v>184457</v>
      </c>
      <c r="BB71" s="17" t="s">
        <v>246</v>
      </c>
      <c r="BC71">
        <v>2030</v>
      </c>
      <c r="BD71" s="381">
        <v>150</v>
      </c>
      <c r="BE71" s="86">
        <v>617</v>
      </c>
      <c r="BF71" s="235">
        <v>539453</v>
      </c>
      <c r="BG71" s="88">
        <v>2.2000000000000002</v>
      </c>
      <c r="BH71" s="86">
        <v>0.1</v>
      </c>
      <c r="BI71" s="88">
        <v>0.28999999999999998</v>
      </c>
      <c r="BJ71" s="235">
        <v>329122</v>
      </c>
      <c r="BK71" s="236">
        <v>0.5</v>
      </c>
      <c r="BL71" s="10">
        <v>250000</v>
      </c>
      <c r="BM71" s="376">
        <v>2.1</v>
      </c>
    </row>
    <row r="72" spans="1:68" x14ac:dyDescent="0.35">
      <c r="A72" s="219" t="s">
        <v>36</v>
      </c>
      <c r="B72" s="22">
        <v>17.740863000000001</v>
      </c>
      <c r="C72" s="22">
        <v>24.212671</v>
      </c>
      <c r="D72" s="22">
        <v>20.792580000000001</v>
      </c>
      <c r="E72" s="22">
        <v>24.083435000000001</v>
      </c>
      <c r="F72" s="22">
        <v>33.666806999999999</v>
      </c>
      <c r="G72" s="22">
        <v>30.067111000000001</v>
      </c>
      <c r="H72" s="22">
        <v>36.211446000000002</v>
      </c>
      <c r="I72" s="22">
        <v>35.423045999999999</v>
      </c>
      <c r="J72" s="22">
        <v>36.308155999999997</v>
      </c>
      <c r="K72" s="22">
        <v>36.643543999999999</v>
      </c>
      <c r="L72" s="22">
        <v>41.332949999999997</v>
      </c>
      <c r="M72" s="22">
        <v>37.662584000000003</v>
      </c>
      <c r="N72" s="22">
        <v>41.769267999999997</v>
      </c>
      <c r="O72" s="22">
        <v>47.990712000000002</v>
      </c>
      <c r="P72" s="22">
        <v>48.319471</v>
      </c>
      <c r="Q72" s="22">
        <v>47.908610000000003</v>
      </c>
      <c r="R72" s="22">
        <v>48.517164000000001</v>
      </c>
      <c r="S72" s="22">
        <v>48.870507000000003</v>
      </c>
      <c r="T72" s="22">
        <v>49.280937999999999</v>
      </c>
      <c r="U72" s="22">
        <v>50.601011999999997</v>
      </c>
      <c r="V72" s="22">
        <v>40.176319999999997</v>
      </c>
      <c r="Z72" s="30" t="s">
        <v>109</v>
      </c>
      <c r="AA72" s="31">
        <v>64</v>
      </c>
      <c r="AB72" s="31">
        <v>69</v>
      </c>
      <c r="AC72" s="31">
        <v>81</v>
      </c>
      <c r="AD72" s="31">
        <v>77</v>
      </c>
      <c r="AE72" s="31">
        <v>75</v>
      </c>
      <c r="AF72" s="31">
        <v>62</v>
      </c>
      <c r="AG72" s="31">
        <v>71</v>
      </c>
      <c r="AH72" s="31">
        <v>80</v>
      </c>
      <c r="AI72" s="31">
        <v>56</v>
      </c>
      <c r="AJ72" s="31">
        <v>51</v>
      </c>
      <c r="AK72" s="24">
        <v>18</v>
      </c>
      <c r="AL72"/>
      <c r="AT72" s="224" t="s">
        <v>110</v>
      </c>
      <c r="AU72" s="31">
        <v>43584</v>
      </c>
      <c r="AV72" s="31">
        <v>45582</v>
      </c>
      <c r="AW72" s="31">
        <v>46774</v>
      </c>
      <c r="AX72" s="31">
        <v>47233</v>
      </c>
      <c r="AY72" s="31">
        <v>49195</v>
      </c>
      <c r="AZ72" s="24">
        <v>51995</v>
      </c>
      <c r="BB72" s="17"/>
      <c r="BC72">
        <v>2050</v>
      </c>
      <c r="BD72" s="381">
        <v>150</v>
      </c>
      <c r="BE72" s="86">
        <v>513</v>
      </c>
      <c r="BF72" s="235">
        <v>417082</v>
      </c>
      <c r="BG72" s="88">
        <v>1.83</v>
      </c>
      <c r="BH72" s="86">
        <v>0.1</v>
      </c>
      <c r="BI72" s="88">
        <v>0.24</v>
      </c>
      <c r="BJ72" s="235">
        <v>226507</v>
      </c>
      <c r="BK72" s="236">
        <v>0.5</v>
      </c>
      <c r="BL72" s="10">
        <v>250000</v>
      </c>
      <c r="BM72" s="376">
        <v>1.64</v>
      </c>
    </row>
    <row r="73" spans="1:68" s="18" customFormat="1" x14ac:dyDescent="0.35">
      <c r="A73" s="219" t="s">
        <v>37</v>
      </c>
      <c r="B73" s="22">
        <v>7.4209759999999996</v>
      </c>
      <c r="C73" s="22">
        <v>13.215958000000001</v>
      </c>
      <c r="D73" s="22">
        <v>15.237026</v>
      </c>
      <c r="E73" s="22">
        <v>15.829507</v>
      </c>
      <c r="F73" s="22">
        <v>21.142195000000001</v>
      </c>
      <c r="G73" s="22">
        <v>22.528448999999998</v>
      </c>
      <c r="H73" s="22">
        <v>30.742008999999999</v>
      </c>
      <c r="I73" s="22">
        <v>34.454825</v>
      </c>
      <c r="J73" s="22">
        <v>35.841720000000002</v>
      </c>
      <c r="K73" s="22">
        <v>41.670892000000002</v>
      </c>
      <c r="L73" s="22">
        <v>53.815148999999998</v>
      </c>
      <c r="M73" s="22">
        <v>52.679963999999998</v>
      </c>
      <c r="N73" s="22">
        <v>51.824133000000003</v>
      </c>
      <c r="O73" s="22">
        <v>56.155490999999998</v>
      </c>
      <c r="P73" s="22">
        <v>57.026352000000003</v>
      </c>
      <c r="Q73" s="22">
        <v>49.356820999999997</v>
      </c>
      <c r="R73" s="22">
        <v>41.878601000000003</v>
      </c>
      <c r="S73" s="22">
        <v>42.502409</v>
      </c>
      <c r="T73" s="22">
        <v>47.430908000000002</v>
      </c>
      <c r="U73" s="22">
        <v>46.064135999999998</v>
      </c>
      <c r="V73" s="22">
        <v>45.437724000000003</v>
      </c>
      <c r="W73" s="3"/>
      <c r="X73" s="25"/>
      <c r="Y73" s="3"/>
      <c r="Z73" s="23" t="s">
        <v>128</v>
      </c>
      <c r="AA73" s="24">
        <v>0</v>
      </c>
      <c r="AB73" s="24">
        <v>0</v>
      </c>
      <c r="AC73" s="24">
        <v>0</v>
      </c>
      <c r="AD73" s="24">
        <v>0</v>
      </c>
      <c r="AE73" s="24">
        <v>0</v>
      </c>
      <c r="AF73" s="24">
        <v>0</v>
      </c>
      <c r="AG73" s="24">
        <v>0</v>
      </c>
      <c r="AH73" s="24">
        <v>0</v>
      </c>
      <c r="AI73" s="24">
        <v>0</v>
      </c>
      <c r="AJ73" s="24">
        <v>0</v>
      </c>
      <c r="AK73" s="24">
        <v>0</v>
      </c>
      <c r="AL73"/>
      <c r="AT73" s="224" t="s">
        <v>109</v>
      </c>
      <c r="AU73" s="31">
        <v>125426</v>
      </c>
      <c r="AV73" s="31">
        <v>128602</v>
      </c>
      <c r="AW73" s="31">
        <v>130132</v>
      </c>
      <c r="AX73" s="31">
        <v>129702</v>
      </c>
      <c r="AY73" s="31">
        <v>131692</v>
      </c>
      <c r="AZ73" s="24">
        <v>132449</v>
      </c>
      <c r="BB73" s="17" t="s">
        <v>627</v>
      </c>
      <c r="BC73">
        <v>2030</v>
      </c>
      <c r="BD73" s="381">
        <v>300</v>
      </c>
      <c r="BE73" s="86">
        <v>46.08</v>
      </c>
      <c r="BF73" s="235">
        <v>456551</v>
      </c>
      <c r="BG73" s="88">
        <v>9.6000000000000002E-2</v>
      </c>
      <c r="BH73" s="86">
        <v>5</v>
      </c>
      <c r="BI73" s="88">
        <v>0.62</v>
      </c>
      <c r="BJ73" s="235">
        <v>228276</v>
      </c>
      <c r="BK73" s="236">
        <v>0.5</v>
      </c>
      <c r="BL73" s="10">
        <v>250000</v>
      </c>
      <c r="BM73" s="376">
        <v>2.04</v>
      </c>
    </row>
    <row r="74" spans="1:68" x14ac:dyDescent="0.35">
      <c r="A74" s="219" t="s">
        <v>38</v>
      </c>
      <c r="B74" s="453" t="s">
        <v>39</v>
      </c>
      <c r="C74" s="453" t="s">
        <v>39</v>
      </c>
      <c r="D74" s="453" t="s">
        <v>39</v>
      </c>
      <c r="E74" s="453" t="s">
        <v>39</v>
      </c>
      <c r="F74" s="453" t="s">
        <v>39</v>
      </c>
      <c r="G74" s="453" t="s">
        <v>39</v>
      </c>
      <c r="H74" s="453" t="s">
        <v>39</v>
      </c>
      <c r="I74" s="454" t="s">
        <v>39</v>
      </c>
      <c r="J74" s="454" t="s">
        <v>39</v>
      </c>
      <c r="K74" s="454" t="s">
        <v>39</v>
      </c>
      <c r="L74" s="454" t="s">
        <v>39</v>
      </c>
      <c r="M74" s="454">
        <v>1.507925</v>
      </c>
      <c r="N74" s="454">
        <v>2.3100580000000002</v>
      </c>
      <c r="O74" s="454">
        <v>1.8626370000000001</v>
      </c>
      <c r="P74" s="454">
        <v>2.1659540000000002</v>
      </c>
      <c r="Q74" s="453" t="s">
        <v>39</v>
      </c>
      <c r="R74" s="453" t="s">
        <v>39</v>
      </c>
      <c r="S74" s="453" t="s">
        <v>39</v>
      </c>
      <c r="T74" s="453" t="s">
        <v>39</v>
      </c>
      <c r="U74" s="453" t="s">
        <v>39</v>
      </c>
      <c r="V74" s="453" t="s">
        <v>39</v>
      </c>
      <c r="W74" s="34"/>
      <c r="Z74" s="23" t="s">
        <v>129</v>
      </c>
      <c r="AA74" s="24">
        <v>0</v>
      </c>
      <c r="AB74" s="24">
        <v>0</v>
      </c>
      <c r="AC74" s="24">
        <v>0</v>
      </c>
      <c r="AD74" s="24">
        <v>0</v>
      </c>
      <c r="AE74" s="24">
        <v>0</v>
      </c>
      <c r="AF74" s="24">
        <v>0</v>
      </c>
      <c r="AG74" s="24">
        <v>0</v>
      </c>
      <c r="AH74" s="24">
        <v>0</v>
      </c>
      <c r="AI74" s="24">
        <v>0</v>
      </c>
      <c r="AJ74" s="24">
        <v>0</v>
      </c>
      <c r="AK74" s="24">
        <v>158</v>
      </c>
      <c r="AL74"/>
      <c r="AT74" s="224" t="s">
        <v>128</v>
      </c>
      <c r="AU74" s="10">
        <v>0</v>
      </c>
      <c r="AV74" s="10">
        <v>0</v>
      </c>
      <c r="AW74" s="10">
        <v>0</v>
      </c>
      <c r="AX74" s="10">
        <v>0</v>
      </c>
      <c r="AY74" s="10">
        <v>0</v>
      </c>
      <c r="AZ74" s="10">
        <v>1</v>
      </c>
      <c r="BB74" s="17"/>
      <c r="BC74">
        <v>2050</v>
      </c>
      <c r="BD74" s="381">
        <v>300</v>
      </c>
      <c r="BE74" s="86">
        <v>43.2</v>
      </c>
      <c r="BF74" s="235">
        <v>400842</v>
      </c>
      <c r="BG74" s="88">
        <v>0.09</v>
      </c>
      <c r="BH74" s="86">
        <v>5</v>
      </c>
      <c r="BI74" s="88">
        <v>0.59</v>
      </c>
      <c r="BJ74" s="235">
        <v>200421</v>
      </c>
      <c r="BK74" s="236">
        <v>0.5</v>
      </c>
      <c r="BL74" s="10">
        <v>250000</v>
      </c>
      <c r="BM74" s="376">
        <v>1.89</v>
      </c>
    </row>
    <row r="75" spans="1:68" s="22" customFormat="1" x14ac:dyDescent="0.35">
      <c r="A75" s="207" t="s">
        <v>58</v>
      </c>
      <c r="B75" s="455">
        <v>77.974734999999995</v>
      </c>
      <c r="C75" s="455">
        <v>77.709373999999997</v>
      </c>
      <c r="D75" s="455">
        <v>71.888471999999993</v>
      </c>
      <c r="E75" s="455">
        <v>82.597125000000005</v>
      </c>
      <c r="F75" s="455">
        <v>87.701803999999996</v>
      </c>
      <c r="G75" s="455">
        <v>88.785211000000004</v>
      </c>
      <c r="H75" s="455">
        <v>93.492750999999998</v>
      </c>
      <c r="I75" s="456">
        <v>101.673084</v>
      </c>
      <c r="J75" s="456">
        <v>100.17701700000001</v>
      </c>
      <c r="K75" s="456">
        <v>106.16074399999999</v>
      </c>
      <c r="L75" s="456">
        <v>116.831152</v>
      </c>
      <c r="M75" s="456">
        <v>114.965824</v>
      </c>
      <c r="N75" s="456">
        <v>117.640044</v>
      </c>
      <c r="O75" s="456">
        <v>126.90292100000001</v>
      </c>
      <c r="P75" s="456">
        <v>137.265028</v>
      </c>
      <c r="Q75" s="455">
        <v>118.631013</v>
      </c>
      <c r="R75" s="455">
        <v>100.800206</v>
      </c>
      <c r="S75" s="455">
        <v>104.246128</v>
      </c>
      <c r="T75" s="455">
        <v>114.41568100000001</v>
      </c>
      <c r="U75" s="455">
        <v>116.970714</v>
      </c>
      <c r="V75" s="455">
        <v>114.253587</v>
      </c>
      <c r="X75" s="25"/>
      <c r="Z75" s="30" t="s">
        <v>130</v>
      </c>
      <c r="AA75" s="31">
        <v>0</v>
      </c>
      <c r="AB75" s="31">
        <v>0</v>
      </c>
      <c r="AC75" s="31">
        <v>0</v>
      </c>
      <c r="AD75" s="31">
        <v>0</v>
      </c>
      <c r="AE75" s="31">
        <v>0</v>
      </c>
      <c r="AF75" s="31">
        <v>1</v>
      </c>
      <c r="AG75" s="31">
        <v>3</v>
      </c>
      <c r="AH75" s="31">
        <v>6</v>
      </c>
      <c r="AI75" s="31">
        <v>4</v>
      </c>
      <c r="AJ75" s="31">
        <v>3</v>
      </c>
      <c r="AK75" s="24">
        <v>20</v>
      </c>
      <c r="AL75"/>
      <c r="AT75" s="224" t="s">
        <v>129</v>
      </c>
      <c r="AU75" s="24">
        <v>0</v>
      </c>
      <c r="AV75" s="24">
        <v>0</v>
      </c>
      <c r="AW75" s="24">
        <v>0</v>
      </c>
      <c r="AX75" s="24">
        <v>0</v>
      </c>
      <c r="AY75" s="24">
        <v>0</v>
      </c>
      <c r="AZ75" s="24">
        <v>0</v>
      </c>
      <c r="BB75" s="17" t="s">
        <v>1727</v>
      </c>
      <c r="BC75"/>
      <c r="BD75" s="381"/>
      <c r="BE75" s="86"/>
      <c r="BF75" s="235">
        <v>400000</v>
      </c>
      <c r="BG75" s="88">
        <v>6.5</v>
      </c>
      <c r="BH75" s="86">
        <v>4</v>
      </c>
      <c r="BI75" s="88">
        <v>0.62</v>
      </c>
      <c r="BJ75" s="235">
        <v>200000</v>
      </c>
      <c r="BK75" s="236">
        <v>1</v>
      </c>
      <c r="BL75" s="10">
        <v>250000</v>
      </c>
      <c r="BM75" s="376">
        <v>2.42</v>
      </c>
      <c r="BP75" s="447" t="s">
        <v>2222</v>
      </c>
    </row>
    <row r="76" spans="1:68" x14ac:dyDescent="0.35">
      <c r="A76" s="207" t="s">
        <v>59</v>
      </c>
      <c r="B76" s="455">
        <v>0.30283599999999999</v>
      </c>
      <c r="C76" s="455">
        <v>0.37547599999999998</v>
      </c>
      <c r="D76" s="455">
        <v>0.41998000000000002</v>
      </c>
      <c r="E76" s="455">
        <v>0.43918000000000001</v>
      </c>
      <c r="F76" s="455">
        <v>0.46120699999999998</v>
      </c>
      <c r="G76" s="455">
        <v>0.462395</v>
      </c>
      <c r="H76" s="455">
        <v>0.49854399999999999</v>
      </c>
      <c r="I76" s="456">
        <v>0.54910499999999995</v>
      </c>
      <c r="J76" s="456">
        <v>0.55838600000000005</v>
      </c>
      <c r="K76" s="456">
        <v>0.72824999999999995</v>
      </c>
      <c r="L76" s="456">
        <v>0.74221499999999996</v>
      </c>
      <c r="M76" s="456">
        <v>0.67498899999999995</v>
      </c>
      <c r="N76" s="456">
        <v>0.75673299999999999</v>
      </c>
      <c r="O76" s="456">
        <v>0.81394100000000003</v>
      </c>
      <c r="P76" s="456">
        <v>0.85255400000000003</v>
      </c>
      <c r="Q76" s="455">
        <v>0.83979800000000004</v>
      </c>
      <c r="R76" s="455">
        <v>0.87413300000000005</v>
      </c>
      <c r="S76" s="455">
        <v>0.84585200000000005</v>
      </c>
      <c r="T76" s="455">
        <v>0.84716800000000003</v>
      </c>
      <c r="U76" s="455">
        <v>0.924794</v>
      </c>
      <c r="V76" s="455">
        <v>0.765154</v>
      </c>
      <c r="Z76" s="43" t="s">
        <v>188</v>
      </c>
      <c r="AA76" s="44">
        <v>0</v>
      </c>
      <c r="AB76" s="44">
        <v>0</v>
      </c>
      <c r="AC76" s="44">
        <v>0</v>
      </c>
      <c r="AD76" s="44">
        <v>0</v>
      </c>
      <c r="AE76" s="44">
        <v>1</v>
      </c>
      <c r="AF76" s="44">
        <v>0</v>
      </c>
      <c r="AG76" s="44">
        <v>0</v>
      </c>
      <c r="AH76" s="44">
        <v>0</v>
      </c>
      <c r="AI76" s="44">
        <v>0</v>
      </c>
      <c r="AJ76" s="44">
        <v>0</v>
      </c>
      <c r="AK76" s="44">
        <v>0</v>
      </c>
      <c r="AL76"/>
      <c r="AT76" s="224" t="s">
        <v>130</v>
      </c>
      <c r="AU76" s="10">
        <v>0</v>
      </c>
      <c r="AV76" s="10">
        <v>0</v>
      </c>
      <c r="AW76" s="10">
        <v>0</v>
      </c>
      <c r="AX76" s="10">
        <v>0</v>
      </c>
      <c r="AY76" s="10">
        <v>0</v>
      </c>
      <c r="AZ76" s="10">
        <v>0</v>
      </c>
      <c r="BB76" s="4" t="s">
        <v>1737</v>
      </c>
      <c r="BC76" s="22"/>
      <c r="BD76" s="22"/>
      <c r="BE76" s="22"/>
      <c r="BF76" s="22"/>
      <c r="BG76" s="22"/>
      <c r="BH76" s="22"/>
      <c r="BI76" s="22"/>
      <c r="BJ76" s="22"/>
      <c r="BK76" s="22"/>
      <c r="BL76" s="22"/>
      <c r="BM76" s="383"/>
      <c r="BO76" s="3" t="s">
        <v>1737</v>
      </c>
    </row>
    <row r="77" spans="1:68" x14ac:dyDescent="0.35">
      <c r="A77" s="207" t="s">
        <v>65</v>
      </c>
      <c r="B77" s="455">
        <v>2.493293</v>
      </c>
      <c r="C77" s="455">
        <v>2.7113</v>
      </c>
      <c r="D77" s="455">
        <v>3.0354320000000001</v>
      </c>
      <c r="E77" s="455">
        <v>2.7432400000000001</v>
      </c>
      <c r="F77" s="455">
        <v>1.985479</v>
      </c>
      <c r="G77" s="455">
        <v>2.252418</v>
      </c>
      <c r="H77" s="455">
        <v>2.2483629999999999</v>
      </c>
      <c r="I77" s="456">
        <v>2.4261900000000001</v>
      </c>
      <c r="J77" s="456">
        <v>2.6315580000000001</v>
      </c>
      <c r="K77" s="456">
        <v>2.8067540000000002</v>
      </c>
      <c r="L77" s="456">
        <v>3.0682230000000001</v>
      </c>
      <c r="M77" s="456">
        <v>2.9558599999999999</v>
      </c>
      <c r="N77" s="456">
        <v>2.6408800000000001</v>
      </c>
      <c r="O77" s="456">
        <v>2.4906450000000002</v>
      </c>
      <c r="P77" s="456">
        <v>2.6116869999999999</v>
      </c>
      <c r="Q77" s="455">
        <v>2.4582799999999998</v>
      </c>
      <c r="R77" s="455">
        <v>2.5854010000000001</v>
      </c>
      <c r="S77" s="455">
        <v>1.7566520000000001</v>
      </c>
      <c r="T77" s="455">
        <v>2.2568600000000001</v>
      </c>
      <c r="U77" s="455">
        <v>2.560476</v>
      </c>
      <c r="V77" s="455">
        <v>2.4146700000000001</v>
      </c>
      <c r="Z77" s="14" t="s">
        <v>132</v>
      </c>
      <c r="AT77" s="224" t="s">
        <v>767</v>
      </c>
      <c r="AU77" s="10">
        <v>7</v>
      </c>
      <c r="AV77" s="10">
        <v>5</v>
      </c>
      <c r="AW77" s="10">
        <v>5</v>
      </c>
      <c r="AX77" s="10">
        <v>14</v>
      </c>
      <c r="AY77" s="10">
        <v>8</v>
      </c>
      <c r="AZ77" s="10">
        <v>12</v>
      </c>
      <c r="BB77" s="17" t="s">
        <v>246</v>
      </c>
      <c r="BC77">
        <v>2030</v>
      </c>
      <c r="BD77" s="381">
        <v>350</v>
      </c>
      <c r="BE77" s="86">
        <v>805</v>
      </c>
      <c r="BF77" s="235">
        <v>657550</v>
      </c>
      <c r="BG77" s="88">
        <v>1.23</v>
      </c>
      <c r="BH77" s="86">
        <v>0.1</v>
      </c>
      <c r="BI77" s="88">
        <v>0.16</v>
      </c>
      <c r="BJ77" s="235">
        <v>406260</v>
      </c>
      <c r="BK77" s="236">
        <v>0.5</v>
      </c>
      <c r="BL77" s="10">
        <v>300000</v>
      </c>
      <c r="BM77" s="376">
        <v>2.0099999999999998</v>
      </c>
      <c r="BO77" s="3" t="s">
        <v>246</v>
      </c>
      <c r="BP77" s="3">
        <f>BG78/BG77</f>
        <v>0.77235772357723576</v>
      </c>
    </row>
    <row r="78" spans="1:68" x14ac:dyDescent="0.35">
      <c r="A78" s="219" t="s">
        <v>35</v>
      </c>
      <c r="B78" s="457">
        <v>1.3391999999999999E-2</v>
      </c>
      <c r="C78" s="457">
        <v>1.5609E-2</v>
      </c>
      <c r="D78" s="457">
        <v>1.277E-2</v>
      </c>
      <c r="E78" s="457">
        <v>4.7229999999999998E-3</v>
      </c>
      <c r="F78" s="457">
        <v>3.784E-3</v>
      </c>
      <c r="G78" s="457">
        <v>0</v>
      </c>
      <c r="H78" s="457">
        <v>0</v>
      </c>
      <c r="I78" s="458">
        <v>0</v>
      </c>
      <c r="J78" s="458">
        <v>0</v>
      </c>
      <c r="K78" s="458">
        <v>1.6083E-2</v>
      </c>
      <c r="L78" s="458">
        <v>5.2639999999999996E-3</v>
      </c>
      <c r="M78" s="458">
        <v>0</v>
      </c>
      <c r="N78" s="458">
        <v>9.3819999999999997E-3</v>
      </c>
      <c r="O78" s="458">
        <v>1.1167E-2</v>
      </c>
      <c r="P78" s="458">
        <v>8.5108000000000003E-2</v>
      </c>
      <c r="Q78" s="457">
        <v>0.28322000000000003</v>
      </c>
      <c r="R78" s="457">
        <v>0.43680200000000002</v>
      </c>
      <c r="S78" s="457">
        <v>0.68043299999999995</v>
      </c>
      <c r="T78" s="457">
        <v>0.63374399999999997</v>
      </c>
      <c r="U78" s="457">
        <v>0.64422999999999997</v>
      </c>
      <c r="V78" s="457">
        <v>0.90408699999999997</v>
      </c>
      <c r="Z78" s="14" t="s">
        <v>133</v>
      </c>
      <c r="AT78" s="4" t="s">
        <v>772</v>
      </c>
      <c r="AU78" s="9">
        <v>144</v>
      </c>
      <c r="AV78" s="9">
        <v>130</v>
      </c>
      <c r="AW78" s="9">
        <v>126</v>
      </c>
      <c r="AX78" s="9">
        <v>112</v>
      </c>
      <c r="AY78" s="9">
        <v>107</v>
      </c>
      <c r="AZ78" s="9">
        <v>103</v>
      </c>
      <c r="BB78" s="17"/>
      <c r="BC78">
        <v>2050</v>
      </c>
      <c r="BD78" s="381">
        <v>350</v>
      </c>
      <c r="BE78" s="86">
        <v>622</v>
      </c>
      <c r="BF78" s="235">
        <v>437254</v>
      </c>
      <c r="BG78" s="88">
        <v>0.95</v>
      </c>
      <c r="BH78" s="86">
        <v>0.1</v>
      </c>
      <c r="BI78" s="88">
        <v>0.12</v>
      </c>
      <c r="BJ78" s="384">
        <v>240389</v>
      </c>
      <c r="BK78" s="385">
        <v>0.5</v>
      </c>
      <c r="BL78" s="24">
        <v>300000</v>
      </c>
      <c r="BM78" s="383">
        <v>1.42</v>
      </c>
      <c r="BO78" s="3" t="s">
        <v>627</v>
      </c>
      <c r="BP78" s="3">
        <f>BG80/BG79</f>
        <v>0.7831325301204819</v>
      </c>
    </row>
    <row r="79" spans="1:68" x14ac:dyDescent="0.35">
      <c r="A79" s="219" t="s">
        <v>36</v>
      </c>
      <c r="B79" s="457">
        <v>0.28831299999999999</v>
      </c>
      <c r="C79" s="457">
        <v>8.6130999999999999E-2</v>
      </c>
      <c r="D79" s="457">
        <v>5.6063000000000002E-2</v>
      </c>
      <c r="E79" s="457">
        <v>0.122965</v>
      </c>
      <c r="F79" s="457">
        <v>0.12509799999999999</v>
      </c>
      <c r="G79" s="457">
        <v>4.4477999999999997E-2</v>
      </c>
      <c r="H79" s="457">
        <v>8.8349999999999998E-2</v>
      </c>
      <c r="I79" s="458">
        <v>0.134238</v>
      </c>
      <c r="J79" s="458">
        <v>5.6121999999999998E-2</v>
      </c>
      <c r="K79" s="458">
        <v>7.5899999999999995E-2</v>
      </c>
      <c r="L79" s="458">
        <v>6.7233000000000001E-2</v>
      </c>
      <c r="M79" s="458">
        <v>7.2220000000000006E-2</v>
      </c>
      <c r="N79" s="458">
        <v>9.6643999999999994E-2</v>
      </c>
      <c r="O79" s="458">
        <v>0.101421</v>
      </c>
      <c r="P79" s="458">
        <v>0.149756</v>
      </c>
      <c r="Q79" s="457">
        <v>0.139904</v>
      </c>
      <c r="R79" s="457">
        <v>0.16433900000000001</v>
      </c>
      <c r="S79" s="457">
        <v>0.15575800000000001</v>
      </c>
      <c r="T79" s="457">
        <v>0.128801</v>
      </c>
      <c r="U79" s="457">
        <v>0.17002100000000001</v>
      </c>
      <c r="V79" s="457">
        <v>0.15826599999999999</v>
      </c>
      <c r="Z79" s="14" t="s">
        <v>134</v>
      </c>
      <c r="AT79" s="224" t="s">
        <v>110</v>
      </c>
      <c r="AU79" s="10">
        <v>49</v>
      </c>
      <c r="AV79" s="10">
        <v>45</v>
      </c>
      <c r="AW79" s="10">
        <v>42</v>
      </c>
      <c r="AX79" s="10">
        <v>36</v>
      </c>
      <c r="AY79" s="10">
        <v>36</v>
      </c>
      <c r="AZ79" s="10">
        <v>35</v>
      </c>
      <c r="BB79" s="17" t="s">
        <v>627</v>
      </c>
      <c r="BC79">
        <v>2030</v>
      </c>
      <c r="BD79" s="381">
        <v>500</v>
      </c>
      <c r="BE79" s="86">
        <v>132.80000000000001</v>
      </c>
      <c r="BF79" s="235">
        <v>484735</v>
      </c>
      <c r="BG79" s="88">
        <v>0.16600000000000001</v>
      </c>
      <c r="BH79" s="86">
        <v>5</v>
      </c>
      <c r="BI79" s="88">
        <v>1.08</v>
      </c>
      <c r="BJ79" s="235">
        <v>242368</v>
      </c>
      <c r="BK79" s="236">
        <v>0.5</v>
      </c>
      <c r="BL79" s="10">
        <v>300000</v>
      </c>
      <c r="BM79" s="376">
        <v>2.39</v>
      </c>
      <c r="BO79" s="3" t="s">
        <v>2221</v>
      </c>
    </row>
    <row r="80" spans="1:68" x14ac:dyDescent="0.35">
      <c r="A80" s="219" t="s">
        <v>37</v>
      </c>
      <c r="B80" s="457">
        <v>2.1915879999999999</v>
      </c>
      <c r="C80" s="457">
        <v>2.6095600000000001</v>
      </c>
      <c r="D80" s="457">
        <v>2.966599</v>
      </c>
      <c r="E80" s="457">
        <v>2.6155520000000001</v>
      </c>
      <c r="F80" s="457">
        <v>1.8565970000000001</v>
      </c>
      <c r="G80" s="457">
        <v>2.2079399999999998</v>
      </c>
      <c r="H80" s="457">
        <v>2.1600130000000002</v>
      </c>
      <c r="I80" s="458">
        <v>2.2919520000000002</v>
      </c>
      <c r="J80" s="458">
        <v>2.575437</v>
      </c>
      <c r="K80" s="458">
        <v>2.7147700000000001</v>
      </c>
      <c r="L80" s="458">
        <v>2.9957259999999999</v>
      </c>
      <c r="M80" s="458">
        <v>2.8807489999999998</v>
      </c>
      <c r="N80" s="458">
        <v>2.5295079999999999</v>
      </c>
      <c r="O80" s="458">
        <v>2.3741210000000001</v>
      </c>
      <c r="P80" s="458">
        <v>2.3701110000000001</v>
      </c>
      <c r="Q80" s="457">
        <v>2.0351569999999999</v>
      </c>
      <c r="R80" s="457">
        <v>1.9842610000000001</v>
      </c>
      <c r="S80" s="457">
        <v>0.92046099999999997</v>
      </c>
      <c r="T80" s="457">
        <v>1.4943150000000001</v>
      </c>
      <c r="U80" s="457">
        <v>1.7462249999999999</v>
      </c>
      <c r="V80" s="457">
        <v>1.352317</v>
      </c>
      <c r="Z80" s="14" t="s">
        <v>135</v>
      </c>
      <c r="AT80" s="224" t="s">
        <v>109</v>
      </c>
      <c r="AU80" s="10">
        <v>95</v>
      </c>
      <c r="AV80" s="10">
        <v>85</v>
      </c>
      <c r="AW80" s="10">
        <v>84</v>
      </c>
      <c r="AX80" s="10">
        <v>76</v>
      </c>
      <c r="AY80" s="10">
        <v>71</v>
      </c>
      <c r="AZ80" s="10">
        <v>68</v>
      </c>
      <c r="BB80" s="17"/>
      <c r="BC80">
        <v>2050</v>
      </c>
      <c r="BD80" s="381">
        <v>500</v>
      </c>
      <c r="BE80" s="86">
        <v>104</v>
      </c>
      <c r="BF80" s="235">
        <v>415258</v>
      </c>
      <c r="BG80" s="88">
        <v>0.13</v>
      </c>
      <c r="BH80" s="86">
        <v>5</v>
      </c>
      <c r="BI80" s="88">
        <v>0.85</v>
      </c>
      <c r="BJ80" s="235">
        <v>207629</v>
      </c>
      <c r="BK80" s="236">
        <v>0.5</v>
      </c>
      <c r="BL80" s="10">
        <v>300000</v>
      </c>
      <c r="BM80" s="376">
        <v>2.04</v>
      </c>
      <c r="BO80" s="3" t="s">
        <v>246</v>
      </c>
      <c r="BP80" s="3">
        <f>BG72/BG71</f>
        <v>0.83181818181818179</v>
      </c>
    </row>
    <row r="81" spans="1:68" x14ac:dyDescent="0.35">
      <c r="A81" s="219" t="s">
        <v>38</v>
      </c>
      <c r="B81" s="457" t="s">
        <v>39</v>
      </c>
      <c r="C81" s="457" t="s">
        <v>39</v>
      </c>
      <c r="D81" s="457" t="s">
        <v>39</v>
      </c>
      <c r="E81" s="457" t="s">
        <v>39</v>
      </c>
      <c r="F81" s="457" t="s">
        <v>39</v>
      </c>
      <c r="G81" s="457" t="s">
        <v>39</v>
      </c>
      <c r="H81" s="457" t="s">
        <v>39</v>
      </c>
      <c r="I81" s="458" t="s">
        <v>39</v>
      </c>
      <c r="J81" s="458" t="s">
        <v>39</v>
      </c>
      <c r="K81" s="458" t="s">
        <v>39</v>
      </c>
      <c r="L81" s="458" t="s">
        <v>39</v>
      </c>
      <c r="M81" s="458">
        <v>2.892E-3</v>
      </c>
      <c r="N81" s="458">
        <v>5.3449999999999999E-3</v>
      </c>
      <c r="O81" s="458">
        <v>3.9360000000000003E-3</v>
      </c>
      <c r="P81" s="458">
        <v>6.7130000000000002E-3</v>
      </c>
      <c r="Q81" s="457" t="s">
        <v>39</v>
      </c>
      <c r="R81" s="457" t="s">
        <v>39</v>
      </c>
      <c r="S81" s="457" t="s">
        <v>39</v>
      </c>
      <c r="T81" s="457" t="s">
        <v>39</v>
      </c>
      <c r="U81" s="457" t="s">
        <v>39</v>
      </c>
      <c r="V81" s="457" t="s">
        <v>39</v>
      </c>
      <c r="Z81" s="14" t="s">
        <v>136</v>
      </c>
      <c r="AT81" s="224" t="s">
        <v>128</v>
      </c>
      <c r="AU81" s="10">
        <v>0</v>
      </c>
      <c r="AV81" s="10">
        <v>0</v>
      </c>
      <c r="AW81" s="10">
        <v>0</v>
      </c>
      <c r="AX81" s="10">
        <v>0</v>
      </c>
      <c r="AY81" s="10">
        <v>0</v>
      </c>
      <c r="AZ81" s="10">
        <v>0</v>
      </c>
      <c r="BB81" s="17" t="s">
        <v>1727</v>
      </c>
      <c r="BC81"/>
      <c r="BD81" s="381"/>
      <c r="BE81" s="86"/>
      <c r="BF81" s="235">
        <v>400000</v>
      </c>
      <c r="BG81" s="88">
        <v>8.5</v>
      </c>
      <c r="BH81" s="86">
        <v>4</v>
      </c>
      <c r="BI81" s="88">
        <v>0.47</v>
      </c>
      <c r="BJ81" s="235">
        <v>200000</v>
      </c>
      <c r="BK81" s="236">
        <v>1</v>
      </c>
      <c r="BL81" s="10">
        <v>300000</v>
      </c>
      <c r="BM81" s="376">
        <v>2.14</v>
      </c>
      <c r="BO81" s="3" t="s">
        <v>627</v>
      </c>
      <c r="BP81" s="3">
        <f>BG74/BG73</f>
        <v>0.9375</v>
      </c>
    </row>
    <row r="82" spans="1:68" x14ac:dyDescent="0.35">
      <c r="A82" s="208" t="s">
        <v>67</v>
      </c>
      <c r="B82" s="456">
        <v>4.5238670000000001</v>
      </c>
      <c r="C82" s="456">
        <v>5.6515789999999999</v>
      </c>
      <c r="D82" s="456">
        <v>7.0367709999999999</v>
      </c>
      <c r="E82" s="456">
        <v>5.8163580000000001</v>
      </c>
      <c r="F82" s="456">
        <v>5.277552</v>
      </c>
      <c r="G82" s="456">
        <v>6.0212219999999999</v>
      </c>
      <c r="H82" s="456">
        <v>4.7578389999999997</v>
      </c>
      <c r="I82" s="456">
        <v>5.8799780000000004</v>
      </c>
      <c r="J82" s="456">
        <v>5.8673500000000001</v>
      </c>
      <c r="K82" s="456">
        <v>6.6494239999999998</v>
      </c>
      <c r="L82" s="456">
        <v>7.4224319999999997</v>
      </c>
      <c r="M82" s="456">
        <v>7.3929130000000001</v>
      </c>
      <c r="N82" s="456">
        <v>6.7401530000000003</v>
      </c>
      <c r="O82" s="456">
        <v>7.6460460000000001</v>
      </c>
      <c r="P82" s="456">
        <v>8.2044160000000002</v>
      </c>
      <c r="Q82" s="456">
        <v>7.4728310000000002</v>
      </c>
      <c r="R82" s="456">
        <v>6.1234200000000003</v>
      </c>
      <c r="S82" s="456">
        <v>6.6365129999999999</v>
      </c>
      <c r="T82" s="456">
        <v>6.8603100000000001</v>
      </c>
      <c r="U82" s="456">
        <v>6.9768759999999999</v>
      </c>
      <c r="V82" s="456">
        <v>5.3704090000000004</v>
      </c>
      <c r="AT82" s="224" t="s">
        <v>129</v>
      </c>
      <c r="AU82" s="10">
        <v>0</v>
      </c>
      <c r="AV82" s="10">
        <v>0</v>
      </c>
      <c r="AW82" s="10">
        <v>0</v>
      </c>
      <c r="AX82" s="10">
        <v>0</v>
      </c>
      <c r="AY82" s="10">
        <v>0</v>
      </c>
      <c r="AZ82" s="10">
        <v>0</v>
      </c>
      <c r="BB82" s="4" t="s">
        <v>1738</v>
      </c>
      <c r="BM82" s="376"/>
    </row>
    <row r="83" spans="1:68" ht="15.5" x14ac:dyDescent="0.35">
      <c r="A83" s="219" t="s">
        <v>68</v>
      </c>
      <c r="B83" s="454">
        <v>0.25700000000000001</v>
      </c>
      <c r="C83" s="454">
        <v>0.25900000000000001</v>
      </c>
      <c r="D83" s="454">
        <v>0.40400000000000003</v>
      </c>
      <c r="E83" s="454">
        <v>0.432</v>
      </c>
      <c r="F83" s="454">
        <v>0.52300000000000002</v>
      </c>
      <c r="G83" s="454">
        <v>0.54200000000000004</v>
      </c>
      <c r="H83" s="454">
        <v>0.36399999999999999</v>
      </c>
      <c r="I83" s="454">
        <v>0.441</v>
      </c>
      <c r="J83" s="454">
        <v>0.32</v>
      </c>
      <c r="K83" s="454">
        <v>0.34599999999999997</v>
      </c>
      <c r="L83" s="454">
        <v>0.39200000000000002</v>
      </c>
      <c r="M83" s="454">
        <v>0.50900000000000001</v>
      </c>
      <c r="N83" s="454">
        <v>0.376</v>
      </c>
      <c r="O83" s="454">
        <v>0.38300000000000001</v>
      </c>
      <c r="P83" s="454">
        <v>0.42399999999999999</v>
      </c>
      <c r="Q83" s="454">
        <v>0.38200000000000001</v>
      </c>
      <c r="R83" s="454">
        <v>0.375</v>
      </c>
      <c r="S83" s="454">
        <v>0.41399999999999998</v>
      </c>
      <c r="T83" s="454">
        <v>0.41699999999999998</v>
      </c>
      <c r="U83" s="454">
        <v>0.40699999999999997</v>
      </c>
      <c r="V83" s="454">
        <v>0.39</v>
      </c>
      <c r="Z83" s="519" t="s">
        <v>761</v>
      </c>
      <c r="AA83" s="519"/>
      <c r="AB83" s="519"/>
      <c r="AC83" s="519"/>
      <c r="AD83" s="519"/>
      <c r="AE83" s="519"/>
      <c r="AF83" s="519"/>
      <c r="AG83" s="519"/>
      <c r="AH83" s="519"/>
      <c r="AI83" s="519"/>
      <c r="AJ83" s="519"/>
      <c r="AK83" s="519"/>
      <c r="AL83" s="519"/>
      <c r="AM83" s="519"/>
      <c r="AN83" s="519"/>
      <c r="AO83" s="519"/>
      <c r="AT83" s="224" t="s">
        <v>130</v>
      </c>
      <c r="AU83" s="10">
        <v>0</v>
      </c>
      <c r="AV83" s="10">
        <v>0</v>
      </c>
      <c r="AW83" s="10">
        <v>0</v>
      </c>
      <c r="AX83" s="10">
        <v>0</v>
      </c>
      <c r="AY83" s="10">
        <v>0</v>
      </c>
      <c r="AZ83" s="10">
        <v>0</v>
      </c>
      <c r="BB83" s="17" t="s">
        <v>246</v>
      </c>
      <c r="BC83">
        <v>2030</v>
      </c>
      <c r="BD83" s="381">
        <v>300</v>
      </c>
      <c r="BE83" s="86">
        <v>2244</v>
      </c>
      <c r="BF83" s="235">
        <v>584988</v>
      </c>
      <c r="BG83" s="88">
        <v>2.4</v>
      </c>
      <c r="BH83" s="86">
        <v>0.1</v>
      </c>
      <c r="BI83" s="88">
        <v>0.31</v>
      </c>
      <c r="BJ83" s="235">
        <v>508479</v>
      </c>
      <c r="BK83" s="236">
        <v>9.5000000000000001E-2</v>
      </c>
      <c r="BL83" s="10">
        <v>500000</v>
      </c>
      <c r="BM83" s="376">
        <v>1.42</v>
      </c>
    </row>
    <row r="84" spans="1:68" ht="15" thickBot="1" x14ac:dyDescent="0.4">
      <c r="A84" s="219" t="s">
        <v>35</v>
      </c>
      <c r="B84" s="454">
        <v>6.0787000000000001E-2</v>
      </c>
      <c r="C84" s="454">
        <v>4.0985000000000001E-2</v>
      </c>
      <c r="D84" s="454">
        <v>4.5193999999999998E-2</v>
      </c>
      <c r="E84" s="454">
        <v>5.0979999999999998E-2</v>
      </c>
      <c r="F84" s="454">
        <v>4.9654999999999998E-2</v>
      </c>
      <c r="G84" s="454">
        <v>4.8793999999999997E-2</v>
      </c>
      <c r="H84" s="454">
        <v>4.2698E-2</v>
      </c>
      <c r="I84" s="454">
        <v>4.8186E-2</v>
      </c>
      <c r="J84" s="454">
        <v>4.5990999999999997E-2</v>
      </c>
      <c r="K84" s="454">
        <v>3.7250999999999999E-2</v>
      </c>
      <c r="L84" s="454">
        <v>4.2534000000000002E-2</v>
      </c>
      <c r="M84" s="454">
        <v>0.111597</v>
      </c>
      <c r="N84" s="454">
        <v>0.18179300000000001</v>
      </c>
      <c r="O84" s="454">
        <v>0.19065099999999999</v>
      </c>
      <c r="P84" s="454">
        <v>0.77310000000000001</v>
      </c>
      <c r="Q84" s="454">
        <v>0.57772500000000004</v>
      </c>
      <c r="R84" s="454">
        <v>0.59177500000000005</v>
      </c>
      <c r="S84" s="454">
        <v>0.68424499999999999</v>
      </c>
      <c r="T84" s="454">
        <v>0.63159699999999996</v>
      </c>
      <c r="U84" s="454">
        <v>0.58829399999999998</v>
      </c>
      <c r="V84" s="454">
        <v>0.43485299999999999</v>
      </c>
      <c r="Z84" s="21" t="s">
        <v>743</v>
      </c>
      <c r="AA84" s="8">
        <v>2004</v>
      </c>
      <c r="AB84" s="8">
        <v>2005</v>
      </c>
      <c r="AC84" s="8">
        <v>2006</v>
      </c>
      <c r="AD84" s="8">
        <v>2007</v>
      </c>
      <c r="AE84" s="8">
        <v>2008</v>
      </c>
      <c r="AF84" s="8">
        <v>2009</v>
      </c>
      <c r="AG84" s="8">
        <v>2010</v>
      </c>
      <c r="AH84" s="8">
        <v>2011</v>
      </c>
      <c r="AI84" s="8">
        <v>2012</v>
      </c>
      <c r="AJ84" s="8">
        <v>2013</v>
      </c>
      <c r="AK84" s="8">
        <v>2014</v>
      </c>
      <c r="AL84" s="8">
        <v>2015</v>
      </c>
      <c r="AM84" s="8">
        <v>2016</v>
      </c>
      <c r="AN84" s="8">
        <v>2017</v>
      </c>
      <c r="AO84" s="8">
        <v>2018</v>
      </c>
      <c r="AP84" s="3" t="s">
        <v>1165</v>
      </c>
      <c r="AT84" s="224" t="s">
        <v>767</v>
      </c>
      <c r="AU84" s="10">
        <v>0</v>
      </c>
      <c r="AV84" s="10">
        <v>0</v>
      </c>
      <c r="AW84" s="10">
        <v>0</v>
      </c>
      <c r="AX84" s="10">
        <v>0</v>
      </c>
      <c r="AY84" s="10">
        <v>0</v>
      </c>
      <c r="AZ84" s="10">
        <v>0</v>
      </c>
      <c r="BB84" s="17"/>
      <c r="BC84" s="18">
        <v>2050</v>
      </c>
      <c r="BD84" s="327">
        <v>300</v>
      </c>
      <c r="BE84" s="320">
        <v>1870</v>
      </c>
      <c r="BF84" s="235">
        <v>227080</v>
      </c>
      <c r="BG84" s="382">
        <v>2</v>
      </c>
      <c r="BH84" s="320">
        <v>0.1</v>
      </c>
      <c r="BI84" s="382">
        <v>0.26</v>
      </c>
      <c r="BJ84" s="235">
        <v>178990</v>
      </c>
      <c r="BK84" s="236">
        <v>9.5000000000000001E-2</v>
      </c>
      <c r="BL84" s="10">
        <v>500000</v>
      </c>
      <c r="BM84" s="376">
        <v>0.71</v>
      </c>
    </row>
    <row r="85" spans="1:68" ht="15" thickTop="1" x14ac:dyDescent="0.35">
      <c r="A85" s="219" t="s">
        <v>36</v>
      </c>
      <c r="B85" s="454">
        <v>7.2849999999999998E-3</v>
      </c>
      <c r="C85" s="454">
        <v>1.5151E-2</v>
      </c>
      <c r="D85" s="454">
        <v>1.8898999999999999E-2</v>
      </c>
      <c r="E85" s="454">
        <v>2.0336E-2</v>
      </c>
      <c r="F85" s="454">
        <v>1.1022000000000001E-2</v>
      </c>
      <c r="G85" s="454">
        <v>7.6420000000000004E-3</v>
      </c>
      <c r="H85" s="454">
        <v>3.571E-3</v>
      </c>
      <c r="I85" s="454">
        <v>5.5500000000000002E-3</v>
      </c>
      <c r="J85" s="454">
        <v>8.0479999999999996E-3</v>
      </c>
      <c r="K85" s="454">
        <v>6.7000000000000002E-3</v>
      </c>
      <c r="L85" s="454">
        <v>7.5100000000000002E-3</v>
      </c>
      <c r="M85" s="454">
        <v>8.0770000000000008E-3</v>
      </c>
      <c r="N85" s="454">
        <v>7.1980000000000004E-3</v>
      </c>
      <c r="O85" s="454">
        <v>2.5183000000000001E-2</v>
      </c>
      <c r="P85" s="454">
        <v>3.0679000000000001E-2</v>
      </c>
      <c r="Q85" s="454">
        <v>3.4551999999999999E-2</v>
      </c>
      <c r="R85" s="454">
        <v>4.3753E-2</v>
      </c>
      <c r="S85" s="454">
        <v>7.2455000000000006E-2</v>
      </c>
      <c r="T85" s="454">
        <v>8.9960999999999999E-2</v>
      </c>
      <c r="U85" s="454">
        <v>9.9028000000000005E-2</v>
      </c>
      <c r="V85" s="454">
        <v>9.3912999999999996E-2</v>
      </c>
      <c r="Z85" s="4" t="s">
        <v>756</v>
      </c>
      <c r="AK85" s="3"/>
      <c r="AT85" s="4" t="s">
        <v>773</v>
      </c>
      <c r="AU85" s="9">
        <v>130515</v>
      </c>
      <c r="AV85" s="9">
        <v>134703</v>
      </c>
      <c r="AW85" s="9">
        <v>136503</v>
      </c>
      <c r="AX85" s="9">
        <v>136955</v>
      </c>
      <c r="AY85" s="9">
        <v>140712</v>
      </c>
      <c r="AZ85" s="9">
        <v>143857</v>
      </c>
      <c r="BB85" s="17" t="s">
        <v>627</v>
      </c>
      <c r="BC85" s="18">
        <v>2030</v>
      </c>
      <c r="BD85" s="327">
        <v>600</v>
      </c>
      <c r="BE85" s="320">
        <v>144</v>
      </c>
      <c r="BF85" s="235">
        <v>249900</v>
      </c>
      <c r="BG85" s="382">
        <v>0.15</v>
      </c>
      <c r="BH85" s="320">
        <v>5</v>
      </c>
      <c r="BI85" s="382">
        <v>0.98</v>
      </c>
      <c r="BJ85" s="235">
        <v>124950</v>
      </c>
      <c r="BK85" s="236">
        <v>9.5000000000000001E-2</v>
      </c>
      <c r="BL85" s="10">
        <v>500000</v>
      </c>
      <c r="BM85" s="376">
        <v>1.32</v>
      </c>
    </row>
    <row r="86" spans="1:68" x14ac:dyDescent="0.35">
      <c r="A86" s="219" t="s">
        <v>37</v>
      </c>
      <c r="B86" s="454">
        <v>4.1987949999999996</v>
      </c>
      <c r="C86" s="454">
        <v>5.2378080000000002</v>
      </c>
      <c r="D86" s="454">
        <v>6.389329</v>
      </c>
      <c r="E86" s="454">
        <v>5.1446449999999997</v>
      </c>
      <c r="F86" s="454">
        <v>4.3673120000000001</v>
      </c>
      <c r="G86" s="454">
        <v>4.7348809999999997</v>
      </c>
      <c r="H86" s="454">
        <v>4.3475710000000003</v>
      </c>
      <c r="I86" s="454">
        <v>5.3852409999999997</v>
      </c>
      <c r="J86" s="454">
        <v>5.4933110000000003</v>
      </c>
      <c r="K86" s="454">
        <v>6.2594729999999998</v>
      </c>
      <c r="L86" s="454">
        <v>6.9803879999999996</v>
      </c>
      <c r="M86" s="454">
        <v>6.763916</v>
      </c>
      <c r="N86" s="454">
        <v>6.1747649999999998</v>
      </c>
      <c r="O86" s="454">
        <v>7.0462340000000001</v>
      </c>
      <c r="P86" s="454">
        <v>6.9752619999999999</v>
      </c>
      <c r="Q86" s="454">
        <v>6.4785539999999999</v>
      </c>
      <c r="R86" s="454">
        <v>5.1128920000000004</v>
      </c>
      <c r="S86" s="454">
        <v>5.4658119999999997</v>
      </c>
      <c r="T86" s="454">
        <v>5.7217510000000003</v>
      </c>
      <c r="U86" s="454">
        <v>5.8825539999999998</v>
      </c>
      <c r="V86" s="454">
        <v>4.4516429999999998</v>
      </c>
      <c r="Z86" s="199" t="s">
        <v>755</v>
      </c>
      <c r="AA86" s="10">
        <v>59628910</v>
      </c>
      <c r="AB86" s="10">
        <v>61615290</v>
      </c>
      <c r="AC86" s="10">
        <v>61721422</v>
      </c>
      <c r="AD86" s="10">
        <v>63772445</v>
      </c>
      <c r="AE86" s="10">
        <v>60470752</v>
      </c>
      <c r="AF86" s="10">
        <v>53409619</v>
      </c>
      <c r="AG86" s="10">
        <v>60471473</v>
      </c>
      <c r="AH86" s="10">
        <v>56433360</v>
      </c>
      <c r="AI86" s="10">
        <v>64426719</v>
      </c>
      <c r="AJ86" s="10">
        <v>65016375</v>
      </c>
      <c r="AK86" s="10">
        <v>65624086</v>
      </c>
      <c r="AL86" s="10">
        <v>64254141</v>
      </c>
      <c r="AM86" s="10">
        <v>60907663</v>
      </c>
      <c r="AN86" s="10">
        <v>65640370</v>
      </c>
      <c r="AO86" s="10">
        <v>63678359</v>
      </c>
      <c r="AT86" s="224" t="s">
        <v>110</v>
      </c>
      <c r="AU86" s="10">
        <v>29813</v>
      </c>
      <c r="AV86" s="10">
        <v>31088</v>
      </c>
      <c r="AW86" s="10">
        <v>31628</v>
      </c>
      <c r="AX86" s="10">
        <v>32044</v>
      </c>
      <c r="AY86" s="10">
        <v>33818</v>
      </c>
      <c r="AZ86" s="10">
        <v>36533</v>
      </c>
      <c r="BB86" s="17"/>
      <c r="BC86" s="18">
        <v>2050</v>
      </c>
      <c r="BD86" s="327">
        <v>600</v>
      </c>
      <c r="BE86" s="320">
        <v>105.6</v>
      </c>
      <c r="BF86" s="235">
        <v>157988</v>
      </c>
      <c r="BG86" s="382">
        <v>0.11</v>
      </c>
      <c r="BH86" s="320">
        <v>5</v>
      </c>
      <c r="BI86" s="382">
        <v>0.72</v>
      </c>
      <c r="BJ86" s="235">
        <v>78994</v>
      </c>
      <c r="BK86" s="236">
        <v>9.5000000000000001E-2</v>
      </c>
      <c r="BL86" s="10">
        <v>500000</v>
      </c>
      <c r="BM86" s="376">
        <v>0.97</v>
      </c>
    </row>
    <row r="87" spans="1:68" x14ac:dyDescent="0.35">
      <c r="A87" s="219" t="s">
        <v>38</v>
      </c>
      <c r="B87" s="453" t="s">
        <v>39</v>
      </c>
      <c r="C87" s="453" t="s">
        <v>39</v>
      </c>
      <c r="D87" s="453" t="s">
        <v>39</v>
      </c>
      <c r="E87" s="453" t="s">
        <v>39</v>
      </c>
      <c r="F87" s="453" t="s">
        <v>39</v>
      </c>
      <c r="G87" s="453" t="s">
        <v>39</v>
      </c>
      <c r="H87" s="453" t="s">
        <v>39</v>
      </c>
      <c r="I87" s="454" t="s">
        <v>39</v>
      </c>
      <c r="J87" s="454" t="s">
        <v>39</v>
      </c>
      <c r="K87" s="454" t="s">
        <v>39</v>
      </c>
      <c r="L87" s="454" t="s">
        <v>39</v>
      </c>
      <c r="M87" s="454">
        <v>3.2299999999999999E-4</v>
      </c>
      <c r="N87" s="454">
        <v>3.9800000000000002E-4</v>
      </c>
      <c r="O87" s="454">
        <v>9.77E-4</v>
      </c>
      <c r="P87" s="454">
        <v>1.3749999999999999E-3</v>
      </c>
      <c r="Q87" s="453" t="s">
        <v>39</v>
      </c>
      <c r="R87" s="453" t="s">
        <v>39</v>
      </c>
      <c r="S87" s="453" t="s">
        <v>39</v>
      </c>
      <c r="T87" s="453" t="s">
        <v>39</v>
      </c>
      <c r="U87" s="453" t="s">
        <v>39</v>
      </c>
      <c r="V87" s="453" t="s">
        <v>39</v>
      </c>
      <c r="Z87" s="199" t="s">
        <v>753</v>
      </c>
      <c r="AA87" s="10">
        <v>557796127733</v>
      </c>
      <c r="AB87" s="10">
        <v>587424454708</v>
      </c>
      <c r="AC87" s="10">
        <v>598415216684</v>
      </c>
      <c r="AD87" s="10">
        <v>603823498138</v>
      </c>
      <c r="AE87" s="10">
        <v>588493585016</v>
      </c>
      <c r="AF87" s="10">
        <v>528263066924</v>
      </c>
      <c r="AG87" s="10">
        <v>572883057902</v>
      </c>
      <c r="AH87" s="10">
        <v>600643634182</v>
      </c>
      <c r="AI87" s="10">
        <v>661929861820</v>
      </c>
      <c r="AJ87" s="10">
        <v>690792516083</v>
      </c>
      <c r="AK87" s="10">
        <v>730550584250</v>
      </c>
      <c r="AL87" s="10">
        <v>729215433594</v>
      </c>
      <c r="AM87" s="10">
        <v>755515777679</v>
      </c>
      <c r="AN87" s="10">
        <v>751948221713</v>
      </c>
      <c r="AO87" s="10">
        <v>753715221437</v>
      </c>
      <c r="AT87" s="224" t="s">
        <v>109</v>
      </c>
      <c r="AU87" s="10">
        <v>100701</v>
      </c>
      <c r="AV87" s="10">
        <v>103614</v>
      </c>
      <c r="AW87" s="10">
        <v>104875</v>
      </c>
      <c r="AX87" s="10">
        <v>104911</v>
      </c>
      <c r="AY87" s="10">
        <v>106894</v>
      </c>
      <c r="AZ87" s="10">
        <v>107322</v>
      </c>
      <c r="BB87" s="17" t="s">
        <v>1727</v>
      </c>
      <c r="BC87" s="18"/>
      <c r="BD87" s="327"/>
      <c r="BE87" s="320"/>
      <c r="BF87" s="235">
        <v>134000</v>
      </c>
      <c r="BG87" s="382">
        <v>8.6999999999999993</v>
      </c>
      <c r="BH87" s="320">
        <v>4</v>
      </c>
      <c r="BI87" s="382">
        <v>0.46</v>
      </c>
      <c r="BJ87" s="235">
        <v>67000</v>
      </c>
      <c r="BK87" s="236">
        <v>0.19</v>
      </c>
      <c r="BL87" s="10">
        <v>500000</v>
      </c>
      <c r="BM87" s="376">
        <v>0.78</v>
      </c>
    </row>
    <row r="88" spans="1:68" x14ac:dyDescent="0.35">
      <c r="A88" s="219" t="s">
        <v>40</v>
      </c>
      <c r="B88" s="454">
        <v>0</v>
      </c>
      <c r="C88" s="454">
        <v>9.8633999999999999E-2</v>
      </c>
      <c r="D88" s="454">
        <v>0.17934900000000001</v>
      </c>
      <c r="E88" s="454">
        <v>0.16839699999999999</v>
      </c>
      <c r="F88" s="454">
        <v>0.32656400000000002</v>
      </c>
      <c r="G88" s="454">
        <v>0.68790399999999996</v>
      </c>
      <c r="H88" s="454">
        <v>0</v>
      </c>
      <c r="I88" s="454">
        <v>0</v>
      </c>
      <c r="J88" s="454">
        <v>0</v>
      </c>
      <c r="K88" s="454">
        <v>0</v>
      </c>
      <c r="L88" s="454">
        <v>0</v>
      </c>
      <c r="M88" s="454">
        <v>0</v>
      </c>
      <c r="N88" s="454">
        <v>0</v>
      </c>
      <c r="O88" s="454">
        <v>0</v>
      </c>
      <c r="P88" s="454">
        <v>0</v>
      </c>
      <c r="Q88" s="454">
        <v>0</v>
      </c>
      <c r="R88" s="454">
        <v>0</v>
      </c>
      <c r="S88" s="454">
        <v>0</v>
      </c>
      <c r="T88" s="454">
        <v>0</v>
      </c>
      <c r="U88" s="454">
        <v>0</v>
      </c>
      <c r="V88" s="454">
        <v>0</v>
      </c>
      <c r="Z88" s="199" t="s">
        <v>754</v>
      </c>
      <c r="AA88" s="10">
        <v>36262075604</v>
      </c>
      <c r="AB88" s="10">
        <v>36935616650</v>
      </c>
      <c r="AC88" s="10">
        <v>38113158690</v>
      </c>
      <c r="AD88" s="10">
        <v>38497835599</v>
      </c>
      <c r="AE88" s="10">
        <v>35321201232</v>
      </c>
      <c r="AF88" s="10">
        <v>31706243649</v>
      </c>
      <c r="AG88" s="10">
        <v>35873087841</v>
      </c>
      <c r="AH88" s="10">
        <v>34835228497</v>
      </c>
      <c r="AI88" s="10">
        <v>40691522977</v>
      </c>
      <c r="AJ88" s="10">
        <v>41184412044</v>
      </c>
      <c r="AK88" s="10">
        <v>41082080872</v>
      </c>
      <c r="AL88" s="10">
        <v>39388059058</v>
      </c>
      <c r="AM88" s="10">
        <v>38692154660</v>
      </c>
      <c r="AN88" s="10">
        <v>38342947207</v>
      </c>
      <c r="AO88" s="10">
        <v>37991270989</v>
      </c>
      <c r="AT88" s="224" t="s">
        <v>128</v>
      </c>
      <c r="AU88" s="10">
        <v>0</v>
      </c>
      <c r="AV88" s="10">
        <v>0</v>
      </c>
      <c r="AW88" s="10">
        <v>0</v>
      </c>
      <c r="AX88" s="10">
        <v>0</v>
      </c>
      <c r="AY88" s="10">
        <v>0</v>
      </c>
      <c r="AZ88" s="10">
        <v>1</v>
      </c>
      <c r="BB88" s="4" t="s">
        <v>1739</v>
      </c>
      <c r="BM88" s="376"/>
      <c r="BO88" s="198"/>
    </row>
    <row r="89" spans="1:68" x14ac:dyDescent="0.35">
      <c r="A89" s="208" t="s">
        <v>71</v>
      </c>
      <c r="B89" s="41">
        <v>1.2258370000000001</v>
      </c>
      <c r="C89" s="41">
        <v>1.5470919999999999</v>
      </c>
      <c r="D89" s="41">
        <v>1.844041</v>
      </c>
      <c r="E89" s="41">
        <v>1.3348709999999999</v>
      </c>
      <c r="F89" s="41">
        <v>1.017941</v>
      </c>
      <c r="G89" s="41">
        <v>1.211857</v>
      </c>
      <c r="H89" s="41">
        <v>1.0828150000000001</v>
      </c>
      <c r="I89" s="41">
        <v>1.2536970000000001</v>
      </c>
      <c r="J89" s="41">
        <v>1.249363</v>
      </c>
      <c r="K89" s="41">
        <v>1.0278050000000001</v>
      </c>
      <c r="L89" s="41">
        <v>1.090654</v>
      </c>
      <c r="M89" s="41">
        <v>0.98290200000000005</v>
      </c>
      <c r="N89" s="41">
        <v>0.95817699999999995</v>
      </c>
      <c r="O89" s="41">
        <v>1.134501</v>
      </c>
      <c r="P89" s="41">
        <v>1.2732840000000001</v>
      </c>
      <c r="Q89" s="41">
        <v>0.99086700000000005</v>
      </c>
      <c r="R89" s="41">
        <v>0.76065700000000003</v>
      </c>
      <c r="S89" s="41">
        <v>0.49483300000000002</v>
      </c>
      <c r="T89" s="41">
        <v>0.42181800000000003</v>
      </c>
      <c r="U89" s="41">
        <v>0.42003000000000001</v>
      </c>
      <c r="V89" s="41">
        <v>0.35777500000000001</v>
      </c>
      <c r="Z89" s="199" t="s">
        <v>744</v>
      </c>
      <c r="AA89" s="10">
        <v>224909814791</v>
      </c>
      <c r="AB89" s="10">
        <v>233583193434</v>
      </c>
      <c r="AC89" s="10">
        <v>225104935222</v>
      </c>
      <c r="AD89" s="10">
        <v>224839370697</v>
      </c>
      <c r="AE89" s="10">
        <v>223801573863</v>
      </c>
      <c r="AF89" s="10">
        <v>208531354737</v>
      </c>
      <c r="AG89" s="10">
        <v>221766497286</v>
      </c>
      <c r="AH89" s="10">
        <v>224325150966</v>
      </c>
      <c r="AI89" s="10">
        <v>241494971731</v>
      </c>
      <c r="AJ89" s="10">
        <v>251387356560</v>
      </c>
      <c r="AK89" s="10">
        <v>268568177923</v>
      </c>
      <c r="AL89" s="10">
        <v>277395828668</v>
      </c>
      <c r="AM89" s="10">
        <v>294715652196</v>
      </c>
      <c r="AN89" s="10">
        <v>277855693084</v>
      </c>
      <c r="AO89" s="10">
        <v>269093508168</v>
      </c>
      <c r="AT89" s="224" t="s">
        <v>129</v>
      </c>
      <c r="AU89" s="10">
        <v>0</v>
      </c>
      <c r="AV89" s="10">
        <v>0</v>
      </c>
      <c r="AW89" s="10">
        <v>0</v>
      </c>
      <c r="AX89" s="10">
        <v>0</v>
      </c>
      <c r="AY89" s="10">
        <v>0</v>
      </c>
      <c r="AZ89" s="10">
        <v>0</v>
      </c>
      <c r="BB89" s="17" t="s">
        <v>246</v>
      </c>
      <c r="BC89" s="18">
        <v>2030</v>
      </c>
      <c r="BD89" s="327">
        <v>150</v>
      </c>
      <c r="BE89" s="320">
        <v>654</v>
      </c>
      <c r="BF89" s="235">
        <v>335349</v>
      </c>
      <c r="BG89" s="382">
        <v>2.33</v>
      </c>
      <c r="BH89" s="320">
        <v>0.1</v>
      </c>
      <c r="BI89" s="382">
        <v>0.3</v>
      </c>
      <c r="BJ89" s="235">
        <v>230580</v>
      </c>
      <c r="BK89" s="236">
        <v>9.5000000000000001E-2</v>
      </c>
      <c r="BL89" s="10">
        <v>325000</v>
      </c>
      <c r="BM89" s="376">
        <v>1.1100000000000001</v>
      </c>
    </row>
    <row r="90" spans="1:68" x14ac:dyDescent="0.35">
      <c r="A90" s="219" t="s">
        <v>36</v>
      </c>
      <c r="B90" s="448">
        <v>0.13012499999999999</v>
      </c>
      <c r="C90" s="448">
        <v>1.3679E-2</v>
      </c>
      <c r="D90" s="448">
        <v>3.0214000000000001E-2</v>
      </c>
      <c r="E90" s="448">
        <v>2.0385E-2</v>
      </c>
      <c r="F90" s="448">
        <v>1.8489999999999999E-2</v>
      </c>
      <c r="G90" s="448">
        <v>3.1928999999999999E-2</v>
      </c>
      <c r="H90" s="448">
        <v>2.5557E-2</v>
      </c>
      <c r="I90" s="448">
        <v>2.4316000000000001E-2</v>
      </c>
      <c r="J90" s="448">
        <v>2.528E-2</v>
      </c>
      <c r="K90" s="448">
        <v>2.2530999999999999E-2</v>
      </c>
      <c r="L90" s="448">
        <v>2.1798999999999999E-2</v>
      </c>
      <c r="M90" s="448">
        <v>1.8696999999999998E-2</v>
      </c>
      <c r="N90" s="448">
        <v>2.5198000000000002E-2</v>
      </c>
      <c r="O90" s="448">
        <v>4.0812000000000001E-2</v>
      </c>
      <c r="P90" s="448">
        <v>4.6267000000000003E-2</v>
      </c>
      <c r="Q90" s="448">
        <v>3.8890000000000001E-2</v>
      </c>
      <c r="R90" s="448">
        <v>3.9133000000000001E-2</v>
      </c>
      <c r="S90" s="448">
        <v>5.6479000000000001E-2</v>
      </c>
      <c r="T90" s="448">
        <v>5.3580000000000003E-2</v>
      </c>
      <c r="U90" s="448">
        <v>6.8337999999999996E-2</v>
      </c>
      <c r="V90" s="448">
        <v>5.6010999999999998E-2</v>
      </c>
      <c r="Z90" s="199" t="s">
        <v>751</v>
      </c>
      <c r="AA90" s="10">
        <v>9354</v>
      </c>
      <c r="AB90" s="10">
        <v>9534</v>
      </c>
      <c r="AC90" s="10">
        <v>9695</v>
      </c>
      <c r="AD90" s="10">
        <v>9468</v>
      </c>
      <c r="AE90" s="10">
        <v>9732</v>
      </c>
      <c r="AF90" s="10">
        <v>9891</v>
      </c>
      <c r="AG90" s="10">
        <v>9474</v>
      </c>
      <c r="AH90" s="10">
        <v>10643</v>
      </c>
      <c r="AI90" s="10">
        <v>10274</v>
      </c>
      <c r="AJ90" s="10">
        <v>10625</v>
      </c>
      <c r="AK90" s="10">
        <v>11132</v>
      </c>
      <c r="AL90" s="10">
        <v>11349</v>
      </c>
      <c r="AM90" s="10">
        <v>12404</v>
      </c>
      <c r="AN90" s="10">
        <v>11456</v>
      </c>
      <c r="AO90" s="10">
        <v>11836</v>
      </c>
      <c r="AP90" s="10">
        <f>MAX(AA90:AO90)</f>
        <v>12404</v>
      </c>
      <c r="AQ90" s="10"/>
      <c r="AR90" s="10"/>
      <c r="AT90" s="224" t="s">
        <v>130</v>
      </c>
      <c r="AU90" s="10">
        <v>0</v>
      </c>
      <c r="AV90" s="10">
        <v>0</v>
      </c>
      <c r="AW90" s="10">
        <v>0</v>
      </c>
      <c r="AX90" s="10">
        <v>0</v>
      </c>
      <c r="AY90" s="10">
        <v>0</v>
      </c>
      <c r="AZ90" s="10">
        <v>0</v>
      </c>
      <c r="BB90" s="17"/>
      <c r="BC90" s="18">
        <v>2050</v>
      </c>
      <c r="BD90" s="327">
        <v>150</v>
      </c>
      <c r="BE90" s="320">
        <v>589</v>
      </c>
      <c r="BF90" s="235">
        <v>164641</v>
      </c>
      <c r="BG90" s="382">
        <v>2.1</v>
      </c>
      <c r="BH90" s="320">
        <v>0.1</v>
      </c>
      <c r="BI90" s="382">
        <v>0.27</v>
      </c>
      <c r="BJ90" s="235">
        <v>102937</v>
      </c>
      <c r="BK90" s="236">
        <v>9.5000000000000001E-2</v>
      </c>
      <c r="BL90" s="10">
        <v>325000</v>
      </c>
      <c r="BM90" s="376">
        <v>0.68</v>
      </c>
    </row>
    <row r="91" spans="1:68" x14ac:dyDescent="0.35">
      <c r="A91" s="219" t="s">
        <v>37</v>
      </c>
      <c r="B91" s="448">
        <v>1.095712</v>
      </c>
      <c r="C91" s="448">
        <v>1.5334129999999999</v>
      </c>
      <c r="D91" s="448">
        <v>1.8138270000000001</v>
      </c>
      <c r="E91" s="448">
        <v>1.314486</v>
      </c>
      <c r="F91" s="448">
        <v>0.99945099999999998</v>
      </c>
      <c r="G91" s="448">
        <v>1.1799280000000001</v>
      </c>
      <c r="H91" s="448">
        <v>1.0572589999999999</v>
      </c>
      <c r="I91" s="448">
        <v>1.2293799999999999</v>
      </c>
      <c r="J91" s="448">
        <v>1.224083</v>
      </c>
      <c r="K91" s="448">
        <v>1.005274</v>
      </c>
      <c r="L91" s="448">
        <v>1.068854</v>
      </c>
      <c r="M91" s="448">
        <v>0.96345599999999998</v>
      </c>
      <c r="N91" s="448">
        <v>0.931585</v>
      </c>
      <c r="O91" s="448">
        <v>1.0921050000000001</v>
      </c>
      <c r="P91" s="448">
        <v>1.224942</v>
      </c>
      <c r="Q91" s="448">
        <v>0.95197699999999996</v>
      </c>
      <c r="R91" s="448">
        <v>0.72152400000000005</v>
      </c>
      <c r="S91" s="448">
        <v>0.43835400000000002</v>
      </c>
      <c r="T91" s="448">
        <v>0.36823800000000001</v>
      </c>
      <c r="U91" s="448">
        <v>0.351692</v>
      </c>
      <c r="V91" s="448">
        <v>0.30176399999999998</v>
      </c>
      <c r="Z91" s="199" t="s">
        <v>752</v>
      </c>
      <c r="AA91" s="10">
        <v>608</v>
      </c>
      <c r="AB91" s="10">
        <v>599</v>
      </c>
      <c r="AC91" s="10">
        <v>618</v>
      </c>
      <c r="AD91" s="10">
        <v>604</v>
      </c>
      <c r="AE91" s="10">
        <v>584</v>
      </c>
      <c r="AF91" s="10">
        <v>594</v>
      </c>
      <c r="AG91" s="10">
        <v>593</v>
      </c>
      <c r="AH91" s="10">
        <v>617</v>
      </c>
      <c r="AI91" s="10">
        <v>632</v>
      </c>
      <c r="AJ91" s="10">
        <v>633</v>
      </c>
      <c r="AK91" s="10">
        <v>626</v>
      </c>
      <c r="AL91" s="10">
        <v>613</v>
      </c>
      <c r="AM91" s="10">
        <v>635</v>
      </c>
      <c r="AN91" s="10">
        <v>584</v>
      </c>
      <c r="AO91" s="10">
        <v>597</v>
      </c>
      <c r="AP91" s="10"/>
      <c r="AQ91" s="10"/>
      <c r="AR91" s="10"/>
      <c r="AT91" s="224" t="s">
        <v>767</v>
      </c>
      <c r="AU91" s="10">
        <v>1</v>
      </c>
      <c r="AV91" s="10">
        <v>1</v>
      </c>
      <c r="AW91" s="10">
        <v>0</v>
      </c>
      <c r="AX91" s="10">
        <v>0</v>
      </c>
      <c r="AY91" s="10">
        <v>0</v>
      </c>
      <c r="AZ91" s="10">
        <v>1</v>
      </c>
      <c r="BB91" s="17" t="s">
        <v>627</v>
      </c>
      <c r="BC91" s="18">
        <v>2030</v>
      </c>
      <c r="BD91" s="327">
        <v>150</v>
      </c>
      <c r="BE91" s="320">
        <v>30.96</v>
      </c>
      <c r="BF91" s="235">
        <v>202112</v>
      </c>
      <c r="BG91" s="382">
        <v>0.129</v>
      </c>
      <c r="BH91" s="320">
        <v>5</v>
      </c>
      <c r="BI91" s="382">
        <v>0.84</v>
      </c>
      <c r="BJ91" s="235">
        <v>101056</v>
      </c>
      <c r="BK91" s="236">
        <v>9.5000000000000001E-2</v>
      </c>
      <c r="BL91" s="10">
        <v>325000</v>
      </c>
      <c r="BM91" s="376">
        <v>1.24</v>
      </c>
    </row>
    <row r="92" spans="1:68" x14ac:dyDescent="0.35">
      <c r="A92" s="219" t="s">
        <v>38</v>
      </c>
      <c r="B92" s="448" t="s">
        <v>39</v>
      </c>
      <c r="C92" s="448" t="s">
        <v>39</v>
      </c>
      <c r="D92" s="448" t="s">
        <v>39</v>
      </c>
      <c r="E92" s="448" t="s">
        <v>39</v>
      </c>
      <c r="F92" s="448" t="s">
        <v>39</v>
      </c>
      <c r="G92" s="448" t="s">
        <v>39</v>
      </c>
      <c r="H92" s="448" t="s">
        <v>39</v>
      </c>
      <c r="I92" s="448" t="s">
        <v>39</v>
      </c>
      <c r="J92" s="448" t="s">
        <v>39</v>
      </c>
      <c r="K92" s="448" t="s">
        <v>39</v>
      </c>
      <c r="L92" s="448" t="s">
        <v>39</v>
      </c>
      <c r="M92" s="448">
        <v>7.4899999999999999E-4</v>
      </c>
      <c r="N92" s="448">
        <v>1.3940000000000001E-3</v>
      </c>
      <c r="O92" s="448">
        <v>1.5839999999999999E-3</v>
      </c>
      <c r="P92" s="448">
        <v>2.0739999999999999E-3</v>
      </c>
      <c r="Q92" s="448" t="s">
        <v>39</v>
      </c>
      <c r="R92" s="448" t="s">
        <v>39</v>
      </c>
      <c r="S92" s="448" t="s">
        <v>39</v>
      </c>
      <c r="T92" s="448" t="s">
        <v>39</v>
      </c>
      <c r="U92" s="448" t="s">
        <v>39</v>
      </c>
      <c r="V92" s="448" t="s">
        <v>39</v>
      </c>
      <c r="Z92" s="4" t="s">
        <v>757</v>
      </c>
      <c r="AL92" s="10"/>
      <c r="AM92" s="10"/>
      <c r="AN92" s="10"/>
      <c r="AO92" s="10"/>
      <c r="AP92" s="10"/>
      <c r="AQ92" s="10"/>
      <c r="AR92" s="10"/>
      <c r="AT92" s="4" t="s">
        <v>766</v>
      </c>
      <c r="AU92" s="9">
        <v>13236</v>
      </c>
      <c r="AV92" s="9">
        <v>13591</v>
      </c>
      <c r="AW92" s="9">
        <v>13935</v>
      </c>
      <c r="AX92" s="9">
        <v>13784</v>
      </c>
      <c r="AY92" s="9">
        <v>13724</v>
      </c>
      <c r="AZ92" s="9">
        <v>13693</v>
      </c>
      <c r="BB92" s="17"/>
      <c r="BC92" s="18">
        <v>2050</v>
      </c>
      <c r="BD92" s="327">
        <v>150</v>
      </c>
      <c r="BE92" s="320">
        <v>27.84</v>
      </c>
      <c r="BF92" s="235">
        <v>135503</v>
      </c>
      <c r="BG92" s="382">
        <v>0.11600000000000001</v>
      </c>
      <c r="BH92" s="320">
        <v>5</v>
      </c>
      <c r="BI92" s="382">
        <v>0.75</v>
      </c>
      <c r="BJ92" s="235">
        <v>67752</v>
      </c>
      <c r="BK92" s="236">
        <v>9.5000000000000001E-2</v>
      </c>
      <c r="BL92" s="10">
        <v>325000</v>
      </c>
      <c r="BM92" s="376">
        <v>1.06</v>
      </c>
    </row>
    <row r="93" spans="1:68" x14ac:dyDescent="0.35">
      <c r="A93" s="208" t="s">
        <v>74</v>
      </c>
      <c r="B93" s="4">
        <v>31.491147999999999</v>
      </c>
      <c r="C93" s="4">
        <v>31.352024</v>
      </c>
      <c r="D93" s="4">
        <v>27.224824000000002</v>
      </c>
      <c r="E93" s="4">
        <v>27.581555000000002</v>
      </c>
      <c r="F93" s="4">
        <v>29.599656</v>
      </c>
      <c r="G93" s="4">
        <v>32.137275000000002</v>
      </c>
      <c r="H93" s="4">
        <v>33.522896000000003</v>
      </c>
      <c r="I93" s="4">
        <v>35.913308999999998</v>
      </c>
      <c r="J93" s="4">
        <v>35.534872</v>
      </c>
      <c r="K93" s="4">
        <v>32.722002000000003</v>
      </c>
      <c r="L93" s="4">
        <v>33.938699999999997</v>
      </c>
      <c r="M93" s="4">
        <v>31.791793999999999</v>
      </c>
      <c r="N93" s="4">
        <v>34.377749999999999</v>
      </c>
      <c r="O93" s="4">
        <v>37.575749999999999</v>
      </c>
      <c r="P93" s="4">
        <v>39.900174999999997</v>
      </c>
      <c r="Q93" s="4">
        <v>41.181468000000002</v>
      </c>
      <c r="R93" s="4">
        <v>38.980756999999997</v>
      </c>
      <c r="S93" s="4">
        <v>40.583950000000002</v>
      </c>
      <c r="T93" s="4">
        <v>40.601349999999996</v>
      </c>
      <c r="U93" s="4">
        <v>40.076287999999998</v>
      </c>
      <c r="V93" s="4">
        <v>19.495920000000002</v>
      </c>
      <c r="Z93" s="199" t="s">
        <v>755</v>
      </c>
      <c r="AA93" s="10">
        <v>49804779</v>
      </c>
      <c r="AB93" s="10">
        <v>51677595</v>
      </c>
      <c r="AC93" s="10">
        <v>52042221</v>
      </c>
      <c r="AD93" s="10">
        <v>54157978</v>
      </c>
      <c r="AE93" s="10">
        <v>51514290</v>
      </c>
      <c r="AF93" s="10">
        <v>45585651</v>
      </c>
      <c r="AG93" s="10">
        <v>51197592</v>
      </c>
      <c r="AH93" s="10">
        <v>47132227</v>
      </c>
      <c r="AI93" s="10">
        <v>53576848</v>
      </c>
      <c r="AJ93" s="10">
        <v>53687996</v>
      </c>
      <c r="AK93" s="10">
        <v>53851504</v>
      </c>
      <c r="AL93" s="10">
        <v>53418262</v>
      </c>
      <c r="AM93" s="10">
        <v>50694524</v>
      </c>
      <c r="AN93" s="10">
        <v>55377028</v>
      </c>
      <c r="AO93" s="10">
        <v>53666500</v>
      </c>
      <c r="AP93" s="10"/>
      <c r="AQ93" s="10"/>
      <c r="AR93" s="10"/>
      <c r="AT93" s="224" t="s">
        <v>110</v>
      </c>
      <c r="AU93" s="10">
        <v>9139</v>
      </c>
      <c r="AV93" s="10">
        <v>9728</v>
      </c>
      <c r="AW93" s="10">
        <v>10267</v>
      </c>
      <c r="AX93" s="10">
        <v>10327</v>
      </c>
      <c r="AY93" s="10">
        <v>10447</v>
      </c>
      <c r="AZ93" s="10">
        <v>10424</v>
      </c>
      <c r="BB93" s="17" t="s">
        <v>1727</v>
      </c>
      <c r="BC93" s="18"/>
      <c r="BD93" s="327"/>
      <c r="BE93" s="320"/>
      <c r="BF93" s="235">
        <v>119000</v>
      </c>
      <c r="BG93" s="382">
        <v>8.1999999999999993</v>
      </c>
      <c r="BH93" s="320">
        <v>4</v>
      </c>
      <c r="BI93" s="382">
        <v>0.49</v>
      </c>
      <c r="BJ93" s="235">
        <v>59500</v>
      </c>
      <c r="BK93" s="236">
        <v>0.19</v>
      </c>
      <c r="BL93" s="10">
        <v>325000</v>
      </c>
      <c r="BM93" s="376">
        <v>0.86</v>
      </c>
    </row>
    <row r="94" spans="1:68" x14ac:dyDescent="0.35">
      <c r="A94" s="220" t="s">
        <v>75</v>
      </c>
      <c r="B94" s="19">
        <v>0.78708599999999995</v>
      </c>
      <c r="C94" s="19">
        <v>0.75105999999999995</v>
      </c>
      <c r="D94" s="19">
        <v>0.79188199999999997</v>
      </c>
      <c r="E94" s="19">
        <v>0.73319500000000004</v>
      </c>
      <c r="F94" s="19">
        <v>0.60055999999999998</v>
      </c>
      <c r="G94" s="19">
        <v>0.73857499999999998</v>
      </c>
      <c r="H94" s="19">
        <v>0.61067199999999999</v>
      </c>
      <c r="I94" s="19">
        <v>0.61911300000000002</v>
      </c>
      <c r="J94" s="19">
        <v>0.63948799999999995</v>
      </c>
      <c r="K94" s="19">
        <v>0.534918</v>
      </c>
      <c r="L94" s="19">
        <v>0.48809999999999998</v>
      </c>
      <c r="M94" s="19">
        <v>0.45825199999999999</v>
      </c>
      <c r="N94" s="19">
        <v>0.78137500000000004</v>
      </c>
      <c r="O94" s="19">
        <v>0.61767499999999997</v>
      </c>
      <c r="P94" s="19">
        <v>0.439025</v>
      </c>
      <c r="Q94" s="19">
        <v>0.54935400000000001</v>
      </c>
      <c r="R94" s="19">
        <v>0.54903000000000002</v>
      </c>
      <c r="S94" s="19">
        <v>0.57394999999999996</v>
      </c>
      <c r="T94" s="19">
        <v>0.51680000000000004</v>
      </c>
      <c r="U94" s="19">
        <v>0.47067999999999999</v>
      </c>
      <c r="V94" s="19">
        <v>0.38696199999999997</v>
      </c>
      <c r="Z94" s="199" t="s">
        <v>753</v>
      </c>
      <c r="AA94" s="10">
        <v>460684104704</v>
      </c>
      <c r="AB94" s="10">
        <v>492932691469</v>
      </c>
      <c r="AC94" s="10">
        <v>511508875120</v>
      </c>
      <c r="AD94" s="10">
        <v>520504082521</v>
      </c>
      <c r="AE94" s="10">
        <v>502383454682</v>
      </c>
      <c r="AF94" s="10">
        <v>450669141415</v>
      </c>
      <c r="AG94" s="10">
        <v>495133042433</v>
      </c>
      <c r="AH94" s="10">
        <v>520195216645</v>
      </c>
      <c r="AI94" s="10">
        <v>572919351260</v>
      </c>
      <c r="AJ94" s="10">
        <v>592944759070</v>
      </c>
      <c r="AK94" s="10">
        <v>628280869354</v>
      </c>
      <c r="AL94" s="10">
        <v>627219201205</v>
      </c>
      <c r="AM94" s="10">
        <v>653010067652</v>
      </c>
      <c r="AN94" s="10">
        <v>654161217779</v>
      </c>
      <c r="AO94" s="10">
        <v>658085958004</v>
      </c>
      <c r="AP94" s="10"/>
      <c r="AQ94" s="10"/>
      <c r="AR94" s="10"/>
      <c r="AT94" s="224" t="s">
        <v>109</v>
      </c>
      <c r="AU94" s="10">
        <v>4096</v>
      </c>
      <c r="AV94" s="10">
        <v>3863</v>
      </c>
      <c r="AW94" s="10">
        <v>3667</v>
      </c>
      <c r="AX94" s="10">
        <v>3448</v>
      </c>
      <c r="AY94" s="10">
        <v>3274</v>
      </c>
      <c r="AZ94" s="10">
        <v>3262</v>
      </c>
      <c r="BB94" s="4" t="s">
        <v>1740</v>
      </c>
      <c r="BM94" s="376"/>
    </row>
    <row r="95" spans="1:68" x14ac:dyDescent="0.35">
      <c r="A95" s="219" t="s">
        <v>76</v>
      </c>
      <c r="B95" s="6">
        <v>30.704062</v>
      </c>
      <c r="C95" s="6">
        <v>30.600964000000001</v>
      </c>
      <c r="D95" s="6">
        <v>26.432942000000001</v>
      </c>
      <c r="E95" s="6">
        <v>26.84836</v>
      </c>
      <c r="F95" s="6">
        <v>28.999096000000002</v>
      </c>
      <c r="G95" s="6">
        <v>31.398700000000002</v>
      </c>
      <c r="H95" s="6">
        <v>32.912224000000002</v>
      </c>
      <c r="I95" s="6">
        <v>35.294195999999999</v>
      </c>
      <c r="J95" s="6">
        <v>34.895384</v>
      </c>
      <c r="K95" s="6">
        <v>32.187083999999999</v>
      </c>
      <c r="L95" s="6">
        <v>33.450600000000001</v>
      </c>
      <c r="M95" s="6">
        <v>31.333542000000001</v>
      </c>
      <c r="N95" s="6">
        <v>33.596375000000002</v>
      </c>
      <c r="O95" s="6">
        <v>36.958075000000001</v>
      </c>
      <c r="P95" s="6">
        <v>39.461150000000004</v>
      </c>
      <c r="Q95" s="6">
        <v>40.632114000000001</v>
      </c>
      <c r="R95" s="6">
        <v>38.431727000000002</v>
      </c>
      <c r="S95" s="6">
        <v>40.01</v>
      </c>
      <c r="T95" s="6">
        <v>40.08455</v>
      </c>
      <c r="U95" s="6">
        <v>39.605607999999997</v>
      </c>
      <c r="V95" s="6">
        <v>19.108958000000001</v>
      </c>
      <c r="Z95" s="199" t="s">
        <v>754</v>
      </c>
      <c r="AA95" s="10">
        <v>23538353960</v>
      </c>
      <c r="AB95" s="10">
        <v>23355346659</v>
      </c>
      <c r="AC95" s="10">
        <v>25143932279</v>
      </c>
      <c r="AD95" s="10">
        <v>25295781587</v>
      </c>
      <c r="AE95" s="10">
        <v>23421945839</v>
      </c>
      <c r="AF95" s="10">
        <v>20494062590</v>
      </c>
      <c r="AG95" s="10">
        <v>23271576035</v>
      </c>
      <c r="AH95" s="10">
        <v>21571132974</v>
      </c>
      <c r="AI95" s="10">
        <v>24571579158</v>
      </c>
      <c r="AJ95" s="10">
        <v>24561102573</v>
      </c>
      <c r="AK95" s="10">
        <v>24237979952</v>
      </c>
      <c r="AL95" s="10">
        <v>23843437789</v>
      </c>
      <c r="AM95" s="10">
        <v>22877575959</v>
      </c>
      <c r="AN95" s="10">
        <v>23159422387</v>
      </c>
      <c r="AO95" s="10">
        <v>22929834909</v>
      </c>
      <c r="AP95" s="10"/>
      <c r="AQ95" s="10"/>
      <c r="AR95" s="10"/>
      <c r="AT95" s="224" t="s">
        <v>128</v>
      </c>
      <c r="AU95" s="10">
        <v>0</v>
      </c>
      <c r="AV95" s="10">
        <v>0</v>
      </c>
      <c r="AW95" s="10">
        <v>0</v>
      </c>
      <c r="AX95" s="10">
        <v>0</v>
      </c>
      <c r="AY95" s="10">
        <v>0</v>
      </c>
      <c r="AZ95" s="10">
        <v>0</v>
      </c>
      <c r="BB95" s="17" t="s">
        <v>246</v>
      </c>
      <c r="BC95" s="18">
        <v>2030</v>
      </c>
      <c r="BD95" s="327">
        <v>150</v>
      </c>
      <c r="BE95" s="320">
        <v>149</v>
      </c>
      <c r="BF95" s="235">
        <v>84403</v>
      </c>
      <c r="BG95" s="382">
        <v>0.53</v>
      </c>
      <c r="BH95" s="320">
        <v>0.1</v>
      </c>
      <c r="BI95" s="382">
        <v>7.0000000000000007E-2</v>
      </c>
      <c r="BJ95" s="235">
        <v>52608</v>
      </c>
      <c r="BK95" s="236">
        <v>0.14399999999999999</v>
      </c>
      <c r="BL95" s="10">
        <v>120000</v>
      </c>
      <c r="BM95" s="376">
        <v>0.65</v>
      </c>
    </row>
    <row r="96" spans="1:68" x14ac:dyDescent="0.35">
      <c r="A96" s="208" t="s">
        <v>77</v>
      </c>
      <c r="B96" s="4">
        <v>1.031852</v>
      </c>
      <c r="C96" s="4">
        <v>0.94197600000000004</v>
      </c>
      <c r="D96" s="4">
        <v>0.83417600000000003</v>
      </c>
      <c r="E96" s="4">
        <v>0.86544500000000002</v>
      </c>
      <c r="F96" s="4">
        <v>0.80634399999999995</v>
      </c>
      <c r="G96" s="4">
        <v>0.907725</v>
      </c>
      <c r="H96" s="4">
        <v>0.887104</v>
      </c>
      <c r="I96" s="4">
        <v>0.82169099999999995</v>
      </c>
      <c r="J96" s="4">
        <v>0.71812799999999999</v>
      </c>
      <c r="K96" s="4">
        <v>0.685998</v>
      </c>
      <c r="L96" s="4">
        <v>0.75529999999999997</v>
      </c>
      <c r="M96" s="4">
        <v>0.71320600000000001</v>
      </c>
      <c r="N96" s="4">
        <v>0.79225000000000001</v>
      </c>
      <c r="O96" s="4">
        <v>0.80325000000000002</v>
      </c>
      <c r="P96" s="4">
        <v>0.85982499999999995</v>
      </c>
      <c r="Q96" s="4">
        <v>0.80753200000000003</v>
      </c>
      <c r="R96" s="4">
        <v>0.78524300000000002</v>
      </c>
      <c r="S96" s="4">
        <v>0.89605000000000001</v>
      </c>
      <c r="T96" s="4">
        <v>0.90464999999999995</v>
      </c>
      <c r="U96" s="4">
        <v>0.86371200000000004</v>
      </c>
      <c r="V96" s="4">
        <v>1.01508</v>
      </c>
      <c r="Z96" s="199" t="s">
        <v>744</v>
      </c>
      <c r="AA96" s="10">
        <v>122743557070</v>
      </c>
      <c r="AB96" s="10">
        <v>131549140545</v>
      </c>
      <c r="AC96" s="10">
        <v>130613397738</v>
      </c>
      <c r="AD96" s="10">
        <v>130612889535</v>
      </c>
      <c r="AE96" s="10">
        <v>129379971321</v>
      </c>
      <c r="AF96" s="10">
        <v>118902633309</v>
      </c>
      <c r="AG96" s="10">
        <v>135294195820</v>
      </c>
      <c r="AH96" s="10">
        <v>136393483022</v>
      </c>
      <c r="AI96" s="10">
        <v>143043288953</v>
      </c>
      <c r="AJ96" s="10">
        <v>143921138646</v>
      </c>
      <c r="AK96" s="10">
        <v>160560510564</v>
      </c>
      <c r="AL96" s="10">
        <v>168180981704</v>
      </c>
      <c r="AM96" s="10">
        <v>172373235274</v>
      </c>
      <c r="AN96" s="10">
        <v>164859730578</v>
      </c>
      <c r="AO96" s="10">
        <v>164831928695</v>
      </c>
      <c r="AP96" s="10"/>
      <c r="AQ96" s="10"/>
      <c r="AR96" s="10"/>
      <c r="AT96" s="224" t="s">
        <v>129</v>
      </c>
      <c r="AU96" s="10">
        <v>0</v>
      </c>
      <c r="AV96" s="10">
        <v>0</v>
      </c>
      <c r="AW96" s="10">
        <v>0</v>
      </c>
      <c r="AX96" s="10">
        <v>0</v>
      </c>
      <c r="AY96" s="10">
        <v>0</v>
      </c>
      <c r="AZ96" s="10">
        <v>0</v>
      </c>
      <c r="BB96" s="17"/>
      <c r="BC96" s="18">
        <v>2050</v>
      </c>
      <c r="BD96" s="327">
        <v>150</v>
      </c>
      <c r="BE96" s="320">
        <v>163</v>
      </c>
      <c r="BF96" s="235">
        <v>56717</v>
      </c>
      <c r="BG96" s="382">
        <v>0.57999999999999996</v>
      </c>
      <c r="BH96" s="320">
        <v>0.1</v>
      </c>
      <c r="BI96" s="382">
        <v>0.08</v>
      </c>
      <c r="BJ96" s="235">
        <v>32914</v>
      </c>
      <c r="BK96" s="236">
        <v>0.14399999999999999</v>
      </c>
      <c r="BL96" s="10">
        <v>120000</v>
      </c>
      <c r="BM96" s="376">
        <v>0.49</v>
      </c>
    </row>
    <row r="97" spans="1:65" x14ac:dyDescent="0.35">
      <c r="A97" s="208" t="s">
        <v>78</v>
      </c>
      <c r="B97" s="4">
        <v>0.81401500000000004</v>
      </c>
      <c r="C97" s="4">
        <v>1.0250049999999999</v>
      </c>
      <c r="D97" s="4">
        <v>1.0207889999999999</v>
      </c>
      <c r="E97" s="4">
        <v>1.1183780000000001</v>
      </c>
      <c r="F97" s="4">
        <v>1.0888009999999999</v>
      </c>
      <c r="G97" s="4">
        <v>1.1281859999999999</v>
      </c>
      <c r="H97" s="4">
        <v>1.2410060000000001</v>
      </c>
      <c r="I97" s="4">
        <v>1.3675999999999999</v>
      </c>
      <c r="J97" s="4">
        <v>1.450102</v>
      </c>
      <c r="K97" s="4">
        <v>1.2921050000000001</v>
      </c>
      <c r="L97" s="4">
        <v>0.81879299999999999</v>
      </c>
      <c r="M97" s="4">
        <v>0.98032900000000001</v>
      </c>
      <c r="N97" s="4">
        <v>0.97933599999999998</v>
      </c>
      <c r="O97" s="4">
        <v>0.86248800000000003</v>
      </c>
      <c r="P97" s="4">
        <v>0.77557699999999996</v>
      </c>
      <c r="Q97" s="4">
        <v>0.71161399999999997</v>
      </c>
      <c r="R97" s="4">
        <v>0.58594000000000002</v>
      </c>
      <c r="S97" s="4">
        <v>0.63285499999999995</v>
      </c>
      <c r="T97" s="4">
        <v>0.55858799999999997</v>
      </c>
      <c r="U97" s="4">
        <v>0.58012300000000006</v>
      </c>
      <c r="V97" s="4">
        <v>0.286217</v>
      </c>
      <c r="Z97" s="199" t="s">
        <v>751</v>
      </c>
      <c r="AA97" s="10">
        <v>9250</v>
      </c>
      <c r="AB97" s="10">
        <v>9539</v>
      </c>
      <c r="AC97" s="10">
        <v>9829</v>
      </c>
      <c r="AD97" s="10">
        <v>9611</v>
      </c>
      <c r="AE97" s="10">
        <v>9752</v>
      </c>
      <c r="AF97" s="10">
        <v>9886</v>
      </c>
      <c r="AG97" s="10">
        <v>9671</v>
      </c>
      <c r="AH97" s="10">
        <v>11037</v>
      </c>
      <c r="AI97" s="10">
        <v>10693</v>
      </c>
      <c r="AJ97" s="10">
        <v>11044</v>
      </c>
      <c r="AK97" s="10">
        <v>11667</v>
      </c>
      <c r="AL97" s="10">
        <v>11742</v>
      </c>
      <c r="AM97" s="10">
        <v>12881</v>
      </c>
      <c r="AN97" s="10">
        <v>11813</v>
      </c>
      <c r="AO97" s="10">
        <v>12263</v>
      </c>
      <c r="AP97" s="10">
        <f>MAX(AA97:AO97)</f>
        <v>12881</v>
      </c>
      <c r="AQ97" s="10"/>
      <c r="AR97" s="10"/>
      <c r="AT97" s="224" t="s">
        <v>130</v>
      </c>
      <c r="AU97" s="10">
        <v>0</v>
      </c>
      <c r="AV97" s="10">
        <v>0</v>
      </c>
      <c r="AW97" s="10">
        <v>0</v>
      </c>
      <c r="AX97" s="10">
        <v>0</v>
      </c>
      <c r="AY97" s="10">
        <v>0</v>
      </c>
      <c r="AZ97" s="10">
        <v>0</v>
      </c>
      <c r="BB97" s="17" t="s">
        <v>627</v>
      </c>
      <c r="BC97" s="18">
        <v>2030</v>
      </c>
      <c r="BD97" s="327">
        <v>150</v>
      </c>
      <c r="BE97" s="320">
        <v>6.96</v>
      </c>
      <c r="BF97" s="235">
        <v>84412</v>
      </c>
      <c r="BG97" s="382">
        <v>2.9000000000000001E-2</v>
      </c>
      <c r="BH97" s="320">
        <v>5</v>
      </c>
      <c r="BI97" s="382">
        <v>0.19</v>
      </c>
      <c r="BJ97" s="235">
        <v>42206</v>
      </c>
      <c r="BK97" s="236">
        <v>0.14399999999999999</v>
      </c>
      <c r="BL97" s="10">
        <v>120000</v>
      </c>
      <c r="BM97" s="376">
        <v>0.68</v>
      </c>
    </row>
    <row r="98" spans="1:65" x14ac:dyDescent="0.35">
      <c r="A98" s="208" t="s">
        <v>79</v>
      </c>
      <c r="B98" s="4">
        <v>22.309985000000001</v>
      </c>
      <c r="C98" s="4">
        <v>27.953994999999999</v>
      </c>
      <c r="D98" s="4">
        <v>27.260211000000002</v>
      </c>
      <c r="E98" s="4">
        <v>31.887622</v>
      </c>
      <c r="F98" s="4">
        <v>32.806198999999999</v>
      </c>
      <c r="G98" s="4">
        <v>34.507814000000003</v>
      </c>
      <c r="H98" s="4">
        <v>39.342993999999997</v>
      </c>
      <c r="I98" s="4">
        <v>44.709400000000002</v>
      </c>
      <c r="J98" s="4">
        <v>44.427897999999999</v>
      </c>
      <c r="K98" s="4">
        <v>35.498894999999997</v>
      </c>
      <c r="L98" s="4">
        <v>26.880206999999999</v>
      </c>
      <c r="M98" s="4">
        <v>32.455671000000002</v>
      </c>
      <c r="N98" s="4">
        <v>38.735664</v>
      </c>
      <c r="O98" s="4">
        <v>37.307512000000003</v>
      </c>
      <c r="P98" s="4">
        <v>36.443423000000003</v>
      </c>
      <c r="Q98" s="4">
        <v>31.552385999999998</v>
      </c>
      <c r="R98" s="4">
        <v>23.56606</v>
      </c>
      <c r="S98" s="4">
        <v>25.769145000000002</v>
      </c>
      <c r="T98" s="4">
        <v>23.800412000000001</v>
      </c>
      <c r="U98" s="4">
        <v>24.287877000000002</v>
      </c>
      <c r="V98" s="4">
        <v>23.679783</v>
      </c>
      <c r="Z98" s="199" t="s">
        <v>752</v>
      </c>
      <c r="AA98" s="10">
        <v>473</v>
      </c>
      <c r="AB98" s="10">
        <v>452</v>
      </c>
      <c r="AC98" s="10">
        <v>483</v>
      </c>
      <c r="AD98" s="10">
        <v>467</v>
      </c>
      <c r="AE98" s="10">
        <v>455</v>
      </c>
      <c r="AF98" s="10">
        <v>450</v>
      </c>
      <c r="AG98" s="10">
        <v>455</v>
      </c>
      <c r="AH98" s="10">
        <v>458</v>
      </c>
      <c r="AI98" s="10">
        <v>459</v>
      </c>
      <c r="AJ98" s="10">
        <v>457</v>
      </c>
      <c r="AK98" s="10">
        <v>450</v>
      </c>
      <c r="AL98" s="10">
        <v>446</v>
      </c>
      <c r="AM98" s="10">
        <v>451</v>
      </c>
      <c r="AN98" s="10">
        <v>418</v>
      </c>
      <c r="AO98" s="10">
        <v>427</v>
      </c>
      <c r="AP98" s="10"/>
      <c r="AQ98" s="10"/>
      <c r="AR98" s="10"/>
      <c r="AT98" s="224" t="s">
        <v>767</v>
      </c>
      <c r="AU98" s="10">
        <v>1</v>
      </c>
      <c r="AV98" s="10">
        <v>0</v>
      </c>
      <c r="AW98" s="10">
        <v>1</v>
      </c>
      <c r="AX98" s="10">
        <v>9</v>
      </c>
      <c r="AY98" s="10">
        <v>3</v>
      </c>
      <c r="AZ98" s="10">
        <v>7</v>
      </c>
      <c r="BB98" s="17"/>
      <c r="BC98" s="18">
        <v>2050</v>
      </c>
      <c r="BD98" s="327">
        <v>150</v>
      </c>
      <c r="BE98" s="320">
        <v>6.24</v>
      </c>
      <c r="BF98" s="235">
        <v>58538</v>
      </c>
      <c r="BG98" s="382">
        <v>2.5999999999999999E-2</v>
      </c>
      <c r="BH98" s="320">
        <v>5</v>
      </c>
      <c r="BI98" s="382">
        <v>0.17</v>
      </c>
      <c r="BJ98" s="235">
        <v>29269</v>
      </c>
      <c r="BK98" s="236">
        <v>0.14399999999999999</v>
      </c>
      <c r="BL98" s="10">
        <v>120000</v>
      </c>
      <c r="BM98" s="376">
        <v>0.56000000000000005</v>
      </c>
    </row>
    <row r="99" spans="1:65" x14ac:dyDescent="0.35">
      <c r="A99" s="208" t="s">
        <v>84</v>
      </c>
      <c r="B99" s="4">
        <v>0</v>
      </c>
      <c r="C99" s="4">
        <v>0</v>
      </c>
      <c r="D99" s="4">
        <v>0</v>
      </c>
      <c r="E99" s="4">
        <v>0</v>
      </c>
      <c r="F99" s="4">
        <v>0</v>
      </c>
      <c r="G99" s="4">
        <v>0</v>
      </c>
      <c r="H99" s="4">
        <v>0</v>
      </c>
      <c r="I99" s="4">
        <v>0</v>
      </c>
      <c r="J99" s="4">
        <v>0</v>
      </c>
      <c r="K99" s="4">
        <v>0.1</v>
      </c>
      <c r="L99" s="4">
        <v>9.9000000000000005E-2</v>
      </c>
      <c r="M99" s="4">
        <v>0</v>
      </c>
      <c r="N99" s="4">
        <v>0</v>
      </c>
      <c r="O99" s="4">
        <v>0</v>
      </c>
      <c r="P99" s="4">
        <v>0</v>
      </c>
      <c r="Q99" s="4">
        <v>1.4999999999999999E-2</v>
      </c>
      <c r="R99" s="4">
        <v>0.01</v>
      </c>
      <c r="S99" s="4">
        <v>1.2E-2</v>
      </c>
      <c r="T99" s="4">
        <v>1E-3</v>
      </c>
      <c r="U99" s="4">
        <v>4.5999999999999999E-2</v>
      </c>
      <c r="V99" s="4">
        <v>4.7E-2</v>
      </c>
      <c r="Z99" s="4" t="s">
        <v>758</v>
      </c>
      <c r="AL99" s="10"/>
      <c r="AM99" s="10"/>
      <c r="AN99" s="10"/>
      <c r="AO99" s="10"/>
      <c r="AP99" s="10"/>
      <c r="AQ99" s="10"/>
      <c r="AR99" s="10"/>
      <c r="AT99" s="4" t="s">
        <v>774</v>
      </c>
      <c r="AU99" s="9">
        <v>25122</v>
      </c>
      <c r="AV99" s="9">
        <v>25765</v>
      </c>
      <c r="AW99" s="9">
        <v>26347</v>
      </c>
      <c r="AX99" s="9">
        <v>26098</v>
      </c>
      <c r="AY99" s="9">
        <v>26352</v>
      </c>
      <c r="AZ99" s="9">
        <v>26804</v>
      </c>
      <c r="BB99" s="17" t="s">
        <v>1727</v>
      </c>
      <c r="BF99" s="235">
        <v>42000</v>
      </c>
      <c r="BG99" s="382">
        <v>18.600000000000001</v>
      </c>
      <c r="BH99" s="320">
        <v>4</v>
      </c>
      <c r="BI99" s="382">
        <v>0.22</v>
      </c>
      <c r="BJ99" s="235">
        <v>21000</v>
      </c>
      <c r="BK99" s="236">
        <v>0.28799999999999998</v>
      </c>
      <c r="BL99" s="10">
        <v>120000</v>
      </c>
      <c r="BM99" s="376">
        <v>0.68</v>
      </c>
    </row>
    <row r="100" spans="1:65" x14ac:dyDescent="0.35">
      <c r="A100" s="219" t="s">
        <v>37</v>
      </c>
      <c r="B100" s="6">
        <v>0</v>
      </c>
      <c r="C100" s="6">
        <v>0</v>
      </c>
      <c r="D100" s="6">
        <v>0</v>
      </c>
      <c r="E100" s="6">
        <v>0</v>
      </c>
      <c r="F100" s="6">
        <v>0</v>
      </c>
      <c r="G100" s="6">
        <v>0</v>
      </c>
      <c r="H100" s="6">
        <v>0</v>
      </c>
      <c r="I100" s="6">
        <v>0</v>
      </c>
      <c r="J100" s="6">
        <v>0</v>
      </c>
      <c r="K100" s="6">
        <v>0.1</v>
      </c>
      <c r="L100" s="6">
        <v>9.9000000000000005E-2</v>
      </c>
      <c r="M100" s="6">
        <v>0</v>
      </c>
      <c r="N100" s="6">
        <v>0</v>
      </c>
      <c r="O100" s="6">
        <v>0</v>
      </c>
      <c r="P100" s="6">
        <v>0</v>
      </c>
      <c r="Q100" s="6">
        <v>1.4999999999999999E-2</v>
      </c>
      <c r="R100" s="6">
        <v>0.01</v>
      </c>
      <c r="S100" s="6">
        <v>1.2E-2</v>
      </c>
      <c r="T100" s="6">
        <v>1E-3</v>
      </c>
      <c r="U100" s="6">
        <v>4.4999999999999998E-2</v>
      </c>
      <c r="V100" s="6">
        <v>4.7E-2</v>
      </c>
      <c r="Z100" s="199" t="s">
        <v>755</v>
      </c>
      <c r="AA100" s="10">
        <v>9824132</v>
      </c>
      <c r="AB100" s="10">
        <v>9937695</v>
      </c>
      <c r="AC100" s="10">
        <v>9679201</v>
      </c>
      <c r="AD100" s="10">
        <v>9614467</v>
      </c>
      <c r="AE100" s="10">
        <v>8956462</v>
      </c>
      <c r="AF100" s="10">
        <v>7823969</v>
      </c>
      <c r="AG100" s="10">
        <v>9273881</v>
      </c>
      <c r="AH100" s="10">
        <v>9301133</v>
      </c>
      <c r="AI100" s="10">
        <v>10849871</v>
      </c>
      <c r="AJ100" s="10">
        <v>11328379</v>
      </c>
      <c r="AK100" s="10">
        <v>11772583</v>
      </c>
      <c r="AL100" s="10">
        <v>10835878</v>
      </c>
      <c r="AM100" s="10">
        <v>10213139</v>
      </c>
      <c r="AN100" s="10">
        <v>10263342</v>
      </c>
      <c r="AO100" s="10">
        <v>10011859</v>
      </c>
      <c r="AP100" s="10"/>
      <c r="AQ100" s="10"/>
      <c r="AR100" s="10"/>
      <c r="AT100" s="224" t="s">
        <v>110</v>
      </c>
      <c r="AU100" s="10">
        <v>4583</v>
      </c>
      <c r="AV100" s="10">
        <v>4721</v>
      </c>
      <c r="AW100" s="10">
        <v>4837</v>
      </c>
      <c r="AX100" s="10">
        <v>4826</v>
      </c>
      <c r="AY100" s="10">
        <v>4894</v>
      </c>
      <c r="AZ100" s="10">
        <v>5003</v>
      </c>
    </row>
    <row r="101" spans="1:65" ht="15.5" x14ac:dyDescent="0.35">
      <c r="A101" s="219" t="s">
        <v>82</v>
      </c>
      <c r="B101" s="6">
        <v>0</v>
      </c>
      <c r="C101" s="6">
        <v>0</v>
      </c>
      <c r="D101" s="6">
        <v>0</v>
      </c>
      <c r="E101" s="6">
        <v>0</v>
      </c>
      <c r="F101" s="6">
        <v>0</v>
      </c>
      <c r="G101" s="6">
        <v>0</v>
      </c>
      <c r="H101" s="6">
        <v>0</v>
      </c>
      <c r="I101" s="6">
        <v>0</v>
      </c>
      <c r="J101" s="6">
        <v>0</v>
      </c>
      <c r="K101" s="6">
        <v>0</v>
      </c>
      <c r="L101" s="6">
        <v>0</v>
      </c>
      <c r="M101" s="6">
        <v>0</v>
      </c>
      <c r="N101" s="6">
        <v>0</v>
      </c>
      <c r="O101" s="6">
        <v>0</v>
      </c>
      <c r="P101" s="6">
        <v>0</v>
      </c>
      <c r="Q101" s="6">
        <v>0</v>
      </c>
      <c r="R101" s="6">
        <v>0</v>
      </c>
      <c r="S101" s="6">
        <v>0</v>
      </c>
      <c r="T101" s="6">
        <v>0</v>
      </c>
      <c r="U101" s="6">
        <v>1E-3</v>
      </c>
      <c r="V101" s="6">
        <v>0</v>
      </c>
      <c r="Z101" s="199" t="s">
        <v>753</v>
      </c>
      <c r="AA101" s="10">
        <v>97112023029</v>
      </c>
      <c r="AB101" s="10">
        <v>94491763238</v>
      </c>
      <c r="AC101" s="10">
        <v>86906341564</v>
      </c>
      <c r="AD101" s="10">
        <v>83319415617</v>
      </c>
      <c r="AE101" s="10">
        <v>86110130334</v>
      </c>
      <c r="AF101" s="10">
        <v>77593925509</v>
      </c>
      <c r="AG101" s="10">
        <v>77750015469</v>
      </c>
      <c r="AH101" s="10">
        <v>80448417537</v>
      </c>
      <c r="AI101" s="10">
        <v>89010510560</v>
      </c>
      <c r="AJ101" s="10">
        <v>97847757013</v>
      </c>
      <c r="AK101" s="10">
        <v>102269714896</v>
      </c>
      <c r="AL101" s="10">
        <v>101996232389</v>
      </c>
      <c r="AM101" s="10">
        <v>102505710028</v>
      </c>
      <c r="AN101" s="10">
        <v>97787003933</v>
      </c>
      <c r="AO101" s="10">
        <v>95629263432</v>
      </c>
      <c r="AP101" s="10"/>
      <c r="AQ101" s="10"/>
      <c r="AR101" s="10"/>
      <c r="AT101" s="224" t="s">
        <v>109</v>
      </c>
      <c r="AU101" s="10">
        <v>20534</v>
      </c>
      <c r="AV101" s="10">
        <v>21040</v>
      </c>
      <c r="AW101" s="10">
        <v>21506</v>
      </c>
      <c r="AX101" s="10">
        <v>21267</v>
      </c>
      <c r="AY101" s="10">
        <v>21453</v>
      </c>
      <c r="AZ101" s="10">
        <v>21797</v>
      </c>
      <c r="BB101" s="395" t="s">
        <v>1810</v>
      </c>
    </row>
    <row r="102" spans="1:65" x14ac:dyDescent="0.35">
      <c r="A102" s="208" t="s">
        <v>98</v>
      </c>
      <c r="B102" s="4">
        <v>7.65</v>
      </c>
      <c r="C102" s="4">
        <v>8.61</v>
      </c>
      <c r="D102" s="4">
        <v>8.91</v>
      </c>
      <c r="E102" s="4">
        <v>9.06</v>
      </c>
      <c r="F102" s="4">
        <v>9.4700000000000006</v>
      </c>
      <c r="G102" s="4">
        <v>9.9700000000000006</v>
      </c>
      <c r="H102" s="4">
        <v>10.53</v>
      </c>
      <c r="I102" s="4">
        <v>11.05</v>
      </c>
      <c r="J102" s="4">
        <v>11.32</v>
      </c>
      <c r="K102" s="4">
        <v>11.23</v>
      </c>
      <c r="L102" s="4">
        <v>11.56</v>
      </c>
      <c r="M102" s="4">
        <v>12.03</v>
      </c>
      <c r="N102" s="4">
        <v>12.31</v>
      </c>
      <c r="O102" s="4">
        <v>12.66</v>
      </c>
      <c r="P102" s="4">
        <v>13.03</v>
      </c>
      <c r="Q102" s="4">
        <v>13.12</v>
      </c>
      <c r="R102" s="4">
        <v>13.06</v>
      </c>
      <c r="S102" s="4">
        <v>13.14</v>
      </c>
      <c r="T102" s="4">
        <v>13.36</v>
      </c>
      <c r="U102" s="4">
        <v>13.37</v>
      </c>
      <c r="V102" s="4">
        <v>13.35</v>
      </c>
      <c r="Z102" s="199" t="s">
        <v>754</v>
      </c>
      <c r="AA102" s="10">
        <v>12723721645</v>
      </c>
      <c r="AB102" s="10">
        <v>13580269991</v>
      </c>
      <c r="AC102" s="10">
        <v>12969226411</v>
      </c>
      <c r="AD102" s="10">
        <v>13202054013</v>
      </c>
      <c r="AE102" s="10">
        <v>11899255393</v>
      </c>
      <c r="AF102" s="10">
        <v>11212181060</v>
      </c>
      <c r="AG102" s="10">
        <v>12601511806</v>
      </c>
      <c r="AH102" s="10">
        <v>13264095523</v>
      </c>
      <c r="AI102" s="10">
        <v>16119943819</v>
      </c>
      <c r="AJ102" s="10">
        <v>16623309470</v>
      </c>
      <c r="AK102" s="10">
        <v>16844100920</v>
      </c>
      <c r="AL102" s="10">
        <v>15544621269</v>
      </c>
      <c r="AM102" s="10">
        <v>15814578701</v>
      </c>
      <c r="AN102" s="10">
        <v>15183524820</v>
      </c>
      <c r="AO102" s="10">
        <v>15061436081</v>
      </c>
      <c r="AP102" s="10"/>
      <c r="AQ102" s="10"/>
      <c r="AR102" s="10"/>
      <c r="AT102" s="224" t="s">
        <v>128</v>
      </c>
      <c r="AU102" s="10">
        <v>0</v>
      </c>
      <c r="AV102" s="10">
        <v>0</v>
      </c>
      <c r="AW102" s="10">
        <v>0</v>
      </c>
      <c r="AX102" s="10">
        <v>0</v>
      </c>
      <c r="AY102" s="10">
        <v>0</v>
      </c>
      <c r="AZ102" s="10">
        <v>0</v>
      </c>
      <c r="BB102" s="516" t="s">
        <v>107</v>
      </c>
      <c r="BC102" s="518" t="s">
        <v>1790</v>
      </c>
      <c r="BD102" s="518"/>
      <c r="BE102" s="518"/>
      <c r="BF102" s="509" t="s">
        <v>1805</v>
      </c>
      <c r="BG102" s="511" t="s">
        <v>1806</v>
      </c>
      <c r="BH102" s="513" t="s">
        <v>1807</v>
      </c>
    </row>
    <row r="103" spans="1:65" ht="15" thickBot="1" x14ac:dyDescent="0.4">
      <c r="A103" s="205" t="s">
        <v>99</v>
      </c>
      <c r="B103" s="448"/>
      <c r="C103" s="448"/>
      <c r="D103" s="448"/>
      <c r="E103" s="448"/>
      <c r="F103" s="448"/>
      <c r="G103" s="448"/>
      <c r="H103" s="448"/>
      <c r="I103" s="448"/>
      <c r="J103" s="448"/>
      <c r="K103" s="448"/>
      <c r="L103" s="448"/>
      <c r="M103" s="448"/>
      <c r="N103" s="448"/>
      <c r="O103" s="448"/>
      <c r="P103" s="448"/>
      <c r="Q103" s="448"/>
      <c r="R103" s="448"/>
      <c r="S103" s="448"/>
      <c r="T103" s="448"/>
      <c r="U103" s="448"/>
      <c r="V103" s="448"/>
      <c r="Z103" s="199" t="s">
        <v>744</v>
      </c>
      <c r="AA103" s="10">
        <v>102166257722</v>
      </c>
      <c r="AB103" s="10">
        <v>102034052889</v>
      </c>
      <c r="AC103" s="10">
        <v>94491537484</v>
      </c>
      <c r="AD103" s="10">
        <v>94226481162</v>
      </c>
      <c r="AE103" s="10">
        <v>94421602542</v>
      </c>
      <c r="AF103" s="10">
        <v>89628721428</v>
      </c>
      <c r="AG103" s="10">
        <v>86472301466</v>
      </c>
      <c r="AH103" s="10">
        <v>87931667944</v>
      </c>
      <c r="AI103" s="10">
        <v>98451682779</v>
      </c>
      <c r="AJ103" s="10">
        <v>107466217914</v>
      </c>
      <c r="AK103" s="10">
        <v>108007667360</v>
      </c>
      <c r="AL103" s="10">
        <v>109214846964</v>
      </c>
      <c r="AM103" s="10">
        <v>122342416922</v>
      </c>
      <c r="AN103" s="10">
        <v>112995962506</v>
      </c>
      <c r="AO103" s="10">
        <v>104261579472</v>
      </c>
      <c r="AP103" s="10"/>
      <c r="AQ103" s="10"/>
      <c r="AR103" s="10"/>
      <c r="AT103" s="224" t="s">
        <v>129</v>
      </c>
      <c r="AU103" s="10">
        <v>0</v>
      </c>
      <c r="AV103" s="10">
        <v>0</v>
      </c>
      <c r="AW103" s="10">
        <v>0</v>
      </c>
      <c r="AX103" s="10">
        <v>0</v>
      </c>
      <c r="AY103" s="10">
        <v>0</v>
      </c>
      <c r="AZ103" s="10">
        <v>0</v>
      </c>
      <c r="BB103" s="517"/>
      <c r="BC103" s="396" t="s">
        <v>1803</v>
      </c>
      <c r="BD103" s="396" t="s">
        <v>1804</v>
      </c>
      <c r="BE103" s="396" t="s">
        <v>1791</v>
      </c>
      <c r="BF103" s="510"/>
      <c r="BG103" s="512"/>
      <c r="BH103" s="514"/>
    </row>
    <row r="104" spans="1:65" ht="16" thickTop="1" x14ac:dyDescent="0.35">
      <c r="A104" s="508" t="s">
        <v>2264</v>
      </c>
      <c r="B104" s="508"/>
      <c r="C104" s="508"/>
      <c r="D104" s="508"/>
      <c r="E104" s="508"/>
      <c r="F104" s="508"/>
      <c r="G104" s="508"/>
      <c r="H104" s="508"/>
      <c r="I104" s="508"/>
      <c r="J104" s="508"/>
      <c r="K104" s="508"/>
      <c r="L104" s="508"/>
      <c r="M104" s="508"/>
      <c r="N104" s="508"/>
      <c r="O104" s="508"/>
      <c r="P104" s="508"/>
      <c r="Q104" s="508"/>
      <c r="R104" s="508"/>
      <c r="S104" s="508"/>
      <c r="T104" s="508"/>
      <c r="U104" s="508"/>
      <c r="V104" s="508"/>
      <c r="Z104" s="199" t="s">
        <v>751</v>
      </c>
      <c r="AA104" s="10">
        <v>9885</v>
      </c>
      <c r="AB104" s="10">
        <v>9508</v>
      </c>
      <c r="AC104" s="10">
        <v>8979</v>
      </c>
      <c r="AD104" s="10">
        <v>8666</v>
      </c>
      <c r="AE104" s="10">
        <v>9614</v>
      </c>
      <c r="AF104" s="10">
        <v>9917</v>
      </c>
      <c r="AG104" s="10">
        <v>8384</v>
      </c>
      <c r="AH104" s="10">
        <v>8649</v>
      </c>
      <c r="AI104" s="10">
        <v>8204</v>
      </c>
      <c r="AJ104" s="10">
        <v>8637</v>
      </c>
      <c r="AK104" s="10">
        <v>8687</v>
      </c>
      <c r="AL104" s="10">
        <v>9413</v>
      </c>
      <c r="AM104" s="10">
        <v>10037</v>
      </c>
      <c r="AN104" s="10">
        <v>9528</v>
      </c>
      <c r="AO104" s="10">
        <v>9552</v>
      </c>
      <c r="AP104" s="10">
        <f>MAX(AA104:AO104)</f>
        <v>10037</v>
      </c>
      <c r="AQ104" s="10"/>
      <c r="AR104" s="10"/>
      <c r="AT104" s="224" t="s">
        <v>130</v>
      </c>
      <c r="AU104" s="10">
        <v>0</v>
      </c>
      <c r="AV104" s="10">
        <v>0</v>
      </c>
      <c r="AW104" s="10">
        <v>0</v>
      </c>
      <c r="AX104" s="10">
        <v>0</v>
      </c>
      <c r="AY104" s="10">
        <v>0</v>
      </c>
      <c r="AZ104" s="10">
        <v>0</v>
      </c>
      <c r="BB104" s="321" t="s">
        <v>1792</v>
      </c>
      <c r="BH104" s="398"/>
    </row>
    <row r="105" spans="1:65" ht="15" thickBot="1" x14ac:dyDescent="0.4">
      <c r="A105" s="190"/>
      <c r="B105" s="7">
        <v>2000</v>
      </c>
      <c r="C105" s="8">
        <v>2001</v>
      </c>
      <c r="D105" s="8">
        <v>2002</v>
      </c>
      <c r="E105" s="8">
        <v>2003</v>
      </c>
      <c r="F105" s="8">
        <v>2004</v>
      </c>
      <c r="G105" s="8">
        <v>2005</v>
      </c>
      <c r="H105" s="8">
        <v>2006</v>
      </c>
      <c r="I105" s="8">
        <v>2007</v>
      </c>
      <c r="J105" s="8">
        <v>2008</v>
      </c>
      <c r="K105" s="8">
        <v>2009</v>
      </c>
      <c r="L105" s="8">
        <v>2010</v>
      </c>
      <c r="M105" s="8">
        <v>2011</v>
      </c>
      <c r="N105" s="8">
        <v>2012</v>
      </c>
      <c r="O105" s="8">
        <v>2013</v>
      </c>
      <c r="P105" s="8">
        <v>2014</v>
      </c>
      <c r="Q105" s="8">
        <v>2015</v>
      </c>
      <c r="R105" s="8">
        <v>2016</v>
      </c>
      <c r="S105" s="8">
        <v>2017</v>
      </c>
      <c r="T105" s="8">
        <v>2018</v>
      </c>
      <c r="U105" s="8">
        <v>2019</v>
      </c>
      <c r="V105" s="8">
        <v>2020</v>
      </c>
      <c r="Z105" s="199" t="s">
        <v>752</v>
      </c>
      <c r="AA105" s="10">
        <v>1295</v>
      </c>
      <c r="AB105" s="10">
        <v>1367</v>
      </c>
      <c r="AC105" s="10">
        <v>1340</v>
      </c>
      <c r="AD105" s="10">
        <v>1373</v>
      </c>
      <c r="AE105" s="10">
        <v>1329</v>
      </c>
      <c r="AF105" s="10">
        <v>1433</v>
      </c>
      <c r="AG105" s="10">
        <v>1359</v>
      </c>
      <c r="AH105" s="10">
        <v>1426</v>
      </c>
      <c r="AI105" s="10">
        <v>1486</v>
      </c>
      <c r="AJ105" s="10">
        <v>1467</v>
      </c>
      <c r="AK105" s="10">
        <v>1431</v>
      </c>
      <c r="AL105" s="10">
        <v>1435</v>
      </c>
      <c r="AM105" s="10">
        <v>1548</v>
      </c>
      <c r="AN105" s="10">
        <v>1479</v>
      </c>
      <c r="AO105" s="10">
        <v>1504</v>
      </c>
      <c r="AP105" s="10"/>
      <c r="AQ105" s="10"/>
      <c r="AR105" s="10"/>
      <c r="AT105" s="224" t="s">
        <v>767</v>
      </c>
      <c r="AU105" s="10">
        <v>5</v>
      </c>
      <c r="AV105" s="10">
        <v>4</v>
      </c>
      <c r="AW105" s="10">
        <v>4</v>
      </c>
      <c r="AX105" s="10">
        <v>5</v>
      </c>
      <c r="AY105" s="10">
        <v>5</v>
      </c>
      <c r="AZ105" s="10">
        <v>4</v>
      </c>
      <c r="BB105" s="394" t="s">
        <v>1793</v>
      </c>
      <c r="BC105" s="198">
        <v>3389.8</v>
      </c>
      <c r="BD105" s="198">
        <v>213.6</v>
      </c>
      <c r="BE105" s="198">
        <v>435.7</v>
      </c>
      <c r="BF105" s="198">
        <v>30729.3</v>
      </c>
      <c r="BG105" s="198">
        <v>3597.1</v>
      </c>
      <c r="BH105" s="322">
        <f>SUM(BC105:BF105)-BG105</f>
        <v>31171.300000000003</v>
      </c>
    </row>
    <row r="106" spans="1:65" ht="15" thickTop="1" x14ac:dyDescent="0.35">
      <c r="A106" s="203" t="s">
        <v>70</v>
      </c>
      <c r="Z106" s="4" t="s">
        <v>759</v>
      </c>
      <c r="AL106" s="10"/>
      <c r="AM106" s="10"/>
      <c r="AN106" s="10"/>
      <c r="AO106" s="10"/>
      <c r="AP106" s="10"/>
      <c r="AQ106" s="10"/>
      <c r="AR106" s="10"/>
      <c r="AT106" s="4" t="s">
        <v>1078</v>
      </c>
      <c r="AU106" s="9">
        <v>126720</v>
      </c>
      <c r="AV106" s="9">
        <v>129528</v>
      </c>
      <c r="AW106" s="9">
        <v>130099</v>
      </c>
      <c r="AX106" s="9">
        <v>123948</v>
      </c>
      <c r="AY106" s="9">
        <v>125932</v>
      </c>
      <c r="AZ106" s="9">
        <v>128563</v>
      </c>
      <c r="BB106" s="394" t="s">
        <v>1794</v>
      </c>
      <c r="BC106" s="198">
        <v>114.7</v>
      </c>
      <c r="BD106" s="198">
        <v>0.3</v>
      </c>
      <c r="BE106" s="198">
        <v>2.4</v>
      </c>
      <c r="BF106" s="198">
        <v>783.8</v>
      </c>
      <c r="BG106" s="198">
        <v>40.299999999999997</v>
      </c>
      <c r="BH106" s="322">
        <f t="shared" ref="BH106:BH109" si="50">SUM(BC106:BF106)-BG106</f>
        <v>860.9</v>
      </c>
    </row>
    <row r="107" spans="1:65" x14ac:dyDescent="0.35">
      <c r="A107" s="217" t="s">
        <v>32</v>
      </c>
      <c r="B107" s="3">
        <v>2.0653329999999999</v>
      </c>
      <c r="C107" s="3">
        <v>2.0417540000000001</v>
      </c>
      <c r="D107" s="3">
        <v>2.0086339999999998</v>
      </c>
      <c r="E107" s="3">
        <v>1.9693449999999999</v>
      </c>
      <c r="F107" s="3">
        <v>1.960629</v>
      </c>
      <c r="G107" s="3">
        <v>1.939789</v>
      </c>
      <c r="H107" s="3">
        <v>1.9187989999999999</v>
      </c>
      <c r="I107" s="3">
        <v>1.8942349999999999</v>
      </c>
      <c r="J107" s="3">
        <v>1.893106</v>
      </c>
      <c r="K107" s="3">
        <v>1.8807990000000001</v>
      </c>
      <c r="L107" s="3">
        <v>1.8680589999999999</v>
      </c>
      <c r="M107" s="3">
        <v>1.865429</v>
      </c>
      <c r="N107" s="3">
        <v>1.8476239999999999</v>
      </c>
      <c r="O107" s="3">
        <v>1.830292</v>
      </c>
      <c r="P107" s="3">
        <v>1.820012</v>
      </c>
      <c r="Q107" s="3">
        <v>1.8086500000000001</v>
      </c>
      <c r="R107" s="3">
        <v>1.803085</v>
      </c>
      <c r="S107" s="3">
        <v>1.7944990000000001</v>
      </c>
      <c r="T107" s="3">
        <v>1.786151</v>
      </c>
      <c r="U107" s="3">
        <v>1.774877</v>
      </c>
      <c r="V107" s="3">
        <v>1.7700979999999999</v>
      </c>
      <c r="Z107" s="199" t="s">
        <v>755</v>
      </c>
      <c r="AA107" s="10">
        <v>9797209</v>
      </c>
      <c r="AB107" s="10">
        <v>9787522</v>
      </c>
      <c r="AC107" s="10">
        <v>10562957</v>
      </c>
      <c r="AD107" s="10">
        <v>11308557</v>
      </c>
      <c r="AE107" s="10">
        <v>10170905</v>
      </c>
      <c r="AF107" s="10">
        <v>9941772</v>
      </c>
      <c r="AG107" s="10">
        <v>11501320</v>
      </c>
      <c r="AH107" s="10">
        <v>10201292</v>
      </c>
      <c r="AI107" s="10">
        <v>12609006</v>
      </c>
      <c r="AJ107" s="10">
        <v>11766415</v>
      </c>
      <c r="AK107" s="10">
        <v>10893015</v>
      </c>
      <c r="AL107" s="10">
        <v>9964001</v>
      </c>
      <c r="AM107" s="10">
        <v>10022426</v>
      </c>
      <c r="AN107" s="10">
        <v>11713254</v>
      </c>
      <c r="AO107" s="10">
        <v>11635856</v>
      </c>
      <c r="AP107" s="10"/>
      <c r="AQ107" s="10"/>
      <c r="AR107" s="10"/>
      <c r="AT107" s="224" t="s">
        <v>110</v>
      </c>
      <c r="AU107" s="226" t="s">
        <v>2290</v>
      </c>
      <c r="AV107" s="226" t="s">
        <v>2290</v>
      </c>
      <c r="AW107" s="226" t="s">
        <v>2290</v>
      </c>
      <c r="AX107" s="226" t="s">
        <v>2290</v>
      </c>
      <c r="AY107" s="226" t="s">
        <v>2290</v>
      </c>
      <c r="AZ107" s="226" t="s">
        <v>2290</v>
      </c>
      <c r="BB107" s="394" t="s">
        <v>1795</v>
      </c>
      <c r="BC107" s="198">
        <v>64.099999999999994</v>
      </c>
      <c r="BD107" s="198">
        <v>28.9</v>
      </c>
      <c r="BE107" s="198">
        <v>14.8</v>
      </c>
      <c r="BF107" s="198">
        <v>364.3</v>
      </c>
      <c r="BG107" s="198">
        <v>63.6</v>
      </c>
      <c r="BH107" s="322">
        <f t="shared" si="50"/>
        <v>408.5</v>
      </c>
    </row>
    <row r="108" spans="1:65" x14ac:dyDescent="0.35">
      <c r="A108" s="217" t="s">
        <v>41</v>
      </c>
      <c r="B108" s="5">
        <v>2.9435380000000002</v>
      </c>
      <c r="C108" s="5">
        <v>2.9056129999999998</v>
      </c>
      <c r="D108" s="5">
        <v>2.889815</v>
      </c>
      <c r="E108" s="5">
        <v>2.8660559999999999</v>
      </c>
      <c r="F108" s="5">
        <v>2.8586860000000001</v>
      </c>
      <c r="G108" s="5">
        <v>2.8270849999999998</v>
      </c>
      <c r="H108" s="5">
        <v>2.799318</v>
      </c>
      <c r="I108" s="5">
        <v>2.7650290000000002</v>
      </c>
      <c r="J108" s="5">
        <v>2.7423980000000001</v>
      </c>
      <c r="K108" s="5">
        <v>2.7163430000000002</v>
      </c>
      <c r="L108" s="5">
        <v>2.6915589999999998</v>
      </c>
      <c r="M108" s="5">
        <v>2.6759210000000002</v>
      </c>
      <c r="N108" s="5">
        <v>2.6404019999999999</v>
      </c>
      <c r="O108" s="5">
        <v>2.6104059999999998</v>
      </c>
      <c r="P108" s="5">
        <v>2.5852680000000001</v>
      </c>
      <c r="Q108" s="5">
        <v>2.5621870000000002</v>
      </c>
      <c r="R108" s="5">
        <v>2.545436</v>
      </c>
      <c r="S108" s="5">
        <v>2.5283799999999998</v>
      </c>
      <c r="T108" s="5">
        <v>2.5086550000000001</v>
      </c>
      <c r="U108" s="5">
        <v>2.487924</v>
      </c>
      <c r="V108" s="5">
        <v>2.4759920000000002</v>
      </c>
      <c r="Z108" s="199" t="s">
        <v>753</v>
      </c>
      <c r="AA108" s="10">
        <v>126288652382</v>
      </c>
      <c r="AB108" s="10">
        <v>133137812348</v>
      </c>
      <c r="AC108" s="10">
        <v>147995154807</v>
      </c>
      <c r="AD108" s="10">
        <v>151801350054</v>
      </c>
      <c r="AE108" s="10">
        <v>159987383736</v>
      </c>
      <c r="AF108" s="10">
        <v>140596575770</v>
      </c>
      <c r="AG108" s="10">
        <v>149969389620</v>
      </c>
      <c r="AH108" s="10">
        <v>164319927207</v>
      </c>
      <c r="AI108" s="10">
        <v>189355401558</v>
      </c>
      <c r="AJ108" s="10">
        <v>193594108689</v>
      </c>
      <c r="AK108" s="10">
        <v>168774374018</v>
      </c>
      <c r="AL108" s="10">
        <v>161766800855</v>
      </c>
      <c r="AM108" s="10">
        <v>169585733450</v>
      </c>
      <c r="AN108" s="10">
        <v>183638353407</v>
      </c>
      <c r="AO108" s="10">
        <v>185218374390</v>
      </c>
      <c r="AP108" s="10"/>
      <c r="AQ108" s="10"/>
      <c r="AR108" s="10"/>
      <c r="AT108" s="224" t="s">
        <v>109</v>
      </c>
      <c r="AU108" s="226" t="s">
        <v>2290</v>
      </c>
      <c r="AV108" s="226" t="s">
        <v>2290</v>
      </c>
      <c r="AW108" s="226" t="s">
        <v>2290</v>
      </c>
      <c r="AX108" s="226" t="s">
        <v>2290</v>
      </c>
      <c r="AY108" s="226" t="s">
        <v>2290</v>
      </c>
      <c r="AZ108" s="226" t="s">
        <v>2290</v>
      </c>
      <c r="BB108" s="394" t="s">
        <v>1796</v>
      </c>
      <c r="BC108" s="198"/>
      <c r="BD108" s="198"/>
      <c r="BE108" s="198"/>
      <c r="BF108" s="198">
        <v>625.9</v>
      </c>
      <c r="BG108" s="198"/>
      <c r="BH108" s="322">
        <f t="shared" si="50"/>
        <v>625.9</v>
      </c>
    </row>
    <row r="109" spans="1:65" x14ac:dyDescent="0.35">
      <c r="A109" s="217" t="s">
        <v>42</v>
      </c>
      <c r="B109" s="3">
        <v>9.5659320000000001</v>
      </c>
      <c r="C109" s="3">
        <v>9.3864330000000002</v>
      </c>
      <c r="D109" s="3">
        <v>9.2644350000000006</v>
      </c>
      <c r="E109" s="3">
        <v>9.130941</v>
      </c>
      <c r="F109" s="3">
        <v>9.0530340000000002</v>
      </c>
      <c r="G109" s="3">
        <v>8.8895429999999998</v>
      </c>
      <c r="H109" s="3">
        <v>8.7654329999999998</v>
      </c>
      <c r="I109" s="3">
        <v>8.6109690000000008</v>
      </c>
      <c r="J109" s="3">
        <v>8.5395149999999997</v>
      </c>
      <c r="K109" s="3">
        <v>8.4577329999999993</v>
      </c>
      <c r="L109" s="3">
        <v>8.380096</v>
      </c>
      <c r="M109" s="3">
        <v>8.3378049999999995</v>
      </c>
      <c r="N109" s="3">
        <v>8.2196870000000004</v>
      </c>
      <c r="O109" s="3">
        <v>8.129524</v>
      </c>
      <c r="P109" s="3">
        <v>8.0515419999999995</v>
      </c>
      <c r="Q109" s="3">
        <v>7.9810840000000001</v>
      </c>
      <c r="R109" s="3">
        <v>7.9275279999999997</v>
      </c>
      <c r="S109" s="3">
        <v>7.8749580000000003</v>
      </c>
      <c r="T109" s="3">
        <v>7.8148059999999999</v>
      </c>
      <c r="U109" s="3">
        <v>7.7512119999999998</v>
      </c>
      <c r="V109" s="3">
        <v>7.7151189999999996</v>
      </c>
      <c r="Z109" s="199" t="s">
        <v>754</v>
      </c>
      <c r="AA109" s="10">
        <v>122336468</v>
      </c>
      <c r="AB109" s="10">
        <v>114485199</v>
      </c>
      <c r="AC109" s="10">
        <v>120339465</v>
      </c>
      <c r="AD109" s="10">
        <v>120034348</v>
      </c>
      <c r="AE109" s="10">
        <v>102027044</v>
      </c>
      <c r="AF109" s="10">
        <v>103850587</v>
      </c>
      <c r="AG109" s="10">
        <v>107012324</v>
      </c>
      <c r="AH109" s="10">
        <v>98748618</v>
      </c>
      <c r="AI109" s="10">
        <v>128092598</v>
      </c>
      <c r="AJ109" s="10">
        <v>131898446</v>
      </c>
      <c r="AK109" s="10">
        <v>127282618</v>
      </c>
      <c r="AL109" s="10">
        <v>112441675</v>
      </c>
      <c r="AM109" s="10">
        <v>101451091</v>
      </c>
      <c r="AN109" s="10">
        <v>126527053</v>
      </c>
      <c r="AO109" s="10">
        <v>126820402</v>
      </c>
      <c r="AP109" s="10"/>
      <c r="AQ109" s="10"/>
      <c r="AR109" s="10"/>
      <c r="AT109" s="224" t="s">
        <v>128</v>
      </c>
      <c r="AU109" s="226" t="s">
        <v>2290</v>
      </c>
      <c r="AV109" s="226" t="s">
        <v>2290</v>
      </c>
      <c r="AW109" s="226" t="s">
        <v>2290</v>
      </c>
      <c r="AX109" s="226" t="s">
        <v>2290</v>
      </c>
      <c r="AY109" s="226" t="s">
        <v>2290</v>
      </c>
      <c r="AZ109" s="226" t="s">
        <v>2290</v>
      </c>
      <c r="BB109" s="394" t="s">
        <v>1797</v>
      </c>
      <c r="BC109" s="198">
        <v>871.7</v>
      </c>
      <c r="BD109" s="198">
        <v>1259.7</v>
      </c>
      <c r="BE109" s="198">
        <v>158.5</v>
      </c>
      <c r="BF109" s="198">
        <v>13913.2</v>
      </c>
      <c r="BG109" s="198">
        <v>1552.5</v>
      </c>
      <c r="BH109" s="322">
        <f t="shared" si="50"/>
        <v>14650.6</v>
      </c>
    </row>
    <row r="110" spans="1:65" x14ac:dyDescent="0.35">
      <c r="A110" s="217" t="s">
        <v>43</v>
      </c>
      <c r="B110" s="3">
        <v>7.7165809999999997</v>
      </c>
      <c r="C110" s="3">
        <v>7.7316700000000003</v>
      </c>
      <c r="D110" s="3">
        <v>7.7041310000000003</v>
      </c>
      <c r="E110" s="3">
        <v>7.5736829999999999</v>
      </c>
      <c r="F110" s="3">
        <v>7.481535</v>
      </c>
      <c r="G110" s="3">
        <v>7.4248240000000001</v>
      </c>
      <c r="H110" s="3">
        <v>6.7014279999999999</v>
      </c>
      <c r="I110" s="3">
        <v>6.5650199999999996</v>
      </c>
      <c r="J110" s="3">
        <v>6.7107570000000001</v>
      </c>
      <c r="K110" s="3">
        <v>7.1912770000000004</v>
      </c>
      <c r="L110" s="3">
        <v>6.7257709999999999</v>
      </c>
      <c r="M110" s="3">
        <v>6.6327959999999999</v>
      </c>
      <c r="N110" s="3">
        <v>6.5127509999999997</v>
      </c>
      <c r="O110" s="3">
        <v>6.4083420000000002</v>
      </c>
      <c r="P110" s="3">
        <v>6.3112919999999999</v>
      </c>
      <c r="Q110" s="3">
        <v>6.2009990000000004</v>
      </c>
      <c r="R110" s="3">
        <v>6.0800200000000002</v>
      </c>
      <c r="S110" s="3">
        <v>5.9849170000000003</v>
      </c>
      <c r="T110" s="3">
        <v>5.9021710000000001</v>
      </c>
      <c r="U110" s="3">
        <v>5.7992600000000003</v>
      </c>
      <c r="V110" s="3">
        <v>5.7264439999999999</v>
      </c>
      <c r="Z110" s="199" t="s">
        <v>744</v>
      </c>
      <c r="AA110" s="10">
        <v>1379368043</v>
      </c>
      <c r="AB110" s="10">
        <v>1347869925</v>
      </c>
      <c r="AC110" s="10">
        <v>1491140374</v>
      </c>
      <c r="AD110" s="10">
        <v>1424851612</v>
      </c>
      <c r="AE110" s="10">
        <v>1369823939</v>
      </c>
      <c r="AF110" s="10">
        <v>1269833525</v>
      </c>
      <c r="AG110" s="10">
        <v>1282925927</v>
      </c>
      <c r="AH110" s="10">
        <v>1305607420</v>
      </c>
      <c r="AI110" s="10">
        <v>1715303709</v>
      </c>
      <c r="AJ110" s="10">
        <v>2135545813</v>
      </c>
      <c r="AK110" s="10">
        <v>1850342647</v>
      </c>
      <c r="AL110" s="10">
        <v>1580201482</v>
      </c>
      <c r="AM110" s="10">
        <v>1525899776</v>
      </c>
      <c r="AN110" s="10">
        <v>1731311752</v>
      </c>
      <c r="AO110" s="10">
        <v>1753827645</v>
      </c>
      <c r="AP110" s="10"/>
      <c r="AQ110" s="10"/>
      <c r="AR110" s="10"/>
      <c r="AT110" s="224" t="s">
        <v>129</v>
      </c>
      <c r="AU110" s="226" t="s">
        <v>2290</v>
      </c>
      <c r="AV110" s="226" t="s">
        <v>2290</v>
      </c>
      <c r="AW110" s="226" t="s">
        <v>2290</v>
      </c>
      <c r="AX110" s="226" t="s">
        <v>2290</v>
      </c>
      <c r="AY110" s="226" t="s">
        <v>2290</v>
      </c>
      <c r="AZ110" s="226" t="s">
        <v>2290</v>
      </c>
      <c r="BB110" s="394" t="s">
        <v>1798</v>
      </c>
      <c r="BC110" s="198">
        <f>SUM(BC105:BC109)</f>
        <v>4440.3</v>
      </c>
      <c r="BD110" s="198">
        <f t="shared" ref="BD110:BH110" si="51">SUM(BD105:BD109)</f>
        <v>1502.5</v>
      </c>
      <c r="BE110" s="198">
        <f t="shared" si="51"/>
        <v>611.4</v>
      </c>
      <c r="BF110" s="198">
        <f t="shared" si="51"/>
        <v>46416.5</v>
      </c>
      <c r="BG110" s="198">
        <f t="shared" si="51"/>
        <v>5253.5</v>
      </c>
      <c r="BH110" s="322">
        <f t="shared" si="51"/>
        <v>47717.200000000004</v>
      </c>
    </row>
    <row r="111" spans="1:65" x14ac:dyDescent="0.35">
      <c r="A111" s="217" t="s">
        <v>56</v>
      </c>
      <c r="B111" s="3">
        <v>2.0377369999999999</v>
      </c>
      <c r="C111" s="3">
        <v>2.0052819999999998</v>
      </c>
      <c r="D111" s="3">
        <v>1.9728270000000001</v>
      </c>
      <c r="E111" s="3">
        <v>1.940372</v>
      </c>
      <c r="F111" s="3">
        <v>1.9079170000000001</v>
      </c>
      <c r="G111" s="3">
        <v>1.956709</v>
      </c>
      <c r="H111" s="3">
        <v>1.9490689999999999</v>
      </c>
      <c r="I111" s="3">
        <v>1.9686319999999999</v>
      </c>
      <c r="J111" s="3">
        <v>2.0420389999999999</v>
      </c>
      <c r="K111" s="3">
        <v>2.1381960000000002</v>
      </c>
      <c r="L111" s="3">
        <v>2.0792679999999999</v>
      </c>
      <c r="M111" s="3">
        <v>2.0844510000000001</v>
      </c>
      <c r="N111" s="3">
        <v>1.9994860000000001</v>
      </c>
      <c r="O111" s="3">
        <v>1.9296739999999999</v>
      </c>
      <c r="P111" s="3">
        <v>1.811512</v>
      </c>
      <c r="Q111" s="3">
        <v>1.650755</v>
      </c>
      <c r="R111" s="3">
        <v>1.4476599999999999</v>
      </c>
      <c r="S111" s="3">
        <v>1.5042709999999999</v>
      </c>
      <c r="T111" s="3">
        <v>1.740702</v>
      </c>
      <c r="U111" s="3">
        <v>1.665705</v>
      </c>
      <c r="V111" s="3">
        <v>1.641054</v>
      </c>
      <c r="Z111" s="199" t="s">
        <v>751</v>
      </c>
      <c r="AA111" s="10">
        <v>12890</v>
      </c>
      <c r="AB111" s="10">
        <v>13603</v>
      </c>
      <c r="AC111" s="10">
        <v>14011</v>
      </c>
      <c r="AD111" s="10">
        <v>13424</v>
      </c>
      <c r="AE111" s="10">
        <v>15730</v>
      </c>
      <c r="AF111" s="10">
        <v>14142</v>
      </c>
      <c r="AG111" s="10">
        <v>13039</v>
      </c>
      <c r="AH111" s="10">
        <v>16108</v>
      </c>
      <c r="AI111" s="10">
        <v>15017</v>
      </c>
      <c r="AJ111" s="10">
        <v>16453</v>
      </c>
      <c r="AK111" s="10">
        <v>15494</v>
      </c>
      <c r="AL111" s="10">
        <v>16235</v>
      </c>
      <c r="AM111" s="10">
        <v>16921</v>
      </c>
      <c r="AN111" s="10">
        <v>15678</v>
      </c>
      <c r="AO111" s="10">
        <v>15918</v>
      </c>
      <c r="AP111" s="10">
        <f>MAX(AA111:AO111)</f>
        <v>16921</v>
      </c>
      <c r="AQ111" s="10"/>
      <c r="AR111" s="10"/>
      <c r="AT111" s="224" t="s">
        <v>130</v>
      </c>
      <c r="AU111" s="226" t="s">
        <v>2290</v>
      </c>
      <c r="AV111" s="226" t="s">
        <v>2290</v>
      </c>
      <c r="AW111" s="226" t="s">
        <v>2290</v>
      </c>
      <c r="AX111" s="226" t="s">
        <v>2290</v>
      </c>
      <c r="AY111" s="226" t="s">
        <v>2290</v>
      </c>
      <c r="AZ111" s="226" t="s">
        <v>2290</v>
      </c>
      <c r="BB111" s="321" t="s">
        <v>1799</v>
      </c>
      <c r="BC111" s="198"/>
      <c r="BD111" s="198"/>
      <c r="BE111" s="198"/>
      <c r="BF111" s="198"/>
      <c r="BG111" s="198"/>
      <c r="BH111" s="322"/>
    </row>
    <row r="112" spans="1:65" x14ac:dyDescent="0.35">
      <c r="A112" s="217" t="s">
        <v>61</v>
      </c>
      <c r="B112" s="3">
        <v>1.495441</v>
      </c>
      <c r="C112" s="3">
        <v>1.348312</v>
      </c>
      <c r="D112" s="3">
        <v>1.29528</v>
      </c>
      <c r="E112" s="3">
        <v>1.295253</v>
      </c>
      <c r="F112" s="3">
        <v>1.295269</v>
      </c>
      <c r="G112" s="3">
        <v>1.1850020000000001</v>
      </c>
      <c r="H112" s="3">
        <v>1.1849799999999999</v>
      </c>
      <c r="I112" s="3">
        <v>1.1575249999999999</v>
      </c>
      <c r="J112" s="3">
        <v>1.1574599999999999</v>
      </c>
      <c r="K112" s="3">
        <v>1.7546630000000001</v>
      </c>
      <c r="L112" s="3">
        <v>1.7546550000000001</v>
      </c>
      <c r="M112" s="3">
        <v>1.7546759999999999</v>
      </c>
      <c r="N112" s="3">
        <v>1.7546949999999999</v>
      </c>
      <c r="O112" s="3">
        <v>1.75465</v>
      </c>
      <c r="P112" s="3">
        <v>1.754686</v>
      </c>
      <c r="Q112" s="3">
        <v>1.7546809999999999</v>
      </c>
      <c r="R112" s="3">
        <v>1.649564</v>
      </c>
      <c r="S112" s="3">
        <v>1.598511</v>
      </c>
      <c r="T112" s="3">
        <v>1.5985320000000001</v>
      </c>
      <c r="U112" s="3">
        <v>1.59579</v>
      </c>
      <c r="V112" s="3">
        <v>1.5401119999999999</v>
      </c>
      <c r="Z112" s="199" t="s">
        <v>752</v>
      </c>
      <c r="AA112" s="10">
        <v>12</v>
      </c>
      <c r="AB112" s="10">
        <v>12</v>
      </c>
      <c r="AC112" s="10">
        <v>11</v>
      </c>
      <c r="AD112" s="10">
        <v>11</v>
      </c>
      <c r="AE112" s="10">
        <v>10</v>
      </c>
      <c r="AF112" s="10">
        <v>10</v>
      </c>
      <c r="AG112" s="10">
        <v>9</v>
      </c>
      <c r="AH112" s="10">
        <v>10</v>
      </c>
      <c r="AI112" s="10">
        <v>10</v>
      </c>
      <c r="AJ112" s="10">
        <v>11</v>
      </c>
      <c r="AK112" s="10">
        <v>12</v>
      </c>
      <c r="AL112" s="10">
        <v>11</v>
      </c>
      <c r="AM112" s="10">
        <v>10</v>
      </c>
      <c r="AN112" s="10">
        <v>11</v>
      </c>
      <c r="AO112" s="10">
        <v>11</v>
      </c>
      <c r="AP112" s="10"/>
      <c r="AQ112" s="10"/>
      <c r="AR112" s="10"/>
      <c r="AT112" s="225" t="s">
        <v>767</v>
      </c>
      <c r="AU112" s="227" t="s">
        <v>2290</v>
      </c>
      <c r="AV112" s="227" t="s">
        <v>2290</v>
      </c>
      <c r="AW112" s="227" t="s">
        <v>2290</v>
      </c>
      <c r="AX112" s="227" t="s">
        <v>2290</v>
      </c>
      <c r="AY112" s="227" t="s">
        <v>2290</v>
      </c>
      <c r="AZ112" s="227" t="s">
        <v>2290</v>
      </c>
      <c r="BB112" s="394" t="s">
        <v>1793</v>
      </c>
      <c r="BC112" s="198">
        <v>18122.8</v>
      </c>
      <c r="BD112" s="198">
        <v>632</v>
      </c>
      <c r="BE112" s="198">
        <v>5978.5</v>
      </c>
      <c r="BF112" s="198">
        <v>49997.8</v>
      </c>
      <c r="BG112" s="198">
        <v>6074.4</v>
      </c>
      <c r="BH112" s="322">
        <f t="shared" ref="BH112:BH115" si="52">SUM(BC112:BF112)-BG112</f>
        <v>68656.700000000012</v>
      </c>
    </row>
    <row r="113" spans="1:61" x14ac:dyDescent="0.35">
      <c r="A113" s="217" t="s">
        <v>66</v>
      </c>
      <c r="B113" s="3">
        <v>0.61469099999999999</v>
      </c>
      <c r="C113" s="3">
        <v>0.59221000000000001</v>
      </c>
      <c r="D113" s="3">
        <v>0.56342199999999998</v>
      </c>
      <c r="E113" s="3">
        <v>0.55539000000000005</v>
      </c>
      <c r="F113" s="3">
        <v>0.52248899999999998</v>
      </c>
      <c r="G113" s="3">
        <v>0.492537</v>
      </c>
      <c r="H113" s="3">
        <v>0.42750300000000002</v>
      </c>
      <c r="I113" s="3">
        <v>0.51467099999999999</v>
      </c>
      <c r="J113" s="3">
        <v>0.53270399999999996</v>
      </c>
      <c r="K113" s="3">
        <v>0.447349</v>
      </c>
      <c r="L113" s="3">
        <v>0.427319</v>
      </c>
      <c r="M113" s="3">
        <v>0.44372499999999998</v>
      </c>
      <c r="N113" s="3">
        <v>0.41536000000000001</v>
      </c>
      <c r="O113" s="3">
        <v>0.40606599999999998</v>
      </c>
      <c r="P113" s="3">
        <v>0.42193599999999998</v>
      </c>
      <c r="Q113" s="3">
        <v>0.43096400000000001</v>
      </c>
      <c r="R113" s="3">
        <v>0.447434</v>
      </c>
      <c r="S113" s="3">
        <v>0.241787</v>
      </c>
      <c r="T113" s="3">
        <v>0.34778100000000001</v>
      </c>
      <c r="U113" s="3">
        <v>0.40590900000000002</v>
      </c>
      <c r="V113" s="3">
        <v>0.34224199999999999</v>
      </c>
      <c r="Z113" s="4" t="s">
        <v>760</v>
      </c>
      <c r="AL113" s="10"/>
      <c r="AM113" s="10"/>
      <c r="AN113" s="10"/>
      <c r="AO113" s="10"/>
      <c r="AP113" s="10"/>
      <c r="AQ113" s="10"/>
      <c r="AR113" s="10"/>
      <c r="AT113" s="14" t="s">
        <v>787</v>
      </c>
      <c r="BB113" s="394" t="s">
        <v>259</v>
      </c>
      <c r="BC113" s="198">
        <v>477.5</v>
      </c>
      <c r="BD113" s="198">
        <v>0.9</v>
      </c>
      <c r="BE113" s="198">
        <v>21.8</v>
      </c>
      <c r="BF113" s="198">
        <v>2431.9</v>
      </c>
      <c r="BG113" s="198">
        <v>110.2</v>
      </c>
      <c r="BH113" s="322">
        <f t="shared" si="52"/>
        <v>2821.9</v>
      </c>
    </row>
    <row r="114" spans="1:61" x14ac:dyDescent="0.35">
      <c r="A114" s="217" t="s">
        <v>63</v>
      </c>
      <c r="B114" s="3">
        <v>1.949908</v>
      </c>
      <c r="C114" s="3">
        <v>1.7695270000000001</v>
      </c>
      <c r="D114" s="3">
        <v>1.7894699999999999</v>
      </c>
      <c r="E114" s="3">
        <v>1.7840830000000001</v>
      </c>
      <c r="F114" s="3">
        <v>1.747741</v>
      </c>
      <c r="G114" s="3">
        <v>1.7049430000000001</v>
      </c>
      <c r="H114" s="3">
        <v>1.4406429999999999</v>
      </c>
      <c r="I114" s="3">
        <v>1.8297399999999999</v>
      </c>
      <c r="J114" s="3">
        <v>1.7899590000000001</v>
      </c>
      <c r="K114" s="3">
        <v>1.682253</v>
      </c>
      <c r="L114" s="3">
        <v>1.662547</v>
      </c>
      <c r="M114" s="3">
        <v>1.538481</v>
      </c>
      <c r="N114" s="3">
        <v>1.4979720000000001</v>
      </c>
      <c r="O114" s="3">
        <v>1.6691800000000001</v>
      </c>
      <c r="P114" s="3">
        <v>1.6706460000000001</v>
      </c>
      <c r="Q114" s="3">
        <v>1.674007</v>
      </c>
      <c r="R114" s="3">
        <v>1.8526830000000001</v>
      </c>
      <c r="S114" s="3">
        <v>1.653815</v>
      </c>
      <c r="T114" s="3">
        <v>1.7349540000000001</v>
      </c>
      <c r="U114" s="3">
        <v>1.727347</v>
      </c>
      <c r="V114" s="3">
        <v>1.340676</v>
      </c>
      <c r="W114" s="34"/>
      <c r="Z114" s="199" t="s">
        <v>755</v>
      </c>
      <c r="AA114" s="10">
        <v>49831702</v>
      </c>
      <c r="AB114" s="10">
        <v>51827767</v>
      </c>
      <c r="AC114" s="10">
        <v>51158466</v>
      </c>
      <c r="AD114" s="10">
        <v>52463888</v>
      </c>
      <c r="AE114" s="10">
        <v>50299847</v>
      </c>
      <c r="AF114" s="10">
        <v>43467848</v>
      </c>
      <c r="AG114" s="10">
        <v>48970153</v>
      </c>
      <c r="AH114" s="10">
        <v>46232068</v>
      </c>
      <c r="AI114" s="10">
        <v>51817713</v>
      </c>
      <c r="AJ114" s="10">
        <v>53249959</v>
      </c>
      <c r="AK114" s="10">
        <v>54731072</v>
      </c>
      <c r="AL114" s="10">
        <v>54290140</v>
      </c>
      <c r="AM114" s="10">
        <v>50885237</v>
      </c>
      <c r="AN114" s="10">
        <v>53927116</v>
      </c>
      <c r="AO114" s="10">
        <v>52042502</v>
      </c>
      <c r="AP114" s="10"/>
      <c r="AQ114" s="10"/>
      <c r="AR114" s="10"/>
      <c r="AT114" s="14" t="s">
        <v>775</v>
      </c>
      <c r="BB114" s="394" t="s">
        <v>1800</v>
      </c>
      <c r="BC114" s="198">
        <v>268.5</v>
      </c>
      <c r="BD114" s="198">
        <v>0.5</v>
      </c>
      <c r="BE114" s="198">
        <v>12.2</v>
      </c>
      <c r="BF114" s="198">
        <v>2791.2</v>
      </c>
      <c r="BG114" s="198">
        <v>61.9</v>
      </c>
      <c r="BH114" s="322">
        <f t="shared" si="52"/>
        <v>3010.4999999999995</v>
      </c>
    </row>
    <row r="115" spans="1:61" x14ac:dyDescent="0.35">
      <c r="A115" s="217" t="s">
        <v>64</v>
      </c>
      <c r="B115" s="3">
        <v>0.79505599999999998</v>
      </c>
      <c r="C115" s="3">
        <v>0.80832000000000004</v>
      </c>
      <c r="D115" s="3">
        <v>0.77701399999999998</v>
      </c>
      <c r="E115" s="3">
        <v>0.77435399999999999</v>
      </c>
      <c r="F115" s="3">
        <v>0.75939900000000005</v>
      </c>
      <c r="G115" s="3">
        <v>0.74520200000000003</v>
      </c>
      <c r="H115" s="3">
        <v>0.84669899999999998</v>
      </c>
      <c r="I115" s="3">
        <v>0.76681699999999997</v>
      </c>
      <c r="J115" s="22">
        <v>0.81967599999999996</v>
      </c>
      <c r="K115" s="22">
        <v>0.68676899999999996</v>
      </c>
      <c r="L115" s="22">
        <v>0.76452399999999998</v>
      </c>
      <c r="M115" s="22">
        <v>0.70171600000000001</v>
      </c>
      <c r="N115" s="22">
        <v>0.78013600000000005</v>
      </c>
      <c r="O115" s="22">
        <v>0.73320799999999997</v>
      </c>
      <c r="P115" s="22">
        <v>0.90966400000000003</v>
      </c>
      <c r="Q115" s="22">
        <v>0.80597600000000003</v>
      </c>
      <c r="R115" s="22">
        <v>0.733823</v>
      </c>
      <c r="S115" s="22">
        <v>0.51314199999999999</v>
      </c>
      <c r="T115" s="22">
        <v>0.43782300000000002</v>
      </c>
      <c r="U115" s="22">
        <v>0.44732</v>
      </c>
      <c r="V115" s="22">
        <v>0.43636200000000003</v>
      </c>
      <c r="Z115" s="199" t="s">
        <v>753</v>
      </c>
      <c r="AA115" s="10">
        <v>431507475351</v>
      </c>
      <c r="AB115" s="10">
        <v>454286642360</v>
      </c>
      <c r="AC115" s="10">
        <v>450420061877</v>
      </c>
      <c r="AD115" s="10">
        <v>452022148084</v>
      </c>
      <c r="AE115" s="10">
        <v>428506201280</v>
      </c>
      <c r="AF115" s="10">
        <v>387666491154</v>
      </c>
      <c r="AG115" s="10">
        <v>422913668283</v>
      </c>
      <c r="AH115" s="10">
        <v>436323706975</v>
      </c>
      <c r="AI115" s="10">
        <v>472574460261</v>
      </c>
      <c r="AJ115" s="10">
        <v>497198407394</v>
      </c>
      <c r="AK115" s="10">
        <v>561776210232</v>
      </c>
      <c r="AL115" s="10">
        <v>567448632738</v>
      </c>
      <c r="AM115" s="10">
        <v>585930044229</v>
      </c>
      <c r="AN115" s="10">
        <v>568309868306</v>
      </c>
      <c r="AO115" s="10">
        <v>568496847047</v>
      </c>
      <c r="AP115" s="10"/>
      <c r="AQ115" s="10"/>
      <c r="AR115" s="10"/>
      <c r="AT115" s="14" t="s">
        <v>776</v>
      </c>
      <c r="BB115" s="394" t="s">
        <v>1801</v>
      </c>
      <c r="BC115" s="198">
        <v>882.6</v>
      </c>
      <c r="BD115" s="198">
        <v>930.2</v>
      </c>
      <c r="BE115" s="198"/>
      <c r="BF115" s="198">
        <v>225</v>
      </c>
      <c r="BG115" s="198">
        <v>101.6</v>
      </c>
      <c r="BH115" s="322">
        <f t="shared" si="52"/>
        <v>1936.2000000000003</v>
      </c>
    </row>
    <row r="116" spans="1:61" ht="15" thickBot="1" x14ac:dyDescent="0.4">
      <c r="A116" s="203" t="s">
        <v>45</v>
      </c>
      <c r="Z116" s="199" t="s">
        <v>754</v>
      </c>
      <c r="AA116" s="10">
        <v>36139739137</v>
      </c>
      <c r="AB116" s="10">
        <v>36821131451</v>
      </c>
      <c r="AC116" s="10">
        <v>37992819225</v>
      </c>
      <c r="AD116" s="10">
        <v>38377801252</v>
      </c>
      <c r="AE116" s="10">
        <v>35219174188</v>
      </c>
      <c r="AF116" s="10">
        <v>31602393062</v>
      </c>
      <c r="AG116" s="10">
        <v>35766075517</v>
      </c>
      <c r="AH116" s="10">
        <v>34736479879</v>
      </c>
      <c r="AI116" s="10">
        <v>40563430379</v>
      </c>
      <c r="AJ116" s="10">
        <v>41052513598</v>
      </c>
      <c r="AK116" s="10">
        <v>40954798254</v>
      </c>
      <c r="AL116" s="10">
        <v>39275617383</v>
      </c>
      <c r="AM116" s="10">
        <v>38590703570</v>
      </c>
      <c r="AN116" s="10">
        <v>38216420153</v>
      </c>
      <c r="AO116" s="10">
        <v>37864450588</v>
      </c>
      <c r="AP116" s="10"/>
      <c r="AQ116" s="10"/>
      <c r="AR116" s="10"/>
      <c r="AT116" s="14" t="s">
        <v>777</v>
      </c>
      <c r="BB116" s="394" t="s">
        <v>1798</v>
      </c>
      <c r="BC116" s="198">
        <f>SUM(BC112:BC115)</f>
        <v>19751.399999999998</v>
      </c>
      <c r="BD116" s="198">
        <f t="shared" ref="BD116:BH116" si="53">SUM(BD112:BD115)</f>
        <v>1563.6</v>
      </c>
      <c r="BE116" s="198">
        <f t="shared" si="53"/>
        <v>6012.5</v>
      </c>
      <c r="BF116" s="198">
        <f t="shared" si="53"/>
        <v>55445.9</v>
      </c>
      <c r="BG116" s="198">
        <f t="shared" si="53"/>
        <v>6348.0999999999995</v>
      </c>
      <c r="BH116" s="322">
        <f t="shared" si="53"/>
        <v>76425.3</v>
      </c>
    </row>
    <row r="117" spans="1:61" x14ac:dyDescent="0.35">
      <c r="A117" s="217" t="s">
        <v>32</v>
      </c>
      <c r="B117" s="3">
        <v>9.3063210000000005</v>
      </c>
      <c r="C117" s="22">
        <v>9.2082940000000004</v>
      </c>
      <c r="D117" s="22">
        <v>9.0713539999999995</v>
      </c>
      <c r="E117" s="22">
        <v>8.8958589999999997</v>
      </c>
      <c r="F117" s="22">
        <v>8.8620560000000008</v>
      </c>
      <c r="G117" s="22">
        <v>8.7829239999999995</v>
      </c>
      <c r="H117" s="22">
        <v>8.6838669999999993</v>
      </c>
      <c r="I117" s="22">
        <v>8.5767070000000007</v>
      </c>
      <c r="J117" s="22">
        <v>8.5784680000000009</v>
      </c>
      <c r="K117" s="22">
        <v>8.5294919999999994</v>
      </c>
      <c r="L117" s="22">
        <v>8.4742899999999999</v>
      </c>
      <c r="M117" s="22">
        <v>8.1264079999999996</v>
      </c>
      <c r="N117" s="22">
        <v>7.9318650000000002</v>
      </c>
      <c r="O117" s="22">
        <v>7.9812130000000003</v>
      </c>
      <c r="P117" s="22">
        <v>7.8852659999999997</v>
      </c>
      <c r="Q117" s="22">
        <v>8.187303</v>
      </c>
      <c r="R117" s="22">
        <v>8.1624409999999994</v>
      </c>
      <c r="S117" s="22">
        <v>8.1260969999999997</v>
      </c>
      <c r="T117" s="22">
        <v>8.0916610000000002</v>
      </c>
      <c r="U117" s="22">
        <v>8.0395289999999999</v>
      </c>
      <c r="V117" s="22">
        <v>8.017747</v>
      </c>
      <c r="Z117" s="199" t="s">
        <v>744</v>
      </c>
      <c r="AA117" s="10">
        <v>223530446749</v>
      </c>
      <c r="AB117" s="10">
        <v>232235323510</v>
      </c>
      <c r="AC117" s="10">
        <v>223613794848</v>
      </c>
      <c r="AD117" s="10">
        <v>223414519086</v>
      </c>
      <c r="AE117" s="10">
        <v>222431749924</v>
      </c>
      <c r="AF117" s="10">
        <v>207261521211</v>
      </c>
      <c r="AG117" s="10">
        <v>220483571359</v>
      </c>
      <c r="AH117" s="10">
        <v>223019543546</v>
      </c>
      <c r="AI117" s="10">
        <v>239779668023</v>
      </c>
      <c r="AJ117" s="10">
        <v>249251810747</v>
      </c>
      <c r="AK117" s="10">
        <v>266717835276</v>
      </c>
      <c r="AL117" s="10">
        <v>275815627185</v>
      </c>
      <c r="AM117" s="10">
        <v>293189752420</v>
      </c>
      <c r="AN117" s="10">
        <v>276124381332</v>
      </c>
      <c r="AO117" s="10">
        <v>267339680523</v>
      </c>
      <c r="AP117" s="10"/>
      <c r="AQ117" s="10"/>
      <c r="AR117" s="10"/>
      <c r="AT117" s="14" t="s">
        <v>778</v>
      </c>
      <c r="BB117" s="321" t="s">
        <v>663</v>
      </c>
      <c r="BC117" s="198"/>
      <c r="BD117" s="198"/>
      <c r="BE117" s="198"/>
      <c r="BF117" s="198"/>
      <c r="BG117" s="198"/>
      <c r="BH117" s="322"/>
      <c r="BI117" s="400" t="s">
        <v>1808</v>
      </c>
    </row>
    <row r="118" spans="1:61" ht="15" thickBot="1" x14ac:dyDescent="0.4">
      <c r="A118" s="217" t="s">
        <v>41</v>
      </c>
      <c r="B118" s="3">
        <v>14.297561</v>
      </c>
      <c r="C118" s="22">
        <v>14.107112000000001</v>
      </c>
      <c r="D118" s="22">
        <v>14.017433</v>
      </c>
      <c r="E118" s="22">
        <v>13.918856999999999</v>
      </c>
      <c r="F118" s="22">
        <v>13.899751999999999</v>
      </c>
      <c r="G118" s="22">
        <v>13.754371000000001</v>
      </c>
      <c r="H118" s="22">
        <v>13.634181999999999</v>
      </c>
      <c r="I118" s="22">
        <v>13.470541000000001</v>
      </c>
      <c r="J118" s="22">
        <v>13.37016</v>
      </c>
      <c r="K118" s="22">
        <v>13.253682</v>
      </c>
      <c r="L118" s="22">
        <v>13.141527999999999</v>
      </c>
      <c r="M118" s="22">
        <v>13.317591</v>
      </c>
      <c r="N118" s="22">
        <v>13.235284</v>
      </c>
      <c r="O118" s="22">
        <v>12.994224000000001</v>
      </c>
      <c r="P118" s="22">
        <v>12.912194</v>
      </c>
      <c r="Q118" s="22">
        <v>12.533530000000001</v>
      </c>
      <c r="R118" s="22">
        <v>12.453944999999999</v>
      </c>
      <c r="S118" s="22">
        <v>12.373053000000001</v>
      </c>
      <c r="T118" s="22">
        <v>12.280678999999999</v>
      </c>
      <c r="U118" s="22">
        <v>12.181889</v>
      </c>
      <c r="V118" s="22">
        <v>12.128354</v>
      </c>
      <c r="Z118" s="199" t="s">
        <v>751</v>
      </c>
      <c r="AA118" s="10">
        <v>8659</v>
      </c>
      <c r="AB118" s="10">
        <v>8765</v>
      </c>
      <c r="AC118" s="10">
        <v>8804</v>
      </c>
      <c r="AD118" s="10">
        <v>8616</v>
      </c>
      <c r="AE118" s="10">
        <v>8519</v>
      </c>
      <c r="AF118" s="10">
        <v>8918</v>
      </c>
      <c r="AG118" s="10">
        <v>8636</v>
      </c>
      <c r="AH118" s="10">
        <v>9438</v>
      </c>
      <c r="AI118" s="10">
        <v>9120</v>
      </c>
      <c r="AJ118" s="10">
        <v>9337</v>
      </c>
      <c r="AK118" s="10">
        <v>10264</v>
      </c>
      <c r="AL118" s="10">
        <v>10452</v>
      </c>
      <c r="AM118" s="10">
        <v>11515</v>
      </c>
      <c r="AN118" s="10">
        <v>10538</v>
      </c>
      <c r="AO118" s="10">
        <v>10924</v>
      </c>
      <c r="AP118" s="10">
        <f>MAX(AA118:AO118)</f>
        <v>11515</v>
      </c>
      <c r="AQ118" s="10"/>
      <c r="AR118" s="10"/>
      <c r="AT118" s="14" t="s">
        <v>779</v>
      </c>
      <c r="BB118" s="394" t="s">
        <v>1802</v>
      </c>
      <c r="BC118" s="198">
        <v>10301.9</v>
      </c>
      <c r="BD118" s="198">
        <v>67.599999999999994</v>
      </c>
      <c r="BE118" s="198">
        <v>354.5</v>
      </c>
      <c r="BF118" s="198">
        <v>41835.599999999999</v>
      </c>
      <c r="BG118" s="198">
        <v>2728.7</v>
      </c>
      <c r="BH118" s="322">
        <f t="shared" ref="BH118:BH121" si="54">SUM(BC118:BF118)-BG118</f>
        <v>49830.9</v>
      </c>
      <c r="BI118" s="118">
        <f>BD121/BD109</f>
        <v>8.6211002619671337E-2</v>
      </c>
    </row>
    <row r="119" spans="1:61" x14ac:dyDescent="0.35">
      <c r="A119" s="217" t="s">
        <v>42</v>
      </c>
      <c r="B119" s="3">
        <v>14.432786</v>
      </c>
      <c r="C119" s="22">
        <v>14.239655000000001</v>
      </c>
      <c r="D119" s="22">
        <v>14.153117999999999</v>
      </c>
      <c r="E119" s="22">
        <v>14.051539999999999</v>
      </c>
      <c r="F119" s="22">
        <v>14.036288000000001</v>
      </c>
      <c r="G119" s="22">
        <v>13.897175000000001</v>
      </c>
      <c r="H119" s="22">
        <v>13.777308</v>
      </c>
      <c r="I119" s="22">
        <v>13.619823999999999</v>
      </c>
      <c r="J119" s="22">
        <v>13.530486</v>
      </c>
      <c r="K119" s="22">
        <v>13.414633</v>
      </c>
      <c r="L119" s="22">
        <v>13.303773</v>
      </c>
      <c r="M119" s="22">
        <v>13.481490000000001</v>
      </c>
      <c r="N119" s="22">
        <v>13.390086</v>
      </c>
      <c r="O119" s="22">
        <v>13.147188</v>
      </c>
      <c r="P119" s="22">
        <v>13.066507</v>
      </c>
      <c r="Q119" s="22">
        <v>12.682062999999999</v>
      </c>
      <c r="R119" s="22">
        <v>12.600629</v>
      </c>
      <c r="S119" s="22">
        <v>12.520246999999999</v>
      </c>
      <c r="T119" s="22">
        <v>12.427764</v>
      </c>
      <c r="U119" s="22">
        <v>12.327870000000001</v>
      </c>
      <c r="V119" s="22">
        <v>12.272652000000001</v>
      </c>
      <c r="Z119" s="200" t="s">
        <v>752</v>
      </c>
      <c r="AA119" s="20">
        <v>725</v>
      </c>
      <c r="AB119" s="20">
        <v>710</v>
      </c>
      <c r="AC119" s="20">
        <v>743</v>
      </c>
      <c r="AD119" s="20">
        <v>732</v>
      </c>
      <c r="AE119" s="20">
        <v>700</v>
      </c>
      <c r="AF119" s="20">
        <v>727</v>
      </c>
      <c r="AG119" s="20">
        <v>730</v>
      </c>
      <c r="AH119" s="20">
        <v>751</v>
      </c>
      <c r="AI119" s="20">
        <v>783</v>
      </c>
      <c r="AJ119" s="20">
        <v>771</v>
      </c>
      <c r="AK119" s="20">
        <v>748</v>
      </c>
      <c r="AL119" s="20">
        <v>723</v>
      </c>
      <c r="AM119" s="20">
        <v>758</v>
      </c>
      <c r="AN119" s="20">
        <v>709</v>
      </c>
      <c r="AO119" s="20">
        <v>728</v>
      </c>
      <c r="AT119" s="14" t="s">
        <v>780</v>
      </c>
      <c r="BB119" s="394" t="s">
        <v>1795</v>
      </c>
      <c r="BC119" s="198">
        <v>1971.5</v>
      </c>
      <c r="BD119" s="198">
        <v>806</v>
      </c>
      <c r="BE119" s="198">
        <v>248.1</v>
      </c>
      <c r="BF119" s="198">
        <v>3707.9</v>
      </c>
      <c r="BG119" s="198"/>
      <c r="BH119" s="322">
        <f t="shared" si="54"/>
        <v>6733.5</v>
      </c>
      <c r="BI119" s="400" t="s">
        <v>1809</v>
      </c>
    </row>
    <row r="120" spans="1:61" ht="15" thickBot="1" x14ac:dyDescent="0.4">
      <c r="A120" s="217" t="s">
        <v>43</v>
      </c>
      <c r="B120" s="3">
        <v>25.59</v>
      </c>
      <c r="C120" s="22">
        <v>25.75</v>
      </c>
      <c r="D120" s="22">
        <v>25.67</v>
      </c>
      <c r="E120" s="22">
        <v>25.47</v>
      </c>
      <c r="F120" s="22">
        <v>25.38</v>
      </c>
      <c r="G120" s="22">
        <v>25.24</v>
      </c>
      <c r="H120" s="22">
        <v>22.91</v>
      </c>
      <c r="I120" s="22">
        <v>21.84</v>
      </c>
      <c r="J120" s="22">
        <v>22.96</v>
      </c>
      <c r="K120" s="22">
        <v>25.07</v>
      </c>
      <c r="L120" s="22">
        <v>22.88</v>
      </c>
      <c r="M120" s="22">
        <v>22.999609</v>
      </c>
      <c r="N120" s="22">
        <v>22.836812999999999</v>
      </c>
      <c r="O120" s="22">
        <v>22.355498999999998</v>
      </c>
      <c r="P120" s="22">
        <v>22.099052</v>
      </c>
      <c r="Q120" s="22">
        <v>21.33</v>
      </c>
      <c r="R120" s="22">
        <v>21.02</v>
      </c>
      <c r="S120" s="22">
        <v>20.71</v>
      </c>
      <c r="T120" s="22">
        <v>20.399999999999999</v>
      </c>
      <c r="U120" s="22">
        <v>20.09</v>
      </c>
      <c r="V120" s="22">
        <v>19.78</v>
      </c>
      <c r="Z120" s="14" t="s">
        <v>745</v>
      </c>
      <c r="AT120" s="14" t="s">
        <v>781</v>
      </c>
      <c r="BB120" s="394" t="s">
        <v>200</v>
      </c>
      <c r="BC120" s="198">
        <v>502.7</v>
      </c>
      <c r="BD120" s="198">
        <v>528.70000000000005</v>
      </c>
      <c r="BE120" s="198">
        <v>188.1</v>
      </c>
      <c r="BF120" s="198">
        <v>1282</v>
      </c>
      <c r="BG120" s="198">
        <v>91.8</v>
      </c>
      <c r="BH120" s="322">
        <f t="shared" si="54"/>
        <v>2409.6999999999998</v>
      </c>
      <c r="BI120" s="118">
        <f>BF121/BF109</f>
        <v>8.9274933157001968E-2</v>
      </c>
    </row>
    <row r="121" spans="1:61" x14ac:dyDescent="0.35">
      <c r="A121" s="217" t="s">
        <v>57</v>
      </c>
      <c r="B121" s="3">
        <v>4.7</v>
      </c>
      <c r="C121" s="22">
        <v>4.7</v>
      </c>
      <c r="D121" s="22">
        <v>4.7</v>
      </c>
      <c r="E121" s="22">
        <v>4.7</v>
      </c>
      <c r="F121" s="22">
        <v>4.7</v>
      </c>
      <c r="G121" s="22">
        <v>4.3</v>
      </c>
      <c r="H121" s="22">
        <v>4.3</v>
      </c>
      <c r="I121" s="22">
        <v>4.2</v>
      </c>
      <c r="J121" s="22">
        <v>4.2</v>
      </c>
      <c r="K121" s="22">
        <v>5.4</v>
      </c>
      <c r="L121" s="22">
        <v>5.4</v>
      </c>
      <c r="M121" s="22">
        <v>5.4</v>
      </c>
      <c r="N121" s="22">
        <v>5.4</v>
      </c>
      <c r="O121" s="22">
        <v>5.4</v>
      </c>
      <c r="P121" s="22">
        <v>5.4</v>
      </c>
      <c r="Q121" s="22">
        <v>5.4</v>
      </c>
      <c r="R121" s="22">
        <v>5.4</v>
      </c>
      <c r="S121" s="22">
        <v>5.3</v>
      </c>
      <c r="T121" s="22">
        <v>5.3</v>
      </c>
      <c r="U121" s="22">
        <v>5.3</v>
      </c>
      <c r="V121" s="22">
        <v>5.3</v>
      </c>
      <c r="Z121" s="14" t="s">
        <v>750</v>
      </c>
      <c r="AT121" s="14" t="s">
        <v>782</v>
      </c>
      <c r="BB121" s="394" t="s">
        <v>1797</v>
      </c>
      <c r="BC121" s="198">
        <v>76.900000000000006</v>
      </c>
      <c r="BD121" s="198">
        <v>108.6</v>
      </c>
      <c r="BE121" s="198">
        <v>14.1</v>
      </c>
      <c r="BF121" s="198">
        <v>1242.0999999999999</v>
      </c>
      <c r="BG121" s="198">
        <v>204.2</v>
      </c>
      <c r="BH121" s="322">
        <f t="shared" si="54"/>
        <v>1237.4999999999998</v>
      </c>
    </row>
    <row r="122" spans="1:61" x14ac:dyDescent="0.35">
      <c r="A122" s="203" t="s">
        <v>46</v>
      </c>
      <c r="C122" s="22"/>
      <c r="D122" s="22"/>
      <c r="E122" s="22"/>
      <c r="F122" s="22"/>
      <c r="G122" s="22"/>
      <c r="H122" s="22"/>
      <c r="I122" s="22"/>
      <c r="J122" s="22"/>
      <c r="K122" s="22"/>
      <c r="L122" s="22"/>
      <c r="M122" s="22"/>
      <c r="N122" s="22"/>
      <c r="O122" s="22"/>
      <c r="P122" s="22"/>
      <c r="Q122" s="22"/>
      <c r="R122" s="22"/>
      <c r="S122" s="22"/>
      <c r="T122" s="22"/>
      <c r="U122" s="22"/>
      <c r="V122" s="22"/>
      <c r="Z122" s="14" t="s">
        <v>746</v>
      </c>
      <c r="AT122" s="14" t="s">
        <v>783</v>
      </c>
      <c r="BB122" s="394" t="s">
        <v>1798</v>
      </c>
      <c r="BC122" s="198">
        <f>SUM(BC118:BC121)</f>
        <v>12853</v>
      </c>
      <c r="BD122" s="198">
        <f t="shared" ref="BD122:BH122" si="55">SUM(BD118:BD121)</f>
        <v>1510.9</v>
      </c>
      <c r="BE122" s="198">
        <f t="shared" si="55"/>
        <v>804.80000000000007</v>
      </c>
      <c r="BF122" s="198">
        <f t="shared" si="55"/>
        <v>48067.6</v>
      </c>
      <c r="BG122" s="198">
        <f t="shared" si="55"/>
        <v>3024.7</v>
      </c>
      <c r="BH122" s="322">
        <f t="shared" si="55"/>
        <v>60211.6</v>
      </c>
    </row>
    <row r="123" spans="1:61" x14ac:dyDescent="0.35">
      <c r="A123" s="217" t="s">
        <v>32</v>
      </c>
      <c r="B123" s="3">
        <v>7.1885640000000004</v>
      </c>
      <c r="C123" s="22">
        <v>6.9495230000000001</v>
      </c>
      <c r="D123" s="22">
        <v>6.6800259999999998</v>
      </c>
      <c r="E123" s="22">
        <v>6.4109150000000001</v>
      </c>
      <c r="F123" s="22">
        <v>6.3411090000000003</v>
      </c>
      <c r="G123" s="22">
        <v>6.2684119999999997</v>
      </c>
      <c r="H123" s="22">
        <v>6.2576910000000003</v>
      </c>
      <c r="I123" s="22">
        <v>6.2884960000000003</v>
      </c>
      <c r="J123" s="22">
        <v>6.3086380000000002</v>
      </c>
      <c r="K123" s="22">
        <v>6.3867599999999998</v>
      </c>
      <c r="L123" s="22">
        <v>6.514907</v>
      </c>
      <c r="M123" s="22">
        <v>6.6001200000000004</v>
      </c>
      <c r="N123" s="22">
        <v>6.7174670000000001</v>
      </c>
      <c r="O123" s="22">
        <v>6.740011</v>
      </c>
      <c r="P123" s="22">
        <v>6.8249500000000003</v>
      </c>
      <c r="Q123" s="22">
        <v>6.9137490000000001</v>
      </c>
      <c r="R123" s="22">
        <v>6.956321</v>
      </c>
      <c r="S123" s="22">
        <v>6.9688030000000003</v>
      </c>
      <c r="T123" s="22">
        <v>6.911816</v>
      </c>
      <c r="U123" s="22">
        <v>6.9417549999999997</v>
      </c>
      <c r="V123" s="22">
        <v>6.9521850000000001</v>
      </c>
      <c r="Z123" s="14" t="s">
        <v>747</v>
      </c>
      <c r="AT123" s="14" t="s">
        <v>784</v>
      </c>
      <c r="BB123" s="323" t="s">
        <v>247</v>
      </c>
      <c r="BC123" s="397">
        <f>BC110+BC116+BC122</f>
        <v>37044.699999999997</v>
      </c>
      <c r="BD123" s="397">
        <f t="shared" ref="BD123:BH123" si="56">BD110+BD116+BD122</f>
        <v>4577</v>
      </c>
      <c r="BE123" s="397">
        <f t="shared" si="56"/>
        <v>7428.7</v>
      </c>
      <c r="BF123" s="397">
        <f t="shared" si="56"/>
        <v>149930</v>
      </c>
      <c r="BG123" s="397">
        <f t="shared" si="56"/>
        <v>14626.3</v>
      </c>
      <c r="BH123" s="399">
        <f t="shared" si="56"/>
        <v>184354.1</v>
      </c>
    </row>
    <row r="124" spans="1:61" x14ac:dyDescent="0.35">
      <c r="A124" s="217" t="s">
        <v>41</v>
      </c>
      <c r="B124" s="3">
        <v>13.547617000000001</v>
      </c>
      <c r="C124" s="22">
        <v>13.471446</v>
      </c>
      <c r="D124" s="22">
        <v>13.688311000000001</v>
      </c>
      <c r="E124" s="22">
        <v>13.542574999999999</v>
      </c>
      <c r="F124" s="22">
        <v>13.360317</v>
      </c>
      <c r="G124" s="22">
        <v>13.123685999999999</v>
      </c>
      <c r="H124" s="22">
        <v>13.730738000000001</v>
      </c>
      <c r="I124" s="22">
        <v>13.637947</v>
      </c>
      <c r="J124" s="22">
        <v>12.862835</v>
      </c>
      <c r="K124" s="22">
        <v>12.088144</v>
      </c>
      <c r="L124" s="22">
        <v>11.653623</v>
      </c>
      <c r="M124" s="22">
        <v>11.473753</v>
      </c>
      <c r="N124" s="22">
        <v>11.088104</v>
      </c>
      <c r="O124" s="22">
        <v>10.823734999999999</v>
      </c>
      <c r="P124" s="22">
        <v>10.490208000000001</v>
      </c>
      <c r="Q124" s="22">
        <v>10.512511999999999</v>
      </c>
      <c r="R124" s="22">
        <v>10.458754000000001</v>
      </c>
      <c r="S124" s="22">
        <v>10.468069</v>
      </c>
      <c r="T124" s="22">
        <v>10.418327</v>
      </c>
      <c r="U124" s="22">
        <v>10.338794</v>
      </c>
      <c r="V124" s="22">
        <v>10.351004</v>
      </c>
      <c r="Z124" s="14" t="s">
        <v>748</v>
      </c>
      <c r="AT124" s="14" t="s">
        <v>785</v>
      </c>
    </row>
    <row r="125" spans="1:61" x14ac:dyDescent="0.35">
      <c r="A125" s="217" t="s">
        <v>42</v>
      </c>
      <c r="B125" s="3">
        <v>13.542816999999999</v>
      </c>
      <c r="C125" s="22">
        <v>13.477528</v>
      </c>
      <c r="D125" s="22">
        <v>13.692746</v>
      </c>
      <c r="E125" s="22">
        <v>13.584460999999999</v>
      </c>
      <c r="F125" s="22">
        <v>13.43857</v>
      </c>
      <c r="G125" s="22">
        <v>13.242889999999999</v>
      </c>
      <c r="H125" s="22">
        <v>13.763684</v>
      </c>
      <c r="I125" s="22">
        <v>13.722225999999999</v>
      </c>
      <c r="J125" s="22">
        <v>13.087704</v>
      </c>
      <c r="K125" s="22">
        <v>12.366899999999999</v>
      </c>
      <c r="L125" s="22">
        <v>11.961345</v>
      </c>
      <c r="M125" s="22">
        <v>11.774883000000001</v>
      </c>
      <c r="N125" s="22">
        <v>11.365278999999999</v>
      </c>
      <c r="O125" s="22">
        <v>11.059618</v>
      </c>
      <c r="P125" s="22">
        <v>10.695228999999999</v>
      </c>
      <c r="Q125" s="22">
        <v>10.674787</v>
      </c>
      <c r="R125" s="22">
        <v>10.594728999999999</v>
      </c>
      <c r="S125" s="22">
        <v>10.588960999999999</v>
      </c>
      <c r="T125" s="22">
        <v>10.532553</v>
      </c>
      <c r="U125" s="22">
        <v>10.427251</v>
      </c>
      <c r="V125" s="22">
        <v>10.446737000000001</v>
      </c>
      <c r="Z125" s="14" t="s">
        <v>749</v>
      </c>
      <c r="AT125" s="14" t="s">
        <v>786</v>
      </c>
    </row>
    <row r="126" spans="1:61" x14ac:dyDescent="0.35">
      <c r="A126" s="217" t="s">
        <v>43</v>
      </c>
      <c r="B126" s="3">
        <v>26.29</v>
      </c>
      <c r="C126" s="22">
        <v>26.24</v>
      </c>
      <c r="D126" s="22">
        <v>26.18</v>
      </c>
      <c r="E126" s="22">
        <v>26.1</v>
      </c>
      <c r="F126" s="22">
        <v>26.05</v>
      </c>
      <c r="G126" s="22">
        <v>25.98</v>
      </c>
      <c r="H126" s="22">
        <v>23.3</v>
      </c>
      <c r="I126" s="22">
        <v>23.59</v>
      </c>
      <c r="J126" s="22">
        <v>23.31</v>
      </c>
      <c r="K126" s="22">
        <v>24.35</v>
      </c>
      <c r="L126" s="22">
        <v>23.16</v>
      </c>
      <c r="M126" s="22">
        <v>22.8</v>
      </c>
      <c r="N126" s="22">
        <v>22.44</v>
      </c>
      <c r="O126" s="22">
        <v>22.08</v>
      </c>
      <c r="P126" s="22">
        <v>21.72</v>
      </c>
      <c r="Q126" s="22">
        <v>21.36</v>
      </c>
      <c r="R126" s="22">
        <v>21</v>
      </c>
      <c r="S126" s="22">
        <v>20.64</v>
      </c>
      <c r="T126" s="22">
        <v>20.28</v>
      </c>
      <c r="U126" s="22">
        <v>19.920000000000002</v>
      </c>
      <c r="V126" s="22">
        <v>19.559999999999999</v>
      </c>
    </row>
    <row r="127" spans="1:61" ht="16" thickBot="1" x14ac:dyDescent="0.4">
      <c r="A127" s="217" t="s">
        <v>44</v>
      </c>
      <c r="B127" s="22">
        <v>38.299999999999997</v>
      </c>
      <c r="C127" s="22">
        <v>37.69</v>
      </c>
      <c r="D127" s="22">
        <v>37.08</v>
      </c>
      <c r="E127" s="22">
        <v>36.47</v>
      </c>
      <c r="F127" s="22">
        <v>35.86</v>
      </c>
      <c r="G127" s="22">
        <v>35.25</v>
      </c>
      <c r="H127" s="22">
        <v>35.049999999999997</v>
      </c>
      <c r="I127" s="22">
        <v>34.24</v>
      </c>
      <c r="J127" s="22">
        <v>35.42</v>
      </c>
      <c r="K127" s="22">
        <v>33.090000000000003</v>
      </c>
      <c r="L127" s="22">
        <v>33.119999999999997</v>
      </c>
      <c r="M127" s="22">
        <v>32.619999999999997</v>
      </c>
      <c r="N127" s="22">
        <v>32.130000000000003</v>
      </c>
      <c r="O127" s="22">
        <v>31.63</v>
      </c>
      <c r="P127" s="22">
        <v>31.14</v>
      </c>
      <c r="Q127" s="22">
        <v>30.64</v>
      </c>
      <c r="R127" s="22">
        <v>30.15</v>
      </c>
      <c r="S127" s="22">
        <v>29.65</v>
      </c>
      <c r="T127" s="22">
        <v>29.15</v>
      </c>
      <c r="U127" s="22">
        <v>28.66</v>
      </c>
      <c r="V127" s="22">
        <v>28.16</v>
      </c>
      <c r="Z127" s="520" t="s">
        <v>2271</v>
      </c>
      <c r="AA127" s="521"/>
      <c r="AB127" s="520"/>
      <c r="AC127" s="520"/>
      <c r="AD127" s="520"/>
      <c r="AE127" s="520"/>
      <c r="AF127" s="520"/>
      <c r="AG127" s="520"/>
      <c r="AH127" s="520"/>
      <c r="AI127" s="520"/>
      <c r="AJ127" s="520"/>
      <c r="AK127" s="520"/>
      <c r="AM127" s="4" t="s">
        <v>2284</v>
      </c>
      <c r="AQ127"/>
      <c r="AR127"/>
      <c r="AS127"/>
      <c r="AT127"/>
    </row>
    <row r="128" spans="1:61" ht="15" thickBot="1" x14ac:dyDescent="0.4">
      <c r="Z128" s="461" t="s">
        <v>2272</v>
      </c>
      <c r="AA128" s="462" t="s">
        <v>2273</v>
      </c>
      <c r="AB128" s="21" t="s">
        <v>97</v>
      </c>
      <c r="AC128" s="21" t="s">
        <v>2274</v>
      </c>
      <c r="AD128" s="21" t="s">
        <v>2261</v>
      </c>
      <c r="AE128" s="21" t="s">
        <v>2287</v>
      </c>
      <c r="AF128" s="21" t="s">
        <v>2275</v>
      </c>
      <c r="AG128" s="21" t="s">
        <v>2276</v>
      </c>
      <c r="AH128" s="461" t="s">
        <v>2277</v>
      </c>
      <c r="AI128" s="461" t="s">
        <v>2278</v>
      </c>
      <c r="AJ128" s="461" t="s">
        <v>2279</v>
      </c>
      <c r="AK128" s="461" t="s">
        <v>2280</v>
      </c>
      <c r="AM128" s="21" t="s">
        <v>2283</v>
      </c>
      <c r="AN128" s="21" t="s">
        <v>2287</v>
      </c>
      <c r="AO128" s="21" t="s">
        <v>2261</v>
      </c>
      <c r="AP128" s="21" t="s">
        <v>2275</v>
      </c>
      <c r="AQ128"/>
      <c r="AR128"/>
      <c r="AS128"/>
      <c r="AT128"/>
    </row>
    <row r="129" spans="1:58" ht="16" thickTop="1" x14ac:dyDescent="0.35">
      <c r="A129" s="508" t="s">
        <v>182</v>
      </c>
      <c r="B129" s="508"/>
      <c r="C129" s="508"/>
      <c r="D129" s="508"/>
      <c r="E129" s="508"/>
      <c r="F129" s="508"/>
      <c r="G129" s="508"/>
      <c r="H129" s="508"/>
      <c r="I129" s="508"/>
      <c r="J129" s="508"/>
      <c r="K129" s="508"/>
      <c r="L129" s="508"/>
      <c r="M129" s="508"/>
      <c r="N129" s="508"/>
      <c r="O129" s="508"/>
      <c r="P129" s="508"/>
      <c r="Q129" s="508"/>
      <c r="R129" s="508"/>
      <c r="S129" s="508"/>
      <c r="T129" s="508"/>
      <c r="U129" s="508"/>
      <c r="V129" s="508"/>
      <c r="Z129" s="9" t="s">
        <v>2281</v>
      </c>
      <c r="AA129" s="463">
        <f t="shared" ref="AA129:AK129" si="57">SUM(AA130:AA144)</f>
        <v>2861.3349990000002</v>
      </c>
      <c r="AB129" s="4">
        <f t="shared" si="57"/>
        <v>943.24800100000004</v>
      </c>
      <c r="AC129" s="4">
        <f t="shared" si="57"/>
        <v>564.17499799999996</v>
      </c>
      <c r="AD129" s="4">
        <f t="shared" si="57"/>
        <v>473.24599999999998</v>
      </c>
      <c r="AE129" s="4">
        <f t="shared" si="57"/>
        <v>421.9800019999999</v>
      </c>
      <c r="AF129" s="4">
        <f t="shared" si="57"/>
        <v>147.30099999999999</v>
      </c>
      <c r="AG129" s="4">
        <f t="shared" si="57"/>
        <v>108.879</v>
      </c>
      <c r="AH129" s="4">
        <f t="shared" si="57"/>
        <v>75.875000000000014</v>
      </c>
      <c r="AI129" s="4">
        <f t="shared" si="57"/>
        <v>61.468999999999987</v>
      </c>
      <c r="AJ129" s="4">
        <f t="shared" si="57"/>
        <v>53.11399999999999</v>
      </c>
      <c r="AK129" s="4">
        <f t="shared" si="57"/>
        <v>12.047998999999999</v>
      </c>
      <c r="AM129" s="4" t="s">
        <v>2285</v>
      </c>
      <c r="AQ129"/>
      <c r="AR129"/>
      <c r="AS129"/>
      <c r="AT129"/>
    </row>
    <row r="130" spans="1:58" ht="15" thickBot="1" x14ac:dyDescent="0.4">
      <c r="A130" s="190"/>
      <c r="B130" s="7">
        <v>2000</v>
      </c>
      <c r="C130" s="8">
        <v>2001</v>
      </c>
      <c r="D130" s="8">
        <v>2002</v>
      </c>
      <c r="E130" s="8">
        <v>2003</v>
      </c>
      <c r="F130" s="8">
        <v>2004</v>
      </c>
      <c r="G130" s="8">
        <v>2005</v>
      </c>
      <c r="H130" s="8">
        <v>2006</v>
      </c>
      <c r="I130" s="8">
        <v>2007</v>
      </c>
      <c r="J130" s="8">
        <v>2008</v>
      </c>
      <c r="K130" s="8">
        <v>2009</v>
      </c>
      <c r="L130" s="8">
        <v>2010</v>
      </c>
      <c r="M130" s="8">
        <v>2011</v>
      </c>
      <c r="N130" s="8">
        <v>2012</v>
      </c>
      <c r="O130" s="8">
        <v>2013</v>
      </c>
      <c r="P130" s="8">
        <v>2014</v>
      </c>
      <c r="Q130" s="8">
        <v>2015</v>
      </c>
      <c r="R130" s="8">
        <v>2016</v>
      </c>
      <c r="S130" s="8">
        <v>2017</v>
      </c>
      <c r="T130" s="8">
        <v>2018</v>
      </c>
      <c r="U130" s="8">
        <v>2019</v>
      </c>
      <c r="V130" s="8">
        <v>2020</v>
      </c>
      <c r="Z130" s="199" t="s">
        <v>32</v>
      </c>
      <c r="AA130" s="117">
        <v>495.67861799999997</v>
      </c>
      <c r="AB130" s="3">
        <v>204.62799999999999</v>
      </c>
      <c r="AC130" s="3">
        <v>128.92182600000001</v>
      </c>
      <c r="AD130" s="3">
        <v>40.891452999999998</v>
      </c>
      <c r="AE130" s="3">
        <v>53.944958</v>
      </c>
      <c r="AF130" s="3">
        <v>15.969873</v>
      </c>
      <c r="AG130" s="3">
        <v>15.367122999999999</v>
      </c>
      <c r="AH130" s="3">
        <v>15.238616</v>
      </c>
      <c r="AI130" s="3">
        <v>7.4787999999999997</v>
      </c>
      <c r="AJ130" s="3">
        <v>10.681227</v>
      </c>
      <c r="AK130" s="3">
        <v>2.556743</v>
      </c>
      <c r="AM130" s="224" t="s">
        <v>35</v>
      </c>
      <c r="AN130" s="3">
        <v>2.7122E-2</v>
      </c>
      <c r="AO130" s="465">
        <v>8.8260000000000005E-3</v>
      </c>
      <c r="AP130" s="29">
        <v>5.071E-3</v>
      </c>
      <c r="AQ130"/>
      <c r="AR130"/>
      <c r="AS130"/>
      <c r="AT130"/>
    </row>
    <row r="131" spans="1:58" ht="15" thickTop="1" x14ac:dyDescent="0.35">
      <c r="A131" s="203" t="s">
        <v>70</v>
      </c>
      <c r="Z131" s="199" t="s">
        <v>41</v>
      </c>
      <c r="AA131" s="117">
        <v>619.459474</v>
      </c>
      <c r="AB131" s="3">
        <v>240.92600999999999</v>
      </c>
      <c r="AC131" s="3">
        <v>110.53612200000001</v>
      </c>
      <c r="AD131" s="3">
        <v>81.704438999999994</v>
      </c>
      <c r="AE131" s="3">
        <v>72.658223000000007</v>
      </c>
      <c r="AF131" s="3">
        <v>29.79335</v>
      </c>
      <c r="AG131" s="3">
        <v>30.069115</v>
      </c>
      <c r="AH131" s="3">
        <v>20.364955999999999</v>
      </c>
      <c r="AI131" s="3">
        <v>14.443417999999999</v>
      </c>
      <c r="AJ131" s="3">
        <v>15.651263999999999</v>
      </c>
      <c r="AK131" s="3">
        <v>3.3125770000000001</v>
      </c>
      <c r="AM131" s="224" t="s">
        <v>36</v>
      </c>
      <c r="AN131" s="3">
        <v>95.380286999999996</v>
      </c>
      <c r="AO131" s="465">
        <v>98.219599000000002</v>
      </c>
      <c r="AP131" s="29">
        <v>98.627258999999995</v>
      </c>
      <c r="AQ131"/>
      <c r="AR131"/>
      <c r="AS131"/>
      <c r="AT131"/>
    </row>
    <row r="132" spans="1:58" ht="15.75" customHeight="1" x14ac:dyDescent="0.35">
      <c r="A132" s="217" t="s">
        <v>88</v>
      </c>
      <c r="B132" s="3">
        <v>1.954871</v>
      </c>
      <c r="C132" s="3">
        <v>1.7900910000000001</v>
      </c>
      <c r="D132" s="3">
        <v>1.9488259999999999</v>
      </c>
      <c r="E132" s="3">
        <v>2.0762360000000002</v>
      </c>
      <c r="F132" s="3">
        <v>2.0183409999999999</v>
      </c>
      <c r="G132" s="3">
        <v>1.9744159999999999</v>
      </c>
      <c r="H132" s="3">
        <v>1.836293</v>
      </c>
      <c r="I132" s="3">
        <v>1.6840790000000001</v>
      </c>
      <c r="J132" s="3">
        <v>1.5497559999999999</v>
      </c>
      <c r="K132" s="3">
        <v>1.5411360000000001</v>
      </c>
      <c r="L132" s="3">
        <v>1.4540120000000001</v>
      </c>
      <c r="M132" s="3">
        <v>1.388625</v>
      </c>
      <c r="N132" s="3">
        <v>1.5304869999999999</v>
      </c>
      <c r="O132" s="3">
        <v>1.581245</v>
      </c>
      <c r="P132" s="3">
        <v>1.461625</v>
      </c>
      <c r="Q132" s="3">
        <v>1.4145799999999999</v>
      </c>
      <c r="R132" s="3">
        <v>1.3164</v>
      </c>
      <c r="S132" s="3">
        <v>1.309293</v>
      </c>
      <c r="T132" s="3">
        <v>1.359167</v>
      </c>
      <c r="U132" s="3">
        <v>1.3359220000000001</v>
      </c>
      <c r="V132" s="3">
        <v>2.156396</v>
      </c>
      <c r="Z132" s="199" t="s">
        <v>42</v>
      </c>
      <c r="AA132" s="117">
        <v>242.09872899999999</v>
      </c>
      <c r="AB132" s="3">
        <v>80.682991999999999</v>
      </c>
      <c r="AC132" s="3">
        <v>43.532196999999996</v>
      </c>
      <c r="AD132" s="3">
        <v>46.443370999999999</v>
      </c>
      <c r="AE132" s="3">
        <v>29.048418000000002</v>
      </c>
      <c r="AF132" s="3">
        <v>17.012062</v>
      </c>
      <c r="AG132" s="3">
        <v>10.013590000000001</v>
      </c>
      <c r="AH132" s="3">
        <v>5.7977439999999998</v>
      </c>
      <c r="AI132" s="3">
        <v>4.1126750000000003</v>
      </c>
      <c r="AJ132" s="3">
        <v>4.4978619999999996</v>
      </c>
      <c r="AK132" s="3">
        <v>0.95781799999999995</v>
      </c>
      <c r="AM132" s="224" t="s">
        <v>37</v>
      </c>
      <c r="AN132" s="3">
        <v>2.452137</v>
      </c>
      <c r="AO132" s="465">
        <v>1.2539419999999999</v>
      </c>
      <c r="AP132" s="29">
        <v>1.1483049999999999</v>
      </c>
      <c r="AQ132"/>
      <c r="AR132"/>
      <c r="AS132"/>
      <c r="AT132"/>
    </row>
    <row r="133" spans="1:58" x14ac:dyDescent="0.35">
      <c r="A133" s="217" t="s">
        <v>89</v>
      </c>
      <c r="B133" s="3">
        <v>3.4799530000000001</v>
      </c>
      <c r="C133" s="3">
        <v>3.1552020000000001</v>
      </c>
      <c r="D133" s="3">
        <v>3.4034059999999999</v>
      </c>
      <c r="E133" s="3">
        <v>3.6666590000000001</v>
      </c>
      <c r="F133" s="3">
        <v>3.598468</v>
      </c>
      <c r="G133" s="3">
        <v>3.5228130000000002</v>
      </c>
      <c r="H133" s="3">
        <v>3.2363330000000001</v>
      </c>
      <c r="I133" s="3">
        <v>2.9560849999999999</v>
      </c>
      <c r="J133" s="3">
        <v>2.729441</v>
      </c>
      <c r="K133" s="3">
        <v>2.7338529999999999</v>
      </c>
      <c r="L133" s="3">
        <v>2.5367790000000001</v>
      </c>
      <c r="M133" s="3">
        <v>2.4653330000000002</v>
      </c>
      <c r="N133" s="3">
        <v>2.6821359999999999</v>
      </c>
      <c r="O133" s="3">
        <v>2.7812830000000002</v>
      </c>
      <c r="P133" s="3">
        <v>2.6294</v>
      </c>
      <c r="Q133" s="3">
        <v>2.4475090000000002</v>
      </c>
      <c r="R133" s="3">
        <v>2.3441800000000002</v>
      </c>
      <c r="S133" s="3">
        <v>2.2870810000000001</v>
      </c>
      <c r="T133" s="3">
        <v>2.3721679999999998</v>
      </c>
      <c r="U133" s="3">
        <v>2.352271</v>
      </c>
      <c r="V133" s="3">
        <v>3.8344320000000001</v>
      </c>
      <c r="Z133" s="199" t="s">
        <v>43</v>
      </c>
      <c r="AA133" s="117">
        <v>307.10633100000001</v>
      </c>
      <c r="AB133" s="3">
        <v>63.404946000000002</v>
      </c>
      <c r="AC133" s="3">
        <v>36.620252000000001</v>
      </c>
      <c r="AD133" s="3">
        <v>97.129846999999998</v>
      </c>
      <c r="AE133" s="3">
        <v>67.707296999999997</v>
      </c>
      <c r="AF133" s="3">
        <v>22.808747</v>
      </c>
      <c r="AG133" s="3">
        <v>5.9143420000000004</v>
      </c>
      <c r="AH133" s="3">
        <v>5.1733849999999997</v>
      </c>
      <c r="AI133" s="3">
        <v>3.9285320000000001</v>
      </c>
      <c r="AJ133" s="3">
        <v>3.6166749999999999</v>
      </c>
      <c r="AK133" s="3">
        <v>0.80230699999999999</v>
      </c>
      <c r="AM133" s="224" t="s">
        <v>40</v>
      </c>
      <c r="AN133" s="3">
        <v>2.1404540000000001</v>
      </c>
      <c r="AO133" s="465">
        <v>0.51763300000000001</v>
      </c>
      <c r="AP133" s="29">
        <v>0.219365</v>
      </c>
      <c r="AQ133"/>
      <c r="AR133"/>
      <c r="AS133"/>
      <c r="AT133"/>
    </row>
    <row r="134" spans="1:58" x14ac:dyDescent="0.35">
      <c r="A134" s="217" t="s">
        <v>80</v>
      </c>
      <c r="B134" s="3">
        <v>1.920482</v>
      </c>
      <c r="C134" s="3">
        <v>1.906296</v>
      </c>
      <c r="D134" s="3">
        <v>1.722966</v>
      </c>
      <c r="E134" s="3">
        <v>1.8189690000000001</v>
      </c>
      <c r="F134" s="3">
        <v>1.7892429999999999</v>
      </c>
      <c r="G134" s="3">
        <v>1.804522</v>
      </c>
      <c r="H134" s="3">
        <v>1.8603179999999999</v>
      </c>
      <c r="I134" s="3">
        <v>1.9299980000000001</v>
      </c>
      <c r="J134" s="3">
        <v>2.0024039999999999</v>
      </c>
      <c r="K134" s="3">
        <v>2.1184620000000001</v>
      </c>
      <c r="L134" s="3">
        <v>1.760734</v>
      </c>
      <c r="M134" s="3">
        <v>1.967476</v>
      </c>
      <c r="N134" s="3">
        <v>1.731557</v>
      </c>
      <c r="O134" s="3">
        <v>1.537698</v>
      </c>
      <c r="P134" s="3">
        <v>1.494359</v>
      </c>
      <c r="Q134" s="3">
        <v>1.4819530000000001</v>
      </c>
      <c r="R134" s="3">
        <v>1.4353419999999999</v>
      </c>
      <c r="S134" s="3">
        <v>1.495185</v>
      </c>
      <c r="T134" s="3">
        <v>1.460208</v>
      </c>
      <c r="U134" s="3">
        <v>1.3236019999999999</v>
      </c>
      <c r="V134" s="3">
        <v>4.6449999999999996</v>
      </c>
      <c r="Z134" s="199" t="s">
        <v>44</v>
      </c>
      <c r="AA134" s="117">
        <v>487.65670899999998</v>
      </c>
      <c r="AB134" s="3">
        <v>152.51835500000001</v>
      </c>
      <c r="AC134" s="3">
        <v>91.149905000000004</v>
      </c>
      <c r="AD134" s="3">
        <v>116.970714</v>
      </c>
      <c r="AE134" s="3">
        <v>44.528669999999998</v>
      </c>
      <c r="AF134" s="3">
        <v>35.183593000000002</v>
      </c>
      <c r="AG134" s="3">
        <v>19.846063999999998</v>
      </c>
      <c r="AH134" s="3">
        <v>11.090538</v>
      </c>
      <c r="AI134" s="3">
        <v>8.434151</v>
      </c>
      <c r="AJ134" s="3">
        <v>6.6552090000000002</v>
      </c>
      <c r="AK134" s="3">
        <v>1.279509</v>
      </c>
      <c r="AM134" s="4" t="s">
        <v>2286</v>
      </c>
      <c r="AQ134"/>
      <c r="AR134"/>
      <c r="AS134"/>
      <c r="AT134"/>
    </row>
    <row r="135" spans="1:58" x14ac:dyDescent="0.35">
      <c r="A135" s="217" t="s">
        <v>81</v>
      </c>
      <c r="B135" s="3">
        <v>0.252724</v>
      </c>
      <c r="C135" s="3">
        <v>0.24981</v>
      </c>
      <c r="D135" s="3">
        <v>0.23120499999999999</v>
      </c>
      <c r="E135" s="3">
        <v>0.233622</v>
      </c>
      <c r="F135" s="3">
        <v>0.226017</v>
      </c>
      <c r="G135" s="3">
        <v>0.231735</v>
      </c>
      <c r="H135" s="3">
        <v>0.242696</v>
      </c>
      <c r="I135" s="3">
        <v>0.25548900000000002</v>
      </c>
      <c r="J135" s="3">
        <v>0.28398699999999999</v>
      </c>
      <c r="K135" s="3">
        <v>0.27435599999999999</v>
      </c>
      <c r="L135" s="3">
        <v>0.23774200000000001</v>
      </c>
      <c r="M135" s="3">
        <v>0.25981300000000002</v>
      </c>
      <c r="N135" s="3">
        <v>0.25355899999999998</v>
      </c>
      <c r="O135" s="3">
        <v>0.235203</v>
      </c>
      <c r="P135" s="3">
        <v>0.22431599999999999</v>
      </c>
      <c r="Q135" s="3">
        <v>0.215305</v>
      </c>
      <c r="R135" s="3">
        <v>0.20533499999999999</v>
      </c>
      <c r="S135" s="3">
        <v>0.21967</v>
      </c>
      <c r="T135" s="3">
        <v>0.21226500000000001</v>
      </c>
      <c r="U135" s="3">
        <v>0.21234700000000001</v>
      </c>
      <c r="V135" s="3">
        <v>0.21526999999999999</v>
      </c>
      <c r="Z135" s="199" t="s">
        <v>61</v>
      </c>
      <c r="AA135" s="117">
        <v>5.8405180000000003</v>
      </c>
      <c r="AB135" s="3">
        <v>1.897419</v>
      </c>
      <c r="AC135" s="3">
        <v>1.631027</v>
      </c>
      <c r="AD135" s="3">
        <v>0.924794</v>
      </c>
      <c r="AE135" s="3">
        <v>0.568164</v>
      </c>
      <c r="AF135" s="3">
        <v>7.7663999999999997E-2</v>
      </c>
      <c r="AG135" s="3">
        <v>0.230458</v>
      </c>
      <c r="AH135" s="3">
        <v>0.20172599999999999</v>
      </c>
      <c r="AI135" s="3">
        <v>0.118247</v>
      </c>
      <c r="AJ135" s="3">
        <v>0.16524900000000001</v>
      </c>
      <c r="AK135" s="3">
        <v>2.5770999999999999E-2</v>
      </c>
      <c r="AM135" s="224" t="s">
        <v>35</v>
      </c>
      <c r="AN135" s="3">
        <v>4.2554000000000002E-2</v>
      </c>
      <c r="AO135" s="465">
        <v>4.5727999999999998E-2</v>
      </c>
      <c r="AP135" s="29">
        <v>2.4620000000000002E-3</v>
      </c>
      <c r="AQ135"/>
      <c r="AR135"/>
      <c r="AS135"/>
      <c r="AT135"/>
    </row>
    <row r="136" spans="1:58" x14ac:dyDescent="0.35">
      <c r="A136" s="217" t="s">
        <v>83</v>
      </c>
      <c r="B136" s="3">
        <v>0.51415</v>
      </c>
      <c r="C136" s="3">
        <v>0.579816</v>
      </c>
      <c r="D136" s="3">
        <v>0.483991</v>
      </c>
      <c r="E136" s="3">
        <v>0.46338800000000002</v>
      </c>
      <c r="F136" s="3">
        <v>0.519895</v>
      </c>
      <c r="G136" s="3">
        <v>0.49431700000000001</v>
      </c>
      <c r="H136" s="3">
        <v>0.43526399999999998</v>
      </c>
      <c r="I136" s="3">
        <v>0.49945800000000001</v>
      </c>
      <c r="J136" s="3">
        <v>0.50319999999999998</v>
      </c>
      <c r="K136" s="3">
        <v>0.55735599999999996</v>
      </c>
      <c r="L136" s="3">
        <v>0.56931500000000002</v>
      </c>
      <c r="M136" s="3">
        <v>0.50362600000000002</v>
      </c>
      <c r="N136" s="3">
        <v>0.47357300000000002</v>
      </c>
      <c r="O136" s="3">
        <v>0.44252999999999998</v>
      </c>
      <c r="P136" s="3">
        <v>0.40067999999999998</v>
      </c>
      <c r="Q136" s="3">
        <v>0.36180000000000001</v>
      </c>
      <c r="R136" s="3">
        <v>0.31709799999999999</v>
      </c>
      <c r="S136" s="3">
        <v>0.33952700000000002</v>
      </c>
      <c r="T136" s="3">
        <v>0.349356</v>
      </c>
      <c r="U136" s="3">
        <v>0.39665800000000001</v>
      </c>
      <c r="V136" s="3">
        <v>0.35272599999999998</v>
      </c>
      <c r="Z136" s="199" t="s">
        <v>62</v>
      </c>
      <c r="AA136" s="117">
        <v>12.702928</v>
      </c>
      <c r="AB136" s="3">
        <v>3.899724</v>
      </c>
      <c r="AC136" s="3">
        <v>2.431168</v>
      </c>
      <c r="AD136" s="3">
        <v>2.560476</v>
      </c>
      <c r="AE136" s="3">
        <v>1.8392219999999999</v>
      </c>
      <c r="AF136" s="3">
        <v>0.51991200000000004</v>
      </c>
      <c r="AG136" s="3">
        <v>0.31283899999999998</v>
      </c>
      <c r="AH136" s="3">
        <v>0.38728099999999999</v>
      </c>
      <c r="AI136" s="3">
        <v>0.29013499999999998</v>
      </c>
      <c r="AJ136" s="3">
        <v>0.44609399999999999</v>
      </c>
      <c r="AK136" s="3">
        <v>1.6077000000000001E-2</v>
      </c>
      <c r="AM136" s="224" t="s">
        <v>36</v>
      </c>
      <c r="AN136" s="3">
        <v>94.906188</v>
      </c>
      <c r="AO136" s="465">
        <v>97.393315999999999</v>
      </c>
      <c r="AP136" s="29">
        <v>98.285657999999998</v>
      </c>
      <c r="AQ136"/>
      <c r="AR136"/>
      <c r="AS136"/>
      <c r="AT136"/>
    </row>
    <row r="137" spans="1:58" x14ac:dyDescent="0.35">
      <c r="Z137" s="199" t="s">
        <v>63</v>
      </c>
      <c r="AA137" s="117">
        <v>39.395448999999999</v>
      </c>
      <c r="AB137" s="3">
        <v>12.674037999999999</v>
      </c>
      <c r="AC137" s="3">
        <v>8.0895799999999998</v>
      </c>
      <c r="AD137" s="3">
        <v>6.9768759999999999</v>
      </c>
      <c r="AE137" s="3">
        <v>5.9737309999999999</v>
      </c>
      <c r="AF137" s="3">
        <v>1.5514209999999999</v>
      </c>
      <c r="AG137" s="3">
        <v>0.85526400000000002</v>
      </c>
      <c r="AH137" s="3">
        <v>0.92099600000000004</v>
      </c>
      <c r="AI137" s="3">
        <v>0.92689600000000005</v>
      </c>
      <c r="AJ137" s="3">
        <v>1.375761</v>
      </c>
      <c r="AK137" s="3">
        <v>5.0887000000000002E-2</v>
      </c>
      <c r="AM137" s="224" t="s">
        <v>37</v>
      </c>
      <c r="AN137" s="3">
        <v>2.2055950000000002</v>
      </c>
      <c r="AO137" s="465">
        <v>1.7700020000000001</v>
      </c>
      <c r="AP137" s="29">
        <v>1.4871350000000001</v>
      </c>
      <c r="AQ137"/>
      <c r="AR137"/>
      <c r="AS137"/>
      <c r="AT137"/>
    </row>
    <row r="138" spans="1:58" ht="15.5" x14ac:dyDescent="0.35">
      <c r="A138" s="508" t="s">
        <v>291</v>
      </c>
      <c r="B138" s="508"/>
      <c r="C138" s="508"/>
      <c r="D138" s="508"/>
      <c r="E138" s="508"/>
      <c r="F138" s="508"/>
      <c r="G138" s="508"/>
      <c r="H138" s="508"/>
      <c r="I138" s="508"/>
      <c r="J138" s="508"/>
      <c r="K138" s="508"/>
      <c r="L138" s="508"/>
      <c r="M138" s="508"/>
      <c r="N138" s="508"/>
      <c r="O138" s="508"/>
      <c r="P138" s="508"/>
      <c r="Q138" s="508"/>
      <c r="R138" s="508"/>
      <c r="S138" s="508"/>
      <c r="T138" s="508"/>
      <c r="U138" s="508"/>
      <c r="V138" s="508"/>
      <c r="Z138" s="199" t="s">
        <v>64</v>
      </c>
      <c r="AA138" s="117">
        <v>2.397243</v>
      </c>
      <c r="AB138" s="3">
        <v>0.80151700000000003</v>
      </c>
      <c r="AC138" s="3">
        <v>0.41792099999999999</v>
      </c>
      <c r="AD138" s="3">
        <v>0.42003000000000001</v>
      </c>
      <c r="AE138" s="3">
        <v>0.34231899999999998</v>
      </c>
      <c r="AF138" s="3">
        <v>0.11437799999999999</v>
      </c>
      <c r="AG138" s="3">
        <v>7.7204999999999996E-2</v>
      </c>
      <c r="AH138" s="3">
        <v>5.9757999999999999E-2</v>
      </c>
      <c r="AI138" s="3">
        <v>6.2146E-2</v>
      </c>
      <c r="AJ138" s="3">
        <v>9.8658999999999997E-2</v>
      </c>
      <c r="AK138" s="3">
        <v>3.31E-3</v>
      </c>
      <c r="AM138" s="224" t="s">
        <v>40</v>
      </c>
      <c r="AN138" s="3">
        <v>2.8456630000000001</v>
      </c>
      <c r="AO138" s="465">
        <v>0.79095499999999996</v>
      </c>
      <c r="AP138" s="29">
        <v>0.224745</v>
      </c>
      <c r="AQ138"/>
      <c r="AR138"/>
      <c r="AS138"/>
      <c r="AT138"/>
    </row>
    <row r="139" spans="1:58" ht="15" thickBot="1" x14ac:dyDescent="0.4">
      <c r="A139" s="190"/>
      <c r="B139" s="7">
        <v>2000</v>
      </c>
      <c r="C139" s="8">
        <v>2001</v>
      </c>
      <c r="D139" s="8">
        <v>2002</v>
      </c>
      <c r="E139" s="8">
        <v>2003</v>
      </c>
      <c r="F139" s="8">
        <v>2004</v>
      </c>
      <c r="G139" s="8">
        <v>2005</v>
      </c>
      <c r="H139" s="8">
        <v>2006</v>
      </c>
      <c r="I139" s="8">
        <v>2007</v>
      </c>
      <c r="J139" s="8">
        <v>2008</v>
      </c>
      <c r="K139" s="8">
        <v>2009</v>
      </c>
      <c r="L139" s="8">
        <v>2010</v>
      </c>
      <c r="M139" s="8">
        <v>2011</v>
      </c>
      <c r="N139" s="8">
        <v>2012</v>
      </c>
      <c r="O139" s="8">
        <v>2013</v>
      </c>
      <c r="P139" s="8">
        <v>2014</v>
      </c>
      <c r="Q139" s="8">
        <v>2015</v>
      </c>
      <c r="R139" s="8">
        <v>2016</v>
      </c>
      <c r="S139" s="8">
        <v>2017</v>
      </c>
      <c r="T139" s="8">
        <v>2018</v>
      </c>
      <c r="U139" s="8">
        <v>2019</v>
      </c>
      <c r="V139" s="8">
        <v>2020</v>
      </c>
      <c r="Z139" s="199" t="s">
        <v>198</v>
      </c>
      <c r="AA139" s="117">
        <v>336.53069599999998</v>
      </c>
      <c r="AB139" s="3">
        <v>94.636471999999998</v>
      </c>
      <c r="AC139" s="3">
        <v>85.715624000000005</v>
      </c>
      <c r="AD139" s="3">
        <v>40.076287999999998</v>
      </c>
      <c r="AE139" s="3">
        <v>80.253975999999994</v>
      </c>
      <c r="AF139" s="3">
        <v>2.9255040000000001</v>
      </c>
      <c r="AG139" s="3">
        <v>10.516176</v>
      </c>
      <c r="AH139" s="3">
        <v>6.3998160000000004</v>
      </c>
      <c r="AI139" s="3">
        <v>13.997968</v>
      </c>
      <c r="AJ139" s="3">
        <v>1.595928</v>
      </c>
      <c r="AK139" s="3">
        <v>0.41294399999999998</v>
      </c>
      <c r="AM139" s="224"/>
      <c r="AQ139"/>
      <c r="AR139"/>
      <c r="AS139"/>
      <c r="AT139"/>
    </row>
    <row r="140" spans="1:58" ht="15" thickTop="1" x14ac:dyDescent="0.35">
      <c r="A140" s="208" t="s">
        <v>74</v>
      </c>
      <c r="B140" s="135">
        <v>231.97009800000001</v>
      </c>
      <c r="C140" s="135">
        <v>211.929564</v>
      </c>
      <c r="D140" s="135">
        <v>212.78656599999999</v>
      </c>
      <c r="E140" s="135">
        <v>211.12206499999999</v>
      </c>
      <c r="F140" s="135">
        <v>235.61450400000001</v>
      </c>
      <c r="G140" s="135">
        <v>250.18657999999999</v>
      </c>
      <c r="H140" s="135">
        <v>249.24470400000001</v>
      </c>
      <c r="I140" s="135">
        <v>253.92617999999999</v>
      </c>
      <c r="J140" s="135">
        <v>239.39608799999999</v>
      </c>
      <c r="K140" s="135">
        <v>216.37399400000001</v>
      </c>
      <c r="L140" s="135">
        <v>223.65824799999999</v>
      </c>
      <c r="M140" s="135">
        <v>226.739046</v>
      </c>
      <c r="N140" s="135">
        <v>258.36615</v>
      </c>
      <c r="O140" s="135">
        <v>268.985975</v>
      </c>
      <c r="P140" s="135">
        <v>263.55732499999999</v>
      </c>
      <c r="Q140" s="135">
        <v>269.80745999999999</v>
      </c>
      <c r="R140" s="135">
        <v>277.13095900000002</v>
      </c>
      <c r="S140" s="135">
        <v>298.479175</v>
      </c>
      <c r="T140" s="135">
        <v>334.50322499999999</v>
      </c>
      <c r="U140" s="135">
        <v>336.53069599999998</v>
      </c>
      <c r="V140" s="135">
        <v>156.709622</v>
      </c>
      <c r="Z140" s="199" t="s">
        <v>199</v>
      </c>
      <c r="AA140" s="117">
        <v>7.6613040000000003</v>
      </c>
      <c r="AB140" s="3">
        <v>2.259528</v>
      </c>
      <c r="AC140" s="3">
        <v>2.0183759999999999</v>
      </c>
      <c r="AD140" s="3">
        <v>0.86371200000000004</v>
      </c>
      <c r="AE140" s="3">
        <v>1.869024</v>
      </c>
      <c r="AF140" s="3">
        <v>5.3496000000000002E-2</v>
      </c>
      <c r="AG140" s="3">
        <v>0.23582400000000001</v>
      </c>
      <c r="AH140" s="3">
        <v>9.8183999999999994E-2</v>
      </c>
      <c r="AI140" s="3">
        <v>0.22603200000000001</v>
      </c>
      <c r="AJ140" s="3">
        <v>3.0072000000000002E-2</v>
      </c>
      <c r="AK140" s="3">
        <v>7.0559999999999998E-3</v>
      </c>
      <c r="AQ140"/>
      <c r="AR140"/>
      <c r="AS140"/>
      <c r="AT140"/>
    </row>
    <row r="141" spans="1:58" x14ac:dyDescent="0.35">
      <c r="A141" s="221" t="s">
        <v>75</v>
      </c>
      <c r="B141" s="134">
        <v>3.539056</v>
      </c>
      <c r="C141" s="134">
        <v>3.4526479999999999</v>
      </c>
      <c r="D141" s="134">
        <v>3.388862</v>
      </c>
      <c r="E141" s="134">
        <v>3.1113650000000002</v>
      </c>
      <c r="F141" s="134">
        <v>2.840652</v>
      </c>
      <c r="G141" s="134">
        <v>3.2858800000000001</v>
      </c>
      <c r="H141" s="134">
        <v>2.9421599999999999</v>
      </c>
      <c r="I141" s="134">
        <v>3.0545779999999998</v>
      </c>
      <c r="J141" s="134">
        <v>2.9771999999999998</v>
      </c>
      <c r="K141" s="134">
        <v>2.83555</v>
      </c>
      <c r="L141" s="134">
        <v>2.5631940000000002</v>
      </c>
      <c r="M141" s="134">
        <v>2.1029840000000002</v>
      </c>
      <c r="N141" s="134">
        <v>2.5764749999999998</v>
      </c>
      <c r="O141" s="134">
        <v>2.1890999999999998</v>
      </c>
      <c r="P141" s="134">
        <v>1.9053249999999999</v>
      </c>
      <c r="Q141" s="134">
        <v>2.1699739999999998</v>
      </c>
      <c r="R141" s="134">
        <v>2.2719800000000001</v>
      </c>
      <c r="S141" s="134">
        <v>2.1977000000000002</v>
      </c>
      <c r="T141" s="134">
        <v>1.821275</v>
      </c>
      <c r="U141" s="134">
        <v>2.1741440000000001</v>
      </c>
      <c r="V141" s="134">
        <v>1.6736759999999999</v>
      </c>
      <c r="Z141" s="199" t="s">
        <v>80</v>
      </c>
      <c r="AA141" s="117">
        <v>2.2888579999999998</v>
      </c>
      <c r="AB141" s="3">
        <v>0.46299200000000001</v>
      </c>
      <c r="AC141" s="3">
        <v>0.190194</v>
      </c>
      <c r="AD141" s="3">
        <v>0.58012300000000006</v>
      </c>
      <c r="AE141" s="3">
        <v>0.29265099999999999</v>
      </c>
      <c r="AF141" s="3">
        <v>0.404532</v>
      </c>
      <c r="AG141" s="3">
        <v>0.26605699999999999</v>
      </c>
      <c r="AH141" s="3">
        <v>4.7308999999999997E-2</v>
      </c>
      <c r="AI141" s="3">
        <v>0</v>
      </c>
      <c r="AJ141" s="3">
        <v>4.4999999999999998E-2</v>
      </c>
      <c r="AK141" s="3">
        <v>0</v>
      </c>
      <c r="AQ141"/>
      <c r="AR141"/>
      <c r="AS141"/>
      <c r="AT141"/>
    </row>
    <row r="142" spans="1:58" x14ac:dyDescent="0.35">
      <c r="A142" s="219" t="s">
        <v>76</v>
      </c>
      <c r="B142" s="134">
        <v>228.43104199999999</v>
      </c>
      <c r="C142" s="134">
        <v>208.47691599999999</v>
      </c>
      <c r="D142" s="134">
        <v>209.397704</v>
      </c>
      <c r="E142" s="134">
        <v>208.01070000000001</v>
      </c>
      <c r="F142" s="134">
        <v>232.77385200000001</v>
      </c>
      <c r="G142" s="134">
        <v>246.9007</v>
      </c>
      <c r="H142" s="134">
        <v>246.30254400000001</v>
      </c>
      <c r="I142" s="134">
        <v>250.871602</v>
      </c>
      <c r="J142" s="134">
        <v>236.41888800000001</v>
      </c>
      <c r="K142" s="134">
        <v>213.538444</v>
      </c>
      <c r="L142" s="134">
        <v>221.095054</v>
      </c>
      <c r="M142" s="134">
        <v>224.63606200000001</v>
      </c>
      <c r="N142" s="134">
        <v>255.78967499999999</v>
      </c>
      <c r="O142" s="134">
        <v>266.796875</v>
      </c>
      <c r="P142" s="134">
        <v>261.65199999999999</v>
      </c>
      <c r="Q142" s="134">
        <v>267.63748600000002</v>
      </c>
      <c r="R142" s="134">
        <v>274.85897899999998</v>
      </c>
      <c r="S142" s="134">
        <v>296.281475</v>
      </c>
      <c r="T142" s="134">
        <v>332.68194999999997</v>
      </c>
      <c r="U142" s="134">
        <v>334.35655200000002</v>
      </c>
      <c r="V142" s="134">
        <v>155.035946</v>
      </c>
      <c r="Z142" s="199" t="s">
        <v>81</v>
      </c>
      <c r="AA142" s="117">
        <v>95.827141999999995</v>
      </c>
      <c r="AB142" s="3">
        <v>19.384008000000001</v>
      </c>
      <c r="AC142" s="3">
        <v>7.9628059999999996</v>
      </c>
      <c r="AD142" s="3">
        <v>24.287877000000002</v>
      </c>
      <c r="AE142" s="3">
        <v>12.252349000000001</v>
      </c>
      <c r="AF142" s="3">
        <v>16.936468000000001</v>
      </c>
      <c r="AG142" s="3">
        <v>11.138942999999999</v>
      </c>
      <c r="AH142" s="3">
        <v>1.980691</v>
      </c>
      <c r="AI142" s="3">
        <v>0</v>
      </c>
      <c r="AJ142" s="3">
        <v>1.8839999999999999</v>
      </c>
      <c r="AK142" s="3">
        <v>0</v>
      </c>
      <c r="AQ142"/>
      <c r="AR142"/>
      <c r="AS142"/>
      <c r="AT142"/>
      <c r="AU142"/>
      <c r="AV142"/>
      <c r="AW142"/>
      <c r="AX142"/>
      <c r="AY142"/>
      <c r="AZ142"/>
      <c r="BA142"/>
      <c r="BB142"/>
      <c r="BC142"/>
      <c r="BD142"/>
      <c r="BE142"/>
      <c r="BF142"/>
    </row>
    <row r="143" spans="1:58" x14ac:dyDescent="0.35">
      <c r="A143" s="208" t="s">
        <v>635</v>
      </c>
      <c r="B143" s="135">
        <v>8.0989020000000007</v>
      </c>
      <c r="C143" s="135">
        <v>6.8544359999999998</v>
      </c>
      <c r="D143" s="135">
        <v>7.3204339999999997</v>
      </c>
      <c r="E143" s="135">
        <v>6.8019350000000003</v>
      </c>
      <c r="F143" s="135">
        <v>7.2434960000000004</v>
      </c>
      <c r="G143" s="135">
        <v>7.8754200000000001</v>
      </c>
      <c r="H143" s="135">
        <v>7.2072960000000004</v>
      </c>
      <c r="I143" s="135">
        <v>5.9038199999999996</v>
      </c>
      <c r="J143" s="135">
        <v>4.9389120000000002</v>
      </c>
      <c r="K143" s="135">
        <v>4.4510059999999996</v>
      </c>
      <c r="L143" s="135">
        <v>5.289752</v>
      </c>
      <c r="M143" s="135">
        <v>5.4529540000000001</v>
      </c>
      <c r="N143" s="135">
        <v>6.1228499999999997</v>
      </c>
      <c r="O143" s="135">
        <v>6.322025</v>
      </c>
      <c r="P143" s="135">
        <v>6.2476750000000001</v>
      </c>
      <c r="Q143" s="135">
        <v>5.5895400000000004</v>
      </c>
      <c r="R143" s="135">
        <v>5.9700410000000002</v>
      </c>
      <c r="S143" s="135">
        <v>7.0668249999999997</v>
      </c>
      <c r="T143" s="135">
        <v>7.9517749999999996</v>
      </c>
      <c r="U143" s="135">
        <v>7.6613040000000003</v>
      </c>
      <c r="V143" s="135">
        <v>9.4533780000000007</v>
      </c>
      <c r="Z143" s="199" t="s">
        <v>200</v>
      </c>
      <c r="AA143" s="117">
        <v>82.674999999999997</v>
      </c>
      <c r="AB143" s="3">
        <v>18.692</v>
      </c>
      <c r="AC143" s="3">
        <v>19.358000000000001</v>
      </c>
      <c r="AD143" s="3">
        <v>4.5999999999999999E-2</v>
      </c>
      <c r="AE143" s="3">
        <v>32.371000000000002</v>
      </c>
      <c r="AF143" s="3">
        <v>0</v>
      </c>
      <c r="AG143" s="3">
        <v>6.6000000000000003E-2</v>
      </c>
      <c r="AH143" s="3">
        <v>4.1340000000000003</v>
      </c>
      <c r="AI143" s="3">
        <v>3.44</v>
      </c>
      <c r="AJ143" s="3">
        <v>2.4609999999999999</v>
      </c>
      <c r="AK143" s="3">
        <v>2.1070000000000002</v>
      </c>
      <c r="AQ143"/>
      <c r="AR143"/>
      <c r="AS143"/>
      <c r="AT143"/>
    </row>
    <row r="144" spans="1:58" x14ac:dyDescent="0.35">
      <c r="A144" s="221" t="s">
        <v>75</v>
      </c>
      <c r="B144" s="134">
        <v>2.9943999999999998E-2</v>
      </c>
      <c r="C144" s="134">
        <v>3.5352000000000001E-2</v>
      </c>
      <c r="D144" s="134">
        <v>3.6138000000000003E-2</v>
      </c>
      <c r="E144" s="134">
        <v>3.3634999999999998E-2</v>
      </c>
      <c r="F144" s="134">
        <v>3.1348000000000001E-2</v>
      </c>
      <c r="G144" s="134">
        <v>3.6119999999999999E-2</v>
      </c>
      <c r="H144" s="134">
        <v>3.184E-2</v>
      </c>
      <c r="I144" s="134">
        <v>3.7421999999999997E-2</v>
      </c>
      <c r="J144" s="134">
        <v>3.1800000000000002E-2</v>
      </c>
      <c r="K144" s="134">
        <v>2.6450000000000001E-2</v>
      </c>
      <c r="L144" s="134">
        <v>2.6806E-2</v>
      </c>
      <c r="M144" s="134">
        <v>2.9016E-2</v>
      </c>
      <c r="N144" s="134">
        <v>3.6525000000000002E-2</v>
      </c>
      <c r="O144" s="134">
        <v>2.29E-2</v>
      </c>
      <c r="P144" s="134">
        <v>3.3674999999999997E-2</v>
      </c>
      <c r="Q144" s="134">
        <v>3.7026000000000003E-2</v>
      </c>
      <c r="R144" s="134">
        <v>4.002E-2</v>
      </c>
      <c r="S144" s="134">
        <v>4.9299999999999997E-2</v>
      </c>
      <c r="T144" s="134">
        <v>4.1724999999999998E-2</v>
      </c>
      <c r="U144" s="134">
        <v>4.7856000000000003E-2</v>
      </c>
      <c r="V144" s="134">
        <v>9.3324000000000004E-2</v>
      </c>
      <c r="Z144" s="199" t="s">
        <v>2282</v>
      </c>
      <c r="AA144" s="117">
        <v>124.01600000000001</v>
      </c>
      <c r="AB144" s="3">
        <v>46.38</v>
      </c>
      <c r="AC144" s="3">
        <v>25.6</v>
      </c>
      <c r="AD144" s="3">
        <v>13.37</v>
      </c>
      <c r="AE144" s="3">
        <v>18.329999999999998</v>
      </c>
      <c r="AF144" s="3">
        <v>3.95</v>
      </c>
      <c r="AG144" s="3">
        <v>3.97</v>
      </c>
      <c r="AH144" s="3">
        <v>3.98</v>
      </c>
      <c r="AI144" s="3">
        <v>4.01</v>
      </c>
      <c r="AJ144" s="3">
        <v>3.91</v>
      </c>
      <c r="AK144" s="3">
        <v>0.51600000000000001</v>
      </c>
      <c r="AQ144"/>
      <c r="AR144"/>
      <c r="AS144"/>
      <c r="AT144"/>
    </row>
    <row r="145" spans="1:46" x14ac:dyDescent="0.35">
      <c r="A145" s="219" t="s">
        <v>76</v>
      </c>
      <c r="B145" s="134">
        <v>8.0689580000000003</v>
      </c>
      <c r="C145" s="134">
        <v>6.8190840000000001</v>
      </c>
      <c r="D145" s="134">
        <v>7.2842960000000003</v>
      </c>
      <c r="E145" s="134">
        <v>6.7683</v>
      </c>
      <c r="F145" s="134">
        <v>7.212148</v>
      </c>
      <c r="G145" s="134">
        <v>7.8392999999999997</v>
      </c>
      <c r="H145" s="134">
        <v>7.1754559999999996</v>
      </c>
      <c r="I145" s="134">
        <v>5.8663980000000002</v>
      </c>
      <c r="J145" s="134">
        <v>4.9071119999999997</v>
      </c>
      <c r="K145" s="134">
        <v>4.4245559999999999</v>
      </c>
      <c r="L145" s="134">
        <v>5.2629460000000003</v>
      </c>
      <c r="M145" s="134">
        <v>5.4239379999999997</v>
      </c>
      <c r="N145" s="134">
        <v>6.0863250000000004</v>
      </c>
      <c r="O145" s="134">
        <v>6.2991250000000001</v>
      </c>
      <c r="P145" s="134">
        <v>6.2140000000000004</v>
      </c>
      <c r="Q145" s="134">
        <v>5.5525140000000004</v>
      </c>
      <c r="R145" s="134">
        <v>5.930021</v>
      </c>
      <c r="S145" s="134">
        <v>7.017525</v>
      </c>
      <c r="T145" s="134">
        <v>7.91005</v>
      </c>
      <c r="U145" s="134">
        <v>7.613448</v>
      </c>
      <c r="V145" s="134">
        <v>9.3600539999999999</v>
      </c>
      <c r="Z145" s="9" t="s">
        <v>297</v>
      </c>
      <c r="AA145" s="460"/>
      <c r="AB145" s="3"/>
      <c r="AC145" s="3"/>
      <c r="AD145" s="3"/>
      <c r="AE145" s="3"/>
      <c r="AF145" s="3"/>
      <c r="AG145" s="3"/>
      <c r="AQ145"/>
      <c r="AR145"/>
      <c r="AS145"/>
      <c r="AT145"/>
    </row>
    <row r="146" spans="1:46" x14ac:dyDescent="0.35">
      <c r="A146" s="208" t="s">
        <v>292</v>
      </c>
      <c r="B146" s="106">
        <v>2.9738790000000002</v>
      </c>
      <c r="C146" s="106">
        <v>2.9605899999999998</v>
      </c>
      <c r="D146" s="106">
        <v>2.7514850000000002</v>
      </c>
      <c r="E146" s="106">
        <v>2.6077520000000001</v>
      </c>
      <c r="F146" s="106">
        <v>2.5421640000000001</v>
      </c>
      <c r="G146" s="106">
        <v>2.6679020000000002</v>
      </c>
      <c r="H146" s="106">
        <v>2.698356</v>
      </c>
      <c r="I146" s="106">
        <v>2.804297</v>
      </c>
      <c r="J146" s="106">
        <v>3.1523699999999999</v>
      </c>
      <c r="K146" s="106">
        <v>2.9941330000000002</v>
      </c>
      <c r="L146" s="106">
        <v>2.4718110000000002</v>
      </c>
      <c r="M146" s="106">
        <v>2.7631039999999998</v>
      </c>
      <c r="N146" s="106">
        <v>2.3788140000000002</v>
      </c>
      <c r="O146" s="106">
        <v>2.0995949999999999</v>
      </c>
      <c r="P146" s="106">
        <v>1.983339</v>
      </c>
      <c r="Q146" s="106">
        <v>1.9997039999999999</v>
      </c>
      <c r="R146" s="106">
        <v>2.021169</v>
      </c>
      <c r="S146" s="106">
        <v>2.2855829999999999</v>
      </c>
      <c r="T146" s="106">
        <v>2.2334329999999998</v>
      </c>
      <c r="U146" s="106">
        <v>2.2888579999999998</v>
      </c>
      <c r="V146" s="106">
        <v>1.0934330000000001</v>
      </c>
      <c r="Z146" s="199" t="s">
        <v>41</v>
      </c>
      <c r="AA146" s="116">
        <v>0.21649316637740534</v>
      </c>
      <c r="AB146" s="34">
        <v>0.25542170218710059</v>
      </c>
      <c r="AC146" s="34">
        <v>0.19592524020357246</v>
      </c>
      <c r="AD146" s="464">
        <v>0.1726468665345296</v>
      </c>
      <c r="AE146" s="58">
        <v>0.1721840434514241</v>
      </c>
      <c r="AF146" s="422">
        <v>0.20226169543994951</v>
      </c>
      <c r="AG146" s="34">
        <v>0.27617001441967687</v>
      </c>
      <c r="AH146" s="34">
        <v>0.26840139703459631</v>
      </c>
      <c r="AI146" s="34">
        <v>0.23497076575184242</v>
      </c>
      <c r="AJ146" s="34">
        <v>0.29467304288888058</v>
      </c>
      <c r="AK146" s="34">
        <v>0.27494831299371791</v>
      </c>
      <c r="AQ146"/>
      <c r="AR146"/>
      <c r="AS146"/>
      <c r="AT146"/>
    </row>
    <row r="147" spans="1:46" x14ac:dyDescent="0.35">
      <c r="A147" s="208" t="s">
        <v>293</v>
      </c>
      <c r="B147" s="106">
        <v>81.506120999999993</v>
      </c>
      <c r="C147" s="106">
        <v>80.741410000000002</v>
      </c>
      <c r="D147" s="106">
        <v>73.478515000000002</v>
      </c>
      <c r="E147" s="106">
        <v>74.353247999999994</v>
      </c>
      <c r="F147" s="106">
        <v>76.596835999999996</v>
      </c>
      <c r="G147" s="106">
        <v>81.603098000000003</v>
      </c>
      <c r="H147" s="106">
        <v>85.544644000000005</v>
      </c>
      <c r="I147" s="106">
        <v>91.677702999999994</v>
      </c>
      <c r="J147" s="106">
        <v>96.581630000000004</v>
      </c>
      <c r="K147" s="106">
        <v>82.259867</v>
      </c>
      <c r="L147" s="106">
        <v>81.147188999999997</v>
      </c>
      <c r="M147" s="106">
        <v>91.477896000000001</v>
      </c>
      <c r="N147" s="106">
        <v>94.089185999999998</v>
      </c>
      <c r="O147" s="106">
        <v>90.819405000000003</v>
      </c>
      <c r="P147" s="106">
        <v>93.194660999999996</v>
      </c>
      <c r="Q147" s="106">
        <v>88.665295999999998</v>
      </c>
      <c r="R147" s="106">
        <v>81.289831000000007</v>
      </c>
      <c r="S147" s="106">
        <v>93.066417000000001</v>
      </c>
      <c r="T147" s="106">
        <v>95.162566999999996</v>
      </c>
      <c r="U147" s="106">
        <v>95.827141999999995</v>
      </c>
      <c r="V147" s="106">
        <v>90.463566999999998</v>
      </c>
      <c r="Z147" s="199" t="s">
        <v>32</v>
      </c>
      <c r="AA147" s="116">
        <v>0.1732333397428939</v>
      </c>
      <c r="AB147" s="34">
        <v>0.21693976534597498</v>
      </c>
      <c r="AC147" s="34">
        <v>0.22851389454872656</v>
      </c>
      <c r="AD147" s="464">
        <v>8.6406336239503348E-2</v>
      </c>
      <c r="AE147" s="34">
        <v>0.1278377120819105</v>
      </c>
      <c r="AF147" s="58">
        <v>0.10841659594978989</v>
      </c>
      <c r="AG147" s="34">
        <v>0.14113945756298274</v>
      </c>
      <c r="AH147" s="34">
        <v>0.20083843163097195</v>
      </c>
      <c r="AI147" s="34">
        <v>0.1216678325660089</v>
      </c>
      <c r="AJ147" s="34">
        <v>0.2011000301238845</v>
      </c>
      <c r="AK147" s="34">
        <v>0.21221308202299818</v>
      </c>
      <c r="AQ147"/>
      <c r="AR147"/>
      <c r="AS147"/>
      <c r="AT147"/>
    </row>
    <row r="148" spans="1:46" x14ac:dyDescent="0.35">
      <c r="A148" s="208" t="s">
        <v>84</v>
      </c>
      <c r="B148" s="106">
        <v>108.2</v>
      </c>
      <c r="C148" s="106">
        <v>116.7</v>
      </c>
      <c r="D148" s="106">
        <v>112</v>
      </c>
      <c r="E148" s="106">
        <v>112.7</v>
      </c>
      <c r="F148" s="106">
        <v>125.1</v>
      </c>
      <c r="G148" s="106">
        <v>128.1</v>
      </c>
      <c r="H148" s="106">
        <v>113</v>
      </c>
      <c r="I148" s="106">
        <v>125.7</v>
      </c>
      <c r="J148" s="106">
        <v>122.2</v>
      </c>
      <c r="K148" s="106">
        <v>118</v>
      </c>
      <c r="L148" s="106">
        <v>122.3</v>
      </c>
      <c r="M148" s="106">
        <v>98.5</v>
      </c>
      <c r="N148" s="106">
        <v>94.4</v>
      </c>
      <c r="O148" s="106">
        <v>89</v>
      </c>
      <c r="P148" s="106">
        <v>80.099999999999994</v>
      </c>
      <c r="Q148" s="106">
        <v>73.3</v>
      </c>
      <c r="R148" s="106">
        <v>64.7</v>
      </c>
      <c r="S148" s="106">
        <v>69.8</v>
      </c>
      <c r="T148" s="106">
        <v>72.3</v>
      </c>
      <c r="U148" s="106">
        <v>82.7</v>
      </c>
      <c r="V148" s="106">
        <v>74</v>
      </c>
      <c r="Z148" s="199" t="s">
        <v>44</v>
      </c>
      <c r="AA148" s="116">
        <v>0.17042978510745149</v>
      </c>
      <c r="AB148" s="34">
        <v>0.161694861625262</v>
      </c>
      <c r="AC148" s="34">
        <v>0.1615631768921458</v>
      </c>
      <c r="AD148" s="464">
        <v>0.24716683078145404</v>
      </c>
      <c r="AE148" s="34">
        <v>0.10552317595372686</v>
      </c>
      <c r="AF148" s="58">
        <v>0.23885508584463108</v>
      </c>
      <c r="AG148" s="34">
        <v>0.18227632509483002</v>
      </c>
      <c r="AH148" s="34">
        <v>0.1461685403624382</v>
      </c>
      <c r="AI148" s="34">
        <v>0.13720982934487305</v>
      </c>
      <c r="AJ148" s="34">
        <v>0.12530046692020938</v>
      </c>
      <c r="AK148" s="34">
        <v>0.10620095502995976</v>
      </c>
      <c r="AQ148"/>
      <c r="AR148"/>
      <c r="AS148"/>
      <c r="AT148"/>
    </row>
    <row r="149" spans="1:46" x14ac:dyDescent="0.35">
      <c r="A149" s="217" t="s">
        <v>37</v>
      </c>
      <c r="B149" s="88">
        <v>46.8</v>
      </c>
      <c r="C149" s="88">
        <v>46.4</v>
      </c>
      <c r="D149" s="88">
        <v>46.3</v>
      </c>
      <c r="E149" s="88">
        <v>37.1</v>
      </c>
      <c r="F149" s="88">
        <v>46.2</v>
      </c>
      <c r="G149" s="88">
        <v>45.1</v>
      </c>
      <c r="H149" s="88">
        <v>44.3</v>
      </c>
      <c r="I149" s="88">
        <v>41.2</v>
      </c>
      <c r="J149" s="88">
        <v>37.299999999999997</v>
      </c>
      <c r="K149" s="88">
        <v>31</v>
      </c>
      <c r="L149" s="88">
        <v>36.200000000000003</v>
      </c>
      <c r="M149" s="88">
        <v>37.4</v>
      </c>
      <c r="N149" s="88">
        <v>31.6</v>
      </c>
      <c r="O149" s="88">
        <v>29.6</v>
      </c>
      <c r="P149" s="88">
        <v>29.3</v>
      </c>
      <c r="Q149" s="88">
        <v>32.6</v>
      </c>
      <c r="R149" s="88">
        <v>33.4</v>
      </c>
      <c r="S149" s="88">
        <v>33.1</v>
      </c>
      <c r="T149" s="88">
        <v>33.5</v>
      </c>
      <c r="U149" s="88">
        <v>38</v>
      </c>
      <c r="V149" s="88">
        <v>38.799999999999997</v>
      </c>
      <c r="Z149" s="199" t="s">
        <v>198</v>
      </c>
      <c r="AA149" s="116">
        <v>0.11761317570910541</v>
      </c>
      <c r="AB149" s="34">
        <v>0.10033042412988903</v>
      </c>
      <c r="AC149" s="34">
        <v>0.15193091559154845</v>
      </c>
      <c r="AD149" s="34">
        <v>8.468383884913977E-2</v>
      </c>
      <c r="AE149" s="34">
        <v>0.19018431115131379</v>
      </c>
      <c r="AF149" s="34">
        <v>1.9860720565372945E-2</v>
      </c>
      <c r="AG149" s="34">
        <v>9.6585898107072979E-2</v>
      </c>
      <c r="AH149" s="34">
        <v>8.4346833607907734E-2</v>
      </c>
      <c r="AI149" s="34">
        <v>0.2277240234915161</v>
      </c>
      <c r="AJ149" s="34">
        <v>3.0047219188914415E-2</v>
      </c>
      <c r="AK149" s="34">
        <v>3.4274903243268866E-2</v>
      </c>
      <c r="AQ149"/>
      <c r="AR149"/>
      <c r="AS149"/>
      <c r="AT149"/>
    </row>
    <row r="150" spans="1:46" x14ac:dyDescent="0.35">
      <c r="A150" s="217" t="s">
        <v>82</v>
      </c>
      <c r="B150" s="88">
        <v>61.4</v>
      </c>
      <c r="C150" s="88">
        <v>70.3</v>
      </c>
      <c r="D150" s="88">
        <v>65.7</v>
      </c>
      <c r="E150" s="88">
        <v>75.7</v>
      </c>
      <c r="F150" s="88">
        <v>78.8</v>
      </c>
      <c r="G150" s="88">
        <v>83</v>
      </c>
      <c r="H150" s="88">
        <v>68.7</v>
      </c>
      <c r="I150" s="88">
        <v>84.4</v>
      </c>
      <c r="J150" s="88">
        <v>84.9</v>
      </c>
      <c r="K150" s="88">
        <v>87</v>
      </c>
      <c r="L150" s="88">
        <v>86.1</v>
      </c>
      <c r="M150" s="88">
        <v>61.2</v>
      </c>
      <c r="N150" s="88">
        <v>62.8</v>
      </c>
      <c r="O150" s="88">
        <v>59.4</v>
      </c>
      <c r="P150" s="88">
        <v>50.8</v>
      </c>
      <c r="Q150" s="88">
        <v>40.799999999999997</v>
      </c>
      <c r="R150" s="88">
        <v>31.3</v>
      </c>
      <c r="S150" s="88">
        <v>36.700000000000003</v>
      </c>
      <c r="T150" s="88">
        <v>38.799999999999997</v>
      </c>
      <c r="U150" s="88">
        <v>44.7</v>
      </c>
      <c r="V150" s="88">
        <v>35.200000000000003</v>
      </c>
      <c r="Z150" s="199" t="s">
        <v>43</v>
      </c>
      <c r="AA150" s="116">
        <v>0.10732973633193238</v>
      </c>
      <c r="AB150" s="34">
        <v>6.7219804264393029E-2</v>
      </c>
      <c r="AC150" s="34">
        <v>6.4909384729594136E-2</v>
      </c>
      <c r="AD150" s="464">
        <v>0.20524177066472829</v>
      </c>
      <c r="AE150" s="58">
        <v>0.16045143532654899</v>
      </c>
      <c r="AF150" s="58">
        <v>0.15484448170752407</v>
      </c>
      <c r="AG150" s="34">
        <v>5.4320318886102927E-2</v>
      </c>
      <c r="AH150" s="34">
        <v>6.8182998352553523E-2</v>
      </c>
      <c r="AI150" s="34">
        <v>6.3910784297776135E-2</v>
      </c>
      <c r="AJ150" s="34">
        <v>6.8092687427043733E-2</v>
      </c>
      <c r="AK150" s="34">
        <v>6.659255200801395E-2</v>
      </c>
      <c r="AQ150"/>
      <c r="AR150"/>
      <c r="AS150"/>
      <c r="AT150"/>
    </row>
    <row r="151" spans="1:46" x14ac:dyDescent="0.35">
      <c r="A151" s="209" t="s">
        <v>294</v>
      </c>
      <c r="Z151" s="199" t="s">
        <v>42</v>
      </c>
      <c r="AA151" s="116">
        <v>8.461041055472722E-2</v>
      </c>
      <c r="AB151" s="34">
        <v>8.5537411067357239E-2</v>
      </c>
      <c r="AC151" s="34">
        <v>7.7160804988384124E-2</v>
      </c>
      <c r="AD151" s="464">
        <v>9.8137905021912497E-2</v>
      </c>
      <c r="AE151" s="34">
        <v>6.8838375900097767E-2</v>
      </c>
      <c r="AF151" s="58">
        <v>0.11549182965492429</v>
      </c>
      <c r="AG151" s="34">
        <v>9.1969893184176935E-2</v>
      </c>
      <c r="AH151" s="34">
        <v>7.6411782537067527E-2</v>
      </c>
      <c r="AI151" s="34">
        <v>6.6906489449966675E-2</v>
      </c>
      <c r="AJ151" s="34">
        <v>8.4683172045035213E-2</v>
      </c>
      <c r="AK151" s="34">
        <v>7.9500172601275954E-2</v>
      </c>
      <c r="AQ151"/>
      <c r="AR151"/>
      <c r="AS151"/>
      <c r="AT151"/>
    </row>
    <row r="152" spans="1:46" x14ac:dyDescent="0.35">
      <c r="Z152" s="199" t="s">
        <v>2282</v>
      </c>
      <c r="AA152" s="116">
        <v>4.3342006456196847E-2</v>
      </c>
      <c r="AB152" s="34">
        <v>4.9170525620864797E-2</v>
      </c>
      <c r="AC152" s="34">
        <v>4.5375991652859458E-2</v>
      </c>
      <c r="AD152" s="34">
        <v>2.8251691509278472E-2</v>
      </c>
      <c r="AE152" s="34">
        <v>4.3438077428133673E-2</v>
      </c>
      <c r="AF152" s="34">
        <v>2.6815839675222847E-2</v>
      </c>
      <c r="AG152" s="34">
        <v>3.6462495063327181E-2</v>
      </c>
      <c r="AH152" s="34">
        <v>5.2454695222405263E-2</v>
      </c>
      <c r="AI152" s="34">
        <v>6.5236135287706012E-2</v>
      </c>
      <c r="AJ152" s="34">
        <v>7.3615242685544313E-2</v>
      </c>
      <c r="AK152" s="34">
        <v>4.2828688813802196E-2</v>
      </c>
      <c r="AQ152"/>
      <c r="AR152"/>
      <c r="AS152"/>
      <c r="AT152"/>
    </row>
    <row r="153" spans="1:46" ht="15.5" x14ac:dyDescent="0.35">
      <c r="A153" s="508" t="s">
        <v>291</v>
      </c>
      <c r="B153" s="508"/>
      <c r="C153" s="508"/>
      <c r="D153" s="508"/>
      <c r="E153" s="508"/>
      <c r="F153" s="508"/>
      <c r="G153" s="508"/>
      <c r="H153" s="508"/>
      <c r="I153" s="508"/>
      <c r="J153" s="508"/>
      <c r="K153" s="508"/>
      <c r="L153" s="508"/>
      <c r="M153" s="508"/>
      <c r="N153" s="508"/>
      <c r="O153" s="508"/>
      <c r="P153" s="508"/>
      <c r="Q153" s="508"/>
      <c r="R153" s="508"/>
      <c r="S153" s="508"/>
      <c r="T153" s="508"/>
      <c r="U153" s="508"/>
      <c r="V153" s="508"/>
      <c r="Z153" s="199" t="s">
        <v>81</v>
      </c>
      <c r="AA153" s="116">
        <v>3.3490360979574342E-2</v>
      </c>
      <c r="AB153" s="34">
        <v>2.0550277317788877E-2</v>
      </c>
      <c r="AC153" s="34">
        <v>1.4114071038646063E-2</v>
      </c>
      <c r="AD153" s="34">
        <v>5.1321885446469706E-2</v>
      </c>
      <c r="AE153" s="34">
        <v>2.9035378316340222E-2</v>
      </c>
      <c r="AF153" s="34">
        <v>0.11497863558292207</v>
      </c>
      <c r="AG153" s="34">
        <v>0.10230570633455487</v>
      </c>
      <c r="AH153" s="34">
        <v>2.610465897858319E-2</v>
      </c>
      <c r="AI153" s="34">
        <v>0</v>
      </c>
      <c r="AJ153" s="34">
        <v>3.5470873969198333E-2</v>
      </c>
      <c r="AK153" s="34">
        <v>0</v>
      </c>
      <c r="AQ153"/>
      <c r="AR153"/>
      <c r="AS153"/>
      <c r="AT153"/>
    </row>
    <row r="154" spans="1:46" ht="15" thickBot="1" x14ac:dyDescent="0.4">
      <c r="A154" s="190"/>
      <c r="B154" s="7">
        <v>2000</v>
      </c>
      <c r="C154" s="8">
        <v>2001</v>
      </c>
      <c r="D154" s="8">
        <v>2002</v>
      </c>
      <c r="E154" s="8">
        <v>2003</v>
      </c>
      <c r="F154" s="8">
        <v>2004</v>
      </c>
      <c r="G154" s="8">
        <v>2005</v>
      </c>
      <c r="H154" s="8">
        <v>2006</v>
      </c>
      <c r="I154" s="8">
        <v>2007</v>
      </c>
      <c r="J154" s="8">
        <v>2008</v>
      </c>
      <c r="K154" s="8">
        <v>2009</v>
      </c>
      <c r="L154" s="8">
        <v>2010</v>
      </c>
      <c r="M154" s="8">
        <v>2011</v>
      </c>
      <c r="N154" s="8">
        <v>2012</v>
      </c>
      <c r="O154" s="8">
        <v>2013</v>
      </c>
      <c r="P154" s="8">
        <v>2014</v>
      </c>
      <c r="Q154" s="8">
        <v>2015</v>
      </c>
      <c r="R154" s="8">
        <v>2016</v>
      </c>
      <c r="S154" s="8">
        <v>2017</v>
      </c>
      <c r="T154" s="8">
        <v>2018</v>
      </c>
      <c r="U154" s="8">
        <v>2019</v>
      </c>
      <c r="V154" s="8">
        <v>2020</v>
      </c>
      <c r="Z154" s="199" t="s">
        <v>200</v>
      </c>
      <c r="AA154" s="116">
        <v>2.8893855500629548E-2</v>
      </c>
      <c r="AB154" s="34">
        <v>1.9816633568460643E-2</v>
      </c>
      <c r="AC154" s="34">
        <v>3.4312048688127088E-2</v>
      </c>
      <c r="AD154" s="34">
        <v>9.7201032866627504E-5</v>
      </c>
      <c r="AE154" s="34">
        <v>7.671216608980444E-2</v>
      </c>
      <c r="AF154" s="34">
        <v>0</v>
      </c>
      <c r="AG154" s="34">
        <v>6.0617749979334859E-4</v>
      </c>
      <c r="AH154" s="34">
        <v>5.448434925864909E-2</v>
      </c>
      <c r="AI154" s="34">
        <v>5.5963168426361266E-2</v>
      </c>
      <c r="AJ154" s="34">
        <v>4.6334299807960243E-2</v>
      </c>
      <c r="AK154" s="34">
        <v>0.17488381265635899</v>
      </c>
      <c r="AQ154"/>
      <c r="AR154"/>
      <c r="AS154"/>
      <c r="AT154"/>
    </row>
    <row r="155" spans="1:46" ht="15" thickTop="1" x14ac:dyDescent="0.35">
      <c r="A155" s="203" t="s">
        <v>196</v>
      </c>
      <c r="B155" s="4">
        <v>2265.9</v>
      </c>
      <c r="C155" s="4">
        <v>2255.1</v>
      </c>
      <c r="D155" s="4">
        <v>2282.1999999999998</v>
      </c>
      <c r="E155" s="4">
        <v>2349.8000000000002</v>
      </c>
      <c r="F155" s="4">
        <v>2437.5</v>
      </c>
      <c r="G155" s="4">
        <v>2485.4</v>
      </c>
      <c r="H155" s="4">
        <v>2465.5</v>
      </c>
      <c r="I155" s="4">
        <v>2568</v>
      </c>
      <c r="J155" s="4">
        <v>2552.8000000000002</v>
      </c>
      <c r="K155" s="4">
        <v>2532.9</v>
      </c>
      <c r="L155" s="4">
        <v>2616</v>
      </c>
      <c r="M155" s="4">
        <v>2618.5</v>
      </c>
      <c r="N155" s="4">
        <v>2643.9</v>
      </c>
      <c r="O155" s="4">
        <v>2696.7</v>
      </c>
      <c r="P155" s="4">
        <v>2653.7</v>
      </c>
      <c r="Q155" s="4">
        <v>2641.5</v>
      </c>
      <c r="R155" s="4">
        <v>2641.3</v>
      </c>
      <c r="S155" s="4">
        <v>2723.3</v>
      </c>
      <c r="T155" s="4">
        <v>2828.8</v>
      </c>
      <c r="U155" s="4">
        <v>2861.3</v>
      </c>
      <c r="V155" s="4">
        <v>2365.6999999999998</v>
      </c>
      <c r="Z155" s="199" t="s">
        <v>63</v>
      </c>
      <c r="AA155" s="116">
        <v>1.3768205754924958E-2</v>
      </c>
      <c r="AB155" s="34">
        <v>1.3436591423001593E-2</v>
      </c>
      <c r="AC155" s="34">
        <v>1.433877791231011E-2</v>
      </c>
      <c r="AD155" s="34">
        <v>1.4742598986573579E-2</v>
      </c>
      <c r="AE155" s="34">
        <v>1.4156431517340012E-2</v>
      </c>
      <c r="AF155" s="34">
        <v>1.0532318178423773E-2</v>
      </c>
      <c r="AG155" s="34">
        <v>7.8551786845948261E-3</v>
      </c>
      <c r="AH155" s="34">
        <v>1.2138332784184512E-2</v>
      </c>
      <c r="AI155" s="34">
        <v>1.5079080512128069E-2</v>
      </c>
      <c r="AJ155" s="34">
        <v>2.5902040893173179E-2</v>
      </c>
      <c r="AK155" s="34">
        <v>4.2236889295890548E-3</v>
      </c>
      <c r="AQ155"/>
      <c r="AR155"/>
      <c r="AS155"/>
      <c r="AT155"/>
    </row>
    <row r="156" spans="1:46" x14ac:dyDescent="0.35">
      <c r="A156" s="217" t="s">
        <v>295</v>
      </c>
      <c r="B156" s="3">
        <v>1275.4000000000001</v>
      </c>
      <c r="C156" s="3">
        <v>1249.7</v>
      </c>
      <c r="D156" s="3">
        <v>1291.8</v>
      </c>
      <c r="E156" s="3">
        <v>1295.5999999999999</v>
      </c>
      <c r="F156" s="3">
        <v>1322.2</v>
      </c>
      <c r="G156" s="3">
        <v>1344.9</v>
      </c>
      <c r="H156" s="3">
        <v>1319</v>
      </c>
      <c r="I156" s="3">
        <v>1366.2</v>
      </c>
      <c r="J156" s="3">
        <v>1333.8</v>
      </c>
      <c r="K156" s="3">
        <v>1320.5</v>
      </c>
      <c r="L156" s="3">
        <v>1343.4</v>
      </c>
      <c r="M156" s="3">
        <v>1338.5</v>
      </c>
      <c r="N156" s="3">
        <v>1360.1</v>
      </c>
      <c r="O156" s="3">
        <v>1392.4</v>
      </c>
      <c r="P156" s="3">
        <v>1358.3</v>
      </c>
      <c r="Q156" s="3">
        <v>1387.4</v>
      </c>
      <c r="R156" s="3">
        <v>1423.8</v>
      </c>
      <c r="S156" s="3">
        <v>1445.6</v>
      </c>
      <c r="T156" s="3">
        <v>1497</v>
      </c>
      <c r="U156" s="3">
        <v>1514.3</v>
      </c>
      <c r="V156" s="3">
        <v>1134.0999999999999</v>
      </c>
      <c r="Z156" s="199" t="s">
        <v>62</v>
      </c>
      <c r="AA156" s="116">
        <v>4.4395109291430436E-3</v>
      </c>
      <c r="AB156" s="34">
        <v>4.1343570257934741E-3</v>
      </c>
      <c r="AC156" s="34">
        <v>4.3092444872929302E-3</v>
      </c>
      <c r="AD156" s="34">
        <v>5.4104546050045858E-3</v>
      </c>
      <c r="AE156" s="34">
        <v>4.3585525173773527E-3</v>
      </c>
      <c r="AF156" s="34">
        <v>3.5295890727150532E-3</v>
      </c>
      <c r="AG156" s="34">
        <v>2.8732721645128995E-3</v>
      </c>
      <c r="AH156" s="34">
        <v>5.1041976935749574E-3</v>
      </c>
      <c r="AI156" s="34">
        <v>4.7200214742390478E-3</v>
      </c>
      <c r="AJ156" s="34">
        <v>8.3988025755921247E-3</v>
      </c>
      <c r="AK156" s="34">
        <v>1.3344124613556161E-3</v>
      </c>
      <c r="AQ156"/>
      <c r="AR156"/>
      <c r="AS156"/>
      <c r="AT156"/>
    </row>
    <row r="157" spans="1:46" x14ac:dyDescent="0.35">
      <c r="A157" s="217" t="s">
        <v>296</v>
      </c>
      <c r="B157" s="3">
        <v>908.9</v>
      </c>
      <c r="C157" s="3">
        <v>914.4</v>
      </c>
      <c r="D157" s="3">
        <v>896.8</v>
      </c>
      <c r="E157" s="3">
        <v>959.3</v>
      </c>
      <c r="F157" s="3">
        <v>1018.2</v>
      </c>
      <c r="G157" s="3">
        <v>1041.0999999999999</v>
      </c>
      <c r="H157" s="3">
        <v>1045.7</v>
      </c>
      <c r="I157" s="3">
        <v>1099.5</v>
      </c>
      <c r="J157" s="3">
        <v>1115.5</v>
      </c>
      <c r="K157" s="3">
        <v>1109.3</v>
      </c>
      <c r="L157" s="3">
        <v>1168.8</v>
      </c>
      <c r="M157" s="3">
        <v>1173.9000000000001</v>
      </c>
      <c r="N157" s="3">
        <v>1176.2</v>
      </c>
      <c r="O157" s="3">
        <v>1194.5</v>
      </c>
      <c r="P157" s="3">
        <v>1183.3</v>
      </c>
      <c r="Q157" s="3">
        <v>1139.0999999999999</v>
      </c>
      <c r="R157" s="3">
        <v>1099.5999999999999</v>
      </c>
      <c r="S157" s="3">
        <v>1158.2</v>
      </c>
      <c r="T157" s="3">
        <v>1209.5999999999999</v>
      </c>
      <c r="U157" s="3">
        <v>1223</v>
      </c>
      <c r="V157" s="3">
        <v>1106.8</v>
      </c>
      <c r="Z157" s="199" t="s">
        <v>199</v>
      </c>
      <c r="AA157" s="116">
        <v>2.6775277982751156E-3</v>
      </c>
      <c r="AB157" s="34">
        <v>2.3954760546585031E-3</v>
      </c>
      <c r="AC157" s="34">
        <v>3.5775708018879631E-3</v>
      </c>
      <c r="AD157" s="34">
        <v>1.8250804021587082E-3</v>
      </c>
      <c r="AE157" s="34">
        <v>4.429176717241687E-3</v>
      </c>
      <c r="AF157" s="34">
        <v>3.631747238647396E-4</v>
      </c>
      <c r="AG157" s="34">
        <v>2.1659273138070704E-3</v>
      </c>
      <c r="AH157" s="34">
        <v>1.2940230642504115E-3</v>
      </c>
      <c r="AI157" s="34">
        <v>3.6771706063218868E-3</v>
      </c>
      <c r="AJ157" s="34">
        <v>5.6617840870580279E-4</v>
      </c>
      <c r="AK157" s="34">
        <v>5.8565741912827186E-4</v>
      </c>
      <c r="AQ157"/>
      <c r="AR157"/>
      <c r="AS157"/>
      <c r="AT157"/>
    </row>
    <row r="158" spans="1:46" x14ac:dyDescent="0.35">
      <c r="A158" s="217" t="s">
        <v>254</v>
      </c>
      <c r="B158" s="3">
        <v>81.5</v>
      </c>
      <c r="C158" s="3">
        <v>91.1</v>
      </c>
      <c r="D158" s="3">
        <v>93.5</v>
      </c>
      <c r="E158" s="3">
        <v>94.8</v>
      </c>
      <c r="F158" s="3">
        <v>97.2</v>
      </c>
      <c r="G158" s="3">
        <v>99.5</v>
      </c>
      <c r="H158" s="3">
        <v>100.8</v>
      </c>
      <c r="I158" s="3">
        <v>102.3</v>
      </c>
      <c r="J158" s="3">
        <v>103.5</v>
      </c>
      <c r="K158" s="3">
        <v>103.1</v>
      </c>
      <c r="L158" s="3">
        <v>103.8</v>
      </c>
      <c r="M158" s="3">
        <v>106.2</v>
      </c>
      <c r="N158" s="3">
        <v>107.6</v>
      </c>
      <c r="O158" s="3">
        <v>109.7</v>
      </c>
      <c r="P158" s="3">
        <v>112.1</v>
      </c>
      <c r="Q158" s="3">
        <v>114.9</v>
      </c>
      <c r="R158" s="3">
        <v>117.8</v>
      </c>
      <c r="S158" s="3">
        <v>119.5</v>
      </c>
      <c r="T158" s="3">
        <v>122.2</v>
      </c>
      <c r="U158" s="3">
        <v>124</v>
      </c>
      <c r="V158" s="3">
        <v>124.8</v>
      </c>
      <c r="Z158" s="199" t="s">
        <v>61</v>
      </c>
      <c r="AA158" s="116">
        <v>2.0411863700130137E-3</v>
      </c>
      <c r="AB158" s="34">
        <v>2.0115801973483323E-3</v>
      </c>
      <c r="AC158" s="34">
        <v>2.890994825687047E-3</v>
      </c>
      <c r="AD158" s="34">
        <v>1.9541506954099982E-3</v>
      </c>
      <c r="AE158" s="34">
        <v>1.3464239947560362E-3</v>
      </c>
      <c r="AF158" s="34">
        <v>5.2724692975607767E-4</v>
      </c>
      <c r="AG158" s="34">
        <v>2.1166432461723565E-3</v>
      </c>
      <c r="AH158" s="34">
        <v>2.6586622734761116E-3</v>
      </c>
      <c r="AI158" s="34">
        <v>1.9236851095674246E-3</v>
      </c>
      <c r="AJ158" s="34">
        <v>3.1112136159957833E-3</v>
      </c>
      <c r="AK158" s="34">
        <v>2.1390274019777063E-3</v>
      </c>
      <c r="AQ158"/>
      <c r="AR158"/>
      <c r="AS158"/>
      <c r="AT158"/>
    </row>
    <row r="159" spans="1:46" x14ac:dyDescent="0.35">
      <c r="A159" s="203" t="s">
        <v>197</v>
      </c>
      <c r="Z159" s="199" t="s">
        <v>64</v>
      </c>
      <c r="AA159" s="116">
        <v>8.3780577976287488E-4</v>
      </c>
      <c r="AB159" s="34">
        <v>8.4974153048854436E-4</v>
      </c>
      <c r="AC159" s="34">
        <v>7.4076483623260463E-4</v>
      </c>
      <c r="AD159" s="34">
        <v>8.8755108336890335E-4</v>
      </c>
      <c r="AE159" s="34">
        <v>8.1122090709881574E-4</v>
      </c>
      <c r="AF159" s="34">
        <v>7.7649167351206039E-4</v>
      </c>
      <c r="AG159" s="34">
        <v>7.0908990714462839E-4</v>
      </c>
      <c r="AH159" s="34">
        <v>7.8758484349258635E-4</v>
      </c>
      <c r="AI159" s="34">
        <v>1.0110136816932115E-3</v>
      </c>
      <c r="AJ159" s="34">
        <v>1.857495199005912E-3</v>
      </c>
      <c r="AK159" s="34">
        <v>2.747344185536536E-4</v>
      </c>
      <c r="AQ159"/>
      <c r="AR159"/>
      <c r="AS159"/>
      <c r="AT159"/>
    </row>
    <row r="160" spans="1:46" ht="15" thickBot="1" x14ac:dyDescent="0.4">
      <c r="A160" s="217" t="s">
        <v>32</v>
      </c>
      <c r="B160" s="3">
        <v>625.5</v>
      </c>
      <c r="C160" s="3">
        <v>620.20000000000005</v>
      </c>
      <c r="D160" s="3">
        <v>634.9</v>
      </c>
      <c r="E160" s="3">
        <v>629.20000000000005</v>
      </c>
      <c r="F160" s="3">
        <v>626</v>
      </c>
      <c r="G160" s="3">
        <v>619.70000000000005</v>
      </c>
      <c r="H160" s="3">
        <v>607.20000000000005</v>
      </c>
      <c r="I160" s="3">
        <v>623.4</v>
      </c>
      <c r="J160" s="3">
        <v>604.5</v>
      </c>
      <c r="K160" s="3">
        <v>603</v>
      </c>
      <c r="L160" s="3">
        <v>597.79999999999995</v>
      </c>
      <c r="M160" s="3">
        <v>579.70000000000005</v>
      </c>
      <c r="N160" s="3">
        <v>566.9</v>
      </c>
      <c r="O160" s="3">
        <v>564.20000000000005</v>
      </c>
      <c r="P160" s="3">
        <v>535.9</v>
      </c>
      <c r="Q160" s="3">
        <v>536.1</v>
      </c>
      <c r="R160" s="3">
        <v>531.70000000000005</v>
      </c>
      <c r="S160" s="3">
        <v>517</v>
      </c>
      <c r="T160" s="3">
        <v>503.8</v>
      </c>
      <c r="U160" s="3">
        <v>495.7</v>
      </c>
      <c r="V160" s="3">
        <v>394.9</v>
      </c>
      <c r="Z160" s="199" t="s">
        <v>80</v>
      </c>
      <c r="AA160" s="118">
        <v>7.9992660796443841E-4</v>
      </c>
      <c r="AB160" s="34">
        <v>4.9084864161827153E-4</v>
      </c>
      <c r="AC160" s="34">
        <v>3.3711880298531064E-4</v>
      </c>
      <c r="AD160" s="34">
        <v>1.2258381476018816E-3</v>
      </c>
      <c r="AE160" s="34">
        <v>6.9351864688602007E-4</v>
      </c>
      <c r="AF160" s="34">
        <v>2.7462950013917085E-3</v>
      </c>
      <c r="AG160" s="34">
        <v>2.4436025312502868E-3</v>
      </c>
      <c r="AH160" s="34">
        <v>6.2351235584843481E-4</v>
      </c>
      <c r="AI160" s="34">
        <v>0</v>
      </c>
      <c r="AJ160" s="34">
        <v>8.4723425085664805E-4</v>
      </c>
      <c r="AK160" s="34">
        <v>0</v>
      </c>
      <c r="AQ160"/>
      <c r="AR160"/>
      <c r="AS160"/>
      <c r="AT160"/>
    </row>
    <row r="161" spans="1:46" x14ac:dyDescent="0.35">
      <c r="A161" s="217" t="s">
        <v>41</v>
      </c>
      <c r="B161" s="3">
        <v>362.3</v>
      </c>
      <c r="C161" s="3">
        <v>364.1</v>
      </c>
      <c r="D161" s="3">
        <v>383.1</v>
      </c>
      <c r="E161" s="3">
        <v>391.9</v>
      </c>
      <c r="F161" s="3">
        <v>402.7</v>
      </c>
      <c r="G161" s="3">
        <v>413.1</v>
      </c>
      <c r="H161" s="3">
        <v>405.5</v>
      </c>
      <c r="I161" s="3">
        <v>427.3</v>
      </c>
      <c r="J161" s="3">
        <v>425.1</v>
      </c>
      <c r="K161" s="3">
        <v>436.5</v>
      </c>
      <c r="L161" s="3">
        <v>453.9</v>
      </c>
      <c r="M161" s="3">
        <v>460.9</v>
      </c>
      <c r="N161" s="3">
        <v>469.1</v>
      </c>
      <c r="O161" s="3">
        <v>490.2</v>
      </c>
      <c r="P161" s="3">
        <v>492.3</v>
      </c>
      <c r="Q161" s="3">
        <v>516.4</v>
      </c>
      <c r="R161" s="3">
        <v>554</v>
      </c>
      <c r="S161" s="3">
        <v>573.5</v>
      </c>
      <c r="T161" s="3">
        <v>598.9</v>
      </c>
      <c r="U161" s="3">
        <v>619.5</v>
      </c>
      <c r="V161" s="3">
        <v>533.29999999999995</v>
      </c>
      <c r="Z161" s="326" t="s">
        <v>99</v>
      </c>
      <c r="AA161" s="101"/>
      <c r="AB161" s="101"/>
      <c r="AC161" s="101"/>
      <c r="AD161" s="101"/>
      <c r="AE161" s="101"/>
      <c r="AF161" s="101"/>
      <c r="AG161" s="101"/>
      <c r="AH161" s="101"/>
      <c r="AI161" s="101"/>
      <c r="AJ161" s="101"/>
      <c r="AK161" s="101"/>
      <c r="AQ161"/>
      <c r="AR161"/>
      <c r="AS161"/>
      <c r="AT161"/>
    </row>
    <row r="162" spans="1:46" x14ac:dyDescent="0.35">
      <c r="A162" s="217" t="s">
        <v>42</v>
      </c>
      <c r="B162" s="3">
        <v>145.80000000000001</v>
      </c>
      <c r="C162" s="3">
        <v>147.69999999999999</v>
      </c>
      <c r="D162" s="3">
        <v>152.9</v>
      </c>
      <c r="E162" s="3">
        <v>155</v>
      </c>
      <c r="F162" s="3">
        <v>158.4</v>
      </c>
      <c r="G162" s="3">
        <v>161.19999999999999</v>
      </c>
      <c r="H162" s="3">
        <v>160.19999999999999</v>
      </c>
      <c r="I162" s="3">
        <v>170.4</v>
      </c>
      <c r="J162" s="3">
        <v>169.8</v>
      </c>
      <c r="K162" s="3">
        <v>172.5</v>
      </c>
      <c r="L162" s="3">
        <v>178.9</v>
      </c>
      <c r="M162" s="3">
        <v>180</v>
      </c>
      <c r="N162" s="3">
        <v>185.1</v>
      </c>
      <c r="O162" s="3">
        <v>193.2</v>
      </c>
      <c r="P162" s="3">
        <v>194.1</v>
      </c>
      <c r="Q162" s="3">
        <v>202.4</v>
      </c>
      <c r="R162" s="3">
        <v>217.2</v>
      </c>
      <c r="S162" s="3">
        <v>225.1</v>
      </c>
      <c r="T162" s="3">
        <v>234.1</v>
      </c>
      <c r="U162" s="3">
        <v>242.1</v>
      </c>
      <c r="V162" s="3">
        <v>209.1</v>
      </c>
      <c r="Z162"/>
      <c r="AA162"/>
      <c r="AB162"/>
      <c r="AC162"/>
      <c r="AD162"/>
      <c r="AE162"/>
      <c r="AF162"/>
      <c r="AG162"/>
      <c r="AH162"/>
      <c r="AI162"/>
      <c r="AJ162"/>
      <c r="AK162"/>
      <c r="AL162"/>
      <c r="AM162"/>
      <c r="AN162"/>
      <c r="AO162"/>
      <c r="AP162"/>
      <c r="AQ162"/>
      <c r="AR162"/>
      <c r="AS162"/>
      <c r="AT162"/>
    </row>
    <row r="163" spans="1:46" x14ac:dyDescent="0.35">
      <c r="A163" s="217" t="s">
        <v>43</v>
      </c>
      <c r="B163" s="3">
        <v>157.1</v>
      </c>
      <c r="C163" s="3">
        <v>179.7</v>
      </c>
      <c r="D163" s="3">
        <v>173.4</v>
      </c>
      <c r="E163" s="3">
        <v>203.4</v>
      </c>
      <c r="F163" s="3">
        <v>225.8</v>
      </c>
      <c r="G163" s="3">
        <v>210.2</v>
      </c>
      <c r="H163" s="3">
        <v>242.8</v>
      </c>
      <c r="I163" s="3">
        <v>249.4</v>
      </c>
      <c r="J163" s="3">
        <v>262.8</v>
      </c>
      <c r="K163" s="3">
        <v>280.39999999999998</v>
      </c>
      <c r="L163" s="3">
        <v>313.89999999999998</v>
      </c>
      <c r="M163" s="3">
        <v>307.39999999999998</v>
      </c>
      <c r="N163" s="3">
        <v>304.60000000000002</v>
      </c>
      <c r="O163" s="3">
        <v>318.60000000000002</v>
      </c>
      <c r="P163" s="3">
        <v>310.2</v>
      </c>
      <c r="Q163" s="3">
        <v>297.3</v>
      </c>
      <c r="R163" s="3">
        <v>289.10000000000002</v>
      </c>
      <c r="S163" s="3">
        <v>296.5</v>
      </c>
      <c r="T163" s="3">
        <v>312</v>
      </c>
      <c r="U163" s="3">
        <v>307.10000000000002</v>
      </c>
      <c r="V163" s="3">
        <v>269.60000000000002</v>
      </c>
      <c r="Z163"/>
      <c r="AA163"/>
      <c r="AB163"/>
      <c r="AC163"/>
      <c r="AD163"/>
      <c r="AE163"/>
      <c r="AF163"/>
      <c r="AG163"/>
      <c r="AH163"/>
      <c r="AI163"/>
      <c r="AJ163"/>
      <c r="AK163"/>
      <c r="AL163"/>
      <c r="AM163"/>
      <c r="AN163"/>
      <c r="AO163"/>
      <c r="AP163"/>
      <c r="AQ163"/>
      <c r="AR163"/>
      <c r="AS163"/>
      <c r="AT163"/>
    </row>
    <row r="164" spans="1:46" x14ac:dyDescent="0.35">
      <c r="A164" s="217" t="s">
        <v>44</v>
      </c>
      <c r="B164" s="3">
        <v>408.2</v>
      </c>
      <c r="C164" s="3">
        <v>382.7</v>
      </c>
      <c r="D164" s="3">
        <v>377.7</v>
      </c>
      <c r="E164" s="3">
        <v>407</v>
      </c>
      <c r="F164" s="3">
        <v>425.1</v>
      </c>
      <c r="G164" s="3">
        <v>452.1</v>
      </c>
      <c r="H164" s="3">
        <v>436.9</v>
      </c>
      <c r="I164" s="3">
        <v>456.4</v>
      </c>
      <c r="J164" s="3">
        <v>459.2</v>
      </c>
      <c r="K164" s="3">
        <v>451.7</v>
      </c>
      <c r="L164" s="3">
        <v>467.1</v>
      </c>
      <c r="M164" s="3">
        <v>491</v>
      </c>
      <c r="N164" s="3">
        <v>491.9</v>
      </c>
      <c r="O164" s="3">
        <v>496.6</v>
      </c>
      <c r="P164" s="3">
        <v>499.4</v>
      </c>
      <c r="Q164" s="3">
        <v>471.9</v>
      </c>
      <c r="R164" s="3">
        <v>441.3</v>
      </c>
      <c r="S164" s="3">
        <v>466.7</v>
      </c>
      <c r="T164" s="3">
        <v>488.1</v>
      </c>
      <c r="U164" s="3">
        <v>487.7</v>
      </c>
      <c r="V164" s="3">
        <v>454.1</v>
      </c>
      <c r="Z164"/>
      <c r="AA164"/>
      <c r="AB164"/>
      <c r="AC164"/>
      <c r="AD164"/>
      <c r="AE164"/>
      <c r="AF164"/>
      <c r="AG164"/>
      <c r="AH164"/>
      <c r="AI164"/>
      <c r="AJ164"/>
      <c r="AK164"/>
      <c r="AL164"/>
      <c r="AM164"/>
      <c r="AN164"/>
      <c r="AO164"/>
      <c r="AP164"/>
      <c r="AQ164"/>
      <c r="AR164"/>
      <c r="AS164"/>
      <c r="AT164"/>
    </row>
    <row r="165" spans="1:46" x14ac:dyDescent="0.35">
      <c r="A165" s="217" t="s">
        <v>61</v>
      </c>
      <c r="B165" s="3">
        <v>2.5</v>
      </c>
      <c r="C165" s="3">
        <v>2.5</v>
      </c>
      <c r="D165" s="3">
        <v>2.9</v>
      </c>
      <c r="E165" s="3">
        <v>3</v>
      </c>
      <c r="F165" s="3">
        <v>3.3</v>
      </c>
      <c r="G165" s="3">
        <v>3.3</v>
      </c>
      <c r="H165" s="3">
        <v>3.5</v>
      </c>
      <c r="I165" s="3">
        <v>3.7</v>
      </c>
      <c r="J165" s="3">
        <v>3.8</v>
      </c>
      <c r="K165" s="3">
        <v>5.0999999999999996</v>
      </c>
      <c r="L165" s="3">
        <v>5.3</v>
      </c>
      <c r="M165" s="3">
        <v>5.4</v>
      </c>
      <c r="N165" s="3">
        <v>5.6</v>
      </c>
      <c r="O165" s="3">
        <v>5.7</v>
      </c>
      <c r="P165" s="3">
        <v>5.6</v>
      </c>
      <c r="Q165" s="3">
        <v>5.7</v>
      </c>
      <c r="R165" s="3">
        <v>5.8</v>
      </c>
      <c r="S165" s="3">
        <v>5.7</v>
      </c>
      <c r="T165" s="3">
        <v>5.7</v>
      </c>
      <c r="U165" s="3">
        <v>5.8</v>
      </c>
      <c r="V165" s="3">
        <v>5</v>
      </c>
      <c r="Z165"/>
      <c r="AA165"/>
      <c r="AB165"/>
      <c r="AC165"/>
      <c r="AD165"/>
      <c r="AE165"/>
      <c r="AF165"/>
      <c r="AG165"/>
      <c r="AH165"/>
      <c r="AI165"/>
      <c r="AJ165"/>
      <c r="AK165"/>
      <c r="AL165"/>
      <c r="AM165"/>
      <c r="AN165"/>
      <c r="AO165"/>
      <c r="AP165"/>
      <c r="AQ165"/>
      <c r="AR165"/>
      <c r="AS165"/>
      <c r="AT165"/>
    </row>
    <row r="166" spans="1:46" x14ac:dyDescent="0.35">
      <c r="A166" s="217" t="s">
        <v>62</v>
      </c>
      <c r="B166" s="3">
        <v>14.7</v>
      </c>
      <c r="C166" s="3">
        <v>12.7</v>
      </c>
      <c r="D166" s="3">
        <v>13.8</v>
      </c>
      <c r="E166" s="3">
        <v>15.8</v>
      </c>
      <c r="F166" s="3">
        <v>12.5</v>
      </c>
      <c r="G166" s="3">
        <v>13.3</v>
      </c>
      <c r="H166" s="3">
        <v>13.7</v>
      </c>
      <c r="I166" s="3">
        <v>13.7</v>
      </c>
      <c r="J166" s="3">
        <v>15</v>
      </c>
      <c r="K166" s="3">
        <v>14.8</v>
      </c>
      <c r="L166" s="3">
        <v>15.6</v>
      </c>
      <c r="M166" s="3">
        <v>16.3</v>
      </c>
      <c r="N166" s="3">
        <v>14.5</v>
      </c>
      <c r="O166" s="3">
        <v>13.2</v>
      </c>
      <c r="P166" s="3">
        <v>12.6</v>
      </c>
      <c r="Q166" s="3">
        <v>12.4</v>
      </c>
      <c r="R166" s="3">
        <v>13.7</v>
      </c>
      <c r="S166" s="3">
        <v>8.1999999999999993</v>
      </c>
      <c r="T166" s="3">
        <v>11</v>
      </c>
      <c r="U166" s="3">
        <v>12.7</v>
      </c>
      <c r="V166" s="3">
        <v>11</v>
      </c>
      <c r="Z166"/>
      <c r="AA166"/>
      <c r="AB166"/>
      <c r="AC166"/>
      <c r="AD166"/>
      <c r="AE166"/>
      <c r="AF166"/>
      <c r="AG166"/>
      <c r="AH166"/>
      <c r="AI166"/>
      <c r="AJ166"/>
      <c r="AK166"/>
      <c r="AL166"/>
      <c r="AM166"/>
      <c r="AN166"/>
      <c r="AO166"/>
      <c r="AP166"/>
      <c r="AQ166"/>
      <c r="AR166"/>
      <c r="AS166"/>
      <c r="AT166"/>
    </row>
    <row r="167" spans="1:46" x14ac:dyDescent="0.35">
      <c r="A167" s="217" t="s">
        <v>63</v>
      </c>
      <c r="B167" s="3">
        <v>28.5</v>
      </c>
      <c r="C167" s="3">
        <v>28.2</v>
      </c>
      <c r="D167" s="3">
        <v>33.4</v>
      </c>
      <c r="E167" s="3">
        <v>34.4</v>
      </c>
      <c r="F167" s="3">
        <v>33</v>
      </c>
      <c r="G167" s="3">
        <v>35.5</v>
      </c>
      <c r="H167" s="3">
        <v>30.5</v>
      </c>
      <c r="I167" s="3">
        <v>34.299999999999997</v>
      </c>
      <c r="J167" s="3">
        <v>35.700000000000003</v>
      </c>
      <c r="K167" s="3">
        <v>36.4</v>
      </c>
      <c r="L167" s="3">
        <v>39.200000000000003</v>
      </c>
      <c r="M167" s="3">
        <v>41.1</v>
      </c>
      <c r="N167" s="3">
        <v>37.9</v>
      </c>
      <c r="O167" s="3">
        <v>41.9</v>
      </c>
      <c r="P167" s="3">
        <v>40.200000000000003</v>
      </c>
      <c r="Q167" s="3">
        <v>39.799999999999997</v>
      </c>
      <c r="R167" s="3">
        <v>35.200000000000003</v>
      </c>
      <c r="S167" s="3">
        <v>37.6</v>
      </c>
      <c r="T167" s="3">
        <v>38.5</v>
      </c>
      <c r="U167" s="3">
        <v>39.4</v>
      </c>
      <c r="V167" s="3">
        <v>30.1</v>
      </c>
      <c r="Z167"/>
      <c r="AA167"/>
      <c r="AB167"/>
      <c r="AC167"/>
      <c r="AD167"/>
      <c r="AE167"/>
      <c r="AF167"/>
      <c r="AG167"/>
      <c r="AH167"/>
      <c r="AI167"/>
      <c r="AJ167"/>
      <c r="AK167"/>
      <c r="AL167"/>
      <c r="AM167"/>
      <c r="AN167"/>
      <c r="AO167"/>
      <c r="AP167"/>
      <c r="AQ167"/>
      <c r="AR167"/>
      <c r="AS167"/>
      <c r="AT167"/>
    </row>
    <row r="168" spans="1:46" x14ac:dyDescent="0.35">
      <c r="A168" s="217" t="s">
        <v>64</v>
      </c>
      <c r="B168" s="3">
        <v>7.1</v>
      </c>
      <c r="C168" s="3">
        <v>7.1</v>
      </c>
      <c r="D168" s="3">
        <v>8.3000000000000007</v>
      </c>
      <c r="E168" s="3">
        <v>7.7</v>
      </c>
      <c r="F168" s="3">
        <v>6.4</v>
      </c>
      <c r="G168" s="3">
        <v>7.1</v>
      </c>
      <c r="H168" s="3">
        <v>6.6</v>
      </c>
      <c r="I168" s="3">
        <v>7.1</v>
      </c>
      <c r="J168" s="3">
        <v>7.1</v>
      </c>
      <c r="K168" s="3">
        <v>5.3</v>
      </c>
      <c r="L168" s="3">
        <v>5.5</v>
      </c>
      <c r="M168" s="3">
        <v>5.4</v>
      </c>
      <c r="N168" s="3">
        <v>5.2</v>
      </c>
      <c r="O168" s="3">
        <v>6</v>
      </c>
      <c r="P168" s="3">
        <v>6.2</v>
      </c>
      <c r="Q168" s="3">
        <v>5.2</v>
      </c>
      <c r="R168" s="3">
        <v>4.3</v>
      </c>
      <c r="S168" s="3">
        <v>2.8</v>
      </c>
      <c r="T168" s="3">
        <v>2.4</v>
      </c>
      <c r="U168" s="3">
        <v>2.4</v>
      </c>
      <c r="V168" s="3">
        <v>2</v>
      </c>
      <c r="Z168"/>
      <c r="AA168"/>
      <c r="AB168"/>
      <c r="AC168"/>
      <c r="AD168"/>
      <c r="AE168"/>
      <c r="AF168"/>
      <c r="AG168"/>
      <c r="AH168"/>
      <c r="AI168"/>
      <c r="AJ168"/>
      <c r="AK168"/>
      <c r="AL168"/>
      <c r="AM168"/>
      <c r="AN168"/>
      <c r="AO168"/>
      <c r="AP168"/>
      <c r="AQ168"/>
      <c r="AR168"/>
      <c r="AS168"/>
      <c r="AT168"/>
    </row>
    <row r="169" spans="1:46" x14ac:dyDescent="0.35">
      <c r="A169" s="217" t="s">
        <v>198</v>
      </c>
      <c r="B169" s="3">
        <v>232</v>
      </c>
      <c r="C169" s="3">
        <v>211.9</v>
      </c>
      <c r="D169" s="3">
        <v>212.8</v>
      </c>
      <c r="E169" s="3">
        <v>211.1</v>
      </c>
      <c r="F169" s="3">
        <v>235.6</v>
      </c>
      <c r="G169" s="3">
        <v>250.2</v>
      </c>
      <c r="H169" s="3">
        <v>249.2</v>
      </c>
      <c r="I169" s="3">
        <v>253.9</v>
      </c>
      <c r="J169" s="3">
        <v>239.4</v>
      </c>
      <c r="K169" s="3">
        <v>216.4</v>
      </c>
      <c r="L169" s="3">
        <v>223.7</v>
      </c>
      <c r="M169" s="3">
        <v>226.7</v>
      </c>
      <c r="N169" s="3">
        <v>258.39999999999998</v>
      </c>
      <c r="O169" s="3">
        <v>269</v>
      </c>
      <c r="P169" s="3">
        <v>263.60000000000002</v>
      </c>
      <c r="Q169" s="3">
        <v>269.8</v>
      </c>
      <c r="R169" s="3">
        <v>277.10000000000002</v>
      </c>
      <c r="S169" s="3">
        <v>298.5</v>
      </c>
      <c r="T169" s="3">
        <v>334.5</v>
      </c>
      <c r="U169" s="3">
        <v>336.5</v>
      </c>
      <c r="V169" s="3">
        <v>156.69999999999999</v>
      </c>
      <c r="Z169"/>
      <c r="AA169"/>
      <c r="AB169"/>
      <c r="AC169"/>
      <c r="AD169"/>
      <c r="AE169"/>
      <c r="AF169"/>
      <c r="AG169"/>
      <c r="AH169"/>
      <c r="AI169"/>
      <c r="AJ169"/>
      <c r="AK169"/>
      <c r="AL169"/>
      <c r="AM169"/>
      <c r="AN169"/>
      <c r="AO169"/>
      <c r="AP169"/>
      <c r="AQ169"/>
      <c r="AR169"/>
      <c r="AS169"/>
      <c r="AT169"/>
    </row>
    <row r="170" spans="1:46" x14ac:dyDescent="0.35">
      <c r="A170" s="217" t="s">
        <v>199</v>
      </c>
      <c r="B170" s="3">
        <v>8.1</v>
      </c>
      <c r="C170" s="3">
        <v>6.9</v>
      </c>
      <c r="D170" s="3">
        <v>7.3</v>
      </c>
      <c r="E170" s="3">
        <v>6.8</v>
      </c>
      <c r="F170" s="3">
        <v>7.2</v>
      </c>
      <c r="G170" s="3">
        <v>7.9</v>
      </c>
      <c r="H170" s="3">
        <v>7.2</v>
      </c>
      <c r="I170" s="3">
        <v>5.9</v>
      </c>
      <c r="J170" s="3">
        <v>4.9000000000000004</v>
      </c>
      <c r="K170" s="3">
        <v>4.5</v>
      </c>
      <c r="L170" s="3">
        <v>5.3</v>
      </c>
      <c r="M170" s="3">
        <v>5.5</v>
      </c>
      <c r="N170" s="3">
        <v>6.1</v>
      </c>
      <c r="O170" s="3">
        <v>6.3</v>
      </c>
      <c r="P170" s="3">
        <v>6.2</v>
      </c>
      <c r="Q170" s="3">
        <v>5.6</v>
      </c>
      <c r="R170" s="3">
        <v>6</v>
      </c>
      <c r="S170" s="3">
        <v>7.1</v>
      </c>
      <c r="T170" s="3">
        <v>8</v>
      </c>
      <c r="U170" s="3">
        <v>7.7</v>
      </c>
      <c r="V170" s="3">
        <v>9.5</v>
      </c>
      <c r="Z170"/>
      <c r="AA170"/>
      <c r="AB170"/>
      <c r="AC170"/>
      <c r="AD170"/>
      <c r="AE170"/>
      <c r="AF170"/>
      <c r="AG170"/>
      <c r="AH170"/>
      <c r="AI170"/>
      <c r="AJ170"/>
      <c r="AK170"/>
      <c r="AL170"/>
      <c r="AM170"/>
      <c r="AN170"/>
      <c r="AO170"/>
      <c r="AP170"/>
      <c r="AQ170"/>
      <c r="AR170"/>
      <c r="AS170"/>
      <c r="AT170"/>
    </row>
    <row r="171" spans="1:46" x14ac:dyDescent="0.35">
      <c r="A171" s="217" t="s">
        <v>80</v>
      </c>
      <c r="B171" s="3">
        <v>3</v>
      </c>
      <c r="C171" s="3">
        <v>3</v>
      </c>
      <c r="D171" s="3">
        <v>2.8</v>
      </c>
      <c r="E171" s="3">
        <v>2.6</v>
      </c>
      <c r="F171" s="3">
        <v>2.5</v>
      </c>
      <c r="G171" s="3">
        <v>2.7</v>
      </c>
      <c r="H171" s="3">
        <v>2.7</v>
      </c>
      <c r="I171" s="3">
        <v>2.8</v>
      </c>
      <c r="J171" s="3">
        <v>3.2</v>
      </c>
      <c r="K171" s="3">
        <v>3</v>
      </c>
      <c r="L171" s="3">
        <v>2.5</v>
      </c>
      <c r="M171" s="3">
        <v>2.8</v>
      </c>
      <c r="N171" s="3">
        <v>2.4</v>
      </c>
      <c r="O171" s="3">
        <v>2.1</v>
      </c>
      <c r="P171" s="3">
        <v>2</v>
      </c>
      <c r="Q171" s="3">
        <v>2</v>
      </c>
      <c r="R171" s="3">
        <v>2</v>
      </c>
      <c r="S171" s="3">
        <v>2.2999999999999998</v>
      </c>
      <c r="T171" s="3">
        <v>2.2000000000000002</v>
      </c>
      <c r="U171" s="3">
        <v>2.2999999999999998</v>
      </c>
      <c r="V171" s="3">
        <v>1.1000000000000001</v>
      </c>
      <c r="Z171"/>
      <c r="AA171"/>
      <c r="AB171"/>
      <c r="AC171"/>
      <c r="AD171"/>
      <c r="AE171"/>
      <c r="AF171"/>
      <c r="AG171"/>
      <c r="AH171"/>
      <c r="AI171"/>
      <c r="AJ171"/>
      <c r="AK171"/>
      <c r="AL171"/>
      <c r="AM171"/>
      <c r="AN171"/>
      <c r="AO171"/>
      <c r="AP171"/>
      <c r="AQ171"/>
      <c r="AR171"/>
      <c r="AS171"/>
      <c r="AT171"/>
    </row>
    <row r="172" spans="1:46" x14ac:dyDescent="0.35">
      <c r="A172" s="217" t="s">
        <v>81</v>
      </c>
      <c r="B172" s="3">
        <v>81.5</v>
      </c>
      <c r="C172" s="3">
        <v>80.7</v>
      </c>
      <c r="D172" s="3">
        <v>73.5</v>
      </c>
      <c r="E172" s="3">
        <v>74.400000000000006</v>
      </c>
      <c r="F172" s="3">
        <v>76.599999999999994</v>
      </c>
      <c r="G172" s="3">
        <v>81.599999999999994</v>
      </c>
      <c r="H172" s="3">
        <v>85.5</v>
      </c>
      <c r="I172" s="3">
        <v>91.7</v>
      </c>
      <c r="J172" s="3">
        <v>96.6</v>
      </c>
      <c r="K172" s="3">
        <v>82.3</v>
      </c>
      <c r="L172" s="3">
        <v>81.099999999999994</v>
      </c>
      <c r="M172" s="3">
        <v>91.5</v>
      </c>
      <c r="N172" s="3">
        <v>94.1</v>
      </c>
      <c r="O172" s="3">
        <v>90.8</v>
      </c>
      <c r="P172" s="3">
        <v>93.2</v>
      </c>
      <c r="Q172" s="3">
        <v>88.7</v>
      </c>
      <c r="R172" s="3">
        <v>81.3</v>
      </c>
      <c r="S172" s="3">
        <v>93.1</v>
      </c>
      <c r="T172" s="3">
        <v>95.2</v>
      </c>
      <c r="U172" s="3">
        <v>95.8</v>
      </c>
      <c r="V172" s="3">
        <v>90.5</v>
      </c>
      <c r="Z172"/>
      <c r="AA172"/>
      <c r="AB172"/>
      <c r="AC172"/>
      <c r="AD172"/>
      <c r="AE172"/>
      <c r="AF172"/>
      <c r="AG172"/>
      <c r="AH172"/>
      <c r="AI172"/>
      <c r="AJ172"/>
      <c r="AK172"/>
      <c r="AL172"/>
      <c r="AM172"/>
      <c r="AN172"/>
      <c r="AO172"/>
      <c r="AP172"/>
      <c r="AQ172"/>
      <c r="AR172"/>
      <c r="AS172"/>
      <c r="AT172"/>
    </row>
    <row r="173" spans="1:46" x14ac:dyDescent="0.35">
      <c r="A173" s="217" t="s">
        <v>200</v>
      </c>
      <c r="B173" s="3">
        <v>108.2</v>
      </c>
      <c r="C173" s="3">
        <v>116.7</v>
      </c>
      <c r="D173" s="3">
        <v>112</v>
      </c>
      <c r="E173" s="3">
        <v>112.7</v>
      </c>
      <c r="F173" s="3">
        <v>125.1</v>
      </c>
      <c r="G173" s="3">
        <v>128.1</v>
      </c>
      <c r="H173" s="3">
        <v>113</v>
      </c>
      <c r="I173" s="3">
        <v>125.7</v>
      </c>
      <c r="J173" s="3">
        <v>122.2</v>
      </c>
      <c r="K173" s="3">
        <v>118</v>
      </c>
      <c r="L173" s="3">
        <v>122.3</v>
      </c>
      <c r="M173" s="3">
        <v>98.5</v>
      </c>
      <c r="N173" s="3">
        <v>94.4</v>
      </c>
      <c r="O173" s="3">
        <v>89</v>
      </c>
      <c r="P173" s="3">
        <v>80.099999999999994</v>
      </c>
      <c r="Q173" s="3">
        <v>73.3</v>
      </c>
      <c r="R173" s="3">
        <v>64.7</v>
      </c>
      <c r="S173" s="3">
        <v>69.8</v>
      </c>
      <c r="T173" s="3">
        <v>72.3</v>
      </c>
      <c r="U173" s="3">
        <v>82.7</v>
      </c>
      <c r="V173" s="3">
        <v>74</v>
      </c>
      <c r="Z173"/>
      <c r="AA173"/>
      <c r="AB173"/>
      <c r="AC173"/>
      <c r="AD173"/>
      <c r="AE173"/>
      <c r="AF173"/>
      <c r="AG173"/>
      <c r="AH173"/>
      <c r="AI173"/>
      <c r="AJ173"/>
      <c r="AK173"/>
      <c r="AL173"/>
      <c r="AM173"/>
      <c r="AN173"/>
      <c r="AO173"/>
      <c r="AP173"/>
      <c r="AQ173"/>
      <c r="AR173"/>
      <c r="AS173"/>
      <c r="AT173"/>
    </row>
    <row r="174" spans="1:46" x14ac:dyDescent="0.35">
      <c r="A174" s="217" t="s">
        <v>254</v>
      </c>
      <c r="B174" s="3">
        <v>81.5</v>
      </c>
      <c r="C174" s="3">
        <v>91.1</v>
      </c>
      <c r="D174" s="3">
        <v>93.5</v>
      </c>
      <c r="E174" s="3">
        <v>94.8</v>
      </c>
      <c r="F174" s="3">
        <v>97.2</v>
      </c>
      <c r="G174" s="3">
        <v>99.5</v>
      </c>
      <c r="H174" s="3">
        <v>100.8</v>
      </c>
      <c r="I174" s="3">
        <v>102.3</v>
      </c>
      <c r="J174" s="3">
        <v>103.5</v>
      </c>
      <c r="K174" s="3">
        <v>103.1</v>
      </c>
      <c r="L174" s="3">
        <v>103.8</v>
      </c>
      <c r="M174" s="3">
        <v>106.2</v>
      </c>
      <c r="N174" s="3">
        <v>107.6</v>
      </c>
      <c r="O174" s="3">
        <v>109.7</v>
      </c>
      <c r="P174" s="3">
        <v>112.1</v>
      </c>
      <c r="Q174" s="3">
        <v>114.9</v>
      </c>
      <c r="R174" s="3">
        <v>117.8</v>
      </c>
      <c r="S174" s="3">
        <v>119.5</v>
      </c>
      <c r="T174" s="3">
        <v>122.2</v>
      </c>
      <c r="U174" s="3">
        <v>124</v>
      </c>
      <c r="V174" s="3">
        <v>124.8</v>
      </c>
      <c r="Z174"/>
      <c r="AA174"/>
      <c r="AB174"/>
      <c r="AC174"/>
      <c r="AD174"/>
      <c r="AE174"/>
      <c r="AF174"/>
      <c r="AG174"/>
      <c r="AH174"/>
      <c r="AI174"/>
      <c r="AJ174"/>
      <c r="AK174"/>
      <c r="AL174"/>
      <c r="AM174"/>
      <c r="AN174"/>
      <c r="AO174"/>
      <c r="AP174"/>
      <c r="AQ174"/>
      <c r="AR174"/>
      <c r="AS174"/>
      <c r="AT174"/>
    </row>
    <row r="175" spans="1:46" x14ac:dyDescent="0.35">
      <c r="A175" s="203" t="s">
        <v>297</v>
      </c>
      <c r="Z175"/>
      <c r="AA175"/>
      <c r="AB175"/>
      <c r="AC175"/>
      <c r="AD175"/>
      <c r="AE175"/>
      <c r="AF175"/>
      <c r="AG175"/>
      <c r="AH175"/>
      <c r="AI175"/>
      <c r="AJ175"/>
      <c r="AK175"/>
      <c r="AL175"/>
      <c r="AM175"/>
      <c r="AN175"/>
      <c r="AO175"/>
      <c r="AP175"/>
      <c r="AQ175"/>
      <c r="AR175"/>
      <c r="AS175"/>
      <c r="AT175"/>
    </row>
    <row r="176" spans="1:46" x14ac:dyDescent="0.35">
      <c r="A176" s="217" t="s">
        <v>41</v>
      </c>
      <c r="B176" s="3">
        <v>16</v>
      </c>
      <c r="C176" s="3">
        <v>16.100000000000001</v>
      </c>
      <c r="D176" s="3">
        <v>16.8</v>
      </c>
      <c r="E176" s="3">
        <v>16.7</v>
      </c>
      <c r="F176" s="3">
        <v>16.5</v>
      </c>
      <c r="G176" s="3">
        <v>16.600000000000001</v>
      </c>
      <c r="H176" s="3">
        <v>16.399999999999999</v>
      </c>
      <c r="I176" s="3">
        <v>16.600000000000001</v>
      </c>
      <c r="J176" s="3">
        <v>16.7</v>
      </c>
      <c r="K176" s="3">
        <v>17.2</v>
      </c>
      <c r="L176" s="3">
        <v>17.399999999999999</v>
      </c>
      <c r="M176" s="3">
        <v>17.600000000000001</v>
      </c>
      <c r="N176" s="3">
        <v>17.7</v>
      </c>
      <c r="O176" s="3">
        <v>18.2</v>
      </c>
      <c r="P176" s="3">
        <v>18.600000000000001</v>
      </c>
      <c r="Q176" s="3">
        <v>19.5</v>
      </c>
      <c r="R176" s="3">
        <v>21</v>
      </c>
      <c r="S176" s="3">
        <v>21.1</v>
      </c>
      <c r="T176" s="3">
        <v>21.2</v>
      </c>
      <c r="U176" s="3">
        <v>21.6</v>
      </c>
      <c r="V176" s="3">
        <v>22.5</v>
      </c>
      <c r="Z176"/>
      <c r="AA176"/>
      <c r="AB176"/>
      <c r="AC176"/>
      <c r="AD176"/>
      <c r="AE176"/>
      <c r="AF176"/>
      <c r="AG176"/>
      <c r="AH176"/>
      <c r="AI176"/>
      <c r="AJ176"/>
      <c r="AK176"/>
      <c r="AL176"/>
      <c r="AM176"/>
      <c r="AN176"/>
      <c r="AO176"/>
      <c r="AP176"/>
      <c r="AQ176"/>
      <c r="AR176"/>
      <c r="AS176"/>
      <c r="AT176"/>
    </row>
    <row r="177" spans="1:46" x14ac:dyDescent="0.35">
      <c r="A177" s="217" t="s">
        <v>44</v>
      </c>
      <c r="B177" s="3">
        <v>18</v>
      </c>
      <c r="C177" s="3">
        <v>17</v>
      </c>
      <c r="D177" s="3">
        <v>16.600000000000001</v>
      </c>
      <c r="E177" s="3">
        <v>17.3</v>
      </c>
      <c r="F177" s="3">
        <v>17.399999999999999</v>
      </c>
      <c r="G177" s="3">
        <v>18.2</v>
      </c>
      <c r="H177" s="3">
        <v>17.7</v>
      </c>
      <c r="I177" s="3">
        <v>17.8</v>
      </c>
      <c r="J177" s="3">
        <v>18</v>
      </c>
      <c r="K177" s="3">
        <v>17.8</v>
      </c>
      <c r="L177" s="3">
        <v>17.899999999999999</v>
      </c>
      <c r="M177" s="3">
        <v>18.7</v>
      </c>
      <c r="N177" s="3">
        <v>18.600000000000001</v>
      </c>
      <c r="O177" s="3">
        <v>18.399999999999999</v>
      </c>
      <c r="P177" s="3">
        <v>18.8</v>
      </c>
      <c r="Q177" s="3">
        <v>17.899999999999999</v>
      </c>
      <c r="R177" s="3">
        <v>16.7</v>
      </c>
      <c r="S177" s="3">
        <v>17.100000000000001</v>
      </c>
      <c r="T177" s="3">
        <v>17.3</v>
      </c>
      <c r="U177" s="3">
        <v>17</v>
      </c>
      <c r="V177" s="3">
        <v>19.2</v>
      </c>
      <c r="Z177"/>
      <c r="AA177"/>
      <c r="AB177"/>
      <c r="AC177"/>
      <c r="AD177"/>
      <c r="AE177"/>
      <c r="AF177"/>
      <c r="AG177"/>
      <c r="AH177"/>
      <c r="AI177"/>
      <c r="AJ177"/>
      <c r="AK177"/>
      <c r="AL177"/>
      <c r="AM177"/>
      <c r="AN177"/>
      <c r="AO177"/>
      <c r="AP177"/>
      <c r="AQ177"/>
      <c r="AR177"/>
      <c r="AS177"/>
      <c r="AT177"/>
    </row>
    <row r="178" spans="1:46" x14ac:dyDescent="0.35">
      <c r="A178" s="217" t="s">
        <v>32</v>
      </c>
      <c r="B178" s="3">
        <v>27.6</v>
      </c>
      <c r="C178" s="3">
        <v>27.5</v>
      </c>
      <c r="D178" s="3">
        <v>27.8</v>
      </c>
      <c r="E178" s="3">
        <v>26.8</v>
      </c>
      <c r="F178" s="3">
        <v>25.7</v>
      </c>
      <c r="G178" s="3">
        <v>24.9</v>
      </c>
      <c r="H178" s="3">
        <v>24.6</v>
      </c>
      <c r="I178" s="3">
        <v>24.3</v>
      </c>
      <c r="J178" s="3">
        <v>23.7</v>
      </c>
      <c r="K178" s="3">
        <v>23.8</v>
      </c>
      <c r="L178" s="3">
        <v>22.9</v>
      </c>
      <c r="M178" s="3">
        <v>22.1</v>
      </c>
      <c r="N178" s="3">
        <v>21.4</v>
      </c>
      <c r="O178" s="3">
        <v>20.9</v>
      </c>
      <c r="P178" s="3">
        <v>20.2</v>
      </c>
      <c r="Q178" s="3">
        <v>20.3</v>
      </c>
      <c r="R178" s="3">
        <v>20.100000000000001</v>
      </c>
      <c r="S178" s="3">
        <v>19</v>
      </c>
      <c r="T178" s="3">
        <v>17.8</v>
      </c>
      <c r="U178" s="3">
        <v>17.3</v>
      </c>
      <c r="V178" s="3">
        <v>16.7</v>
      </c>
      <c r="Z178"/>
      <c r="AA178"/>
      <c r="AB178"/>
      <c r="AC178"/>
      <c r="AD178"/>
      <c r="AE178"/>
      <c r="AF178"/>
      <c r="AG178"/>
      <c r="AH178"/>
      <c r="AI178"/>
      <c r="AJ178"/>
      <c r="AK178"/>
      <c r="AL178"/>
      <c r="AM178"/>
      <c r="AN178"/>
      <c r="AO178"/>
      <c r="AP178"/>
      <c r="AQ178"/>
      <c r="AR178"/>
      <c r="AS178"/>
      <c r="AT178"/>
    </row>
    <row r="179" spans="1:46" x14ac:dyDescent="0.35">
      <c r="A179" s="217" t="s">
        <v>43</v>
      </c>
      <c r="B179" s="3">
        <v>6.9</v>
      </c>
      <c r="C179" s="3">
        <v>8</v>
      </c>
      <c r="D179" s="3">
        <v>7.6</v>
      </c>
      <c r="E179" s="3">
        <v>8.6999999999999993</v>
      </c>
      <c r="F179" s="3">
        <v>9.3000000000000007</v>
      </c>
      <c r="G179" s="3">
        <v>8.5</v>
      </c>
      <c r="H179" s="3">
        <v>9.8000000000000007</v>
      </c>
      <c r="I179" s="3">
        <v>9.6999999999999993</v>
      </c>
      <c r="J179" s="3">
        <v>10.3</v>
      </c>
      <c r="K179" s="3">
        <v>11.1</v>
      </c>
      <c r="L179" s="3">
        <v>12</v>
      </c>
      <c r="M179" s="3">
        <v>11.7</v>
      </c>
      <c r="N179" s="3">
        <v>11.5</v>
      </c>
      <c r="O179" s="3">
        <v>11.8</v>
      </c>
      <c r="P179" s="3">
        <v>11.7</v>
      </c>
      <c r="Q179" s="3">
        <v>11.3</v>
      </c>
      <c r="R179" s="3">
        <v>10.9</v>
      </c>
      <c r="S179" s="3">
        <v>10.9</v>
      </c>
      <c r="T179" s="3">
        <v>11</v>
      </c>
      <c r="U179" s="3">
        <v>10.7</v>
      </c>
      <c r="V179" s="3">
        <v>11.4</v>
      </c>
      <c r="Z179"/>
      <c r="AA179"/>
      <c r="AB179"/>
      <c r="AC179"/>
      <c r="AD179"/>
      <c r="AE179"/>
      <c r="AF179"/>
      <c r="AG179"/>
      <c r="AH179"/>
      <c r="AI179"/>
      <c r="AJ179"/>
      <c r="AK179"/>
      <c r="AL179"/>
      <c r="AM179"/>
      <c r="AN179"/>
      <c r="AO179"/>
      <c r="AP179"/>
      <c r="AQ179"/>
      <c r="AR179"/>
      <c r="AS179"/>
      <c r="AT179"/>
    </row>
    <row r="180" spans="1:46" x14ac:dyDescent="0.35">
      <c r="A180" s="217" t="s">
        <v>42</v>
      </c>
      <c r="B180" s="3">
        <v>6.4</v>
      </c>
      <c r="C180" s="3">
        <v>6.5</v>
      </c>
      <c r="D180" s="3">
        <v>6.7</v>
      </c>
      <c r="E180" s="3">
        <v>6.6</v>
      </c>
      <c r="F180" s="3">
        <v>6.5</v>
      </c>
      <c r="G180" s="3">
        <v>6.5</v>
      </c>
      <c r="H180" s="3">
        <v>6.5</v>
      </c>
      <c r="I180" s="3">
        <v>6.6</v>
      </c>
      <c r="J180" s="3">
        <v>6.7</v>
      </c>
      <c r="K180" s="3">
        <v>6.8</v>
      </c>
      <c r="L180" s="3">
        <v>6.8</v>
      </c>
      <c r="M180" s="3">
        <v>6.9</v>
      </c>
      <c r="N180" s="3">
        <v>7</v>
      </c>
      <c r="O180" s="3">
        <v>7.2</v>
      </c>
      <c r="P180" s="3">
        <v>7.3</v>
      </c>
      <c r="Q180" s="3">
        <v>7.7</v>
      </c>
      <c r="R180" s="3">
        <v>8.1999999999999993</v>
      </c>
      <c r="S180" s="3">
        <v>8.3000000000000007</v>
      </c>
      <c r="T180" s="3">
        <v>8.3000000000000007</v>
      </c>
      <c r="U180" s="3">
        <v>8.5</v>
      </c>
      <c r="V180" s="3">
        <v>8.8000000000000007</v>
      </c>
      <c r="Z180"/>
      <c r="AA180"/>
      <c r="AB180"/>
      <c r="AC180"/>
      <c r="AD180"/>
      <c r="AE180"/>
      <c r="AF180"/>
      <c r="AG180"/>
      <c r="AH180"/>
      <c r="AI180"/>
      <c r="AJ180"/>
      <c r="AK180"/>
      <c r="AL180"/>
      <c r="AM180"/>
      <c r="AN180"/>
      <c r="AO180"/>
      <c r="AP180"/>
      <c r="AQ180"/>
      <c r="AR180"/>
      <c r="AS180"/>
      <c r="AT180"/>
    </row>
    <row r="181" spans="1:46" x14ac:dyDescent="0.35">
      <c r="A181" s="217" t="s">
        <v>198</v>
      </c>
      <c r="B181" s="3">
        <v>10.199999999999999</v>
      </c>
      <c r="C181" s="3">
        <v>9.4</v>
      </c>
      <c r="D181" s="3">
        <v>9.3000000000000007</v>
      </c>
      <c r="E181" s="3">
        <v>9</v>
      </c>
      <c r="F181" s="3">
        <v>9.6999999999999993</v>
      </c>
      <c r="G181" s="3">
        <v>10.1</v>
      </c>
      <c r="H181" s="3">
        <v>10.1</v>
      </c>
      <c r="I181" s="3">
        <v>9.9</v>
      </c>
      <c r="J181" s="3">
        <v>9.4</v>
      </c>
      <c r="K181" s="3">
        <v>8.5</v>
      </c>
      <c r="L181" s="3">
        <v>8.5</v>
      </c>
      <c r="M181" s="3">
        <v>8.6999999999999993</v>
      </c>
      <c r="N181" s="3">
        <v>9.8000000000000007</v>
      </c>
      <c r="O181" s="3">
        <v>10</v>
      </c>
      <c r="P181" s="3">
        <v>9.9</v>
      </c>
      <c r="Q181" s="3">
        <v>10.199999999999999</v>
      </c>
      <c r="R181" s="3">
        <v>10.5</v>
      </c>
      <c r="S181" s="3">
        <v>11</v>
      </c>
      <c r="T181" s="3">
        <v>11.8</v>
      </c>
      <c r="U181" s="3">
        <v>11.8</v>
      </c>
      <c r="V181" s="3">
        <v>6.6</v>
      </c>
      <c r="Z181"/>
      <c r="AA181"/>
      <c r="AB181"/>
      <c r="AC181"/>
      <c r="AD181"/>
      <c r="AE181"/>
      <c r="AF181"/>
      <c r="AG181"/>
      <c r="AH181"/>
      <c r="AI181"/>
      <c r="AJ181"/>
      <c r="AK181"/>
      <c r="AL181"/>
      <c r="AM181"/>
      <c r="AN181"/>
      <c r="AO181"/>
      <c r="AP181"/>
      <c r="AQ181"/>
      <c r="AR181"/>
      <c r="AS181"/>
      <c r="AT181"/>
    </row>
    <row r="182" spans="1:46" x14ac:dyDescent="0.35">
      <c r="A182" s="217" t="s">
        <v>254</v>
      </c>
      <c r="B182" s="3">
        <v>3.6</v>
      </c>
      <c r="C182" s="3">
        <v>4</v>
      </c>
      <c r="D182" s="3">
        <v>4.0999999999999996</v>
      </c>
      <c r="E182" s="3">
        <v>4</v>
      </c>
      <c r="F182" s="3">
        <v>4</v>
      </c>
      <c r="G182" s="3">
        <v>4</v>
      </c>
      <c r="H182" s="3">
        <v>4.0999999999999996</v>
      </c>
      <c r="I182" s="3">
        <v>4</v>
      </c>
      <c r="J182" s="3">
        <v>4.0999999999999996</v>
      </c>
      <c r="K182" s="3">
        <v>4.0999999999999996</v>
      </c>
      <c r="L182" s="3">
        <v>4</v>
      </c>
      <c r="M182" s="3">
        <v>4.0999999999999996</v>
      </c>
      <c r="N182" s="3">
        <v>4.0999999999999996</v>
      </c>
      <c r="O182" s="3">
        <v>4.0999999999999996</v>
      </c>
      <c r="P182" s="3">
        <v>4.2</v>
      </c>
      <c r="Q182" s="3">
        <v>4.4000000000000004</v>
      </c>
      <c r="R182" s="3">
        <v>4.5</v>
      </c>
      <c r="S182" s="3">
        <v>4.4000000000000004</v>
      </c>
      <c r="T182" s="3">
        <v>4.3</v>
      </c>
      <c r="U182" s="3">
        <v>4.3</v>
      </c>
      <c r="V182" s="3">
        <v>5.3</v>
      </c>
      <c r="Z182"/>
      <c r="AA182"/>
      <c r="AB182"/>
      <c r="AC182"/>
      <c r="AD182"/>
      <c r="AE182"/>
      <c r="AF182"/>
      <c r="AG182"/>
      <c r="AH182"/>
      <c r="AI182"/>
      <c r="AJ182"/>
      <c r="AK182"/>
      <c r="AL182"/>
      <c r="AM182"/>
      <c r="AN182"/>
      <c r="AO182"/>
      <c r="AP182"/>
      <c r="AQ182"/>
      <c r="AR182"/>
      <c r="AS182"/>
      <c r="AT182"/>
    </row>
    <row r="183" spans="1:46" x14ac:dyDescent="0.35">
      <c r="A183" s="217" t="s">
        <v>81</v>
      </c>
      <c r="B183" s="3">
        <v>3.6</v>
      </c>
      <c r="C183" s="3">
        <v>3.6</v>
      </c>
      <c r="D183" s="3">
        <v>3.2</v>
      </c>
      <c r="E183" s="3">
        <v>3.2</v>
      </c>
      <c r="F183" s="3">
        <v>3.1</v>
      </c>
      <c r="G183" s="3">
        <v>3.3</v>
      </c>
      <c r="H183" s="3">
        <v>3.5</v>
      </c>
      <c r="I183" s="3">
        <v>3.6</v>
      </c>
      <c r="J183" s="3">
        <v>3.8</v>
      </c>
      <c r="K183" s="3">
        <v>3.2</v>
      </c>
      <c r="L183" s="3">
        <v>3.1</v>
      </c>
      <c r="M183" s="3">
        <v>3.5</v>
      </c>
      <c r="N183" s="3">
        <v>3.6</v>
      </c>
      <c r="O183" s="3">
        <v>3.4</v>
      </c>
      <c r="P183" s="3">
        <v>3.5</v>
      </c>
      <c r="Q183" s="3">
        <v>3.4</v>
      </c>
      <c r="R183" s="3">
        <v>3.1</v>
      </c>
      <c r="S183" s="3">
        <v>3.4</v>
      </c>
      <c r="T183" s="3">
        <v>3.4</v>
      </c>
      <c r="U183" s="3">
        <v>3.3</v>
      </c>
      <c r="V183" s="3">
        <v>3.8</v>
      </c>
      <c r="Z183"/>
      <c r="AA183"/>
      <c r="AB183"/>
      <c r="AC183"/>
      <c r="AD183"/>
      <c r="AE183"/>
      <c r="AF183"/>
      <c r="AG183"/>
      <c r="AH183"/>
      <c r="AI183"/>
      <c r="AJ183"/>
      <c r="AK183"/>
      <c r="AL183"/>
      <c r="AM183"/>
      <c r="AN183"/>
      <c r="AO183"/>
      <c r="AP183"/>
      <c r="AQ183"/>
      <c r="AR183"/>
      <c r="AS183"/>
      <c r="AT183"/>
    </row>
    <row r="184" spans="1:46" x14ac:dyDescent="0.35">
      <c r="A184" s="217" t="s">
        <v>200</v>
      </c>
      <c r="B184" s="3">
        <v>4.8</v>
      </c>
      <c r="C184" s="3">
        <v>5.2</v>
      </c>
      <c r="D184" s="3">
        <v>4.9000000000000004</v>
      </c>
      <c r="E184" s="3">
        <v>4.8</v>
      </c>
      <c r="F184" s="3">
        <v>5.0999999999999996</v>
      </c>
      <c r="G184" s="3">
        <v>5.2</v>
      </c>
      <c r="H184" s="3">
        <v>4.5999999999999996</v>
      </c>
      <c r="I184" s="3">
        <v>4.9000000000000004</v>
      </c>
      <c r="J184" s="3">
        <v>4.8</v>
      </c>
      <c r="K184" s="3">
        <v>4.7</v>
      </c>
      <c r="L184" s="3">
        <v>4.7</v>
      </c>
      <c r="M184" s="3">
        <v>3.8</v>
      </c>
      <c r="N184" s="3">
        <v>3.6</v>
      </c>
      <c r="O184" s="3">
        <v>3.3</v>
      </c>
      <c r="P184" s="3">
        <v>3</v>
      </c>
      <c r="Q184" s="3">
        <v>2.8</v>
      </c>
      <c r="R184" s="3">
        <v>2.5</v>
      </c>
      <c r="S184" s="3">
        <v>2.6</v>
      </c>
      <c r="T184" s="3">
        <v>2.6</v>
      </c>
      <c r="U184" s="3">
        <v>2.9</v>
      </c>
      <c r="V184" s="3">
        <v>3.1</v>
      </c>
      <c r="W184" s="101"/>
      <c r="Z184"/>
      <c r="AA184"/>
      <c r="AB184"/>
      <c r="AC184"/>
      <c r="AD184"/>
      <c r="AE184"/>
      <c r="AF184"/>
      <c r="AG184"/>
      <c r="AH184"/>
      <c r="AI184"/>
      <c r="AJ184"/>
      <c r="AK184"/>
      <c r="AL184"/>
      <c r="AM184"/>
      <c r="AN184"/>
      <c r="AO184"/>
      <c r="AP184"/>
      <c r="AQ184"/>
      <c r="AR184"/>
      <c r="AS184"/>
      <c r="AT184"/>
    </row>
    <row r="185" spans="1:46" x14ac:dyDescent="0.35">
      <c r="A185" s="217" t="s">
        <v>63</v>
      </c>
      <c r="B185" s="3">
        <v>1.3</v>
      </c>
      <c r="C185" s="3">
        <v>1.2</v>
      </c>
      <c r="D185" s="3">
        <v>1.5</v>
      </c>
      <c r="E185" s="3">
        <v>1.5</v>
      </c>
      <c r="F185" s="3">
        <v>1.4</v>
      </c>
      <c r="G185" s="3">
        <v>1.4</v>
      </c>
      <c r="H185" s="3">
        <v>1.2</v>
      </c>
      <c r="I185" s="3">
        <v>1.3</v>
      </c>
      <c r="J185" s="3">
        <v>1.4</v>
      </c>
      <c r="K185" s="3">
        <v>1.4</v>
      </c>
      <c r="L185" s="3">
        <v>1.5</v>
      </c>
      <c r="M185" s="3">
        <v>1.6</v>
      </c>
      <c r="N185" s="3">
        <v>1.4</v>
      </c>
      <c r="O185" s="3">
        <v>1.6</v>
      </c>
      <c r="P185" s="3">
        <v>1.5</v>
      </c>
      <c r="Q185" s="3">
        <v>1.5</v>
      </c>
      <c r="R185" s="3">
        <v>1.3</v>
      </c>
      <c r="S185" s="3">
        <v>1.4</v>
      </c>
      <c r="T185" s="3">
        <v>1.4</v>
      </c>
      <c r="U185" s="3">
        <v>1.4</v>
      </c>
      <c r="V185" s="3">
        <v>1.3</v>
      </c>
      <c r="Z185"/>
      <c r="AA185"/>
      <c r="AB185"/>
      <c r="AC185"/>
      <c r="AD185"/>
      <c r="AE185"/>
      <c r="AF185"/>
      <c r="AG185"/>
      <c r="AH185"/>
      <c r="AI185"/>
      <c r="AJ185"/>
      <c r="AK185"/>
      <c r="AL185"/>
      <c r="AM185"/>
      <c r="AN185"/>
      <c r="AO185"/>
      <c r="AP185"/>
      <c r="AQ185"/>
      <c r="AR185"/>
      <c r="AS185"/>
      <c r="AT185"/>
    </row>
    <row r="186" spans="1:46" x14ac:dyDescent="0.35">
      <c r="A186" s="217" t="s">
        <v>62</v>
      </c>
      <c r="B186" s="3">
        <v>0.6</v>
      </c>
      <c r="C186" s="3">
        <v>0.6</v>
      </c>
      <c r="D186" s="3">
        <v>0.6</v>
      </c>
      <c r="E186" s="3">
        <v>0.7</v>
      </c>
      <c r="F186" s="3">
        <v>0.5</v>
      </c>
      <c r="G186" s="3">
        <v>0.5</v>
      </c>
      <c r="H186" s="3">
        <v>0.6</v>
      </c>
      <c r="I186" s="3">
        <v>0.5</v>
      </c>
      <c r="J186" s="3">
        <v>0.6</v>
      </c>
      <c r="K186" s="3">
        <v>0.6</v>
      </c>
      <c r="L186" s="3">
        <v>0.6</v>
      </c>
      <c r="M186" s="3">
        <v>0.6</v>
      </c>
      <c r="N186" s="3">
        <v>0.5</v>
      </c>
      <c r="O186" s="3">
        <v>0.5</v>
      </c>
      <c r="P186" s="3">
        <v>0.5</v>
      </c>
      <c r="Q186" s="3">
        <v>0.5</v>
      </c>
      <c r="R186" s="3">
        <v>0.5</v>
      </c>
      <c r="S186" s="3">
        <v>0.3</v>
      </c>
      <c r="T186" s="3">
        <v>0.4</v>
      </c>
      <c r="U186" s="3">
        <v>0.4</v>
      </c>
      <c r="V186" s="3">
        <v>0.5</v>
      </c>
      <c r="Z186"/>
      <c r="AA186"/>
      <c r="AB186"/>
      <c r="AC186"/>
      <c r="AD186"/>
      <c r="AE186"/>
      <c r="AF186"/>
      <c r="AG186"/>
      <c r="AH186"/>
      <c r="AI186"/>
      <c r="AJ186"/>
      <c r="AK186"/>
      <c r="AL186"/>
      <c r="AM186"/>
      <c r="AN186"/>
      <c r="AO186"/>
      <c r="AP186"/>
      <c r="AQ186"/>
      <c r="AR186"/>
      <c r="AS186"/>
      <c r="AT186"/>
    </row>
    <row r="187" spans="1:46" x14ac:dyDescent="0.35">
      <c r="A187" s="217" t="s">
        <v>199</v>
      </c>
      <c r="B187" s="3">
        <v>0.4</v>
      </c>
      <c r="C187" s="3">
        <v>0.3</v>
      </c>
      <c r="D187" s="3">
        <v>0.3</v>
      </c>
      <c r="E187" s="3">
        <v>0.3</v>
      </c>
      <c r="F187" s="3">
        <v>0.3</v>
      </c>
      <c r="G187" s="3">
        <v>0.3</v>
      </c>
      <c r="H187" s="3">
        <v>0.3</v>
      </c>
      <c r="I187" s="3">
        <v>0.2</v>
      </c>
      <c r="J187" s="3">
        <v>0.2</v>
      </c>
      <c r="K187" s="3">
        <v>0.2</v>
      </c>
      <c r="L187" s="3">
        <v>0.2</v>
      </c>
      <c r="M187" s="3">
        <v>0.2</v>
      </c>
      <c r="N187" s="3">
        <v>0.2</v>
      </c>
      <c r="O187" s="3">
        <v>0.2</v>
      </c>
      <c r="P187" s="3">
        <v>0.2</v>
      </c>
      <c r="Q187" s="3">
        <v>0.2</v>
      </c>
      <c r="R187" s="3">
        <v>0.2</v>
      </c>
      <c r="S187" s="3">
        <v>0.3</v>
      </c>
      <c r="T187" s="3">
        <v>0.3</v>
      </c>
      <c r="U187" s="3">
        <v>0.3</v>
      </c>
      <c r="V187" s="3">
        <v>0.4</v>
      </c>
      <c r="Z187"/>
      <c r="AA187"/>
      <c r="AB187"/>
      <c r="AC187"/>
      <c r="AD187"/>
      <c r="AE187"/>
      <c r="AF187"/>
      <c r="AG187"/>
      <c r="AH187"/>
      <c r="AI187"/>
      <c r="AJ187"/>
      <c r="AK187"/>
      <c r="AL187"/>
      <c r="AM187"/>
      <c r="AN187"/>
      <c r="AO187"/>
      <c r="AP187"/>
      <c r="AQ187"/>
      <c r="AR187"/>
      <c r="AS187"/>
      <c r="AT187"/>
    </row>
    <row r="188" spans="1:46" x14ac:dyDescent="0.35">
      <c r="A188" s="217" t="s">
        <v>61</v>
      </c>
      <c r="B188" s="3">
        <v>0.1</v>
      </c>
      <c r="C188" s="3">
        <v>0.1</v>
      </c>
      <c r="D188" s="3">
        <v>0.1</v>
      </c>
      <c r="E188" s="3">
        <v>0.1</v>
      </c>
      <c r="F188" s="3">
        <v>0.1</v>
      </c>
      <c r="G188" s="3">
        <v>0.1</v>
      </c>
      <c r="H188" s="3">
        <v>0.1</v>
      </c>
      <c r="I188" s="3">
        <v>0.1</v>
      </c>
      <c r="J188" s="3">
        <v>0.1</v>
      </c>
      <c r="K188" s="3">
        <v>0.2</v>
      </c>
      <c r="L188" s="3">
        <v>0.2</v>
      </c>
      <c r="M188" s="3">
        <v>0.2</v>
      </c>
      <c r="N188" s="3">
        <v>0.2</v>
      </c>
      <c r="O188" s="3">
        <v>0.2</v>
      </c>
      <c r="P188" s="3">
        <v>0.2</v>
      </c>
      <c r="Q188" s="3">
        <v>0.2</v>
      </c>
      <c r="R188" s="3">
        <v>0.2</v>
      </c>
      <c r="S188" s="3">
        <v>0.2</v>
      </c>
      <c r="T188" s="3">
        <v>0.2</v>
      </c>
      <c r="U188" s="3">
        <v>0.2</v>
      </c>
      <c r="V188" s="3">
        <v>0.2</v>
      </c>
      <c r="Z188"/>
      <c r="AA188"/>
      <c r="AB188"/>
      <c r="AC188"/>
      <c r="AD188"/>
      <c r="AE188"/>
      <c r="AF188"/>
      <c r="AG188"/>
      <c r="AH188"/>
      <c r="AI188"/>
      <c r="AJ188"/>
      <c r="AK188"/>
      <c r="AL188"/>
      <c r="AM188"/>
      <c r="AN188"/>
      <c r="AO188"/>
      <c r="AP188"/>
      <c r="AQ188"/>
      <c r="AR188"/>
      <c r="AS188"/>
      <c r="AT188"/>
    </row>
    <row r="189" spans="1:46" x14ac:dyDescent="0.35">
      <c r="A189" s="217" t="s">
        <v>64</v>
      </c>
      <c r="B189" s="3">
        <v>0.3</v>
      </c>
      <c r="C189" s="3">
        <v>0.3</v>
      </c>
      <c r="D189" s="3">
        <v>0.4</v>
      </c>
      <c r="E189" s="3">
        <v>0.3</v>
      </c>
      <c r="F189" s="3">
        <v>0.3</v>
      </c>
      <c r="G189" s="3">
        <v>0.3</v>
      </c>
      <c r="H189" s="3">
        <v>0.3</v>
      </c>
      <c r="I189" s="3">
        <v>0.3</v>
      </c>
      <c r="J189" s="3">
        <v>0.3</v>
      </c>
      <c r="K189" s="3">
        <v>0.2</v>
      </c>
      <c r="L189" s="3">
        <v>0.2</v>
      </c>
      <c r="M189" s="3">
        <v>0.2</v>
      </c>
      <c r="N189" s="3">
        <v>0.2</v>
      </c>
      <c r="O189" s="3">
        <v>0.2</v>
      </c>
      <c r="P189" s="3">
        <v>0.2</v>
      </c>
      <c r="Q189" s="3">
        <v>0.2</v>
      </c>
      <c r="R189" s="3">
        <v>0.2</v>
      </c>
      <c r="S189" s="3">
        <v>0.1</v>
      </c>
      <c r="T189" s="3">
        <v>0.1</v>
      </c>
      <c r="U189" s="3">
        <v>0.1</v>
      </c>
      <c r="V189" s="3">
        <v>0.1</v>
      </c>
      <c r="Z189"/>
      <c r="AA189"/>
      <c r="AB189"/>
      <c r="AC189"/>
      <c r="AD189"/>
      <c r="AE189"/>
      <c r="AF189"/>
      <c r="AG189"/>
      <c r="AH189"/>
      <c r="AI189"/>
      <c r="AJ189"/>
      <c r="AK189"/>
      <c r="AL189"/>
      <c r="AM189"/>
      <c r="AN189"/>
      <c r="AO189"/>
      <c r="AP189"/>
      <c r="AQ189"/>
      <c r="AR189"/>
      <c r="AS189"/>
      <c r="AT189"/>
    </row>
    <row r="190" spans="1:46" x14ac:dyDescent="0.35">
      <c r="A190" s="217" t="s">
        <v>80</v>
      </c>
      <c r="B190" s="3">
        <v>0.1</v>
      </c>
      <c r="C190" s="3">
        <v>0.1</v>
      </c>
      <c r="D190" s="3">
        <v>0.1</v>
      </c>
      <c r="E190" s="3">
        <v>0.1</v>
      </c>
      <c r="F190" s="3">
        <v>0.1</v>
      </c>
      <c r="G190" s="3">
        <v>0.1</v>
      </c>
      <c r="H190" s="3">
        <v>0.1</v>
      </c>
      <c r="I190" s="3">
        <v>0.1</v>
      </c>
      <c r="J190" s="3">
        <v>0.1</v>
      </c>
      <c r="K190" s="3">
        <v>0.1</v>
      </c>
      <c r="L190" s="3">
        <v>0.1</v>
      </c>
      <c r="M190" s="3">
        <v>0.1</v>
      </c>
      <c r="N190" s="3">
        <v>0.1</v>
      </c>
      <c r="O190" s="3">
        <v>0.1</v>
      </c>
      <c r="P190" s="3">
        <v>0.1</v>
      </c>
      <c r="Q190" s="3">
        <v>0.1</v>
      </c>
      <c r="R190" s="3">
        <v>0.1</v>
      </c>
      <c r="S190" s="3">
        <v>0.1</v>
      </c>
      <c r="T190" s="3">
        <v>0.1</v>
      </c>
      <c r="U190" s="3">
        <v>0.1</v>
      </c>
      <c r="V190" s="3">
        <v>0</v>
      </c>
      <c r="Z190"/>
      <c r="AA190"/>
      <c r="AB190"/>
      <c r="AC190"/>
      <c r="AD190"/>
      <c r="AE190"/>
      <c r="AF190"/>
      <c r="AG190"/>
      <c r="AH190"/>
      <c r="AI190"/>
      <c r="AJ190"/>
      <c r="AK190"/>
      <c r="AL190"/>
      <c r="AM190"/>
      <c r="AN190"/>
      <c r="AO190"/>
      <c r="AP190"/>
      <c r="AQ190"/>
      <c r="AR190"/>
      <c r="AS190"/>
      <c r="AT190"/>
    </row>
    <row r="191" spans="1:46" x14ac:dyDescent="0.35">
      <c r="Z191"/>
      <c r="AA191"/>
      <c r="AB191"/>
      <c r="AC191"/>
      <c r="AD191"/>
      <c r="AE191"/>
      <c r="AF191"/>
      <c r="AG191"/>
      <c r="AH191"/>
      <c r="AI191"/>
      <c r="AJ191"/>
      <c r="AK191"/>
      <c r="AL191"/>
      <c r="AM191"/>
      <c r="AN191"/>
      <c r="AO191"/>
      <c r="AP191"/>
      <c r="AQ191"/>
      <c r="AR191"/>
      <c r="AS191"/>
      <c r="AT191"/>
    </row>
    <row r="192" spans="1:46" x14ac:dyDescent="0.35">
      <c r="Z192"/>
      <c r="AA192"/>
      <c r="AB192"/>
      <c r="AC192"/>
      <c r="AD192"/>
      <c r="AE192"/>
      <c r="AF192"/>
      <c r="AG192"/>
      <c r="AH192"/>
      <c r="AI192"/>
      <c r="AJ192"/>
      <c r="AK192"/>
      <c r="AL192"/>
      <c r="AM192"/>
      <c r="AN192"/>
      <c r="AO192"/>
      <c r="AP192"/>
      <c r="AQ192"/>
      <c r="AR192"/>
      <c r="AS192"/>
      <c r="AT192"/>
    </row>
    <row r="193" spans="26:46" x14ac:dyDescent="0.35">
      <c r="Z193"/>
      <c r="AA193"/>
      <c r="AB193"/>
      <c r="AC193"/>
      <c r="AD193"/>
      <c r="AE193"/>
      <c r="AF193"/>
      <c r="AG193"/>
      <c r="AH193"/>
      <c r="AI193"/>
      <c r="AJ193"/>
      <c r="AK193"/>
      <c r="AL193"/>
      <c r="AM193"/>
      <c r="AN193"/>
      <c r="AO193"/>
      <c r="AP193"/>
      <c r="AQ193"/>
      <c r="AR193"/>
      <c r="AS193"/>
      <c r="AT193"/>
    </row>
    <row r="194" spans="26:46" x14ac:dyDescent="0.35">
      <c r="Z194"/>
      <c r="AA194"/>
      <c r="AB194"/>
      <c r="AC194"/>
      <c r="AD194"/>
      <c r="AE194"/>
      <c r="AF194"/>
      <c r="AG194"/>
      <c r="AH194"/>
      <c r="AI194"/>
      <c r="AJ194"/>
      <c r="AK194"/>
      <c r="AL194"/>
      <c r="AM194"/>
      <c r="AN194"/>
      <c r="AO194"/>
      <c r="AP194"/>
      <c r="AQ194"/>
      <c r="AR194"/>
      <c r="AS194"/>
      <c r="AT194"/>
    </row>
    <row r="195" spans="26:46" x14ac:dyDescent="0.35">
      <c r="Z195"/>
      <c r="AA195"/>
      <c r="AB195"/>
      <c r="AC195"/>
      <c r="AD195"/>
      <c r="AE195"/>
      <c r="AF195"/>
      <c r="AG195"/>
      <c r="AH195"/>
      <c r="AI195"/>
      <c r="AJ195"/>
      <c r="AK195"/>
      <c r="AL195"/>
      <c r="AM195"/>
      <c r="AN195"/>
      <c r="AO195"/>
      <c r="AP195"/>
      <c r="AQ195"/>
      <c r="AR195"/>
      <c r="AS195"/>
      <c r="AT195"/>
    </row>
    <row r="196" spans="26:46" x14ac:dyDescent="0.35">
      <c r="Z196"/>
      <c r="AA196"/>
      <c r="AB196"/>
      <c r="AC196"/>
      <c r="AD196"/>
      <c r="AE196"/>
      <c r="AF196"/>
      <c r="AG196"/>
      <c r="AH196"/>
      <c r="AI196"/>
      <c r="AJ196"/>
      <c r="AK196"/>
      <c r="AL196"/>
      <c r="AM196"/>
      <c r="AN196"/>
      <c r="AO196"/>
      <c r="AP196"/>
      <c r="AQ196"/>
      <c r="AR196"/>
      <c r="AS196"/>
      <c r="AT196"/>
    </row>
    <row r="197" spans="26:46" x14ac:dyDescent="0.35">
      <c r="Z197"/>
      <c r="AA197"/>
      <c r="AB197"/>
      <c r="AC197"/>
      <c r="AD197"/>
      <c r="AE197"/>
      <c r="AF197"/>
      <c r="AG197"/>
      <c r="AH197"/>
      <c r="AI197"/>
      <c r="AJ197"/>
      <c r="AK197"/>
      <c r="AL197"/>
      <c r="AM197"/>
      <c r="AN197"/>
      <c r="AO197"/>
      <c r="AP197"/>
      <c r="AQ197"/>
      <c r="AR197"/>
      <c r="AS197"/>
      <c r="AT197"/>
    </row>
    <row r="198" spans="26:46" x14ac:dyDescent="0.35">
      <c r="Z198"/>
      <c r="AA198"/>
      <c r="AB198"/>
      <c r="AC198"/>
      <c r="AD198"/>
      <c r="AE198"/>
      <c r="AF198"/>
      <c r="AG198"/>
      <c r="AH198"/>
      <c r="AI198"/>
      <c r="AJ198"/>
      <c r="AK198"/>
      <c r="AL198"/>
      <c r="AM198"/>
      <c r="AN198"/>
      <c r="AO198"/>
      <c r="AP198"/>
      <c r="AQ198"/>
      <c r="AR198"/>
      <c r="AS198"/>
      <c r="AT198"/>
    </row>
    <row r="199" spans="26:46" x14ac:dyDescent="0.35">
      <c r="Z199"/>
      <c r="AA199"/>
      <c r="AB199"/>
      <c r="AC199"/>
      <c r="AD199"/>
      <c r="AE199"/>
      <c r="AF199"/>
      <c r="AG199"/>
      <c r="AH199"/>
      <c r="AI199"/>
      <c r="AJ199"/>
      <c r="AK199"/>
      <c r="AL199"/>
      <c r="AM199"/>
      <c r="AN199"/>
      <c r="AO199"/>
      <c r="AP199"/>
      <c r="AQ199"/>
      <c r="AR199"/>
      <c r="AS199"/>
      <c r="AT199"/>
    </row>
    <row r="200" spans="26:46" x14ac:dyDescent="0.35">
      <c r="Z200"/>
      <c r="AA200"/>
      <c r="AB200"/>
      <c r="AC200"/>
      <c r="AD200"/>
      <c r="AE200"/>
      <c r="AF200"/>
      <c r="AG200"/>
      <c r="AH200"/>
      <c r="AI200"/>
      <c r="AJ200"/>
      <c r="AK200"/>
      <c r="AL200"/>
      <c r="AM200"/>
      <c r="AN200"/>
      <c r="AO200"/>
      <c r="AP200"/>
      <c r="AQ200"/>
      <c r="AR200"/>
      <c r="AS200"/>
      <c r="AT200"/>
    </row>
    <row r="201" spans="26:46" x14ac:dyDescent="0.35">
      <c r="Z201"/>
      <c r="AA201"/>
      <c r="AB201"/>
      <c r="AC201"/>
      <c r="AD201"/>
      <c r="AE201"/>
      <c r="AF201"/>
      <c r="AG201"/>
      <c r="AH201"/>
      <c r="AI201"/>
      <c r="AJ201"/>
      <c r="AK201"/>
      <c r="AL201"/>
      <c r="AM201"/>
      <c r="AN201"/>
      <c r="AO201"/>
      <c r="AP201"/>
      <c r="AQ201"/>
      <c r="AR201"/>
      <c r="AS201"/>
      <c r="AT201"/>
    </row>
    <row r="202" spans="26:46" x14ac:dyDescent="0.35">
      <c r="Z202"/>
      <c r="AA202"/>
      <c r="AB202"/>
      <c r="AC202"/>
      <c r="AD202"/>
      <c r="AE202"/>
      <c r="AF202"/>
      <c r="AG202"/>
      <c r="AH202"/>
      <c r="AI202"/>
      <c r="AJ202"/>
      <c r="AK202"/>
      <c r="AL202"/>
      <c r="AM202"/>
      <c r="AN202"/>
      <c r="AO202"/>
      <c r="AP202"/>
      <c r="AQ202"/>
      <c r="AR202"/>
      <c r="AS202"/>
      <c r="AT202"/>
    </row>
    <row r="203" spans="26:46" x14ac:dyDescent="0.35">
      <c r="Z203"/>
      <c r="AA203"/>
      <c r="AB203"/>
      <c r="AC203"/>
      <c r="AD203"/>
      <c r="AE203"/>
      <c r="AF203"/>
      <c r="AG203"/>
      <c r="AH203"/>
      <c r="AI203"/>
      <c r="AJ203"/>
      <c r="AK203"/>
      <c r="AL203"/>
      <c r="AM203"/>
      <c r="AN203"/>
      <c r="AO203"/>
      <c r="AP203"/>
      <c r="AQ203"/>
      <c r="AR203"/>
      <c r="AS203"/>
      <c r="AT203"/>
    </row>
    <row r="204" spans="26:46" x14ac:dyDescent="0.35">
      <c r="Z204"/>
      <c r="AA204"/>
      <c r="AB204"/>
      <c r="AC204"/>
      <c r="AD204"/>
      <c r="AE204"/>
      <c r="AF204"/>
      <c r="AG204"/>
      <c r="AH204"/>
      <c r="AI204"/>
      <c r="AJ204"/>
      <c r="AK204"/>
      <c r="AL204"/>
      <c r="AM204"/>
      <c r="AN204"/>
      <c r="AO204"/>
      <c r="AP204"/>
      <c r="AQ204"/>
      <c r="AR204"/>
      <c r="AS204"/>
      <c r="AT204"/>
    </row>
    <row r="205" spans="26:46" x14ac:dyDescent="0.35">
      <c r="Z205"/>
      <c r="AA205"/>
      <c r="AB205"/>
      <c r="AC205"/>
      <c r="AD205"/>
      <c r="AE205"/>
      <c r="AF205"/>
      <c r="AG205"/>
      <c r="AH205"/>
      <c r="AI205"/>
      <c r="AJ205"/>
      <c r="AK205"/>
      <c r="AL205"/>
      <c r="AM205"/>
      <c r="AN205"/>
      <c r="AO205"/>
      <c r="AP205"/>
      <c r="AQ205"/>
      <c r="AR205"/>
      <c r="AS205"/>
      <c r="AT205"/>
    </row>
    <row r="206" spans="26:46" x14ac:dyDescent="0.35">
      <c r="Z206"/>
      <c r="AA206"/>
      <c r="AB206"/>
      <c r="AC206"/>
      <c r="AD206"/>
      <c r="AE206"/>
      <c r="AF206"/>
      <c r="AG206"/>
      <c r="AH206"/>
      <c r="AI206"/>
      <c r="AJ206"/>
      <c r="AK206"/>
      <c r="AL206"/>
      <c r="AM206"/>
      <c r="AN206"/>
      <c r="AO206"/>
      <c r="AP206"/>
      <c r="AQ206"/>
      <c r="AR206"/>
      <c r="AS206"/>
      <c r="AT206"/>
    </row>
    <row r="207" spans="26:46" x14ac:dyDescent="0.35">
      <c r="Z207"/>
      <c r="AA207"/>
      <c r="AB207"/>
      <c r="AC207"/>
      <c r="AD207"/>
      <c r="AE207"/>
      <c r="AF207"/>
      <c r="AG207"/>
      <c r="AH207"/>
      <c r="AI207"/>
      <c r="AJ207"/>
      <c r="AK207"/>
      <c r="AL207"/>
      <c r="AM207"/>
      <c r="AN207"/>
      <c r="AO207"/>
      <c r="AP207"/>
      <c r="AQ207"/>
      <c r="AR207"/>
      <c r="AS207"/>
      <c r="AT207"/>
    </row>
    <row r="208" spans="26:46" x14ac:dyDescent="0.35">
      <c r="Z208"/>
      <c r="AA208"/>
      <c r="AB208"/>
      <c r="AC208"/>
      <c r="AD208"/>
      <c r="AE208"/>
      <c r="AF208"/>
      <c r="AG208"/>
      <c r="AH208"/>
      <c r="AI208"/>
      <c r="AJ208"/>
      <c r="AK208"/>
      <c r="AL208"/>
      <c r="AM208"/>
      <c r="AN208"/>
      <c r="AO208"/>
      <c r="AP208"/>
      <c r="AQ208"/>
      <c r="AR208"/>
      <c r="AS208"/>
      <c r="AT208"/>
    </row>
    <row r="209" spans="1:46" x14ac:dyDescent="0.35">
      <c r="Z209"/>
      <c r="AA209"/>
      <c r="AB209"/>
      <c r="AC209"/>
      <c r="AD209"/>
      <c r="AE209"/>
      <c r="AF209"/>
      <c r="AG209"/>
      <c r="AH209"/>
      <c r="AI209"/>
      <c r="AJ209"/>
      <c r="AK209"/>
      <c r="AL209"/>
      <c r="AM209"/>
      <c r="AN209"/>
      <c r="AO209"/>
      <c r="AP209"/>
      <c r="AQ209"/>
      <c r="AR209"/>
      <c r="AS209"/>
      <c r="AT209"/>
    </row>
    <row r="210" spans="1:46" x14ac:dyDescent="0.35">
      <c r="Z210"/>
      <c r="AA210"/>
      <c r="AB210"/>
      <c r="AC210"/>
      <c r="AD210"/>
      <c r="AE210"/>
      <c r="AF210"/>
      <c r="AG210"/>
      <c r="AH210"/>
      <c r="AI210"/>
      <c r="AJ210"/>
      <c r="AK210"/>
      <c r="AL210"/>
      <c r="AM210"/>
      <c r="AN210"/>
      <c r="AO210"/>
      <c r="AP210"/>
      <c r="AQ210"/>
      <c r="AR210"/>
      <c r="AS210"/>
      <c r="AT210"/>
    </row>
    <row r="211" spans="1:46" x14ac:dyDescent="0.35">
      <c r="A211" s="193"/>
      <c r="B211" s="449"/>
      <c r="Z211"/>
      <c r="AA211"/>
      <c r="AB211"/>
      <c r="AC211"/>
      <c r="AD211"/>
      <c r="AE211"/>
      <c r="AF211"/>
      <c r="AG211"/>
      <c r="AH211"/>
      <c r="AI211"/>
      <c r="AJ211"/>
      <c r="AK211"/>
      <c r="AL211"/>
      <c r="AM211"/>
      <c r="AN211"/>
      <c r="AO211"/>
      <c r="AP211"/>
      <c r="AQ211"/>
      <c r="AR211"/>
      <c r="AS211"/>
      <c r="AT211"/>
    </row>
    <row r="212" spans="1:46" x14ac:dyDescent="0.35">
      <c r="A212" s="193"/>
      <c r="B212" s="449"/>
      <c r="Z212"/>
      <c r="AA212"/>
      <c r="AB212"/>
      <c r="AC212"/>
      <c r="AD212"/>
      <c r="AE212"/>
      <c r="AF212"/>
      <c r="AG212"/>
      <c r="AH212"/>
      <c r="AI212"/>
      <c r="AJ212"/>
      <c r="AK212"/>
      <c r="AL212"/>
      <c r="AM212"/>
      <c r="AN212"/>
      <c r="AO212"/>
      <c r="AP212"/>
      <c r="AQ212"/>
      <c r="AR212"/>
      <c r="AS212"/>
      <c r="AT212"/>
    </row>
    <row r="213" spans="1:46" x14ac:dyDescent="0.35">
      <c r="A213" s="193"/>
      <c r="B213" s="449"/>
      <c r="Z213"/>
      <c r="AA213"/>
      <c r="AB213"/>
      <c r="AC213"/>
      <c r="AD213"/>
      <c r="AE213"/>
      <c r="AF213"/>
      <c r="AG213"/>
      <c r="AH213"/>
      <c r="AI213"/>
      <c r="AJ213"/>
      <c r="AK213"/>
      <c r="AL213"/>
      <c r="AM213"/>
      <c r="AN213"/>
      <c r="AO213"/>
      <c r="AP213"/>
      <c r="AQ213"/>
      <c r="AR213"/>
      <c r="AS213"/>
      <c r="AT213"/>
    </row>
    <row r="214" spans="1:46" x14ac:dyDescent="0.35">
      <c r="A214" s="450"/>
      <c r="B214" s="449"/>
      <c r="Z214"/>
      <c r="AA214"/>
      <c r="AB214"/>
      <c r="AC214"/>
      <c r="AD214"/>
      <c r="AE214"/>
      <c r="AF214"/>
      <c r="AG214"/>
      <c r="AH214"/>
      <c r="AI214"/>
      <c r="AJ214"/>
      <c r="AK214"/>
      <c r="AL214"/>
      <c r="AM214"/>
      <c r="AN214"/>
      <c r="AO214"/>
      <c r="AP214"/>
      <c r="AQ214"/>
      <c r="AR214"/>
      <c r="AS214"/>
      <c r="AT214"/>
    </row>
    <row r="215" spans="1:46" x14ac:dyDescent="0.35">
      <c r="A215" s="193"/>
      <c r="B215" s="449"/>
      <c r="Z215"/>
      <c r="AA215"/>
      <c r="AB215"/>
      <c r="AC215"/>
      <c r="AD215"/>
      <c r="AE215"/>
      <c r="AF215"/>
      <c r="AG215"/>
      <c r="AH215"/>
      <c r="AI215"/>
      <c r="AJ215"/>
      <c r="AK215"/>
      <c r="AL215"/>
      <c r="AM215"/>
      <c r="AN215"/>
      <c r="AO215"/>
      <c r="AP215"/>
      <c r="AQ215"/>
      <c r="AR215"/>
      <c r="AS215"/>
      <c r="AT215"/>
    </row>
    <row r="216" spans="1:46" x14ac:dyDescent="0.35">
      <c r="Z216"/>
      <c r="AA216"/>
      <c r="AB216"/>
      <c r="AC216"/>
      <c r="AD216"/>
      <c r="AE216"/>
      <c r="AF216"/>
      <c r="AG216"/>
      <c r="AH216"/>
      <c r="AI216"/>
      <c r="AJ216"/>
      <c r="AK216"/>
      <c r="AL216"/>
      <c r="AM216"/>
      <c r="AN216"/>
      <c r="AO216"/>
      <c r="AP216"/>
      <c r="AQ216"/>
      <c r="AR216"/>
      <c r="AS216"/>
      <c r="AT216"/>
    </row>
    <row r="217" spans="1:46" x14ac:dyDescent="0.35">
      <c r="Z217"/>
      <c r="AA217"/>
      <c r="AB217"/>
      <c r="AC217"/>
      <c r="AD217"/>
      <c r="AE217"/>
      <c r="AF217"/>
      <c r="AG217"/>
      <c r="AH217"/>
      <c r="AI217"/>
      <c r="AJ217"/>
      <c r="AK217"/>
      <c r="AL217"/>
      <c r="AM217"/>
      <c r="AN217"/>
      <c r="AO217"/>
      <c r="AP217"/>
      <c r="AQ217"/>
      <c r="AR217"/>
      <c r="AS217"/>
      <c r="AT217"/>
    </row>
    <row r="218" spans="1:46" x14ac:dyDescent="0.35">
      <c r="Z218"/>
      <c r="AA218"/>
      <c r="AB218"/>
      <c r="AC218"/>
      <c r="AD218"/>
      <c r="AE218"/>
      <c r="AF218"/>
      <c r="AG218"/>
      <c r="AH218"/>
      <c r="AI218"/>
      <c r="AJ218"/>
      <c r="AK218"/>
      <c r="AL218"/>
      <c r="AM218"/>
      <c r="AN218"/>
      <c r="AO218"/>
      <c r="AP218"/>
      <c r="AQ218"/>
      <c r="AR218"/>
      <c r="AS218"/>
      <c r="AT218"/>
    </row>
    <row r="219" spans="1:46" x14ac:dyDescent="0.35">
      <c r="Z219"/>
      <c r="AA219"/>
      <c r="AB219"/>
      <c r="AC219"/>
      <c r="AD219"/>
      <c r="AE219"/>
      <c r="AF219"/>
      <c r="AG219"/>
      <c r="AH219"/>
      <c r="AI219"/>
      <c r="AJ219"/>
      <c r="AK219"/>
      <c r="AL219"/>
      <c r="AM219"/>
      <c r="AN219"/>
      <c r="AO219"/>
      <c r="AP219"/>
      <c r="AQ219"/>
      <c r="AR219"/>
      <c r="AS219"/>
      <c r="AT219"/>
    </row>
    <row r="220" spans="1:46" x14ac:dyDescent="0.35">
      <c r="Z220"/>
      <c r="AA220"/>
      <c r="AB220"/>
      <c r="AC220"/>
      <c r="AD220"/>
      <c r="AE220"/>
      <c r="AF220"/>
      <c r="AG220"/>
      <c r="AH220"/>
      <c r="AI220"/>
      <c r="AJ220"/>
      <c r="AK220"/>
      <c r="AL220"/>
      <c r="AM220"/>
      <c r="AN220"/>
      <c r="AO220"/>
      <c r="AP220"/>
      <c r="AQ220"/>
      <c r="AR220"/>
      <c r="AS220"/>
      <c r="AT220"/>
    </row>
    <row r="221" spans="1:46" x14ac:dyDescent="0.35">
      <c r="Z221"/>
      <c r="AA221"/>
      <c r="AB221"/>
      <c r="AC221"/>
      <c r="AD221"/>
      <c r="AE221"/>
      <c r="AF221"/>
      <c r="AG221"/>
      <c r="AH221"/>
      <c r="AI221"/>
      <c r="AJ221"/>
      <c r="AK221"/>
      <c r="AL221"/>
      <c r="AM221"/>
      <c r="AN221"/>
      <c r="AO221"/>
      <c r="AP221"/>
      <c r="AQ221"/>
      <c r="AR221"/>
      <c r="AS221"/>
      <c r="AT221"/>
    </row>
    <row r="222" spans="1:46" x14ac:dyDescent="0.35">
      <c r="Z222"/>
      <c r="AA222"/>
      <c r="AB222"/>
      <c r="AC222"/>
      <c r="AD222"/>
      <c r="AE222"/>
      <c r="AF222"/>
      <c r="AG222"/>
      <c r="AH222"/>
      <c r="AI222"/>
      <c r="AJ222"/>
      <c r="AK222"/>
      <c r="AL222"/>
      <c r="AM222"/>
      <c r="AN222"/>
      <c r="AO222"/>
      <c r="AP222"/>
      <c r="AQ222"/>
      <c r="AR222"/>
      <c r="AS222"/>
      <c r="AT222"/>
    </row>
    <row r="223" spans="1:46" x14ac:dyDescent="0.35">
      <c r="Z223"/>
      <c r="AA223"/>
      <c r="AB223"/>
      <c r="AC223"/>
      <c r="AD223"/>
      <c r="AE223"/>
      <c r="AF223"/>
      <c r="AG223"/>
      <c r="AH223"/>
      <c r="AI223"/>
      <c r="AJ223"/>
      <c r="AK223"/>
      <c r="AL223"/>
      <c r="AM223"/>
      <c r="AN223"/>
      <c r="AO223"/>
      <c r="AP223"/>
      <c r="AQ223"/>
      <c r="AR223"/>
      <c r="AS223"/>
      <c r="AT223"/>
    </row>
    <row r="224" spans="1:46" x14ac:dyDescent="0.35">
      <c r="Z224"/>
      <c r="AA224"/>
      <c r="AB224"/>
      <c r="AC224"/>
      <c r="AD224"/>
      <c r="AE224"/>
      <c r="AF224"/>
      <c r="AG224"/>
      <c r="AH224"/>
      <c r="AI224"/>
      <c r="AJ224"/>
      <c r="AK224"/>
      <c r="AL224"/>
      <c r="AM224"/>
      <c r="AN224"/>
      <c r="AO224"/>
      <c r="AP224"/>
      <c r="AQ224"/>
      <c r="AR224"/>
      <c r="AS224"/>
      <c r="AT224"/>
    </row>
    <row r="225" spans="23:46" x14ac:dyDescent="0.35">
      <c r="Z225"/>
      <c r="AA225"/>
      <c r="AB225"/>
      <c r="AC225"/>
      <c r="AD225"/>
      <c r="AE225"/>
      <c r="AF225"/>
      <c r="AG225"/>
      <c r="AH225"/>
      <c r="AI225"/>
      <c r="AJ225"/>
      <c r="AK225"/>
      <c r="AL225"/>
      <c r="AM225"/>
      <c r="AN225"/>
      <c r="AO225"/>
      <c r="AP225"/>
      <c r="AQ225"/>
      <c r="AR225"/>
      <c r="AS225"/>
      <c r="AT225"/>
    </row>
    <row r="226" spans="23:46" x14ac:dyDescent="0.35">
      <c r="Z226"/>
      <c r="AA226"/>
      <c r="AB226"/>
      <c r="AC226"/>
      <c r="AD226"/>
      <c r="AE226"/>
      <c r="AF226"/>
      <c r="AG226"/>
      <c r="AH226"/>
      <c r="AI226"/>
      <c r="AJ226"/>
      <c r="AK226"/>
      <c r="AL226"/>
      <c r="AM226"/>
      <c r="AN226"/>
      <c r="AO226"/>
      <c r="AP226"/>
      <c r="AQ226"/>
      <c r="AR226"/>
      <c r="AS226"/>
      <c r="AT226"/>
    </row>
    <row r="227" spans="23:46" x14ac:dyDescent="0.35">
      <c r="W227" s="34"/>
      <c r="Z227"/>
      <c r="AA227"/>
      <c r="AB227"/>
      <c r="AC227"/>
      <c r="AD227"/>
      <c r="AE227"/>
      <c r="AF227"/>
      <c r="AG227"/>
      <c r="AH227"/>
      <c r="AI227"/>
      <c r="AJ227"/>
      <c r="AK227"/>
      <c r="AL227"/>
      <c r="AM227"/>
      <c r="AN227"/>
      <c r="AO227"/>
      <c r="AP227"/>
      <c r="AQ227"/>
      <c r="AR227"/>
      <c r="AS227"/>
      <c r="AT227"/>
    </row>
    <row r="228" spans="23:46" x14ac:dyDescent="0.35">
      <c r="Z228"/>
      <c r="AA228"/>
      <c r="AB228"/>
      <c r="AC228"/>
      <c r="AD228"/>
      <c r="AE228"/>
      <c r="AF228"/>
      <c r="AG228"/>
      <c r="AH228"/>
      <c r="AI228"/>
      <c r="AJ228"/>
      <c r="AK228"/>
      <c r="AL228"/>
      <c r="AM228"/>
      <c r="AN228"/>
      <c r="AO228"/>
      <c r="AP228"/>
      <c r="AQ228"/>
      <c r="AR228"/>
      <c r="AS228"/>
      <c r="AT228"/>
    </row>
    <row r="229" spans="23:46" x14ac:dyDescent="0.35">
      <c r="Z229"/>
      <c r="AA229"/>
      <c r="AB229"/>
      <c r="AC229"/>
      <c r="AD229"/>
      <c r="AE229"/>
      <c r="AF229"/>
      <c r="AG229"/>
      <c r="AH229"/>
      <c r="AI229"/>
      <c r="AJ229"/>
      <c r="AK229"/>
      <c r="AL229"/>
      <c r="AM229"/>
      <c r="AN229"/>
      <c r="AO229"/>
      <c r="AP229"/>
      <c r="AQ229"/>
      <c r="AR229"/>
      <c r="AS229"/>
      <c r="AT229"/>
    </row>
    <row r="230" spans="23:46" x14ac:dyDescent="0.35">
      <c r="Z230"/>
      <c r="AA230"/>
      <c r="AB230"/>
      <c r="AC230"/>
      <c r="AD230"/>
      <c r="AE230"/>
      <c r="AF230"/>
      <c r="AG230"/>
      <c r="AH230"/>
      <c r="AI230"/>
      <c r="AJ230"/>
      <c r="AK230"/>
      <c r="AL230"/>
      <c r="AM230"/>
      <c r="AN230"/>
      <c r="AO230"/>
      <c r="AP230"/>
      <c r="AQ230"/>
      <c r="AR230"/>
      <c r="AS230"/>
      <c r="AT230"/>
    </row>
    <row r="231" spans="23:46" x14ac:dyDescent="0.35">
      <c r="Z231"/>
      <c r="AA231"/>
      <c r="AB231"/>
      <c r="AC231"/>
      <c r="AD231"/>
      <c r="AE231"/>
      <c r="AF231"/>
      <c r="AG231"/>
      <c r="AH231"/>
      <c r="AI231"/>
      <c r="AJ231"/>
      <c r="AK231"/>
      <c r="AL231"/>
      <c r="AM231"/>
      <c r="AN231"/>
      <c r="AO231"/>
      <c r="AP231"/>
      <c r="AQ231"/>
      <c r="AR231"/>
      <c r="AS231"/>
      <c r="AT231"/>
    </row>
    <row r="232" spans="23:46" x14ac:dyDescent="0.35">
      <c r="Z232"/>
      <c r="AA232"/>
      <c r="AB232"/>
      <c r="AC232"/>
      <c r="AD232"/>
      <c r="AE232"/>
      <c r="AF232"/>
      <c r="AG232"/>
      <c r="AH232"/>
      <c r="AI232"/>
      <c r="AJ232"/>
      <c r="AK232"/>
      <c r="AL232"/>
      <c r="AM232"/>
      <c r="AN232"/>
      <c r="AO232"/>
      <c r="AP232"/>
      <c r="AQ232"/>
      <c r="AR232"/>
      <c r="AS232"/>
      <c r="AT232"/>
    </row>
    <row r="233" spans="23:46" x14ac:dyDescent="0.35">
      <c r="Z233"/>
      <c r="AA233"/>
      <c r="AB233"/>
      <c r="AC233"/>
      <c r="AD233"/>
      <c r="AE233"/>
      <c r="AF233"/>
      <c r="AG233"/>
      <c r="AH233"/>
      <c r="AI233"/>
      <c r="AJ233"/>
      <c r="AK233"/>
      <c r="AL233"/>
      <c r="AM233"/>
      <c r="AN233"/>
      <c r="AO233"/>
      <c r="AP233"/>
      <c r="AQ233"/>
      <c r="AR233"/>
      <c r="AS233"/>
      <c r="AT233"/>
    </row>
    <row r="234" spans="23:46" x14ac:dyDescent="0.35">
      <c r="Z234"/>
      <c r="AA234"/>
      <c r="AB234"/>
      <c r="AC234"/>
      <c r="AD234"/>
      <c r="AE234"/>
      <c r="AF234"/>
      <c r="AG234"/>
      <c r="AH234"/>
      <c r="AI234"/>
      <c r="AJ234"/>
      <c r="AK234"/>
      <c r="AL234"/>
      <c r="AM234"/>
      <c r="AN234"/>
      <c r="AO234"/>
      <c r="AP234"/>
      <c r="AQ234"/>
      <c r="AR234"/>
      <c r="AS234"/>
      <c r="AT234"/>
    </row>
    <row r="235" spans="23:46" x14ac:dyDescent="0.35">
      <c r="Z235"/>
      <c r="AA235"/>
      <c r="AB235"/>
      <c r="AC235"/>
      <c r="AD235"/>
      <c r="AE235"/>
      <c r="AF235"/>
      <c r="AG235"/>
      <c r="AH235"/>
      <c r="AI235"/>
      <c r="AJ235"/>
      <c r="AK235"/>
      <c r="AL235"/>
      <c r="AM235"/>
      <c r="AN235"/>
      <c r="AO235"/>
      <c r="AP235"/>
      <c r="AQ235"/>
      <c r="AR235"/>
      <c r="AS235"/>
      <c r="AT235"/>
    </row>
    <row r="236" spans="23:46" x14ac:dyDescent="0.35">
      <c r="Z236"/>
      <c r="AA236"/>
      <c r="AB236"/>
      <c r="AC236"/>
      <c r="AD236"/>
      <c r="AE236"/>
      <c r="AF236"/>
      <c r="AG236"/>
      <c r="AH236"/>
      <c r="AI236"/>
      <c r="AJ236"/>
      <c r="AK236"/>
      <c r="AL236"/>
      <c r="AM236"/>
      <c r="AN236"/>
      <c r="AO236"/>
      <c r="AP236"/>
      <c r="AQ236"/>
      <c r="AR236"/>
      <c r="AS236"/>
      <c r="AT236"/>
    </row>
    <row r="237" spans="23:46" x14ac:dyDescent="0.35">
      <c r="Z237"/>
      <c r="AA237"/>
      <c r="AB237"/>
      <c r="AC237"/>
      <c r="AD237"/>
      <c r="AE237"/>
      <c r="AF237"/>
      <c r="AG237"/>
      <c r="AH237"/>
      <c r="AI237"/>
      <c r="AJ237"/>
      <c r="AK237"/>
      <c r="AL237"/>
      <c r="AM237"/>
      <c r="AN237"/>
      <c r="AO237"/>
      <c r="AP237"/>
      <c r="AQ237"/>
      <c r="AR237"/>
      <c r="AS237"/>
      <c r="AT237"/>
    </row>
    <row r="238" spans="23:46" x14ac:dyDescent="0.35">
      <c r="Z238"/>
      <c r="AA238"/>
      <c r="AB238"/>
      <c r="AC238"/>
      <c r="AD238"/>
      <c r="AE238"/>
      <c r="AF238"/>
      <c r="AG238"/>
      <c r="AH238"/>
      <c r="AI238"/>
      <c r="AJ238"/>
      <c r="AK238"/>
      <c r="AL238"/>
      <c r="AM238"/>
      <c r="AN238"/>
      <c r="AO238"/>
      <c r="AP238"/>
      <c r="AQ238"/>
      <c r="AR238"/>
      <c r="AS238"/>
      <c r="AT238"/>
    </row>
    <row r="239" spans="23:46" x14ac:dyDescent="0.35">
      <c r="Z239"/>
      <c r="AA239"/>
      <c r="AB239"/>
      <c r="AC239"/>
      <c r="AD239"/>
      <c r="AE239"/>
      <c r="AF239"/>
      <c r="AG239"/>
      <c r="AH239"/>
      <c r="AI239"/>
      <c r="AJ239"/>
      <c r="AK239"/>
      <c r="AL239"/>
      <c r="AM239"/>
      <c r="AN239"/>
      <c r="AO239"/>
      <c r="AP239"/>
      <c r="AQ239"/>
      <c r="AR239"/>
      <c r="AS239"/>
      <c r="AT239"/>
    </row>
    <row r="240" spans="23:46" x14ac:dyDescent="0.35">
      <c r="Z240"/>
      <c r="AA240"/>
      <c r="AB240"/>
      <c r="AC240"/>
      <c r="AD240"/>
      <c r="AE240"/>
      <c r="AF240"/>
      <c r="AG240"/>
      <c r="AH240"/>
      <c r="AI240"/>
      <c r="AJ240"/>
      <c r="AK240"/>
      <c r="AL240"/>
      <c r="AM240"/>
      <c r="AN240"/>
      <c r="AO240"/>
      <c r="AP240"/>
      <c r="AQ240"/>
      <c r="AR240"/>
      <c r="AS240"/>
      <c r="AT240"/>
    </row>
    <row r="241" spans="26:46" x14ac:dyDescent="0.35">
      <c r="Z241"/>
      <c r="AA241"/>
      <c r="AB241"/>
      <c r="AC241"/>
      <c r="AD241"/>
      <c r="AE241"/>
      <c r="AF241"/>
      <c r="AG241"/>
      <c r="AH241"/>
      <c r="AI241"/>
      <c r="AJ241"/>
      <c r="AK241"/>
      <c r="AL241"/>
      <c r="AM241"/>
      <c r="AN241"/>
      <c r="AO241"/>
      <c r="AP241"/>
      <c r="AQ241"/>
      <c r="AR241"/>
      <c r="AS241"/>
      <c r="AT241"/>
    </row>
    <row r="242" spans="26:46" x14ac:dyDescent="0.35">
      <c r="Z242"/>
      <c r="AA242"/>
      <c r="AB242"/>
      <c r="AC242"/>
      <c r="AD242"/>
      <c r="AE242"/>
      <c r="AF242"/>
      <c r="AG242"/>
      <c r="AH242"/>
      <c r="AI242"/>
      <c r="AJ242"/>
      <c r="AK242"/>
      <c r="AL242"/>
      <c r="AM242"/>
      <c r="AN242"/>
      <c r="AO242"/>
      <c r="AP242"/>
      <c r="AQ242"/>
      <c r="AR242"/>
      <c r="AS242"/>
      <c r="AT242"/>
    </row>
    <row r="243" spans="26:46" x14ac:dyDescent="0.35">
      <c r="Z243"/>
      <c r="AA243"/>
      <c r="AB243"/>
      <c r="AC243"/>
      <c r="AD243"/>
      <c r="AE243"/>
      <c r="AF243"/>
      <c r="AG243"/>
      <c r="AH243"/>
      <c r="AI243"/>
      <c r="AJ243"/>
      <c r="AK243"/>
      <c r="AL243"/>
      <c r="AM243"/>
      <c r="AN243"/>
      <c r="AO243"/>
      <c r="AP243"/>
      <c r="AQ243"/>
      <c r="AR243"/>
      <c r="AS243"/>
      <c r="AT243"/>
    </row>
    <row r="244" spans="26:46" x14ac:dyDescent="0.35">
      <c r="Z244"/>
      <c r="AA244"/>
      <c r="AB244"/>
      <c r="AC244"/>
      <c r="AD244"/>
      <c r="AE244"/>
      <c r="AF244"/>
      <c r="AG244"/>
      <c r="AH244"/>
      <c r="AI244"/>
      <c r="AJ244"/>
      <c r="AK244"/>
      <c r="AL244"/>
      <c r="AM244"/>
      <c r="AN244"/>
      <c r="AO244"/>
      <c r="AP244"/>
      <c r="AQ244"/>
      <c r="AR244"/>
      <c r="AS244"/>
      <c r="AT244"/>
    </row>
    <row r="245" spans="26:46" x14ac:dyDescent="0.35">
      <c r="Z245"/>
      <c r="AA245"/>
      <c r="AB245"/>
      <c r="AC245"/>
      <c r="AD245"/>
      <c r="AE245"/>
      <c r="AF245"/>
      <c r="AG245"/>
      <c r="AH245"/>
      <c r="AI245"/>
      <c r="AJ245"/>
      <c r="AK245"/>
      <c r="AL245"/>
      <c r="AM245"/>
      <c r="AN245"/>
      <c r="AO245"/>
      <c r="AP245"/>
      <c r="AQ245"/>
      <c r="AR245"/>
      <c r="AS245"/>
      <c r="AT245"/>
    </row>
  </sheetData>
  <sortState xmlns:xlrd2="http://schemas.microsoft.com/office/spreadsheetml/2017/richdata2" ref="AG219:AL233">
    <sortCondition descending="1" ref="AL219:AL233"/>
  </sortState>
  <mergeCells count="22">
    <mergeCell ref="A153:V153"/>
    <mergeCell ref="Z127:AK127"/>
    <mergeCell ref="Z40:AK40"/>
    <mergeCell ref="AL40:AL55"/>
    <mergeCell ref="AT20:AZ20"/>
    <mergeCell ref="A138:V138"/>
    <mergeCell ref="BF102:BF103"/>
    <mergeCell ref="BG102:BG103"/>
    <mergeCell ref="BH102:BH103"/>
    <mergeCell ref="BB50:BE51"/>
    <mergeCell ref="Z1:AI1"/>
    <mergeCell ref="AL1:AO1"/>
    <mergeCell ref="BB102:BB103"/>
    <mergeCell ref="BC102:BE102"/>
    <mergeCell ref="Z21:AC21"/>
    <mergeCell ref="Z83:AO83"/>
    <mergeCell ref="AG33:AJ34"/>
    <mergeCell ref="A1:V1"/>
    <mergeCell ref="A42:V42"/>
    <mergeCell ref="A52:V52"/>
    <mergeCell ref="A104:V104"/>
    <mergeCell ref="A129:V129"/>
  </mergeCells>
  <conditionalFormatting sqref="B54:V102">
    <cfRule type="cellIs" dxfId="1" priority="2" operator="lessThan">
      <formula>0.005</formula>
    </cfRule>
  </conditionalFormatting>
  <hyperlinks>
    <hyperlink ref="A40" r:id="rId1" display="*StatCan - Vehicle registrations, by type of vehicle table" xr:uid="{8BDE5951-88B5-47C7-822D-507C4DA7AA90}"/>
    <hyperlink ref="Z21" r:id="rId2" display="Average expected useful life of new publicly owned public transit assets in Ontario" xr:uid="{C875ACDA-C7E2-4A09-A881-5AF3306D4648}"/>
    <hyperlink ref="AI27" r:id="rId3" xr:uid="{E4062ADE-E8B4-4E06-AA4C-AF8A3E4C8D5D}"/>
    <hyperlink ref="AI28" r:id="rId4" xr:uid="{18880838-364B-481D-BDA4-478168E80C3D}"/>
    <hyperlink ref="AI29" r:id="rId5" xr:uid="{8B5D2450-37B7-4A71-9D33-C39125039924}"/>
    <hyperlink ref="AI23" r:id="rId6" display="(NHTA, 2022) - CAFE model" xr:uid="{2D8D27D7-953E-42DC-8D2D-E48E6E2469FF}"/>
    <hyperlink ref="AI30" r:id="rId7" xr:uid="{1E1E16AC-0ED8-4B31-915F-AD335BE3762C}"/>
    <hyperlink ref="AI31" r:id="rId8" xr:uid="{61E1FD0C-4C94-4A4D-B222-0D1257630577}"/>
    <hyperlink ref="AI24" r:id="rId9" display="(NHTA, 2022) - CAFE model" xr:uid="{F71D9AEB-47D0-480D-95C7-E5E0D5C2A290}"/>
    <hyperlink ref="AI25" r:id="rId10" display="(NHTA, 2022) - CAFE model" xr:uid="{0F2E680B-833E-4A48-9721-6A5DDCC0DB3A}"/>
    <hyperlink ref="Z83:AO83" r:id="rId11" display="Trucking commodity industry activity by shipment type - StatCan Table: 23-10-0219-01" xr:uid="{B8ED92A8-78EF-49B9-8A8C-E9005A47C915}"/>
    <hyperlink ref="AT20:AY20" r:id="rId12" display="Vehicle registrations by vehicle and fuel type in Ontario - StatCan Table: 23-10-0308-01" xr:uid="{1873F35E-C8DA-4839-8532-2F48FAE26C32}"/>
    <hyperlink ref="AL21" r:id="rId13" display="Vehicle mileage design - NREL/TP-5400-71796" xr:uid="{49D1CEC8-7887-4F0D-A92E-F69D0D9E51AF}"/>
    <hyperlink ref="AN23" r:id="rId14" xr:uid="{33C16D56-011C-4453-91B5-680CA2A9D3FC}"/>
    <hyperlink ref="AN24" r:id="rId15" xr:uid="{A4FBC73E-ABD9-4D04-B0E3-B198D3B6DA35}"/>
    <hyperlink ref="AN25" r:id="rId16" xr:uid="{ACD8FF0F-14C6-43B6-976F-C87B6A4B0D0D}"/>
    <hyperlink ref="AN26" r:id="rId17" xr:uid="{AE0085E9-2922-4C5A-90AA-0DF1855C81E7}"/>
    <hyperlink ref="AN28" r:id="rId18" xr:uid="{8F74C65E-C066-4769-8CFB-6A0DD38EB9CB}"/>
    <hyperlink ref="AN27" r:id="rId19" xr:uid="{5604B94A-C1A6-4DAC-A6B9-3C8EAE374BFC}"/>
    <hyperlink ref="AL30" r:id="rId20" display="Vehicle max VMT - ANL/ESD-22/6 LDV &amp; MHDV Techno-economic Analysis" xr:uid="{D3EA9DF3-25DD-443A-B6D5-92DD4B938A22}"/>
    <hyperlink ref="AN32" r:id="rId21" display="(ANL, 2022) - NHTSA NPRM 2016" xr:uid="{D8618AA1-FD62-4C52-81A9-36C7CA81572A}"/>
    <hyperlink ref="AN33:AN37" r:id="rId22" display="(ANL, 2022) - NHTSA NPRM 2016" xr:uid="{0667990C-CF4F-4768-95F8-878C0F20F5CE}"/>
    <hyperlink ref="BB20" r:id="rId23" display="Fuel economy projections of HDV - FASTSim " xr:uid="{B8CF8F61-FFF3-4C6D-B36B-75293F617E54}"/>
    <hyperlink ref="BG20" r:id="rId24" display="Fuel economy projections of HDV - FASTSim " xr:uid="{2C3B8005-88E5-492A-A481-CF8484121AB6}"/>
    <hyperlink ref="BB53" r:id="rId25" display="Fuel economy projections of HDV - FASTSim " xr:uid="{FD2E34D6-8272-4668-853F-6EEA67762789}"/>
    <hyperlink ref="AM9" r:id="rId26" xr:uid="{B71B4796-D24A-417C-AF76-666EB1898E2A}"/>
    <hyperlink ref="AO21:AP21" r:id="rId27" display="Passenger load factors - TEDB 40 Table 2.13 &amp; NHTS 2017" xr:uid="{BAF1E3DD-5957-4256-B644-2DC3439A7FBE}"/>
    <hyperlink ref="AS1" r:id="rId28" display="Canada Energy Regulator - Canada's Energy Future 2021 Data Appendices, Macro Indicators from ON, Current Policies Scenario" xr:uid="{2AC0C261-E5BF-4B44-BB9E-816A0C3BC77A}"/>
    <hyperlink ref="AS8" r:id="rId29" display="Canada Energy Regulator - Canada's Energy Future 2021 Data Appendices, Macro Indicators from ON, Current Policies Scenario" xr:uid="{DAAF7A9C-FC7C-45BA-AAD1-03047D3C21CB}"/>
    <hyperlink ref="BB62" r:id="rId30" xr:uid="{9F097224-0F29-4760-8409-3731971B733F}"/>
    <hyperlink ref="AI26" r:id="rId31" xr:uid="{5541BDF5-416B-418D-A4CF-D7308E4EE8E1}"/>
  </hyperlinks>
  <pageMargins left="0.7" right="0.7" top="0.75" bottom="0.75" header="0.3" footer="0.3"/>
  <pageSetup orientation="portrait" r:id="rId3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tabColor theme="7" tint="0.39997558519241921"/>
  </sheetPr>
  <dimension ref="A1:AI75"/>
  <sheetViews>
    <sheetView topLeftCell="L23" zoomScaleNormal="100" workbookViewId="0">
      <selection activeCell="V58" sqref="V58"/>
    </sheetView>
  </sheetViews>
  <sheetFormatPr defaultRowHeight="14.5" x14ac:dyDescent="0.35"/>
  <cols>
    <col min="1" max="1" width="83.1796875" bestFit="1" customWidth="1"/>
    <col min="2" max="2" width="53.54296875" customWidth="1"/>
    <col min="3" max="3" width="9.453125" bestFit="1" customWidth="1"/>
    <col min="4" max="4" width="17.81640625" bestFit="1" customWidth="1"/>
    <col min="5" max="5" width="9.26953125" bestFit="1" customWidth="1"/>
    <col min="6" max="6" width="12.26953125" bestFit="1" customWidth="1"/>
    <col min="7" max="7" width="12.81640625" bestFit="1" customWidth="1"/>
    <col min="9" max="9" width="12.1796875" customWidth="1"/>
    <col min="10" max="10" width="61.81640625" customWidth="1"/>
    <col min="11" max="11" width="72.54296875" bestFit="1" customWidth="1"/>
    <col min="13" max="13" width="43.1796875" customWidth="1"/>
    <col min="14" max="14" width="15.54296875" bestFit="1" customWidth="1"/>
    <col min="15" max="15" width="12.81640625" bestFit="1" customWidth="1"/>
    <col min="16" max="16" width="22.1796875" customWidth="1"/>
    <col min="17" max="17" width="36.1796875" customWidth="1"/>
    <col min="18" max="18" width="11.1796875" bestFit="1" customWidth="1"/>
    <col min="19" max="20" width="19.1796875" bestFit="1" customWidth="1"/>
    <col min="21" max="21" width="16.453125" customWidth="1"/>
    <col min="22" max="22" width="17.453125" customWidth="1"/>
    <col min="23" max="24" width="11.1796875" bestFit="1" customWidth="1"/>
    <col min="25" max="25" width="8.7265625" customWidth="1"/>
    <col min="26" max="26" width="10.54296875" customWidth="1"/>
    <col min="27" max="27" width="13.81640625" customWidth="1"/>
    <col min="28" max="29" width="9.453125" bestFit="1" customWidth="1"/>
    <col min="31" max="31" width="9" bestFit="1" customWidth="1"/>
    <col min="32" max="32" width="11.1796875" customWidth="1"/>
    <col min="33" max="34" width="4.26953125" bestFit="1" customWidth="1"/>
    <col min="35" max="35" width="6.26953125" bestFit="1" customWidth="1"/>
  </cols>
  <sheetData>
    <row r="1" spans="1:29" ht="16" thickBot="1" x14ac:dyDescent="0.4">
      <c r="A1" s="470" t="s">
        <v>900</v>
      </c>
      <c r="B1" s="470"/>
      <c r="C1" s="475" t="s">
        <v>146</v>
      </c>
      <c r="D1" s="474"/>
      <c r="E1" s="474"/>
      <c r="F1" s="474"/>
      <c r="G1" s="474"/>
      <c r="I1" s="531" t="s">
        <v>1505</v>
      </c>
      <c r="J1" s="531"/>
      <c r="K1" s="531"/>
      <c r="M1" s="531" t="s">
        <v>1508</v>
      </c>
      <c r="N1" s="531"/>
      <c r="O1" s="531"/>
      <c r="P1" s="531"/>
      <c r="Q1" s="531"/>
      <c r="R1" s="531"/>
      <c r="S1" s="531"/>
      <c r="T1" s="531"/>
    </row>
    <row r="2" spans="1:29" ht="15" thickBot="1" x14ac:dyDescent="0.4">
      <c r="A2" s="245" t="s">
        <v>1515</v>
      </c>
      <c r="B2" s="245" t="s">
        <v>93</v>
      </c>
      <c r="C2" s="67" t="s">
        <v>147</v>
      </c>
      <c r="D2" s="15" t="s">
        <v>151</v>
      </c>
      <c r="E2" s="12" t="s">
        <v>148</v>
      </c>
      <c r="F2" s="12" t="s">
        <v>149</v>
      </c>
      <c r="G2" s="12" t="s">
        <v>150</v>
      </c>
      <c r="I2" s="474" t="s">
        <v>1337</v>
      </c>
      <c r="J2" s="474"/>
      <c r="K2" s="474"/>
      <c r="M2" s="33" t="s">
        <v>1506</v>
      </c>
      <c r="P2" s="33" t="s">
        <v>1609</v>
      </c>
      <c r="Q2" s="33"/>
      <c r="R2" s="33"/>
      <c r="S2" s="33"/>
      <c r="T2" s="33"/>
    </row>
    <row r="3" spans="1:29" ht="15.5" thickTop="1" thickBot="1" x14ac:dyDescent="0.4">
      <c r="A3" s="33" t="s">
        <v>1509</v>
      </c>
      <c r="I3" s="105" t="s">
        <v>1336</v>
      </c>
      <c r="J3" s="105" t="s">
        <v>1</v>
      </c>
      <c r="K3" s="105" t="s">
        <v>1377</v>
      </c>
      <c r="M3" s="105" t="s">
        <v>95</v>
      </c>
      <c r="N3" s="105" t="s">
        <v>119</v>
      </c>
      <c r="P3" s="105" t="s">
        <v>1435</v>
      </c>
      <c r="Q3" s="129" t="s">
        <v>1606</v>
      </c>
      <c r="R3" s="105">
        <v>2020</v>
      </c>
      <c r="S3" s="105">
        <v>2025</v>
      </c>
      <c r="T3" s="105">
        <v>2030</v>
      </c>
      <c r="U3" s="105">
        <v>2035</v>
      </c>
      <c r="V3" s="105">
        <v>2040</v>
      </c>
      <c r="W3" s="105">
        <v>2045</v>
      </c>
      <c r="X3" s="105">
        <v>2050</v>
      </c>
    </row>
    <row r="4" spans="1:29" ht="15" thickTop="1" x14ac:dyDescent="0.35">
      <c r="A4" s="17" t="s">
        <v>1510</v>
      </c>
      <c r="B4" s="104" t="s">
        <v>1512</v>
      </c>
      <c r="C4">
        <v>2</v>
      </c>
      <c r="D4">
        <v>1</v>
      </c>
      <c r="E4">
        <v>1</v>
      </c>
      <c r="F4">
        <v>1</v>
      </c>
      <c r="G4">
        <v>1</v>
      </c>
      <c r="I4" s="335" t="s">
        <v>1338</v>
      </c>
      <c r="J4" t="s">
        <v>1364</v>
      </c>
      <c r="M4" s="345" t="s">
        <v>2321</v>
      </c>
      <c r="N4" s="104" t="s">
        <v>1507</v>
      </c>
      <c r="P4" s="325" t="s">
        <v>1607</v>
      </c>
      <c r="Q4" s="362"/>
      <c r="R4" s="363">
        <f>R5*$Q5+R6*$Q6</f>
        <v>45546.222329960539</v>
      </c>
      <c r="S4" s="363">
        <f t="shared" ref="S4:X4" si="0">S5*$Q5+S6*$Q6</f>
        <v>43612.276790515432</v>
      </c>
      <c r="T4" s="363">
        <f t="shared" si="0"/>
        <v>42609.135512356326</v>
      </c>
      <c r="U4" s="363">
        <f t="shared" si="0"/>
        <v>38274.621015685349</v>
      </c>
      <c r="V4" s="363">
        <f t="shared" si="0"/>
        <v>36794.434897997642</v>
      </c>
      <c r="W4" s="363">
        <f t="shared" si="0"/>
        <v>35314.248780309936</v>
      </c>
      <c r="X4" s="363">
        <f t="shared" si="0"/>
        <v>33834.062662622229</v>
      </c>
    </row>
    <row r="5" spans="1:29" x14ac:dyDescent="0.35">
      <c r="A5" s="17" t="s">
        <v>1516</v>
      </c>
      <c r="B5" t="s">
        <v>1511</v>
      </c>
      <c r="I5" s="335" t="s">
        <v>1339</v>
      </c>
      <c r="J5" t="s">
        <v>1365</v>
      </c>
      <c r="P5" s="17" t="s">
        <v>976</v>
      </c>
      <c r="Q5" s="361">
        <f>'Eff Calcs'!AW62</f>
        <v>0.54500397685625612</v>
      </c>
      <c r="R5" s="198" cm="1">
        <f t="array" ref="R5">_xlfn._xlws.FILTER('ANL-DOE-LDV Data'!$G:$G, ('ANL-DOE-LDV Data'!$A:$A="BEV200")*('ANL-DOE-LDV Data'!$B:$B=R$3-5)*('ANL-DOE-LDV Data'!$D:$D=$P5))</f>
        <v>44631.216</v>
      </c>
      <c r="S5" s="198" cm="1">
        <f t="array" ref="S5">_xlfn._xlws.FILTER('ANL-DOE-LDV Data'!$G:$G, ('ANL-DOE-LDV Data'!$A:$A="BEV200")*('ANL-DOE-LDV Data'!$B:$B=S$3-5)*('ANL-DOE-LDV Data'!$D:$D=$P5))</f>
        <v>42737.492200000001</v>
      </c>
      <c r="T5" s="198" cm="1">
        <f t="array" ref="T5">_xlfn._xlws.FILTER('ANL-DOE-LDV Data'!$G:$G, ('ANL-DOE-LDV Data'!$A:$A="BEV200")*('ANL-DOE-LDV Data'!$B:$B=T$3-5)*('ANL-DOE-LDV Data'!$D:$D=$P5))</f>
        <v>41687.2526</v>
      </c>
      <c r="U5" s="198" cm="1">
        <f t="array" ref="U5">_xlfn._xlws.FILTER('ANL-DOE-LDV Data'!$G:$G, ('ANL-DOE-LDV Data'!$A:$A="BEV200")*('ANL-DOE-LDV Data'!$B:$B=U$3-5)*('ANL-DOE-LDV Data'!$D:$D=$P5))</f>
        <v>37520.044600000001</v>
      </c>
      <c r="V5" s="198">
        <f>($X5-$U5)/(4-1) + U5</f>
        <v>36066.857066666671</v>
      </c>
      <c r="W5" s="198">
        <f>($X5-$U5)/(4-1) + V5</f>
        <v>34613.669533333341</v>
      </c>
      <c r="X5" s="198" cm="1">
        <f t="array" ref="X5">_xlfn._xlws.FILTER('ANL-DOE-LDV Data'!$G:$G, ('ANL-DOE-LDV Data'!$A:$A="BEV200")*('ANL-DOE-LDV Data'!$B:$B=X$3-5)*('ANL-DOE-LDV Data'!$D:$D=$P5))</f>
        <v>33160.482000000004</v>
      </c>
    </row>
    <row r="6" spans="1:29" x14ac:dyDescent="0.35">
      <c r="A6" s="33" t="s">
        <v>1513</v>
      </c>
      <c r="I6" s="335" t="s">
        <v>1340</v>
      </c>
      <c r="J6" t="s">
        <v>1366</v>
      </c>
      <c r="M6" s="33" t="s">
        <v>2320</v>
      </c>
      <c r="P6" s="17" t="s">
        <v>993</v>
      </c>
      <c r="Q6" s="361">
        <f>'Eff Calcs'!AW63</f>
        <v>0.45499602314374388</v>
      </c>
      <c r="R6" s="198" cm="1">
        <f t="array" ref="R6">_xlfn._xlws.FILTER('ANL-DOE-LDV Data'!$G:$G, ('ANL-DOE-LDV Data'!$A:$A="BEV200")*('ANL-DOE-LDV Data'!$B:$B=R$3-5)*('ANL-DOE-LDV Data'!$D:$D=$P6))</f>
        <v>46642.236499999999</v>
      </c>
      <c r="S6" s="198" cm="1">
        <f t="array" ref="S6">_xlfn._xlws.FILTER('ANL-DOE-LDV Data'!$G:$G, ('ANL-DOE-LDV Data'!$A:$A="BEV200")*('ANL-DOE-LDV Data'!$B:$B=S$3-5)*('ANL-DOE-LDV Data'!$D:$D=$P6))</f>
        <v>44660.112500000003</v>
      </c>
      <c r="T6" s="198" cm="1">
        <f t="array" ref="T6">_xlfn._xlws.FILTER('ANL-DOE-LDV Data'!$G:$G, ('ANL-DOE-LDV Data'!$A:$A="BEV200")*('ANL-DOE-LDV Data'!$B:$B=T$3-5)*('ANL-DOE-LDV Data'!$D:$D=$P6))</f>
        <v>43713.386599999998</v>
      </c>
      <c r="U6" s="198" cm="1">
        <f t="array" ref="U6">_xlfn._xlws.FILTER('ANL-DOE-LDV Data'!$G:$G, ('ANL-DOE-LDV Data'!$A:$A="BEV200")*('ANL-DOE-LDV Data'!$B:$B=U$3-5)*('ANL-DOE-LDV Data'!$D:$D=$P6))</f>
        <v>39178.468800000002</v>
      </c>
      <c r="V6" s="198">
        <f>($X6-$U6)/(4-1) + U6</f>
        <v>37665.943200000002</v>
      </c>
      <c r="W6" s="198">
        <f>($X6-$U6)/(4-1) + V6</f>
        <v>36153.417600000001</v>
      </c>
      <c r="X6" s="198" cm="1">
        <f t="array" ref="X6">_xlfn._xlws.FILTER('ANL-DOE-LDV Data'!$G:$G, ('ANL-DOE-LDV Data'!$A:$A="BEV200")*('ANL-DOE-LDV Data'!$B:$B=X$3-5)*('ANL-DOE-LDV Data'!$D:$D=$P6))</f>
        <v>34640.892</v>
      </c>
    </row>
    <row r="7" spans="1:29" ht="15" thickBot="1" x14ac:dyDescent="0.4">
      <c r="A7" s="17" t="s">
        <v>1514</v>
      </c>
      <c r="B7" t="s">
        <v>1522</v>
      </c>
      <c r="I7" s="335" t="s">
        <v>1341</v>
      </c>
      <c r="J7" t="s">
        <v>1392</v>
      </c>
      <c r="M7" s="105" t="s">
        <v>1435</v>
      </c>
      <c r="N7" s="105" t="s">
        <v>1436</v>
      </c>
      <c r="P7" s="325" t="s">
        <v>1608</v>
      </c>
      <c r="Q7" s="364"/>
      <c r="R7" s="363">
        <f>R8</f>
        <v>88738.433300000004</v>
      </c>
      <c r="S7" s="363">
        <f t="shared" ref="S7:X7" si="1">S8</f>
        <v>84861.550799999997</v>
      </c>
      <c r="T7" s="363">
        <f t="shared" si="1"/>
        <v>82370.993000000002</v>
      </c>
      <c r="U7" s="363">
        <f t="shared" si="1"/>
        <v>73640.793600000005</v>
      </c>
      <c r="V7" s="363">
        <f t="shared" si="1"/>
        <v>70608.91393333333</v>
      </c>
      <c r="W7" s="363">
        <f t="shared" si="1"/>
        <v>67577.034266666655</v>
      </c>
      <c r="X7" s="363">
        <f t="shared" si="1"/>
        <v>64545.154600000002</v>
      </c>
    </row>
    <row r="8" spans="1:29" ht="15" thickTop="1" x14ac:dyDescent="0.35">
      <c r="A8" s="17" t="s">
        <v>1517</v>
      </c>
      <c r="B8" t="s">
        <v>1518</v>
      </c>
      <c r="I8" s="335" t="s">
        <v>1342</v>
      </c>
      <c r="J8" t="s">
        <v>1367</v>
      </c>
      <c r="K8" t="s">
        <v>1394</v>
      </c>
      <c r="M8" t="s">
        <v>1437</v>
      </c>
      <c r="N8" s="58">
        <f>'Background Data'!AZ39/'Background Data'!AZ32</f>
        <v>0.5406226271829917</v>
      </c>
      <c r="P8" s="17" t="s">
        <v>996</v>
      </c>
      <c r="Q8" s="361">
        <v>1</v>
      </c>
      <c r="R8" s="198" cm="1">
        <f t="array" ref="R8">_xlfn._xlws.FILTER('ANL-DOE-LDV Data'!$G:$G, ('ANL-DOE-LDV Data'!$A:$A="BEV300")*('ANL-DOE-LDV Data'!$B:$B=R$3-5)*('ANL-DOE-LDV Data'!$D:$D=$P8))</f>
        <v>88738.433300000004</v>
      </c>
      <c r="S8" s="198" cm="1">
        <f t="array" ref="S8">_xlfn._xlws.FILTER('ANL-DOE-LDV Data'!$G:$G, ('ANL-DOE-LDV Data'!$A:$A="BEV300")*('ANL-DOE-LDV Data'!$B:$B=S$3-5)*('ANL-DOE-LDV Data'!$D:$D=$P8))</f>
        <v>84861.550799999997</v>
      </c>
      <c r="T8" s="198" cm="1">
        <f t="array" ref="T8">_xlfn._xlws.FILTER('ANL-DOE-LDV Data'!$G:$G, ('ANL-DOE-LDV Data'!$A:$A="BEV300")*('ANL-DOE-LDV Data'!$B:$B=T$3-5)*('ANL-DOE-LDV Data'!$D:$D=$P8))</f>
        <v>82370.993000000002</v>
      </c>
      <c r="U8" s="198" cm="1">
        <f t="array" ref="U8">_xlfn._xlws.FILTER('ANL-DOE-LDV Data'!$G:$G, ('ANL-DOE-LDV Data'!$A:$A="BEV300")*('ANL-DOE-LDV Data'!$B:$B=U$3-5)*('ANL-DOE-LDV Data'!$D:$D=$P8))</f>
        <v>73640.793600000005</v>
      </c>
      <c r="V8" s="198">
        <f>($X8-$U8)/(4-1) + U8</f>
        <v>70608.91393333333</v>
      </c>
      <c r="W8" s="198">
        <f>($X8-$U8)/(4-1) + V8</f>
        <v>67577.034266666655</v>
      </c>
      <c r="X8" s="198" cm="1">
        <f t="array" ref="X8">_xlfn._xlws.FILTER('ANL-DOE-LDV Data'!$G:$G, ('ANL-DOE-LDV Data'!$A:$A="BEV300")*('ANL-DOE-LDV Data'!$B:$B=X$3-5)*('ANL-DOE-LDV Data'!$D:$D=$P8))</f>
        <v>64545.154600000002</v>
      </c>
    </row>
    <row r="9" spans="1:29" ht="16.5" x14ac:dyDescent="0.45">
      <c r="A9" s="17" t="s">
        <v>1519</v>
      </c>
      <c r="B9" t="s">
        <v>1622</v>
      </c>
      <c r="I9" s="335" t="s">
        <v>1343</v>
      </c>
      <c r="J9" t="s">
        <v>1368</v>
      </c>
      <c r="M9" t="s">
        <v>1438</v>
      </c>
      <c r="N9" s="58">
        <f>'Background Data'!AZ46/'Background Data'!AZ32</f>
        <v>0.44646924829157175</v>
      </c>
      <c r="P9" s="325" t="s">
        <v>1610</v>
      </c>
      <c r="Q9" s="364"/>
      <c r="R9" s="363">
        <f>R10*$Q10+R11*$Q11</f>
        <v>166418.95503798107</v>
      </c>
      <c r="S9" s="363">
        <f t="shared" ref="S9" si="2">S10*$Q10+S11*$Q11</f>
        <v>158891.97140927127</v>
      </c>
      <c r="T9" s="363">
        <f t="shared" ref="T9" si="3">T10*$Q10+T11*$Q11</f>
        <v>151770.8048373753</v>
      </c>
      <c r="U9" s="363">
        <f t="shared" ref="U9" si="4">U10*$Q10+U11*$Q11</f>
        <v>135056.26409237186</v>
      </c>
      <c r="V9" s="363">
        <f t="shared" ref="V9" si="5">V10*$Q10+V11*$Q11</f>
        <v>129191.87184025777</v>
      </c>
      <c r="W9" s="363">
        <f t="shared" ref="W9" si="6">W10*$Q10+W11*$Q11</f>
        <v>123327.47958814367</v>
      </c>
      <c r="X9" s="363">
        <f t="shared" ref="X9" si="7">X10*$Q10+X11*$Q11</f>
        <v>117463.0873360296</v>
      </c>
    </row>
    <row r="10" spans="1:29" x14ac:dyDescent="0.35">
      <c r="A10" s="17" t="s">
        <v>1520</v>
      </c>
      <c r="B10" t="s">
        <v>2052</v>
      </c>
      <c r="C10">
        <v>3</v>
      </c>
      <c r="D10">
        <v>2</v>
      </c>
      <c r="E10">
        <v>1</v>
      </c>
      <c r="F10">
        <v>2</v>
      </c>
      <c r="G10">
        <v>1</v>
      </c>
      <c r="I10" s="335" t="s">
        <v>1344</v>
      </c>
      <c r="J10" t="s">
        <v>1379</v>
      </c>
      <c r="K10" t="s">
        <v>1378</v>
      </c>
      <c r="M10" s="249" t="s">
        <v>1439</v>
      </c>
      <c r="N10" s="344">
        <f>('Background Data'!AZ53+'Background Data'!AZ60)/'Background Data'!AZ32</f>
        <v>1.2908124525436599E-2</v>
      </c>
      <c r="P10" s="17" t="s">
        <v>994</v>
      </c>
      <c r="Q10" s="361">
        <f>'Eff Calcs'!AW66/SUM('Eff Calcs'!AW66:AW67)</f>
        <v>0.34190576372012044</v>
      </c>
      <c r="R10" s="198" cm="1">
        <f t="array" ref="R10">_xlfn._xlws.FILTER('ANL-DOE-LDV Data'!$G:$G, ('ANL-DOE-LDV Data'!$A:$A="BEV400")*('ANL-DOE-LDV Data'!$B:$B=R$3-5)*('ANL-DOE-LDV Data'!$D:$D=$P10))</f>
        <v>145991.7389</v>
      </c>
      <c r="S10" s="198" cm="1">
        <f t="array" ref="S10">_xlfn._xlws.FILTER('ANL-DOE-LDV Data'!$G:$G, ('ANL-DOE-LDV Data'!$A:$A="BEV400")*('ANL-DOE-LDV Data'!$B:$B=S$3-5)*('ANL-DOE-LDV Data'!$D:$D=$P10))</f>
        <v>139380.69820000001</v>
      </c>
      <c r="T10" s="198" cm="1">
        <f t="array" ref="T10">_xlfn._xlws.FILTER('ANL-DOE-LDV Data'!$G:$G, ('ANL-DOE-LDV Data'!$A:$A="BEV400")*('ANL-DOE-LDV Data'!$B:$B=T$3-5)*('ANL-DOE-LDV Data'!$D:$D=$P10))</f>
        <v>133005.71520000001</v>
      </c>
      <c r="U10" s="198" cm="1">
        <f t="array" ref="U10">_xlfn._xlws.FILTER('ANL-DOE-LDV Data'!$G:$G, ('ANL-DOE-LDV Data'!$A:$A="BEV400")*('ANL-DOE-LDV Data'!$B:$B=U$3-5)*('ANL-DOE-LDV Data'!$D:$D=$P10))</f>
        <v>118576.8461</v>
      </c>
      <c r="V10" s="198">
        <f>($X10-$U10)/(4-1) + U10</f>
        <v>113471.69473333334</v>
      </c>
      <c r="W10" s="198">
        <f>($X10-$U10)/(4-1) + V10</f>
        <v>108366.54336666668</v>
      </c>
      <c r="X10" s="198" cm="1">
        <f t="array" ref="X10">_xlfn._xlws.FILTER('ANL-DOE-LDV Data'!$G:$G, ('ANL-DOE-LDV Data'!$A:$A="BEV400")*('ANL-DOE-LDV Data'!$B:$B=X$3-5)*('ANL-DOE-LDV Data'!$D:$D=$P10))</f>
        <v>103261.39200000001</v>
      </c>
    </row>
    <row r="11" spans="1:29" x14ac:dyDescent="0.35">
      <c r="A11" s="17" t="s">
        <v>1521</v>
      </c>
      <c r="B11" t="s">
        <v>2051</v>
      </c>
      <c r="C11">
        <v>1</v>
      </c>
      <c r="D11">
        <v>1</v>
      </c>
      <c r="E11">
        <v>1</v>
      </c>
      <c r="F11">
        <v>1</v>
      </c>
      <c r="G11">
        <v>1</v>
      </c>
      <c r="I11" s="335" t="s">
        <v>1345</v>
      </c>
      <c r="J11" t="s">
        <v>1369</v>
      </c>
      <c r="N11" s="341">
        <f>SUM(N8:N10)</f>
        <v>1</v>
      </c>
      <c r="P11" s="17" t="s">
        <v>995</v>
      </c>
      <c r="Q11" s="361">
        <f>'Eff Calcs'!AW67/SUM('Eff Calcs'!AW66:AW67)</f>
        <v>0.65809423627987951</v>
      </c>
      <c r="R11" s="198" cm="1">
        <f t="array" ref="R11">_xlfn._xlws.FILTER('ANL-DOE-LDV Data'!$G:$G, ('ANL-DOE-LDV Data'!$A:$A="BEV400")*('ANL-DOE-LDV Data'!$B:$B=R$3-5)*('ANL-DOE-LDV Data'!$D:$D=$P11))</f>
        <v>177031.6949</v>
      </c>
      <c r="S11" s="198" cm="1">
        <f t="array" ref="S11">_xlfn._xlws.FILTER('ANL-DOE-LDV Data'!$G:$G, ('ANL-DOE-LDV Data'!$A:$A="BEV400")*('ANL-DOE-LDV Data'!$B:$B=S$3-5)*('ANL-DOE-LDV Data'!$D:$D=$P11))</f>
        <v>169028.84299999999</v>
      </c>
      <c r="T11" s="198" cm="1">
        <f t="array" ref="T11">_xlfn._xlws.FILTER('ANL-DOE-LDV Data'!$G:$G, ('ANL-DOE-LDV Data'!$A:$A="BEV400")*('ANL-DOE-LDV Data'!$B:$B=T$3-5)*('ANL-DOE-LDV Data'!$D:$D=$P11))</f>
        <v>161520.0048</v>
      </c>
      <c r="U11" s="198" cm="1">
        <f t="array" ref="U11">_xlfn._xlws.FILTER('ANL-DOE-LDV Data'!$G:$G, ('ANL-DOE-LDV Data'!$A:$A="BEV400")*('ANL-DOE-LDV Data'!$B:$B=U$3-5)*('ANL-DOE-LDV Data'!$D:$D=$P11))</f>
        <v>143617.96799999999</v>
      </c>
      <c r="V11" s="198">
        <f>($X11-$U11)/(4-1) + U11</f>
        <v>137359.12033333333</v>
      </c>
      <c r="W11" s="198">
        <f>($X11-$U11)/(4-1) + V11</f>
        <v>131100.27266666666</v>
      </c>
      <c r="X11" s="198" cm="1">
        <f t="array" ref="X11">_xlfn._xlws.FILTER('ANL-DOE-LDV Data'!$G:$G, ('ANL-DOE-LDV Data'!$A:$A="BEV400")*('ANL-DOE-LDV Data'!$B:$B=X$3-5)*('ANL-DOE-LDV Data'!$D:$D=$P11))</f>
        <v>124841.425</v>
      </c>
    </row>
    <row r="12" spans="1:29" x14ac:dyDescent="0.35">
      <c r="A12" s="17" t="s">
        <v>1523</v>
      </c>
      <c r="B12" t="s">
        <v>1524</v>
      </c>
      <c r="I12" s="335" t="s">
        <v>1346</v>
      </c>
      <c r="J12" t="s">
        <v>1370</v>
      </c>
      <c r="P12" s="92"/>
    </row>
    <row r="13" spans="1:29" x14ac:dyDescent="0.35">
      <c r="A13" s="17" t="s">
        <v>1526</v>
      </c>
      <c r="B13" t="s">
        <v>1525</v>
      </c>
      <c r="I13" s="335" t="s">
        <v>1347</v>
      </c>
      <c r="J13" t="s">
        <v>1371</v>
      </c>
      <c r="K13" t="s">
        <v>1387</v>
      </c>
      <c r="M13" s="33" t="s">
        <v>1498</v>
      </c>
      <c r="U13" s="33" t="s">
        <v>1618</v>
      </c>
    </row>
    <row r="14" spans="1:29" ht="15" thickBot="1" x14ac:dyDescent="0.4">
      <c r="A14" s="17" t="s">
        <v>1527</v>
      </c>
      <c r="B14" t="s">
        <v>1620</v>
      </c>
      <c r="C14">
        <v>5</v>
      </c>
      <c r="D14">
        <v>1</v>
      </c>
      <c r="E14">
        <v>1</v>
      </c>
      <c r="F14">
        <v>1</v>
      </c>
      <c r="G14">
        <v>1</v>
      </c>
      <c r="I14" s="335" t="s">
        <v>1348</v>
      </c>
      <c r="J14" t="s">
        <v>1372</v>
      </c>
      <c r="K14" t="s">
        <v>1393</v>
      </c>
      <c r="M14" s="105" t="s">
        <v>1440</v>
      </c>
      <c r="N14" s="105" t="s">
        <v>1445</v>
      </c>
      <c r="O14" s="105" t="s">
        <v>1436</v>
      </c>
      <c r="P14" s="105" t="s">
        <v>119</v>
      </c>
      <c r="U14" s="105" t="s">
        <v>1435</v>
      </c>
      <c r="V14" s="105" t="s">
        <v>1611</v>
      </c>
      <c r="W14" s="105">
        <v>2020</v>
      </c>
      <c r="X14" s="105">
        <v>2025</v>
      </c>
      <c r="Y14" s="105">
        <v>2030</v>
      </c>
      <c r="Z14" s="105">
        <v>2035</v>
      </c>
      <c r="AA14" s="105">
        <v>2040</v>
      </c>
      <c r="AB14" s="105">
        <v>2045</v>
      </c>
      <c r="AC14" s="105">
        <v>2050</v>
      </c>
    </row>
    <row r="15" spans="1:29" ht="15" thickTop="1" x14ac:dyDescent="0.35">
      <c r="A15" s="17" t="s">
        <v>1528</v>
      </c>
      <c r="B15" t="s">
        <v>1621</v>
      </c>
      <c r="C15">
        <v>1</v>
      </c>
      <c r="D15">
        <v>1</v>
      </c>
      <c r="E15">
        <v>1</v>
      </c>
      <c r="F15">
        <v>3</v>
      </c>
      <c r="G15">
        <v>1</v>
      </c>
      <c r="I15" s="335" t="s">
        <v>1349</v>
      </c>
      <c r="J15" t="s">
        <v>1373</v>
      </c>
      <c r="K15" t="s">
        <v>1395</v>
      </c>
      <c r="M15" t="s">
        <v>1441</v>
      </c>
      <c r="N15" s="10">
        <v>6492890</v>
      </c>
      <c r="O15" s="34">
        <f>N15/$N$18</f>
        <v>0.45647613017544642</v>
      </c>
      <c r="P15" s="104" t="s">
        <v>1449</v>
      </c>
      <c r="U15" s="33" t="s">
        <v>1437</v>
      </c>
    </row>
    <row r="16" spans="1:29" ht="15" thickBot="1" x14ac:dyDescent="0.4">
      <c r="A16" s="33" t="s">
        <v>1529</v>
      </c>
      <c r="I16" s="335" t="s">
        <v>1350</v>
      </c>
      <c r="J16" t="s">
        <v>1380</v>
      </c>
      <c r="K16" t="s">
        <v>1394</v>
      </c>
      <c r="M16" t="s">
        <v>1442</v>
      </c>
      <c r="N16" s="10">
        <v>920145</v>
      </c>
      <c r="O16" s="34">
        <f>N16/$N$18</f>
        <v>6.4689872891776412E-2</v>
      </c>
      <c r="P16" s="104" t="s">
        <v>1448</v>
      </c>
      <c r="U16" s="17" t="s">
        <v>1612</v>
      </c>
      <c r="V16">
        <v>0.26</v>
      </c>
      <c r="W16" s="368">
        <v>0.14000000000000001</v>
      </c>
      <c r="X16" s="88">
        <v>0.13333333333333336</v>
      </c>
      <c r="Y16" s="88">
        <v>0.12666666666666668</v>
      </c>
      <c r="Z16" s="88">
        <v>0.12000000000000002</v>
      </c>
      <c r="AA16" s="88">
        <v>0.11333333333333334</v>
      </c>
      <c r="AB16" s="88">
        <v>0.10666666666666667</v>
      </c>
      <c r="AC16" s="368">
        <v>0.1</v>
      </c>
    </row>
    <row r="17" spans="1:32" ht="16.5" x14ac:dyDescent="0.35">
      <c r="A17" s="17" t="s">
        <v>1530</v>
      </c>
      <c r="B17" t="s">
        <v>1986</v>
      </c>
      <c r="C17">
        <v>1</v>
      </c>
      <c r="D17">
        <v>1</v>
      </c>
      <c r="E17">
        <v>1</v>
      </c>
      <c r="F17">
        <v>1</v>
      </c>
      <c r="G17">
        <v>1</v>
      </c>
      <c r="I17" s="335" t="s">
        <v>1351</v>
      </c>
      <c r="J17" t="s">
        <v>1391</v>
      </c>
      <c r="K17" t="s">
        <v>1389</v>
      </c>
      <c r="M17" s="249" t="s">
        <v>1443</v>
      </c>
      <c r="N17" s="20">
        <f>N18-N16-N15</f>
        <v>6810907</v>
      </c>
      <c r="O17" s="37">
        <f>N17/$N$18</f>
        <v>0.47883399693277712</v>
      </c>
      <c r="P17" s="249" t="s">
        <v>1447</v>
      </c>
      <c r="U17" s="17" t="s">
        <v>1613</v>
      </c>
      <c r="V17">
        <v>-13</v>
      </c>
      <c r="W17" s="368">
        <v>-5</v>
      </c>
      <c r="X17" s="88">
        <v>-4.8333333333333339</v>
      </c>
      <c r="Y17" s="88">
        <v>-4.666666666666667</v>
      </c>
      <c r="Z17" s="88">
        <v>-4.5</v>
      </c>
      <c r="AA17" s="88">
        <v>-4.333333333333333</v>
      </c>
      <c r="AB17" s="88">
        <v>-4.166666666666667</v>
      </c>
      <c r="AC17" s="368">
        <v>-4</v>
      </c>
      <c r="AE17" s="365" t="s">
        <v>1615</v>
      </c>
      <c r="AF17" s="366"/>
    </row>
    <row r="18" spans="1:32" x14ac:dyDescent="0.35">
      <c r="A18" s="17" t="s">
        <v>1531</v>
      </c>
      <c r="B18" s="104" t="s">
        <v>1532</v>
      </c>
      <c r="C18">
        <v>1</v>
      </c>
      <c r="D18">
        <v>1</v>
      </c>
      <c r="E18">
        <v>1</v>
      </c>
      <c r="F18">
        <v>1</v>
      </c>
      <c r="G18">
        <v>1</v>
      </c>
      <c r="I18" s="335" t="s">
        <v>1352</v>
      </c>
      <c r="J18" t="s">
        <v>1390</v>
      </c>
      <c r="K18" t="s">
        <v>1389</v>
      </c>
      <c r="M18" t="s">
        <v>1444</v>
      </c>
      <c r="N18" s="10">
        <v>14223942</v>
      </c>
      <c r="O18" s="101">
        <v>1</v>
      </c>
      <c r="P18" s="104" t="s">
        <v>1446</v>
      </c>
      <c r="U18" s="17" t="s">
        <v>1614</v>
      </c>
      <c r="V18">
        <v>400</v>
      </c>
      <c r="W18" s="368">
        <v>400.00000000000006</v>
      </c>
      <c r="X18" s="88">
        <v>391.66666666666669</v>
      </c>
      <c r="Y18" s="88">
        <v>383.33333333333337</v>
      </c>
      <c r="Z18" s="88">
        <v>375</v>
      </c>
      <c r="AA18" s="88">
        <v>366.66666666666669</v>
      </c>
      <c r="AB18" s="88">
        <v>358.33333333333337</v>
      </c>
      <c r="AC18" s="368">
        <v>350</v>
      </c>
      <c r="AE18" s="77" t="s">
        <v>1616</v>
      </c>
      <c r="AF18" s="76"/>
    </row>
    <row r="19" spans="1:32" ht="15" thickBot="1" x14ac:dyDescent="0.4">
      <c r="A19" s="17" t="s">
        <v>1533</v>
      </c>
      <c r="B19" t="s">
        <v>1986</v>
      </c>
      <c r="C19">
        <v>1</v>
      </c>
      <c r="D19">
        <v>1</v>
      </c>
      <c r="E19">
        <v>1</v>
      </c>
      <c r="F19">
        <v>1</v>
      </c>
      <c r="G19">
        <v>1</v>
      </c>
      <c r="I19" s="335" t="s">
        <v>1353</v>
      </c>
      <c r="J19" t="s">
        <v>1537</v>
      </c>
      <c r="U19" s="33" t="s">
        <v>1438</v>
      </c>
      <c r="W19" s="88"/>
      <c r="X19" s="88"/>
      <c r="Y19" s="88"/>
      <c r="Z19" s="88"/>
      <c r="AA19" s="88"/>
      <c r="AB19" s="88"/>
      <c r="AC19" s="88"/>
      <c r="AE19" s="81" t="s">
        <v>1617</v>
      </c>
      <c r="AF19" s="367"/>
    </row>
    <row r="20" spans="1:32" x14ac:dyDescent="0.35">
      <c r="A20" s="17" t="s">
        <v>1534</v>
      </c>
      <c r="B20" t="s">
        <v>1986</v>
      </c>
      <c r="C20">
        <v>1</v>
      </c>
      <c r="D20">
        <v>1</v>
      </c>
      <c r="E20">
        <v>1</v>
      </c>
      <c r="F20">
        <v>1</v>
      </c>
      <c r="G20">
        <v>1</v>
      </c>
      <c r="I20" s="335" t="s">
        <v>1354</v>
      </c>
      <c r="J20" t="s">
        <v>1381</v>
      </c>
      <c r="M20" s="33" t="s">
        <v>1504</v>
      </c>
      <c r="Q20" s="33" t="s">
        <v>1499</v>
      </c>
      <c r="U20" s="17" t="s">
        <v>1612</v>
      </c>
      <c r="V20">
        <v>0.3</v>
      </c>
      <c r="W20" s="368">
        <v>0.17999999999999997</v>
      </c>
      <c r="X20" s="88">
        <v>0.17499999999999996</v>
      </c>
      <c r="Y20" s="88">
        <v>0.16999999999999998</v>
      </c>
      <c r="Z20" s="88">
        <v>0.16499999999999998</v>
      </c>
      <c r="AA20" s="88">
        <v>0.15999999999999998</v>
      </c>
      <c r="AB20" s="88">
        <v>0.15499999999999997</v>
      </c>
      <c r="AC20" s="368">
        <v>0.14999999999999997</v>
      </c>
      <c r="AE20" s="526" t="s">
        <v>1619</v>
      </c>
      <c r="AF20" s="526"/>
    </row>
    <row r="21" spans="1:32" ht="15" thickBot="1" x14ac:dyDescent="0.4">
      <c r="A21" s="17" t="s">
        <v>1535</v>
      </c>
      <c r="B21" t="s">
        <v>1986</v>
      </c>
      <c r="C21">
        <v>1</v>
      </c>
      <c r="D21">
        <v>1</v>
      </c>
      <c r="E21">
        <v>1</v>
      </c>
      <c r="F21">
        <v>1</v>
      </c>
      <c r="G21">
        <v>1</v>
      </c>
      <c r="I21" s="335" t="s">
        <v>1355</v>
      </c>
      <c r="J21" t="s">
        <v>1382</v>
      </c>
      <c r="M21" s="105" t="s">
        <v>1440</v>
      </c>
      <c r="N21" s="105" t="s">
        <v>1445</v>
      </c>
      <c r="O21" s="105" t="s">
        <v>1436</v>
      </c>
      <c r="Q21" s="105" t="s">
        <v>1440</v>
      </c>
      <c r="R21" s="105" t="s">
        <v>1445</v>
      </c>
      <c r="S21" s="105" t="s">
        <v>1436</v>
      </c>
      <c r="U21" s="17" t="s">
        <v>1613</v>
      </c>
      <c r="V21">
        <v>-14</v>
      </c>
      <c r="W21" s="368">
        <v>-8.0000000000000018</v>
      </c>
      <c r="X21" s="88">
        <v>-7.8000000000000007</v>
      </c>
      <c r="Y21" s="88">
        <v>-7.6000000000000014</v>
      </c>
      <c r="Z21" s="88">
        <v>-7.4000000000000012</v>
      </c>
      <c r="AA21" s="88">
        <v>-7.2000000000000011</v>
      </c>
      <c r="AB21" s="88">
        <v>-7.0000000000000009</v>
      </c>
      <c r="AC21" s="368">
        <v>-6.8000000000000007</v>
      </c>
      <c r="AE21" s="495"/>
      <c r="AF21" s="495"/>
    </row>
    <row r="22" spans="1:32" ht="15" thickTop="1" x14ac:dyDescent="0.35">
      <c r="A22" s="17" t="s">
        <v>1536</v>
      </c>
      <c r="B22" t="s">
        <v>1986</v>
      </c>
      <c r="C22">
        <v>1</v>
      </c>
      <c r="D22">
        <v>1</v>
      </c>
      <c r="E22">
        <v>1</v>
      </c>
      <c r="F22">
        <v>1</v>
      </c>
      <c r="G22">
        <v>1</v>
      </c>
      <c r="I22" s="335" t="s">
        <v>1356</v>
      </c>
      <c r="J22" t="s">
        <v>1383</v>
      </c>
      <c r="M22" t="s">
        <v>1494</v>
      </c>
      <c r="N22" s="10">
        <v>159239</v>
      </c>
      <c r="O22" s="58">
        <f>N22/$N$25</f>
        <v>0.46073166638697766</v>
      </c>
      <c r="Q22" t="s">
        <v>1494</v>
      </c>
      <c r="R22" s="10">
        <v>214782</v>
      </c>
      <c r="S22" s="34">
        <f>R22/$R$25</f>
        <v>0.43644853925825977</v>
      </c>
      <c r="U22" s="17" t="s">
        <v>1614</v>
      </c>
      <c r="V22">
        <v>650</v>
      </c>
      <c r="W22" s="368">
        <v>650.00000000000011</v>
      </c>
      <c r="X22" s="88">
        <v>623.33333333333337</v>
      </c>
      <c r="Y22" s="88">
        <v>596.66666666666674</v>
      </c>
      <c r="Z22" s="88">
        <v>570</v>
      </c>
      <c r="AA22" s="88">
        <v>543.33333333333337</v>
      </c>
      <c r="AB22" s="88">
        <v>516.66666666666674</v>
      </c>
      <c r="AC22" s="368">
        <v>490.00000000000006</v>
      </c>
      <c r="AE22" s="495"/>
      <c r="AF22" s="495"/>
    </row>
    <row r="23" spans="1:32" x14ac:dyDescent="0.35">
      <c r="I23" s="335" t="s">
        <v>1357</v>
      </c>
      <c r="J23" t="s">
        <v>1384</v>
      </c>
      <c r="M23" t="s">
        <v>1495</v>
      </c>
      <c r="N23" s="10">
        <v>4917</v>
      </c>
      <c r="O23" s="58">
        <f>N23/$N$25</f>
        <v>1.4226524931861976E-2</v>
      </c>
      <c r="Q23" t="s">
        <v>1495</v>
      </c>
      <c r="R23" s="10">
        <v>7564</v>
      </c>
      <c r="S23" s="34">
        <f>R23/$R$25</f>
        <v>1.5370453534046043E-2</v>
      </c>
      <c r="U23" s="33" t="s">
        <v>1439</v>
      </c>
      <c r="W23" s="88"/>
      <c r="X23" s="88"/>
      <c r="Y23" s="88"/>
      <c r="Z23" s="88"/>
      <c r="AA23" s="88"/>
      <c r="AB23" s="88"/>
      <c r="AC23" s="88"/>
      <c r="AE23" s="495"/>
      <c r="AF23" s="495"/>
    </row>
    <row r="24" spans="1:32" x14ac:dyDescent="0.35">
      <c r="I24" s="335" t="s">
        <v>1358</v>
      </c>
      <c r="J24" t="s">
        <v>1385</v>
      </c>
      <c r="M24" s="249" t="s">
        <v>1496</v>
      </c>
      <c r="N24" s="20">
        <f>N25-N22-N23</f>
        <v>181466</v>
      </c>
      <c r="O24" s="344">
        <f>N24/$N$25</f>
        <v>0.52504180868116035</v>
      </c>
      <c r="Q24" s="249" t="s">
        <v>1496</v>
      </c>
      <c r="R24" s="20">
        <f>R25-R22-R23</f>
        <v>269767</v>
      </c>
      <c r="S24" s="37">
        <f>R24/$R$25</f>
        <v>0.54818100720769414</v>
      </c>
      <c r="U24" s="17" t="s">
        <v>1612</v>
      </c>
      <c r="V24">
        <v>0.35</v>
      </c>
      <c r="W24" s="368">
        <v>0.23</v>
      </c>
      <c r="X24" s="88">
        <v>0.22333333333333336</v>
      </c>
      <c r="Y24" s="88">
        <v>0.21666666666666667</v>
      </c>
      <c r="Z24" s="88">
        <v>0.21000000000000002</v>
      </c>
      <c r="AA24" s="88">
        <v>0.20333333333333334</v>
      </c>
      <c r="AB24" s="88">
        <v>0.19666666666666666</v>
      </c>
      <c r="AC24" s="368">
        <v>0.19</v>
      </c>
    </row>
    <row r="25" spans="1:32" x14ac:dyDescent="0.35">
      <c r="I25" s="335" t="s">
        <v>1359</v>
      </c>
      <c r="J25" t="s">
        <v>1386</v>
      </c>
      <c r="M25" t="s">
        <v>1497</v>
      </c>
      <c r="N25" s="10">
        <v>345622</v>
      </c>
      <c r="O25" s="101">
        <f>SUM(O22:O24)</f>
        <v>1</v>
      </c>
      <c r="Q25" t="s">
        <v>1497</v>
      </c>
      <c r="R25" s="10">
        <v>492113</v>
      </c>
      <c r="S25" s="101">
        <f>SUM(S22:S24)</f>
        <v>1</v>
      </c>
      <c r="U25" s="17" t="s">
        <v>1613</v>
      </c>
      <c r="V25">
        <v>-15.2</v>
      </c>
      <c r="W25" s="368">
        <v>-10.5</v>
      </c>
      <c r="X25" s="88">
        <v>-10.25</v>
      </c>
      <c r="Y25" s="88">
        <v>-10</v>
      </c>
      <c r="Z25" s="88">
        <v>-9.75</v>
      </c>
      <c r="AA25" s="88">
        <v>-9.5</v>
      </c>
      <c r="AB25" s="88">
        <v>-9.25</v>
      </c>
      <c r="AC25" s="368">
        <v>-9</v>
      </c>
    </row>
    <row r="26" spans="1:32" x14ac:dyDescent="0.35">
      <c r="I26" s="335" t="s">
        <v>1360</v>
      </c>
      <c r="J26" t="s">
        <v>1374</v>
      </c>
      <c r="U26" s="17" t="s">
        <v>1614</v>
      </c>
      <c r="V26">
        <v>900</v>
      </c>
      <c r="W26" s="368">
        <v>900.00000000000011</v>
      </c>
      <c r="X26" s="88">
        <v>858.33333333333337</v>
      </c>
      <c r="Y26" s="88">
        <v>816.66666666666674</v>
      </c>
      <c r="Z26" s="88">
        <v>775</v>
      </c>
      <c r="AA26" s="88">
        <v>733.33333333333337</v>
      </c>
      <c r="AB26" s="88">
        <v>691.66666666666674</v>
      </c>
      <c r="AC26" s="368">
        <v>650</v>
      </c>
    </row>
    <row r="27" spans="1:32" x14ac:dyDescent="0.35">
      <c r="I27" s="335" t="s">
        <v>1361</v>
      </c>
      <c r="J27" t="s">
        <v>1375</v>
      </c>
      <c r="K27" t="s">
        <v>1388</v>
      </c>
    </row>
    <row r="28" spans="1:32" x14ac:dyDescent="0.35">
      <c r="I28" s="335" t="s">
        <v>1362</v>
      </c>
      <c r="J28" t="s">
        <v>1376</v>
      </c>
      <c r="M28" s="530" t="s">
        <v>2026</v>
      </c>
      <c r="N28" s="530"/>
      <c r="O28" s="530"/>
      <c r="P28" s="530"/>
      <c r="Q28" s="530"/>
      <c r="U28" s="347" t="s">
        <v>2027</v>
      </c>
      <c r="V28" s="33"/>
      <c r="W28" s="33"/>
      <c r="X28" s="33"/>
      <c r="Y28" s="33"/>
      <c r="Z28" s="33"/>
      <c r="AA28" s="33"/>
    </row>
    <row r="29" spans="1:32" ht="15" thickBot="1" x14ac:dyDescent="0.4">
      <c r="I29" s="335" t="s">
        <v>1363</v>
      </c>
      <c r="J29" t="s">
        <v>127</v>
      </c>
      <c r="K29" t="s">
        <v>1396</v>
      </c>
      <c r="M29" s="528" t="s">
        <v>1558</v>
      </c>
      <c r="N29" s="1" t="s">
        <v>1559</v>
      </c>
      <c r="O29" s="474" t="s">
        <v>1540</v>
      </c>
      <c r="P29" s="474"/>
      <c r="Q29" s="474"/>
      <c r="R29" s="474" t="s">
        <v>1563</v>
      </c>
      <c r="S29" s="474"/>
      <c r="U29" s="105" t="s">
        <v>1567</v>
      </c>
      <c r="V29" s="105">
        <v>2025</v>
      </c>
      <c r="W29" s="105">
        <v>2030</v>
      </c>
      <c r="X29" s="105">
        <v>2035</v>
      </c>
      <c r="Y29" s="105">
        <v>2040</v>
      </c>
      <c r="Z29" s="105">
        <v>2045</v>
      </c>
      <c r="AA29" s="105">
        <v>2050</v>
      </c>
    </row>
    <row r="30" spans="1:32" ht="15.5" thickTop="1" thickBot="1" x14ac:dyDescent="0.4">
      <c r="I30" s="335" t="s">
        <v>1450</v>
      </c>
      <c r="J30" t="s">
        <v>1451</v>
      </c>
      <c r="M30" s="529"/>
      <c r="N30" s="12" t="s">
        <v>247</v>
      </c>
      <c r="O30" s="12" t="s">
        <v>2025</v>
      </c>
      <c r="P30" s="12" t="s">
        <v>1562</v>
      </c>
      <c r="Q30" s="12" t="s">
        <v>247</v>
      </c>
      <c r="R30" s="1" t="s">
        <v>1560</v>
      </c>
      <c r="S30" s="1" t="s">
        <v>1561</v>
      </c>
      <c r="U30" s="33" t="s">
        <v>1568</v>
      </c>
    </row>
    <row r="31" spans="1:32" ht="15" thickTop="1" x14ac:dyDescent="0.35">
      <c r="I31" s="343" t="s">
        <v>1502</v>
      </c>
      <c r="M31" t="s">
        <v>1541</v>
      </c>
      <c r="N31" s="10">
        <v>1347</v>
      </c>
      <c r="O31" s="10">
        <v>2854</v>
      </c>
      <c r="P31" s="10">
        <v>837</v>
      </c>
      <c r="Q31" s="10">
        <v>3691</v>
      </c>
      <c r="R31" s="34">
        <f>O31/Q31</f>
        <v>0.77323218639934976</v>
      </c>
      <c r="S31" s="34">
        <f>P31/Q31</f>
        <v>0.22676781360065024</v>
      </c>
      <c r="U31" s="90" t="s">
        <v>1564</v>
      </c>
      <c r="V31" s="10">
        <v>4300</v>
      </c>
      <c r="W31" s="10">
        <v>13800</v>
      </c>
      <c r="X31" s="10">
        <v>32000</v>
      </c>
      <c r="Y31" s="10">
        <v>50200</v>
      </c>
      <c r="Z31" s="10">
        <v>62700</v>
      </c>
      <c r="AA31" s="10">
        <v>69000</v>
      </c>
    </row>
    <row r="32" spans="1:32" x14ac:dyDescent="0.35">
      <c r="I32" s="343"/>
      <c r="M32" t="s">
        <v>1542</v>
      </c>
      <c r="N32" s="10">
        <v>488</v>
      </c>
      <c r="O32" s="10">
        <v>784</v>
      </c>
      <c r="P32" s="10">
        <v>357</v>
      </c>
      <c r="Q32" s="10">
        <v>1141</v>
      </c>
      <c r="R32" s="34">
        <f t="shared" ref="R32:R47" si="8">O32/Q32</f>
        <v>0.68711656441717794</v>
      </c>
      <c r="S32" s="34">
        <f t="shared" ref="S32:S47" si="9">P32/Q32</f>
        <v>0.31288343558282211</v>
      </c>
      <c r="U32" s="350" t="s">
        <v>1566</v>
      </c>
      <c r="V32" s="20">
        <v>48000</v>
      </c>
      <c r="W32" s="20">
        <v>181000</v>
      </c>
      <c r="X32" s="20">
        <v>410000</v>
      </c>
      <c r="Y32" s="20">
        <v>593000</v>
      </c>
      <c r="Z32" s="20">
        <v>673000</v>
      </c>
      <c r="AA32" s="20">
        <v>658000</v>
      </c>
    </row>
    <row r="33" spans="9:34" x14ac:dyDescent="0.35">
      <c r="I33" s="532" t="s">
        <v>1452</v>
      </c>
      <c r="J33" s="532"/>
      <c r="K33" s="532"/>
      <c r="M33" t="s">
        <v>1543</v>
      </c>
      <c r="N33" s="10">
        <v>309</v>
      </c>
      <c r="O33" s="10">
        <v>573</v>
      </c>
      <c r="P33" s="10">
        <v>178</v>
      </c>
      <c r="Q33" s="10">
        <v>751</v>
      </c>
      <c r="R33" s="34">
        <f t="shared" si="8"/>
        <v>0.76298268974700401</v>
      </c>
      <c r="S33" s="34">
        <f t="shared" si="9"/>
        <v>0.23701731025299599</v>
      </c>
      <c r="U33" s="90" t="s">
        <v>1565</v>
      </c>
      <c r="V33" s="10">
        <f>SUM(V31:V32)</f>
        <v>52300</v>
      </c>
      <c r="W33" s="10">
        <f t="shared" ref="W33:AA33" si="10">SUM(W31:W32)</f>
        <v>194800</v>
      </c>
      <c r="X33" s="10">
        <f t="shared" si="10"/>
        <v>442000</v>
      </c>
      <c r="Y33" s="10">
        <f t="shared" si="10"/>
        <v>643200</v>
      </c>
      <c r="Z33" s="10">
        <f t="shared" si="10"/>
        <v>735700</v>
      </c>
      <c r="AA33" s="10">
        <f t="shared" si="10"/>
        <v>727000</v>
      </c>
    </row>
    <row r="34" spans="9:34" ht="15" thickBot="1" x14ac:dyDescent="0.4">
      <c r="I34" s="105" t="s">
        <v>1336</v>
      </c>
      <c r="J34" s="105" t="s">
        <v>1</v>
      </c>
      <c r="K34" s="105" t="s">
        <v>1377</v>
      </c>
      <c r="M34" t="s">
        <v>1544</v>
      </c>
      <c r="N34" s="10">
        <v>95</v>
      </c>
      <c r="O34" s="10">
        <v>118</v>
      </c>
      <c r="P34" s="10">
        <v>110</v>
      </c>
      <c r="Q34" s="10">
        <v>228</v>
      </c>
      <c r="R34" s="34">
        <f t="shared" si="8"/>
        <v>0.51754385964912286</v>
      </c>
      <c r="S34" s="34">
        <f t="shared" si="9"/>
        <v>0.48245614035087719</v>
      </c>
      <c r="U34" s="33" t="s">
        <v>1569</v>
      </c>
    </row>
    <row r="35" spans="9:34" ht="15" thickTop="1" x14ac:dyDescent="0.35">
      <c r="I35" t="s">
        <v>1461</v>
      </c>
      <c r="J35" t="s">
        <v>1462</v>
      </c>
      <c r="M35" t="s">
        <v>1545</v>
      </c>
      <c r="N35" s="10">
        <v>84</v>
      </c>
      <c r="O35" s="10">
        <v>93</v>
      </c>
      <c r="P35" s="10">
        <v>69</v>
      </c>
      <c r="Q35" s="10">
        <v>162</v>
      </c>
      <c r="R35" s="34">
        <f t="shared" si="8"/>
        <v>0.57407407407407407</v>
      </c>
      <c r="S35" s="34">
        <f t="shared" si="9"/>
        <v>0.42592592592592593</v>
      </c>
      <c r="U35" s="90" t="s">
        <v>1564</v>
      </c>
      <c r="V35" s="309">
        <v>4300</v>
      </c>
      <c r="W35" s="309">
        <v>14100</v>
      </c>
      <c r="X35" s="309">
        <v>33700</v>
      </c>
      <c r="Y35" s="309">
        <v>55100</v>
      </c>
      <c r="Z35" s="309">
        <v>72500</v>
      </c>
      <c r="AA35" s="309">
        <v>84900</v>
      </c>
    </row>
    <row r="36" spans="9:34" x14ac:dyDescent="0.35">
      <c r="I36" t="s">
        <v>1463</v>
      </c>
      <c r="J36" t="s">
        <v>1464</v>
      </c>
      <c r="M36" t="s">
        <v>1546</v>
      </c>
      <c r="N36" s="10">
        <v>2034</v>
      </c>
      <c r="O36" s="10">
        <v>4970</v>
      </c>
      <c r="P36" s="10">
        <v>1247</v>
      </c>
      <c r="Q36" s="10">
        <v>6217</v>
      </c>
      <c r="R36" s="422">
        <f t="shared" si="8"/>
        <v>0.79942094257680552</v>
      </c>
      <c r="S36" s="422">
        <f t="shared" si="9"/>
        <v>0.20057905742319446</v>
      </c>
      <c r="U36" s="350" t="s">
        <v>1566</v>
      </c>
      <c r="V36" s="348">
        <v>49000</v>
      </c>
      <c r="W36" s="348">
        <v>186000</v>
      </c>
      <c r="X36" s="348">
        <v>436000</v>
      </c>
      <c r="Y36" s="348">
        <v>659000</v>
      </c>
      <c r="Z36" s="348">
        <v>791000</v>
      </c>
      <c r="AA36" s="348">
        <v>830000</v>
      </c>
    </row>
    <row r="37" spans="9:34" x14ac:dyDescent="0.35">
      <c r="I37" t="s">
        <v>1465</v>
      </c>
      <c r="J37" t="s">
        <v>1466</v>
      </c>
      <c r="M37" t="s">
        <v>1547</v>
      </c>
      <c r="N37" s="10">
        <v>3654</v>
      </c>
      <c r="O37" s="10">
        <v>6395</v>
      </c>
      <c r="P37" s="10">
        <v>1160</v>
      </c>
      <c r="Q37" s="10">
        <v>7555</v>
      </c>
      <c r="R37" s="34">
        <f t="shared" si="8"/>
        <v>0.8464592984778293</v>
      </c>
      <c r="S37" s="34">
        <f t="shared" si="9"/>
        <v>0.15354070152217075</v>
      </c>
      <c r="U37" s="90" t="s">
        <v>1565</v>
      </c>
      <c r="V37" s="309">
        <f>SUM(V35:V36)</f>
        <v>53300</v>
      </c>
      <c r="W37" s="309">
        <f t="shared" ref="W37:AA37" si="11">SUM(W35:W36)</f>
        <v>200100</v>
      </c>
      <c r="X37" s="309">
        <f t="shared" si="11"/>
        <v>469700</v>
      </c>
      <c r="Y37" s="309">
        <f t="shared" si="11"/>
        <v>714100</v>
      </c>
      <c r="Z37" s="309">
        <f t="shared" si="11"/>
        <v>863500</v>
      </c>
      <c r="AA37" s="309">
        <f t="shared" si="11"/>
        <v>914900</v>
      </c>
    </row>
    <row r="38" spans="9:34" x14ac:dyDescent="0.35">
      <c r="I38" t="s">
        <v>1467</v>
      </c>
      <c r="J38" t="s">
        <v>1484</v>
      </c>
      <c r="M38" t="s">
        <v>1548</v>
      </c>
      <c r="N38" s="10">
        <v>418</v>
      </c>
      <c r="O38" s="10">
        <v>710</v>
      </c>
      <c r="P38" s="10">
        <v>161</v>
      </c>
      <c r="Q38" s="10">
        <v>871</v>
      </c>
      <c r="R38" s="34">
        <f t="shared" si="8"/>
        <v>0.81515499425947191</v>
      </c>
      <c r="S38" s="34">
        <f t="shared" si="9"/>
        <v>0.18484500574052812</v>
      </c>
    </row>
    <row r="39" spans="9:34" x14ac:dyDescent="0.35">
      <c r="I39" t="s">
        <v>1468</v>
      </c>
      <c r="J39" t="s">
        <v>1485</v>
      </c>
      <c r="M39" t="s">
        <v>1549</v>
      </c>
      <c r="N39" s="10">
        <v>145</v>
      </c>
      <c r="O39" s="10">
        <v>203</v>
      </c>
      <c r="P39" s="10">
        <v>89</v>
      </c>
      <c r="Q39" s="10">
        <v>292</v>
      </c>
      <c r="R39" s="34">
        <f t="shared" si="8"/>
        <v>0.6952054794520548</v>
      </c>
      <c r="S39" s="34">
        <f t="shared" si="9"/>
        <v>0.3047945205479452</v>
      </c>
      <c r="U39" s="347" t="s">
        <v>1574</v>
      </c>
    </row>
    <row r="40" spans="9:34" ht="15" thickBot="1" x14ac:dyDescent="0.4">
      <c r="I40" t="s">
        <v>1469</v>
      </c>
      <c r="J40" t="s">
        <v>1471</v>
      </c>
      <c r="M40" t="s">
        <v>1550</v>
      </c>
      <c r="N40" s="10">
        <v>84</v>
      </c>
      <c r="O40" s="10">
        <v>138</v>
      </c>
      <c r="P40" s="10">
        <v>16</v>
      </c>
      <c r="Q40" s="10">
        <v>154</v>
      </c>
      <c r="R40" s="34">
        <f t="shared" si="8"/>
        <v>0.89610389610389607</v>
      </c>
      <c r="S40" s="34">
        <f t="shared" si="9"/>
        <v>0.1038961038961039</v>
      </c>
      <c r="U40" s="105" t="s">
        <v>1567</v>
      </c>
      <c r="V40" s="105">
        <v>2023</v>
      </c>
      <c r="W40" s="105">
        <v>2030</v>
      </c>
      <c r="X40" s="105">
        <v>2035</v>
      </c>
      <c r="Y40" s="105">
        <v>2040</v>
      </c>
      <c r="AF40" s="349"/>
      <c r="AG40" s="349"/>
      <c r="AH40" s="349"/>
    </row>
    <row r="41" spans="9:34" ht="15" thickTop="1" x14ac:dyDescent="0.35">
      <c r="I41" t="s">
        <v>1470</v>
      </c>
      <c r="J41" t="s">
        <v>1477</v>
      </c>
      <c r="M41" t="s">
        <v>1551</v>
      </c>
      <c r="N41" s="10">
        <v>135</v>
      </c>
      <c r="O41" s="10">
        <v>269</v>
      </c>
      <c r="P41" s="10">
        <v>41</v>
      </c>
      <c r="Q41" s="10">
        <v>310</v>
      </c>
      <c r="R41" s="34">
        <f t="shared" si="8"/>
        <v>0.86774193548387102</v>
      </c>
      <c r="S41" s="34">
        <f t="shared" si="9"/>
        <v>0.13225806451612904</v>
      </c>
      <c r="U41" t="s">
        <v>1570</v>
      </c>
      <c r="V41" s="349">
        <v>0.2</v>
      </c>
      <c r="W41" s="349">
        <v>0.25</v>
      </c>
      <c r="X41" s="349">
        <v>0.2</v>
      </c>
      <c r="Y41" s="349">
        <v>0.2</v>
      </c>
      <c r="AF41" s="349"/>
      <c r="AG41" s="349"/>
      <c r="AH41" s="349"/>
    </row>
    <row r="42" spans="9:34" x14ac:dyDescent="0.35">
      <c r="I42" t="s">
        <v>1472</v>
      </c>
      <c r="J42" t="s">
        <v>1476</v>
      </c>
      <c r="K42" t="s">
        <v>1489</v>
      </c>
      <c r="M42" t="s">
        <v>1552</v>
      </c>
      <c r="N42" s="10">
        <v>54</v>
      </c>
      <c r="O42" s="10">
        <v>100</v>
      </c>
      <c r="P42" s="10">
        <v>15</v>
      </c>
      <c r="Q42" s="10">
        <v>115</v>
      </c>
      <c r="R42" s="34">
        <f t="shared" si="8"/>
        <v>0.86956521739130432</v>
      </c>
      <c r="S42" s="34">
        <f t="shared" si="9"/>
        <v>0.13043478260869565</v>
      </c>
      <c r="U42" t="s">
        <v>1571</v>
      </c>
      <c r="V42" s="349">
        <v>0.8</v>
      </c>
      <c r="W42" s="349">
        <v>0.75</v>
      </c>
      <c r="X42" s="349">
        <v>0.8</v>
      </c>
      <c r="Y42" s="349">
        <v>0.8</v>
      </c>
      <c r="AF42" s="349"/>
      <c r="AG42" s="349"/>
      <c r="AH42" s="349"/>
    </row>
    <row r="43" spans="9:34" x14ac:dyDescent="0.35">
      <c r="I43" t="s">
        <v>1473</v>
      </c>
      <c r="J43" t="s">
        <v>1475</v>
      </c>
      <c r="K43" t="s">
        <v>1490</v>
      </c>
      <c r="M43" t="s">
        <v>1553</v>
      </c>
      <c r="N43" s="10">
        <v>26</v>
      </c>
      <c r="O43" s="10">
        <v>5</v>
      </c>
      <c r="P43" s="10">
        <v>22</v>
      </c>
      <c r="Q43" s="10">
        <v>27</v>
      </c>
      <c r="R43" s="34">
        <f t="shared" si="8"/>
        <v>0.18518518518518517</v>
      </c>
      <c r="S43" s="34">
        <f t="shared" si="9"/>
        <v>0.81481481481481477</v>
      </c>
      <c r="U43" t="s">
        <v>1572</v>
      </c>
      <c r="V43" s="349">
        <v>0.8</v>
      </c>
      <c r="W43" s="349">
        <v>0.75</v>
      </c>
      <c r="X43" s="349">
        <v>0.7</v>
      </c>
      <c r="Y43" s="101">
        <v>0.65</v>
      </c>
      <c r="AF43" s="349"/>
      <c r="AG43" s="101"/>
      <c r="AH43" s="101"/>
    </row>
    <row r="44" spans="9:34" x14ac:dyDescent="0.35">
      <c r="I44" t="s">
        <v>1474</v>
      </c>
      <c r="J44" t="s">
        <v>1380</v>
      </c>
      <c r="K44" t="s">
        <v>1490</v>
      </c>
      <c r="M44" t="s">
        <v>1554</v>
      </c>
      <c r="N44" s="10">
        <v>25</v>
      </c>
      <c r="O44" s="10">
        <v>3</v>
      </c>
      <c r="P44" s="10">
        <v>22</v>
      </c>
      <c r="Q44" s="10">
        <v>25</v>
      </c>
      <c r="R44" s="34">
        <f t="shared" si="8"/>
        <v>0.12</v>
      </c>
      <c r="S44" s="34">
        <f t="shared" si="9"/>
        <v>0.88</v>
      </c>
      <c r="U44" t="s">
        <v>1573</v>
      </c>
      <c r="V44" s="349">
        <v>0.2</v>
      </c>
      <c r="W44" s="349">
        <v>0.25</v>
      </c>
      <c r="X44" s="349">
        <v>0.3</v>
      </c>
      <c r="Y44" s="101">
        <v>0.35</v>
      </c>
    </row>
    <row r="45" spans="9:34" x14ac:dyDescent="0.35">
      <c r="I45" t="s">
        <v>1478</v>
      </c>
      <c r="J45" t="s">
        <v>1500</v>
      </c>
      <c r="K45" t="s">
        <v>1493</v>
      </c>
      <c r="M45" t="s">
        <v>1555</v>
      </c>
      <c r="N45" s="10">
        <v>1</v>
      </c>
      <c r="O45" s="10">
        <v>2</v>
      </c>
      <c r="P45" s="10">
        <v>0</v>
      </c>
      <c r="Q45" s="10">
        <v>2</v>
      </c>
      <c r="R45" s="34">
        <f t="shared" si="8"/>
        <v>1</v>
      </c>
      <c r="S45" s="34">
        <f t="shared" si="9"/>
        <v>0</v>
      </c>
    </row>
    <row r="46" spans="9:34" x14ac:dyDescent="0.35">
      <c r="I46" t="s">
        <v>1479</v>
      </c>
      <c r="J46" t="s">
        <v>1501</v>
      </c>
      <c r="K46" t="s">
        <v>1493</v>
      </c>
      <c r="M46" t="s">
        <v>1556</v>
      </c>
      <c r="N46" s="10">
        <v>0</v>
      </c>
      <c r="O46" s="10">
        <v>0</v>
      </c>
      <c r="P46" s="10">
        <v>0</v>
      </c>
      <c r="Q46" s="10">
        <v>0</v>
      </c>
      <c r="R46" s="34"/>
      <c r="S46" s="34"/>
      <c r="U46" s="33" t="s">
        <v>2044</v>
      </c>
      <c r="Z46" s="33" t="s">
        <v>2049</v>
      </c>
    </row>
    <row r="47" spans="9:34" ht="15" thickBot="1" x14ac:dyDescent="0.4">
      <c r="I47" t="s">
        <v>1480</v>
      </c>
      <c r="J47" t="s">
        <v>1481</v>
      </c>
      <c r="K47" t="s">
        <v>1492</v>
      </c>
      <c r="M47" s="346" t="s">
        <v>1557</v>
      </c>
      <c r="N47" s="324">
        <v>7967</v>
      </c>
      <c r="O47" s="324">
        <v>15718</v>
      </c>
      <c r="P47" s="324">
        <v>3784</v>
      </c>
      <c r="Q47" s="324">
        <v>19502</v>
      </c>
      <c r="R47" s="34">
        <f t="shared" si="8"/>
        <v>0.80596861860322022</v>
      </c>
      <c r="S47" s="34">
        <f t="shared" si="9"/>
        <v>0.19403138139677981</v>
      </c>
      <c r="U47" s="105" t="s">
        <v>1567</v>
      </c>
      <c r="V47" s="105">
        <v>2025</v>
      </c>
      <c r="W47" s="105">
        <v>2030</v>
      </c>
      <c r="X47" s="105">
        <v>2035</v>
      </c>
      <c r="Z47" s="105" t="s">
        <v>1567</v>
      </c>
      <c r="AA47" s="105">
        <v>2025</v>
      </c>
      <c r="AB47" s="105">
        <v>2030</v>
      </c>
      <c r="AC47" s="105">
        <v>2035</v>
      </c>
    </row>
    <row r="48" spans="9:34" ht="15" thickTop="1" x14ac:dyDescent="0.35">
      <c r="I48" t="s">
        <v>1491</v>
      </c>
      <c r="J48" t="s">
        <v>1482</v>
      </c>
      <c r="K48" t="s">
        <v>1492</v>
      </c>
      <c r="U48" s="33" t="s">
        <v>2036</v>
      </c>
      <c r="V48" s="126">
        <f>SUM(V49:V50)</f>
        <v>23.800000000000004</v>
      </c>
      <c r="W48" s="126">
        <f t="shared" ref="W48:X48" si="12">SUM(W49:W50)</f>
        <v>57</v>
      </c>
      <c r="X48" s="126">
        <f t="shared" si="12"/>
        <v>81</v>
      </c>
      <c r="Y48" s="372"/>
      <c r="Z48" s="33" t="s">
        <v>2048</v>
      </c>
      <c r="AA48">
        <f>O51</f>
        <v>303</v>
      </c>
      <c r="AB48">
        <f>P51</f>
        <v>1081</v>
      </c>
      <c r="AC48">
        <f>Q51</f>
        <v>2381</v>
      </c>
    </row>
    <row r="49" spans="9:35" x14ac:dyDescent="0.35">
      <c r="I49" t="s">
        <v>1483</v>
      </c>
      <c r="J49" t="s">
        <v>1486</v>
      </c>
      <c r="M49" s="347" t="s">
        <v>2035</v>
      </c>
      <c r="U49" s="17" t="s">
        <v>2037</v>
      </c>
      <c r="V49" s="372">
        <f>(O$57-N$57)*V41</f>
        <v>4.7600000000000007</v>
      </c>
      <c r="W49" s="372">
        <f t="shared" ref="W49:X49" si="13">(P$57-O$57)*W41</f>
        <v>14.25</v>
      </c>
      <c r="X49" s="372">
        <f t="shared" si="13"/>
        <v>16.2</v>
      </c>
      <c r="Y49" s="372"/>
    </row>
    <row r="50" spans="9:35" ht="15" thickBot="1" x14ac:dyDescent="0.4">
      <c r="I50" t="s">
        <v>1487</v>
      </c>
      <c r="J50" t="s">
        <v>1488</v>
      </c>
      <c r="K50" t="s">
        <v>1538</v>
      </c>
      <c r="M50" s="105" t="s">
        <v>1575</v>
      </c>
      <c r="N50" s="100">
        <v>2020</v>
      </c>
      <c r="O50" s="105">
        <v>2025</v>
      </c>
      <c r="P50" s="105">
        <v>2030</v>
      </c>
      <c r="Q50" s="105">
        <v>2035</v>
      </c>
      <c r="U50" s="17" t="s">
        <v>2038</v>
      </c>
      <c r="V50" s="372">
        <f>(O$57-N$57)*V42</f>
        <v>19.040000000000003</v>
      </c>
      <c r="W50" s="372">
        <f t="shared" ref="W50:X50" si="14">(P$57-O$57)*W42</f>
        <v>42.75</v>
      </c>
      <c r="X50" s="372">
        <f t="shared" si="14"/>
        <v>64.8</v>
      </c>
      <c r="Y50" s="372"/>
    </row>
    <row r="51" spans="9:35" ht="15" thickTop="1" x14ac:dyDescent="0.35">
      <c r="I51" s="343" t="s">
        <v>1503</v>
      </c>
      <c r="M51" t="s">
        <v>2029</v>
      </c>
      <c r="N51">
        <v>76</v>
      </c>
      <c r="O51">
        <v>303</v>
      </c>
      <c r="P51">
        <v>1081</v>
      </c>
      <c r="Q51">
        <v>2381</v>
      </c>
      <c r="U51" s="33" t="s">
        <v>2039</v>
      </c>
      <c r="V51" s="126">
        <f>SUM(V52:V53)</f>
        <v>32</v>
      </c>
      <c r="W51" s="126">
        <f t="shared" ref="W51:X51" si="15">SUM(W52:W53)</f>
        <v>89</v>
      </c>
      <c r="X51" s="126">
        <f t="shared" si="15"/>
        <v>170</v>
      </c>
      <c r="Y51" s="372"/>
      <c r="AF51" s="349"/>
      <c r="AG51" s="349"/>
      <c r="AH51" s="349"/>
      <c r="AI51" s="349"/>
    </row>
    <row r="52" spans="9:35" x14ac:dyDescent="0.35">
      <c r="M52" t="s">
        <v>2030</v>
      </c>
      <c r="N52">
        <v>2</v>
      </c>
      <c r="O52">
        <v>8</v>
      </c>
      <c r="P52">
        <v>24</v>
      </c>
      <c r="Q52">
        <v>44</v>
      </c>
      <c r="U52" s="17" t="s">
        <v>2037</v>
      </c>
      <c r="V52" s="372">
        <f>N57+V49</f>
        <v>12.96</v>
      </c>
      <c r="W52" s="372">
        <f>V52+W49</f>
        <v>27.21</v>
      </c>
      <c r="X52" s="372">
        <f>W52+X49</f>
        <v>43.41</v>
      </c>
      <c r="Y52" s="372"/>
      <c r="AF52" s="349"/>
      <c r="AG52" s="349"/>
      <c r="AH52" s="349"/>
      <c r="AI52" s="349"/>
    </row>
    <row r="53" spans="9:35" x14ac:dyDescent="0.35">
      <c r="I53" s="527" t="s">
        <v>1453</v>
      </c>
      <c r="J53" s="527"/>
      <c r="K53" s="527"/>
      <c r="M53" t="s">
        <v>2031</v>
      </c>
      <c r="N53">
        <v>0.2</v>
      </c>
      <c r="O53">
        <v>3</v>
      </c>
      <c r="P53">
        <v>19</v>
      </c>
      <c r="Q53">
        <v>57</v>
      </c>
      <c r="U53" s="17" t="s">
        <v>2038</v>
      </c>
      <c r="V53" s="372">
        <f>V50</f>
        <v>19.040000000000003</v>
      </c>
      <c r="W53" s="372">
        <f>V53+W50</f>
        <v>61.790000000000006</v>
      </c>
      <c r="X53" s="372">
        <f>W53+X50</f>
        <v>126.59</v>
      </c>
      <c r="Y53" s="372"/>
      <c r="AF53" s="349"/>
      <c r="AG53" s="349"/>
      <c r="AH53" s="349"/>
      <c r="AI53" s="349"/>
    </row>
    <row r="54" spans="9:35" ht="15" thickBot="1" x14ac:dyDescent="0.4">
      <c r="I54" s="105" t="s">
        <v>1454</v>
      </c>
      <c r="J54" s="105" t="s">
        <v>1456</v>
      </c>
      <c r="K54" s="105" t="s">
        <v>1457</v>
      </c>
      <c r="M54" t="s">
        <v>2032</v>
      </c>
      <c r="N54">
        <v>6</v>
      </c>
      <c r="O54">
        <v>21</v>
      </c>
      <c r="P54">
        <v>46</v>
      </c>
      <c r="Q54">
        <v>69</v>
      </c>
      <c r="U54" s="33" t="s">
        <v>2040</v>
      </c>
      <c r="AF54" s="349"/>
      <c r="AG54" s="349"/>
      <c r="AH54" s="349"/>
      <c r="AI54" s="349"/>
    </row>
    <row r="55" spans="9:35" ht="15.5" thickTop="1" thickBot="1" x14ac:dyDescent="0.4">
      <c r="I55" t="s">
        <v>1455</v>
      </c>
      <c r="J55" s="342">
        <v>0.25</v>
      </c>
      <c r="K55" s="342">
        <v>0.3743055555555555</v>
      </c>
      <c r="M55" t="s">
        <v>2033</v>
      </c>
      <c r="N55" s="525">
        <v>0.7</v>
      </c>
      <c r="O55">
        <v>2.4</v>
      </c>
      <c r="P55">
        <v>4.9000000000000004</v>
      </c>
      <c r="Q55">
        <v>7.8</v>
      </c>
      <c r="U55" s="105" t="s">
        <v>1567</v>
      </c>
      <c r="V55" s="105">
        <v>2020</v>
      </c>
      <c r="W55" s="105">
        <v>2025</v>
      </c>
      <c r="X55" s="105">
        <v>2030</v>
      </c>
      <c r="Y55" s="105">
        <v>2035</v>
      </c>
      <c r="Z55" s="105">
        <v>2040</v>
      </c>
      <c r="AA55" s="105">
        <v>2045</v>
      </c>
      <c r="AB55" s="105">
        <v>2050</v>
      </c>
      <c r="AF55" s="349"/>
      <c r="AG55" s="349"/>
      <c r="AH55" s="349"/>
      <c r="AI55" s="349"/>
    </row>
    <row r="56" spans="9:35" ht="15" thickTop="1" x14ac:dyDescent="0.35">
      <c r="I56" t="s">
        <v>1458</v>
      </c>
      <c r="J56" s="342">
        <v>0.375</v>
      </c>
      <c r="K56" s="342">
        <v>0.62430555555555556</v>
      </c>
      <c r="M56" t="s">
        <v>2034</v>
      </c>
      <c r="N56" s="525"/>
      <c r="O56">
        <v>0.6</v>
      </c>
      <c r="P56">
        <v>1.4</v>
      </c>
      <c r="Q56">
        <v>2.1</v>
      </c>
      <c r="U56" s="354" t="s">
        <v>1570</v>
      </c>
      <c r="V56" s="58">
        <f>N59+N60</f>
        <v>0.99175500588928145</v>
      </c>
      <c r="W56" s="58">
        <f>SUM(V52,AA48)/O$58</f>
        <v>0.93479289940828392</v>
      </c>
      <c r="X56" s="58">
        <f t="shared" ref="X56:Y56" si="16">SUM(W52,AB48)/P$58</f>
        <v>0.94211510669047005</v>
      </c>
      <c r="Y56" s="58">
        <f t="shared" si="16"/>
        <v>0.94670233121168335</v>
      </c>
      <c r="Z56" s="58">
        <f>Y56</f>
        <v>0.94670233121168335</v>
      </c>
      <c r="AA56" s="58">
        <f t="shared" ref="AA56:AB56" si="17">Z56</f>
        <v>0.94670233121168335</v>
      </c>
      <c r="AB56" s="58">
        <f t="shared" si="17"/>
        <v>0.94670233121168335</v>
      </c>
      <c r="AF56" s="349"/>
      <c r="AG56" s="349"/>
      <c r="AH56" s="349"/>
      <c r="AI56" s="349"/>
    </row>
    <row r="57" spans="9:35" x14ac:dyDescent="0.35">
      <c r="I57" t="s">
        <v>1459</v>
      </c>
      <c r="J57" s="342">
        <v>0.625</v>
      </c>
      <c r="K57" s="342">
        <v>0.7909722222222223</v>
      </c>
      <c r="M57" s="293" t="s">
        <v>2046</v>
      </c>
      <c r="N57" s="293">
        <f>SUM(N52:N54)</f>
        <v>8.1999999999999993</v>
      </c>
      <c r="O57" s="293">
        <f t="shared" ref="O57:Q57" si="18">SUM(O52:O54)</f>
        <v>32</v>
      </c>
      <c r="P57" s="293">
        <f t="shared" si="18"/>
        <v>89</v>
      </c>
      <c r="Q57" s="293">
        <f t="shared" si="18"/>
        <v>170</v>
      </c>
      <c r="U57" s="354" t="s">
        <v>1571</v>
      </c>
      <c r="V57" s="58">
        <f>0</f>
        <v>0</v>
      </c>
      <c r="W57" s="58">
        <f>V53/O58</f>
        <v>5.6331360946745568E-2</v>
      </c>
      <c r="X57" s="58">
        <f t="shared" ref="X57:Y57" si="19">W53/P58</f>
        <v>5.2529116721924674E-2</v>
      </c>
      <c r="Y57" s="58">
        <f t="shared" si="19"/>
        <v>4.943184036862041E-2</v>
      </c>
      <c r="Z57" s="58">
        <f t="shared" ref="Z57:AB58" si="20">Y57</f>
        <v>4.943184036862041E-2</v>
      </c>
      <c r="AA57" s="58">
        <f t="shared" si="20"/>
        <v>4.943184036862041E-2</v>
      </c>
      <c r="AB57" s="58">
        <f t="shared" si="20"/>
        <v>4.943184036862041E-2</v>
      </c>
      <c r="AF57" s="349"/>
      <c r="AG57" s="349"/>
      <c r="AH57" s="349"/>
      <c r="AI57" s="349"/>
    </row>
    <row r="58" spans="9:35" x14ac:dyDescent="0.35">
      <c r="I58" t="s">
        <v>1460</v>
      </c>
      <c r="J58" s="342">
        <v>0.79166666666666663</v>
      </c>
      <c r="K58" s="342">
        <v>0.99930555555555556</v>
      </c>
      <c r="M58" s="249" t="s">
        <v>2050</v>
      </c>
      <c r="N58" s="249">
        <f>SUM(N51:N56)</f>
        <v>84.9</v>
      </c>
      <c r="O58" s="249">
        <f>SUM(O51:O56)</f>
        <v>338</v>
      </c>
      <c r="P58" s="249">
        <f t="shared" ref="P58:Q58" si="21">SUM(P51:P56)</f>
        <v>1176.3000000000002</v>
      </c>
      <c r="Q58" s="249">
        <f t="shared" si="21"/>
        <v>2560.9</v>
      </c>
      <c r="U58" s="355" t="s">
        <v>1572</v>
      </c>
      <c r="V58" s="423">
        <f>N61</f>
        <v>8.2449941107184919E-3</v>
      </c>
      <c r="W58" s="344">
        <f>O61</f>
        <v>8.8757396449704144E-3</v>
      </c>
      <c r="X58" s="344">
        <f t="shared" ref="X58:Y58" si="22">P61</f>
        <v>5.3557765876052028E-3</v>
      </c>
      <c r="Y58" s="344">
        <f t="shared" si="22"/>
        <v>3.8658284196962005E-3</v>
      </c>
      <c r="Z58" s="344">
        <f t="shared" si="20"/>
        <v>3.8658284196962005E-3</v>
      </c>
      <c r="AA58" s="344">
        <f t="shared" si="20"/>
        <v>3.8658284196962005E-3</v>
      </c>
      <c r="AB58" s="344">
        <f t="shared" si="20"/>
        <v>3.8658284196962005E-3</v>
      </c>
    </row>
    <row r="59" spans="9:35" x14ac:dyDescent="0.35">
      <c r="I59" t="s">
        <v>97</v>
      </c>
      <c r="J59" s="342">
        <v>0</v>
      </c>
      <c r="K59" s="342">
        <v>0.24930555555555556</v>
      </c>
      <c r="M59" t="s">
        <v>2041</v>
      </c>
      <c r="N59" s="102">
        <f>N51/SUM(N51:N56)</f>
        <v>0.89517078916372195</v>
      </c>
      <c r="O59" s="102">
        <f>O51/SUM(O51:O56)</f>
        <v>0.89644970414201186</v>
      </c>
      <c r="P59" s="102">
        <f>P51/SUM(P51:P56)</f>
        <v>0.91898325257162272</v>
      </c>
      <c r="Q59" s="102">
        <f>Q51/SUM(Q51:Q56)</f>
        <v>0.92975125932289426</v>
      </c>
      <c r="U59" s="90" t="s">
        <v>247</v>
      </c>
      <c r="V59" s="35">
        <f>SUM(V56:V58)</f>
        <v>0.99999999999999989</v>
      </c>
      <c r="W59" s="35">
        <f t="shared" ref="W59:AB59" si="23">SUM(W56:W58)</f>
        <v>0.99999999999999989</v>
      </c>
      <c r="X59" s="35">
        <f t="shared" si="23"/>
        <v>0.99999999999999989</v>
      </c>
      <c r="Y59" s="35">
        <f t="shared" si="23"/>
        <v>0.99999999999999989</v>
      </c>
      <c r="Z59" s="35">
        <f t="shared" si="23"/>
        <v>0.99999999999999989</v>
      </c>
      <c r="AA59" s="35">
        <f t="shared" si="23"/>
        <v>0.99999999999999989</v>
      </c>
      <c r="AB59" s="35">
        <f t="shared" si="23"/>
        <v>0.99999999999999989</v>
      </c>
    </row>
    <row r="60" spans="9:35" x14ac:dyDescent="0.35">
      <c r="M60" t="s">
        <v>2042</v>
      </c>
      <c r="N60" s="102">
        <f>SUM(N52:N54)/SUM(N51:N56)</f>
        <v>9.658421672555946E-2</v>
      </c>
      <c r="O60" s="102">
        <f>SUM(O52:O54)/SUM(O51:O56)</f>
        <v>9.4674556213017749E-2</v>
      </c>
      <c r="P60" s="102">
        <f>SUM(P52:P54)/SUM(P51:P56)</f>
        <v>7.5660970840771904E-2</v>
      </c>
      <c r="Q60" s="102">
        <f>SUM(Q52:Q54)/SUM(Q51:Q56)</f>
        <v>6.6382912257409499E-2</v>
      </c>
      <c r="R60" s="34"/>
      <c r="U60" s="495" t="s">
        <v>2047</v>
      </c>
      <c r="V60" s="495"/>
      <c r="W60" s="495"/>
      <c r="X60" s="495"/>
      <c r="Y60" s="495"/>
      <c r="Z60" s="495"/>
      <c r="AA60" s="495"/>
      <c r="AB60" s="495"/>
    </row>
    <row r="61" spans="9:35" x14ac:dyDescent="0.35">
      <c r="M61" t="s">
        <v>2043</v>
      </c>
      <c r="N61" s="102">
        <f>N55/SUM(N51:N56)</f>
        <v>8.2449941107184919E-3</v>
      </c>
      <c r="O61" s="102">
        <f>SUM(O55:O56)/SUM(O51:O56)</f>
        <v>8.8757396449704144E-3</v>
      </c>
      <c r="P61" s="102">
        <f>SUM(P55:P56)/SUM(P51:P56)</f>
        <v>5.3557765876052028E-3</v>
      </c>
      <c r="Q61" s="102">
        <f>SUM(Q55:Q56)/SUM(Q51:Q56)</f>
        <v>3.8658284196962005E-3</v>
      </c>
      <c r="U61" s="495"/>
      <c r="V61" s="495"/>
      <c r="W61" s="495"/>
      <c r="X61" s="495"/>
      <c r="Y61" s="495"/>
      <c r="Z61" s="495"/>
      <c r="AA61" s="495"/>
      <c r="AB61" s="495"/>
    </row>
    <row r="62" spans="9:35" x14ac:dyDescent="0.35">
      <c r="M62" s="74" t="s">
        <v>2045</v>
      </c>
    </row>
    <row r="63" spans="9:35" x14ac:dyDescent="0.35">
      <c r="O63" s="341"/>
    </row>
    <row r="64" spans="9:35" x14ac:dyDescent="0.35">
      <c r="M64" s="347" t="s">
        <v>2028</v>
      </c>
    </row>
    <row r="65" spans="13:20" ht="15" thickBot="1" x14ac:dyDescent="0.4">
      <c r="M65" s="105" t="s">
        <v>1575</v>
      </c>
      <c r="N65" s="105">
        <v>2020</v>
      </c>
      <c r="O65" s="105">
        <v>2025</v>
      </c>
      <c r="P65" s="105">
        <v>2030</v>
      </c>
      <c r="Q65" s="105">
        <v>2035</v>
      </c>
      <c r="R65" s="105">
        <v>2040</v>
      </c>
      <c r="S65" s="105">
        <v>2045</v>
      </c>
      <c r="T65" s="105">
        <v>2050</v>
      </c>
    </row>
    <row r="66" spans="13:20" ht="15" thickTop="1" x14ac:dyDescent="0.35">
      <c r="M66" s="325" t="s">
        <v>1576</v>
      </c>
      <c r="N66" s="352">
        <v>0.85</v>
      </c>
      <c r="O66" s="352">
        <v>0.82</v>
      </c>
      <c r="P66" s="352">
        <v>0.79</v>
      </c>
      <c r="Q66" s="352">
        <v>0.78</v>
      </c>
      <c r="R66" s="352">
        <v>0.75</v>
      </c>
      <c r="S66" s="352">
        <v>0.72599999999999998</v>
      </c>
      <c r="T66" s="352">
        <v>0.70199999999999996</v>
      </c>
    </row>
    <row r="67" spans="13:20" x14ac:dyDescent="0.35">
      <c r="M67" s="33" t="s">
        <v>1577</v>
      </c>
      <c r="N67" s="349"/>
      <c r="O67" s="349"/>
      <c r="P67" s="349"/>
      <c r="Q67" s="349"/>
      <c r="R67" s="101"/>
      <c r="S67" s="101"/>
      <c r="T67" s="101"/>
    </row>
    <row r="68" spans="13:20" x14ac:dyDescent="0.35">
      <c r="M68" s="17" t="s">
        <v>1578</v>
      </c>
      <c r="N68" s="349">
        <v>0.93</v>
      </c>
      <c r="O68" s="349">
        <v>0.91</v>
      </c>
      <c r="P68" s="349">
        <v>0.9</v>
      </c>
      <c r="Q68" s="349">
        <v>0.89</v>
      </c>
      <c r="R68" s="349">
        <v>0.875</v>
      </c>
      <c r="S68" s="349">
        <v>0.86199999999999999</v>
      </c>
      <c r="T68" s="349">
        <v>0.84899999999999998</v>
      </c>
    </row>
    <row r="69" spans="13:20" x14ac:dyDescent="0.35">
      <c r="M69" s="17" t="s">
        <v>1579</v>
      </c>
      <c r="N69" s="349">
        <v>0.73</v>
      </c>
      <c r="O69" s="349">
        <v>0.72</v>
      </c>
      <c r="P69" s="349">
        <v>0.71</v>
      </c>
      <c r="Q69" s="349">
        <v>0.7</v>
      </c>
      <c r="R69" s="349">
        <v>0.69</v>
      </c>
      <c r="S69" s="349">
        <v>0.68</v>
      </c>
      <c r="T69" s="349">
        <v>0.67</v>
      </c>
    </row>
    <row r="70" spans="13:20" x14ac:dyDescent="0.35">
      <c r="M70" s="17" t="s">
        <v>1580</v>
      </c>
      <c r="N70" s="349">
        <v>0.3</v>
      </c>
      <c r="O70" s="349">
        <v>0.3</v>
      </c>
      <c r="P70" s="349">
        <v>0.28999999999999998</v>
      </c>
      <c r="Q70" s="349">
        <v>0.28999999999999998</v>
      </c>
      <c r="R70" s="349">
        <v>0.28499999999999998</v>
      </c>
      <c r="S70" s="349">
        <v>0.28100000000000003</v>
      </c>
      <c r="T70" s="349">
        <v>0.27700000000000002</v>
      </c>
    </row>
    <row r="71" spans="13:20" x14ac:dyDescent="0.35">
      <c r="M71" s="17" t="s">
        <v>1581</v>
      </c>
      <c r="N71" s="349">
        <v>0.2</v>
      </c>
      <c r="O71" s="349">
        <v>0.2</v>
      </c>
      <c r="P71" s="349">
        <v>0.19</v>
      </c>
      <c r="Q71" s="349">
        <v>0.19</v>
      </c>
      <c r="R71" s="349">
        <v>0.185</v>
      </c>
      <c r="S71" s="349">
        <v>0.18099999999999999</v>
      </c>
      <c r="T71" s="349">
        <v>0.17699999999999999</v>
      </c>
    </row>
    <row r="72" spans="13:20" x14ac:dyDescent="0.35">
      <c r="M72" s="17" t="s">
        <v>1582</v>
      </c>
      <c r="N72" s="349">
        <v>0.27</v>
      </c>
      <c r="O72" s="349">
        <v>0.27</v>
      </c>
      <c r="P72" s="349">
        <v>0.26</v>
      </c>
      <c r="Q72" s="349">
        <v>0.26</v>
      </c>
      <c r="R72" s="349">
        <v>0.255</v>
      </c>
      <c r="S72" s="349">
        <v>0.251</v>
      </c>
      <c r="T72" s="349">
        <v>0.247</v>
      </c>
    </row>
    <row r="73" spans="13:20" x14ac:dyDescent="0.35">
      <c r="M73" s="17" t="s">
        <v>85</v>
      </c>
      <c r="N73" s="349">
        <v>0.61</v>
      </c>
      <c r="O73" s="349">
        <v>0.61</v>
      </c>
      <c r="P73" s="349">
        <v>0.6</v>
      </c>
      <c r="Q73" s="349">
        <v>0.59</v>
      </c>
      <c r="R73" s="349">
        <v>0.58499999999999996</v>
      </c>
      <c r="S73" s="349">
        <v>0.57799999999999996</v>
      </c>
      <c r="T73" s="349">
        <v>0.57099999999999995</v>
      </c>
    </row>
    <row r="74" spans="13:20" x14ac:dyDescent="0.35">
      <c r="M74" s="325" t="s">
        <v>1583</v>
      </c>
      <c r="N74" s="353">
        <v>0.34</v>
      </c>
      <c r="O74" s="353">
        <v>0.36</v>
      </c>
      <c r="P74" s="353">
        <v>0.38</v>
      </c>
      <c r="Q74" s="353">
        <v>0.39</v>
      </c>
      <c r="R74" s="353">
        <v>0.41</v>
      </c>
      <c r="S74" s="353">
        <v>0.42699999999999999</v>
      </c>
      <c r="T74" s="353">
        <v>0.44400000000000001</v>
      </c>
    </row>
    <row r="75" spans="13:20" x14ac:dyDescent="0.35">
      <c r="M75" s="92" t="s">
        <v>1584</v>
      </c>
    </row>
  </sheetData>
  <mergeCells count="14">
    <mergeCell ref="N55:N56"/>
    <mergeCell ref="U60:AB61"/>
    <mergeCell ref="AE20:AF23"/>
    <mergeCell ref="A1:B1"/>
    <mergeCell ref="C1:G1"/>
    <mergeCell ref="I53:K53"/>
    <mergeCell ref="O29:Q29"/>
    <mergeCell ref="M29:M30"/>
    <mergeCell ref="M28:Q28"/>
    <mergeCell ref="M1:T1"/>
    <mergeCell ref="I2:K2"/>
    <mergeCell ref="I33:K33"/>
    <mergeCell ref="I1:K1"/>
    <mergeCell ref="R29:S29"/>
  </mergeCells>
  <hyperlinks>
    <hyperlink ref="P15" r:id="rId1" xr:uid="{1FBE7D7B-918D-4A94-8288-A128F1FDFC00}"/>
    <hyperlink ref="P18" r:id="rId2" xr:uid="{6330B890-CBDF-4E13-8D74-17E7CFAB028D}"/>
    <hyperlink ref="P16" r:id="rId3" xr:uid="{34AC271C-9A9D-4424-AB68-EE8A1B464384}"/>
    <hyperlink ref="N4" r:id="rId4" xr:uid="{586D61C3-EB36-4826-AB16-2E0E98B1F991}"/>
    <hyperlink ref="B4" location="'Charging profiles'!H23" display="Ontario, weighted by pop. density" xr:uid="{B56C12A4-ABAB-4AC6-BD7E-3AE0849EF348}"/>
    <hyperlink ref="B18" location="'Charging profiles'!M2" display="Vehicle registrations in Ontario" xr:uid="{281FB261-BE33-4225-883F-907F8689F5E7}"/>
    <hyperlink ref="M28:Q28" r:id="rId5" display="Mogile Tech. for NRCan - 2022 Snapshot of Canada's charging network for LDVs" xr:uid="{4F9FB14B-49A1-40F8-8B65-B422233364F9}"/>
    <hyperlink ref="U28" r:id="rId6" display="Dunsky E+C - charging infrastructure projections in Canada" xr:uid="{0A339B0F-9686-40AC-92BD-DB619993A916}"/>
    <hyperlink ref="U39" r:id="rId7" location="evolution-of-the-capacity-of-new-chargers-installed" display="ICCT - EVCharge v1.1 Default modelling assumptions, evolution of installed charger capacity" xr:uid="{D137CA33-07DD-4E66-88BA-EEB2B2DC30B5}"/>
    <hyperlink ref="M64" r:id="rId8" display="ICCT charging infrastructure assessment in Quebec - public and residential charging availability assumptions" xr:uid="{6E71C453-CD63-4716-872A-F4FBA601DDDA}"/>
    <hyperlink ref="M49" r:id="rId9" display="ICCT charging infrastructure assessment in Quebec - public and residential charging availability assumptions" xr:uid="{5CE9FEB6-4278-4401-8020-418BE1ED4C18}"/>
  </hyperlinks>
  <pageMargins left="0.7" right="0.7" top="0.75" bottom="0.75" header="0.3" footer="0.3"/>
  <pageSetup orientation="portrait" r:id="rId1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tabColor theme="7" tint="0.59999389629810485"/>
  </sheetPr>
  <dimension ref="A1:AQ63"/>
  <sheetViews>
    <sheetView topLeftCell="AD1" workbookViewId="0">
      <selection activeCell="AQ38" sqref="AQ38"/>
    </sheetView>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91" customFormat="1" ht="15.5" x14ac:dyDescent="0.35">
      <c r="A1" s="104" t="s">
        <v>526</v>
      </c>
    </row>
    <row r="2" spans="1:43" x14ac:dyDescent="0.35">
      <c r="A2" s="474" t="s">
        <v>557</v>
      </c>
      <c r="B2" s="474"/>
      <c r="C2" s="474"/>
      <c r="D2" s="474"/>
      <c r="E2" s="1"/>
      <c r="G2" s="474" t="s">
        <v>558</v>
      </c>
      <c r="H2" s="474"/>
      <c r="I2" s="474"/>
      <c r="J2" s="474"/>
      <c r="M2" s="474" t="s">
        <v>559</v>
      </c>
      <c r="N2" s="474"/>
      <c r="O2" s="474"/>
      <c r="P2" s="474"/>
      <c r="S2" s="474" t="s">
        <v>574</v>
      </c>
      <c r="T2" s="474"/>
      <c r="U2" s="474"/>
      <c r="V2" s="474"/>
      <c r="Y2" s="474" t="s">
        <v>560</v>
      </c>
      <c r="Z2" s="474"/>
      <c r="AA2" s="474"/>
      <c r="AB2" s="474"/>
      <c r="AE2" s="474" t="s">
        <v>547</v>
      </c>
      <c r="AF2" s="474"/>
      <c r="AG2" s="474"/>
      <c r="AH2" s="474"/>
      <c r="AK2" s="527" t="s">
        <v>566</v>
      </c>
      <c r="AL2" s="527"/>
      <c r="AM2" s="527"/>
      <c r="AN2" s="527"/>
      <c r="AO2" s="527"/>
      <c r="AP2" s="527"/>
    </row>
    <row r="3" spans="1:43" ht="87.65" customHeight="1" thickBot="1" x14ac:dyDescent="0.4">
      <c r="A3" s="120" t="s">
        <v>513</v>
      </c>
      <c r="B3" s="120" t="s">
        <v>258</v>
      </c>
      <c r="C3" s="121" t="s">
        <v>544</v>
      </c>
      <c r="D3" s="121" t="s">
        <v>512</v>
      </c>
      <c r="E3" s="441" t="s">
        <v>2193</v>
      </c>
      <c r="G3" s="120" t="s">
        <v>513</v>
      </c>
      <c r="H3" s="120" t="s">
        <v>258</v>
      </c>
      <c r="I3" s="121" t="s">
        <v>544</v>
      </c>
      <c r="J3" s="121" t="s">
        <v>512</v>
      </c>
      <c r="K3" s="441" t="s">
        <v>2193</v>
      </c>
      <c r="M3" s="120" t="s">
        <v>513</v>
      </c>
      <c r="N3" s="120" t="s">
        <v>258</v>
      </c>
      <c r="O3" s="121" t="s">
        <v>544</v>
      </c>
      <c r="P3" s="121" t="s">
        <v>512</v>
      </c>
      <c r="Q3" s="441" t="s">
        <v>2193</v>
      </c>
      <c r="S3" s="120" t="s">
        <v>513</v>
      </c>
      <c r="T3" s="120" t="s">
        <v>258</v>
      </c>
      <c r="U3" s="121" t="s">
        <v>544</v>
      </c>
      <c r="V3" s="121" t="s">
        <v>512</v>
      </c>
      <c r="W3" s="441" t="s">
        <v>2193</v>
      </c>
      <c r="Y3" s="120" t="s">
        <v>513</v>
      </c>
      <c r="Z3" s="120" t="s">
        <v>258</v>
      </c>
      <c r="AA3" s="121" t="s">
        <v>544</v>
      </c>
      <c r="AB3" s="121" t="s">
        <v>512</v>
      </c>
      <c r="AC3" s="441" t="s">
        <v>2193</v>
      </c>
      <c r="AE3" s="120" t="s">
        <v>513</v>
      </c>
      <c r="AF3" s="120" t="s">
        <v>546</v>
      </c>
      <c r="AG3" s="121" t="s">
        <v>555</v>
      </c>
      <c r="AH3" s="121" t="s">
        <v>561</v>
      </c>
      <c r="AI3" s="441" t="s">
        <v>2193</v>
      </c>
      <c r="AK3" s="120" t="s">
        <v>513</v>
      </c>
      <c r="AL3" s="121" t="s">
        <v>569</v>
      </c>
      <c r="AM3" s="121" t="s">
        <v>567</v>
      </c>
      <c r="AN3" s="121" t="s">
        <v>1080</v>
      </c>
      <c r="AO3" s="121" t="s">
        <v>512</v>
      </c>
      <c r="AP3" s="121" t="s">
        <v>561</v>
      </c>
      <c r="AQ3" s="441" t="s">
        <v>2193</v>
      </c>
    </row>
    <row r="4" spans="1:43" ht="15" thickTop="1" x14ac:dyDescent="0.35">
      <c r="A4" s="123" t="s">
        <v>514</v>
      </c>
      <c r="B4" t="s">
        <v>110</v>
      </c>
      <c r="C4" s="86">
        <v>11.710878661087801</v>
      </c>
      <c r="D4" s="86">
        <v>269.39330543932999</v>
      </c>
      <c r="E4" s="34">
        <f>INDEX($H$46:$H$51,MATCH(A4,_xlfn.ANCHORARRAY($F$46), 0))</f>
        <v>4.4278342824028288E-3</v>
      </c>
      <c r="G4" s="123" t="s">
        <v>514</v>
      </c>
      <c r="H4" t="s">
        <v>110</v>
      </c>
      <c r="I4" s="86">
        <v>10.4385826771653</v>
      </c>
      <c r="J4" s="86">
        <v>240.173228346456</v>
      </c>
      <c r="K4" s="34">
        <f>INDEX($H$46:$H$51,MATCH(G4,_xlfn.ANCHORARRAY($F$46), 0))</f>
        <v>4.4278342824028288E-3</v>
      </c>
      <c r="M4" s="123" t="s">
        <v>530</v>
      </c>
      <c r="N4" t="s">
        <v>110</v>
      </c>
      <c r="O4" s="86">
        <v>10.009803921568601</v>
      </c>
      <c r="P4" s="86">
        <v>234.01960784313701</v>
      </c>
      <c r="Q4" s="34">
        <f>INDEX($H$46:$H$51,MATCH(M4,$G$46:$G$51, 0))</f>
        <v>4.4278342824028288E-3</v>
      </c>
      <c r="S4" t="s">
        <v>530</v>
      </c>
      <c r="T4" t="s">
        <v>110</v>
      </c>
      <c r="U4" s="86">
        <v>10.6571428571428</v>
      </c>
      <c r="V4" s="86">
        <v>250.09523809523799</v>
      </c>
      <c r="W4" s="34">
        <f>INDEX($I$46:$I$51,MATCH(S4,$G$46:$G$51, 0))</f>
        <v>5.9556466062645284E-3</v>
      </c>
      <c r="Y4" t="s">
        <v>530</v>
      </c>
      <c r="Z4" t="s">
        <v>110</v>
      </c>
      <c r="AA4" s="86">
        <v>10.689473684210499</v>
      </c>
      <c r="AB4" s="86">
        <v>250.68421052631501</v>
      </c>
      <c r="AC4" s="34">
        <f>INDEX($I$46:$I$51,MATCH(Y4,$G$46:$G$51, 0))</f>
        <v>5.9556466062645284E-3</v>
      </c>
      <c r="AE4" s="442" t="s">
        <v>531</v>
      </c>
      <c r="AF4">
        <v>250</v>
      </c>
      <c r="AG4" s="86">
        <v>18.34</v>
      </c>
      <c r="AH4" s="86">
        <v>164.68</v>
      </c>
      <c r="AI4" s="34">
        <f>INDEX($I$46:$I$51,MATCH(AE4,$G$46:$G$51, 0))</f>
        <v>7.4528035619713884E-2</v>
      </c>
      <c r="AK4" t="s">
        <v>530</v>
      </c>
      <c r="AL4">
        <v>90</v>
      </c>
      <c r="AM4" s="86">
        <v>3.9</v>
      </c>
      <c r="AN4" s="86">
        <v>9.1999999999999993</v>
      </c>
      <c r="AO4" s="86">
        <v>54</v>
      </c>
      <c r="AP4" s="86">
        <v>84</v>
      </c>
      <c r="AQ4" s="34">
        <f>INDEX($I$46:$I$51,MATCH(AK4,$G$46:$G$51, 0))</f>
        <v>5.9556466062645284E-3</v>
      </c>
    </row>
    <row r="5" spans="1:43" x14ac:dyDescent="0.35">
      <c r="A5" s="123" t="s">
        <v>515</v>
      </c>
      <c r="B5" t="s">
        <v>109</v>
      </c>
      <c r="C5" s="86">
        <v>6.85</v>
      </c>
      <c r="D5" s="86">
        <v>184.75</v>
      </c>
      <c r="E5" s="34">
        <f t="shared" ref="E5:E21" si="0">INDEX($H$46:$H$51,MATCH(A5,_xlfn.ANCHORARRAY($F$46), 0))</f>
        <v>7.4903618262387353E-2</v>
      </c>
      <c r="G5" s="123" t="s">
        <v>515</v>
      </c>
      <c r="H5" t="s">
        <v>239</v>
      </c>
      <c r="I5" s="86">
        <v>14.4333333333333</v>
      </c>
      <c r="J5" s="86">
        <v>231</v>
      </c>
      <c r="K5" s="34">
        <f t="shared" ref="K5:K21" si="1">INDEX($H$46:$H$51,MATCH(G5,_xlfn.ANCHORARRAY($F$46), 0))</f>
        <v>7.4903618262387353E-2</v>
      </c>
      <c r="M5" s="123" t="s">
        <v>531</v>
      </c>
      <c r="N5" t="s">
        <v>110</v>
      </c>
      <c r="O5" s="86">
        <v>10.3615384615384</v>
      </c>
      <c r="P5" s="86">
        <v>242.450549450549</v>
      </c>
      <c r="Q5" s="34">
        <f t="shared" ref="Q5:Q18" si="2">INDEX($H$46:$H$51,MATCH(M5,$G$46:$G$51, 0))</f>
        <v>7.4903618262387353E-2</v>
      </c>
      <c r="S5" t="s">
        <v>531</v>
      </c>
      <c r="T5" t="s">
        <v>110</v>
      </c>
      <c r="U5" s="86">
        <v>10.682222222222199</v>
      </c>
      <c r="V5" s="86">
        <v>250.03333333333299</v>
      </c>
      <c r="W5" s="34">
        <f t="shared" ref="W5:W14" si="3">INDEX($I$46:$I$51,MATCH(S5,$G$46:$G$51, 0))</f>
        <v>7.4528035619713884E-2</v>
      </c>
      <c r="Y5" t="s">
        <v>531</v>
      </c>
      <c r="Z5" t="s">
        <v>110</v>
      </c>
      <c r="AA5" s="86">
        <v>10.42</v>
      </c>
      <c r="AB5" s="86">
        <v>243.585714285714</v>
      </c>
      <c r="AC5" s="34">
        <f t="shared" ref="AC5:AC13" si="4">INDEX($I$46:$I$51,MATCH(Y5,$G$46:$G$51, 0))</f>
        <v>7.4528035619713884E-2</v>
      </c>
      <c r="AE5" s="123" t="s">
        <v>531</v>
      </c>
      <c r="AF5">
        <v>500</v>
      </c>
      <c r="AG5" s="86">
        <v>21.55</v>
      </c>
      <c r="AH5" s="86">
        <v>426.7</v>
      </c>
      <c r="AI5" s="34">
        <f t="shared" ref="AI5:AI15" si="5">INDEX($I$46:$I$51,MATCH(AE5,$G$46:$G$51, 0))</f>
        <v>7.4528035619713884E-2</v>
      </c>
      <c r="AK5" t="s">
        <v>531</v>
      </c>
      <c r="AL5">
        <v>35</v>
      </c>
      <c r="AM5" s="86">
        <v>3.22</v>
      </c>
      <c r="AN5" s="86">
        <v>8.4599999999999902</v>
      </c>
      <c r="AO5" s="86">
        <v>121</v>
      </c>
      <c r="AP5" s="86">
        <v>26</v>
      </c>
      <c r="AQ5" s="34">
        <f t="shared" ref="AQ5:AQ14" si="6">INDEX($I$46:$I$51,MATCH(AK5,$G$46:$G$51, 0))</f>
        <v>7.4528035619713884E-2</v>
      </c>
    </row>
    <row r="6" spans="1:43" x14ac:dyDescent="0.35">
      <c r="A6" s="123" t="s">
        <v>515</v>
      </c>
      <c r="B6" t="s">
        <v>110</v>
      </c>
      <c r="C6" s="86">
        <v>11.1608899297423</v>
      </c>
      <c r="D6" s="86">
        <v>256.742388758782</v>
      </c>
      <c r="E6" s="34">
        <f t="shared" si="0"/>
        <v>7.4903618262387353E-2</v>
      </c>
      <c r="G6" s="123" t="s">
        <v>515</v>
      </c>
      <c r="H6" t="s">
        <v>110</v>
      </c>
      <c r="I6" s="86">
        <v>10.761036036036</v>
      </c>
      <c r="J6" s="86">
        <v>247.617117117117</v>
      </c>
      <c r="K6" s="34">
        <f t="shared" si="1"/>
        <v>7.4903618262387353E-2</v>
      </c>
      <c r="M6" s="123" t="s">
        <v>532</v>
      </c>
      <c r="N6" t="s">
        <v>109</v>
      </c>
      <c r="O6" s="86">
        <v>6.6749999999999998</v>
      </c>
      <c r="P6" s="86">
        <v>178.75</v>
      </c>
      <c r="Q6" s="34">
        <f t="shared" si="2"/>
        <v>0.53368242434337232</v>
      </c>
      <c r="S6" t="s">
        <v>532</v>
      </c>
      <c r="T6" t="s">
        <v>110</v>
      </c>
      <c r="U6" s="86">
        <v>9.0704761904761906</v>
      </c>
      <c r="V6" s="86">
        <v>212.11428571428499</v>
      </c>
      <c r="W6" s="34">
        <f t="shared" si="3"/>
        <v>0.47363564001002123</v>
      </c>
      <c r="Y6" t="s">
        <v>532</v>
      </c>
      <c r="Z6" t="s">
        <v>110</v>
      </c>
      <c r="AA6" s="86">
        <v>9.2135593220338894</v>
      </c>
      <c r="AB6" s="86">
        <v>215.796610169491</v>
      </c>
      <c r="AC6" s="34">
        <f t="shared" si="4"/>
        <v>0.47363564001002123</v>
      </c>
      <c r="AE6" s="123" t="s">
        <v>532</v>
      </c>
      <c r="AF6">
        <v>250</v>
      </c>
      <c r="AG6" s="86">
        <v>19</v>
      </c>
      <c r="AH6" s="86">
        <v>165.9</v>
      </c>
      <c r="AI6" s="34">
        <f t="shared" si="5"/>
        <v>0.47363564001002123</v>
      </c>
      <c r="AK6" t="s">
        <v>531</v>
      </c>
      <c r="AL6">
        <v>90</v>
      </c>
      <c r="AM6" s="86">
        <v>2.86499999999999</v>
      </c>
      <c r="AN6" s="86">
        <v>8.4499999999999993</v>
      </c>
      <c r="AO6" s="86">
        <v>40.700000000000003</v>
      </c>
      <c r="AP6" s="86">
        <v>129.05000000000001</v>
      </c>
      <c r="AQ6" s="34">
        <f t="shared" si="6"/>
        <v>7.4528035619713884E-2</v>
      </c>
    </row>
    <row r="7" spans="1:43" x14ac:dyDescent="0.35">
      <c r="A7" s="123" t="s">
        <v>516</v>
      </c>
      <c r="B7" t="s">
        <v>109</v>
      </c>
      <c r="C7" s="86">
        <v>7.2545454545454504</v>
      </c>
      <c r="D7" s="86">
        <v>195.54545454545399</v>
      </c>
      <c r="E7" s="34">
        <f t="shared" si="0"/>
        <v>0.53368242434337232</v>
      </c>
      <c r="G7" s="123" t="s">
        <v>516</v>
      </c>
      <c r="H7" t="s">
        <v>109</v>
      </c>
      <c r="I7" s="86">
        <v>7.4560000000000004</v>
      </c>
      <c r="J7" s="86">
        <v>200.28</v>
      </c>
      <c r="K7" s="34">
        <f t="shared" si="1"/>
        <v>0.53368242434337232</v>
      </c>
      <c r="M7" s="123" t="s">
        <v>532</v>
      </c>
      <c r="N7" t="s">
        <v>110</v>
      </c>
      <c r="O7" s="86">
        <v>9.0798245614035</v>
      </c>
      <c r="P7" s="86">
        <v>212.68421052631501</v>
      </c>
      <c r="Q7" s="34">
        <f t="shared" si="2"/>
        <v>0.53368242434337232</v>
      </c>
      <c r="S7" t="s">
        <v>532</v>
      </c>
      <c r="T7" t="s">
        <v>556</v>
      </c>
      <c r="U7" s="86">
        <v>4.5</v>
      </c>
      <c r="V7" s="86">
        <v>106</v>
      </c>
      <c r="W7" s="34">
        <f t="shared" si="3"/>
        <v>0.47363564001002123</v>
      </c>
      <c r="Y7" t="s">
        <v>532</v>
      </c>
      <c r="Z7" t="s">
        <v>556</v>
      </c>
      <c r="AA7" s="86">
        <v>4.9666666666666597</v>
      </c>
      <c r="AB7" s="86">
        <v>116.333333333333</v>
      </c>
      <c r="AC7" s="34">
        <f t="shared" si="4"/>
        <v>0.47363564001002123</v>
      </c>
      <c r="AE7" s="123" t="s">
        <v>532</v>
      </c>
      <c r="AF7">
        <v>500</v>
      </c>
      <c r="AG7" s="86">
        <v>27.615789473684199</v>
      </c>
      <c r="AH7" s="86">
        <v>347.15789473684202</v>
      </c>
      <c r="AI7" s="34">
        <f t="shared" si="5"/>
        <v>0.47363564001002123</v>
      </c>
      <c r="AK7" t="s">
        <v>532</v>
      </c>
      <c r="AL7">
        <v>35</v>
      </c>
      <c r="AM7" s="86">
        <v>3.23999999999999</v>
      </c>
      <c r="AN7" s="86">
        <v>8.0250000000000004</v>
      </c>
      <c r="AO7" s="86">
        <v>108.1</v>
      </c>
      <c r="AP7" s="86">
        <v>28.85</v>
      </c>
      <c r="AQ7" s="34">
        <f t="shared" si="6"/>
        <v>0.47363564001002123</v>
      </c>
    </row>
    <row r="8" spans="1:43" x14ac:dyDescent="0.35">
      <c r="A8" s="123" t="s">
        <v>516</v>
      </c>
      <c r="B8" t="s">
        <v>239</v>
      </c>
      <c r="C8" s="86">
        <v>15.066666666666601</v>
      </c>
      <c r="D8" s="86">
        <v>241</v>
      </c>
      <c r="E8" s="34">
        <f t="shared" si="0"/>
        <v>0.53368242434337232</v>
      </c>
      <c r="G8" s="123" t="s">
        <v>516</v>
      </c>
      <c r="H8" t="s">
        <v>239</v>
      </c>
      <c r="I8" s="86">
        <v>12.566666666666601</v>
      </c>
      <c r="J8" s="86">
        <v>201.055555555555</v>
      </c>
      <c r="K8" s="34">
        <f t="shared" si="1"/>
        <v>0.53368242434337232</v>
      </c>
      <c r="M8" s="123" t="s">
        <v>532</v>
      </c>
      <c r="N8" t="s">
        <v>556</v>
      </c>
      <c r="O8" s="86">
        <v>8.5</v>
      </c>
      <c r="P8" s="86">
        <v>200</v>
      </c>
      <c r="Q8" s="34">
        <f t="shared" si="2"/>
        <v>0.53368242434337232</v>
      </c>
      <c r="S8" t="s">
        <v>533</v>
      </c>
      <c r="T8" t="s">
        <v>110</v>
      </c>
      <c r="U8" s="86">
        <v>9.2945454545454496</v>
      </c>
      <c r="V8" s="86">
        <v>217.790909090909</v>
      </c>
      <c r="W8" s="34">
        <f t="shared" si="3"/>
        <v>0.35458613330119781</v>
      </c>
      <c r="Y8" t="s">
        <v>533</v>
      </c>
      <c r="Z8" t="s">
        <v>110</v>
      </c>
      <c r="AA8" s="86">
        <v>9.4762886597938092</v>
      </c>
      <c r="AB8" s="86">
        <v>222.02061855670101</v>
      </c>
      <c r="AC8" s="34">
        <f t="shared" si="4"/>
        <v>0.35458613330119781</v>
      </c>
      <c r="AE8" s="123" t="s">
        <v>533</v>
      </c>
      <c r="AF8">
        <v>250</v>
      </c>
      <c r="AG8" s="86">
        <v>18.376190476190398</v>
      </c>
      <c r="AH8" s="86">
        <v>176.619047619047</v>
      </c>
      <c r="AI8" s="34">
        <f t="shared" si="5"/>
        <v>0.35458613330119781</v>
      </c>
      <c r="AK8" t="s">
        <v>532</v>
      </c>
      <c r="AL8">
        <v>90</v>
      </c>
      <c r="AM8" s="86">
        <v>2.5416666666666599</v>
      </c>
      <c r="AN8" s="86">
        <v>6.5666666666666602</v>
      </c>
      <c r="AO8" s="86">
        <v>49</v>
      </c>
      <c r="AP8" s="86">
        <v>66.9166666666666</v>
      </c>
      <c r="AQ8" s="34">
        <f t="shared" si="6"/>
        <v>0.47363564001002123</v>
      </c>
    </row>
    <row r="9" spans="1:43" x14ac:dyDescent="0.35">
      <c r="A9" s="123" t="s">
        <v>516</v>
      </c>
      <c r="B9" t="s">
        <v>110</v>
      </c>
      <c r="C9" s="86">
        <v>10.790476190476101</v>
      </c>
      <c r="D9" s="86">
        <v>248.216589861751</v>
      </c>
      <c r="E9" s="34">
        <f t="shared" si="0"/>
        <v>0.53368242434337232</v>
      </c>
      <c r="G9" s="123" t="s">
        <v>516</v>
      </c>
      <c r="H9" t="s">
        <v>110</v>
      </c>
      <c r="I9" s="86">
        <v>9.6191063174114007</v>
      </c>
      <c r="J9" s="86">
        <v>221.32357473035401</v>
      </c>
      <c r="K9" s="34">
        <f t="shared" si="1"/>
        <v>0.53368242434337232</v>
      </c>
      <c r="M9" s="123" t="s">
        <v>533</v>
      </c>
      <c r="N9" t="s">
        <v>109</v>
      </c>
      <c r="O9" s="86">
        <v>6.7333333333333298</v>
      </c>
      <c r="P9" s="86">
        <v>181.333333333333</v>
      </c>
      <c r="Q9" s="34">
        <f t="shared" si="2"/>
        <v>0.27985404803297975</v>
      </c>
      <c r="S9" t="s">
        <v>533</v>
      </c>
      <c r="T9" t="s">
        <v>556</v>
      </c>
      <c r="U9" s="86">
        <v>5.86666666666666</v>
      </c>
      <c r="V9" s="86">
        <v>137.333333333333</v>
      </c>
      <c r="W9" s="34">
        <f t="shared" si="3"/>
        <v>0.35458613330119781</v>
      </c>
      <c r="Y9" t="s">
        <v>533</v>
      </c>
      <c r="Z9" t="s">
        <v>556</v>
      </c>
      <c r="AA9" s="86">
        <v>5</v>
      </c>
      <c r="AB9" s="86">
        <v>117</v>
      </c>
      <c r="AC9" s="34">
        <f t="shared" si="4"/>
        <v>0.35458613330119781</v>
      </c>
      <c r="AE9" s="123" t="s">
        <v>533</v>
      </c>
      <c r="AF9">
        <v>500</v>
      </c>
      <c r="AG9" s="86">
        <v>21.3698113207547</v>
      </c>
      <c r="AH9" s="86">
        <v>394.66037735849</v>
      </c>
      <c r="AI9" s="34">
        <f t="shared" si="5"/>
        <v>0.35458613330119781</v>
      </c>
      <c r="AK9" t="s">
        <v>533</v>
      </c>
      <c r="AL9">
        <v>35</v>
      </c>
      <c r="AM9" s="86">
        <v>3.19354838709677</v>
      </c>
      <c r="AN9" s="86">
        <v>7.4580645161290304</v>
      </c>
      <c r="AO9" s="86">
        <v>102.322580645161</v>
      </c>
      <c r="AP9" s="86">
        <v>30.064516129032199</v>
      </c>
      <c r="AQ9" s="34">
        <f t="shared" si="6"/>
        <v>0.35458613330119781</v>
      </c>
    </row>
    <row r="10" spans="1:43" x14ac:dyDescent="0.35">
      <c r="A10" s="123" t="s">
        <v>516</v>
      </c>
      <c r="B10" t="s">
        <v>556</v>
      </c>
      <c r="C10" s="86">
        <v>5.6</v>
      </c>
      <c r="D10" s="86">
        <v>129</v>
      </c>
      <c r="E10" s="34">
        <f t="shared" si="0"/>
        <v>0.53368242434337232</v>
      </c>
      <c r="G10" s="123" t="s">
        <v>516</v>
      </c>
      <c r="H10" t="s">
        <v>556</v>
      </c>
      <c r="I10" s="86">
        <v>6.3833333333333302</v>
      </c>
      <c r="J10" s="86">
        <v>146.916666666666</v>
      </c>
      <c r="K10" s="34">
        <f t="shared" si="1"/>
        <v>0.53368242434337232</v>
      </c>
      <c r="M10" s="123" t="s">
        <v>533</v>
      </c>
      <c r="N10" t="s">
        <v>239</v>
      </c>
      <c r="O10" s="86">
        <v>15</v>
      </c>
      <c r="P10" s="86">
        <v>248</v>
      </c>
      <c r="Q10" s="34">
        <f t="shared" si="2"/>
        <v>0.27985404803297975</v>
      </c>
      <c r="S10" t="s">
        <v>534</v>
      </c>
      <c r="T10" t="s">
        <v>239</v>
      </c>
      <c r="U10" s="86">
        <v>14.7</v>
      </c>
      <c r="V10" s="86">
        <v>246</v>
      </c>
      <c r="W10" s="34">
        <f t="shared" si="3"/>
        <v>6.6840875143896417E-2</v>
      </c>
      <c r="Y10" t="s">
        <v>534</v>
      </c>
      <c r="Z10" t="s">
        <v>110</v>
      </c>
      <c r="AA10" s="86">
        <v>9.8972972972972908</v>
      </c>
      <c r="AB10" s="86">
        <v>231.729729729729</v>
      </c>
      <c r="AC10" s="34">
        <f t="shared" si="4"/>
        <v>6.6840875143896417E-2</v>
      </c>
      <c r="AE10" s="123" t="s">
        <v>533</v>
      </c>
      <c r="AF10">
        <v>800</v>
      </c>
      <c r="AG10" s="86">
        <v>16.933333333333302</v>
      </c>
      <c r="AH10" s="86">
        <v>536</v>
      </c>
      <c r="AI10" s="34">
        <f t="shared" si="5"/>
        <v>0.35458613330119781</v>
      </c>
      <c r="AK10" t="s">
        <v>533</v>
      </c>
      <c r="AL10">
        <v>90</v>
      </c>
      <c r="AM10" s="86">
        <v>2.3562500000000002</v>
      </c>
      <c r="AN10" s="86">
        <v>5.75</v>
      </c>
      <c r="AO10" s="86">
        <v>55.03125</v>
      </c>
      <c r="AP10" s="86">
        <v>50.71875</v>
      </c>
      <c r="AQ10" s="34">
        <f t="shared" si="6"/>
        <v>0.35458613330119781</v>
      </c>
    </row>
    <row r="11" spans="1:43" x14ac:dyDescent="0.35">
      <c r="A11" s="123" t="s">
        <v>517</v>
      </c>
      <c r="B11" t="s">
        <v>109</v>
      </c>
      <c r="C11" s="86">
        <v>8.85</v>
      </c>
      <c r="D11" s="86">
        <v>239</v>
      </c>
      <c r="E11" s="34">
        <f t="shared" si="0"/>
        <v>0.27985404803297975</v>
      </c>
      <c r="G11" s="123" t="s">
        <v>517</v>
      </c>
      <c r="H11" t="s">
        <v>109</v>
      </c>
      <c r="I11" s="86">
        <v>7.9249999999999998</v>
      </c>
      <c r="J11" s="86">
        <v>211.916666666666</v>
      </c>
      <c r="K11" s="34">
        <f t="shared" si="1"/>
        <v>0.27985404803297975</v>
      </c>
      <c r="M11" s="123" t="s">
        <v>533</v>
      </c>
      <c r="N11" t="s">
        <v>110</v>
      </c>
      <c r="O11" s="86">
        <v>9.3537313432835791</v>
      </c>
      <c r="P11" s="86">
        <v>219.32089552238801</v>
      </c>
      <c r="Q11" s="34">
        <f t="shared" si="2"/>
        <v>0.27985404803297975</v>
      </c>
      <c r="S11" t="s">
        <v>534</v>
      </c>
      <c r="T11" t="s">
        <v>110</v>
      </c>
      <c r="U11" s="86">
        <v>10.453846153846101</v>
      </c>
      <c r="V11" s="86">
        <v>245.184615384615</v>
      </c>
      <c r="W11" s="34">
        <f t="shared" si="3"/>
        <v>6.6840875143896417E-2</v>
      </c>
      <c r="Y11" t="s">
        <v>534</v>
      </c>
      <c r="Z11" t="s">
        <v>556</v>
      </c>
      <c r="AA11" s="86">
        <v>5</v>
      </c>
      <c r="AB11" s="86">
        <v>117</v>
      </c>
      <c r="AC11" s="34">
        <f t="shared" si="4"/>
        <v>6.6840875143896417E-2</v>
      </c>
      <c r="AE11" s="123" t="s">
        <v>534</v>
      </c>
      <c r="AF11">
        <v>250</v>
      </c>
      <c r="AG11" s="86">
        <v>22.2</v>
      </c>
      <c r="AH11" s="86">
        <v>224</v>
      </c>
      <c r="AI11" s="34">
        <f t="shared" si="5"/>
        <v>6.6840875143896417E-2</v>
      </c>
      <c r="AK11" t="s">
        <v>534</v>
      </c>
      <c r="AL11">
        <v>35</v>
      </c>
      <c r="AM11" s="86">
        <v>4.3636363636363598</v>
      </c>
      <c r="AN11" s="86">
        <v>10.272727272727201</v>
      </c>
      <c r="AO11" s="86">
        <v>148.90909090909</v>
      </c>
      <c r="AP11" s="86">
        <v>26</v>
      </c>
      <c r="AQ11" s="34">
        <f t="shared" si="6"/>
        <v>6.6840875143896417E-2</v>
      </c>
    </row>
    <row r="12" spans="1:43" x14ac:dyDescent="0.35">
      <c r="A12" s="123" t="s">
        <v>517</v>
      </c>
      <c r="B12" t="s">
        <v>239</v>
      </c>
      <c r="C12" s="86">
        <v>14.590909090908999</v>
      </c>
      <c r="D12" s="86">
        <v>233.363636363636</v>
      </c>
      <c r="E12" s="34">
        <f t="shared" si="0"/>
        <v>0.27985404803297975</v>
      </c>
      <c r="G12" s="123" t="s">
        <v>517</v>
      </c>
      <c r="H12" t="s">
        <v>239</v>
      </c>
      <c r="I12" s="86">
        <v>14.5026315789473</v>
      </c>
      <c r="J12" s="86">
        <v>231.894736842105</v>
      </c>
      <c r="K12" s="34">
        <f t="shared" si="1"/>
        <v>0.27985404803297975</v>
      </c>
      <c r="M12" s="123" t="s">
        <v>533</v>
      </c>
      <c r="N12" t="s">
        <v>556</v>
      </c>
      <c r="O12" s="86">
        <v>5.7666666666666604</v>
      </c>
      <c r="P12" s="86">
        <v>135.555555555555</v>
      </c>
      <c r="Q12" s="34">
        <f t="shared" si="2"/>
        <v>0.27985404803297975</v>
      </c>
      <c r="S12" t="s">
        <v>534</v>
      </c>
      <c r="T12" t="s">
        <v>556</v>
      </c>
      <c r="U12" s="86">
        <v>5</v>
      </c>
      <c r="V12" s="86">
        <v>117</v>
      </c>
      <c r="W12" s="34">
        <f t="shared" si="3"/>
        <v>6.6840875143896417E-2</v>
      </c>
      <c r="Y12" t="s">
        <v>535</v>
      </c>
      <c r="Z12" t="s">
        <v>110</v>
      </c>
      <c r="AA12" s="86">
        <v>8.1857142857142797</v>
      </c>
      <c r="AB12" s="86">
        <v>192</v>
      </c>
      <c r="AC12" s="34">
        <f t="shared" si="4"/>
        <v>2.4453669318906166E-2</v>
      </c>
      <c r="AE12" s="123" t="s">
        <v>534</v>
      </c>
      <c r="AF12">
        <v>500</v>
      </c>
      <c r="AG12" s="86">
        <v>21.651063829787201</v>
      </c>
      <c r="AH12" s="86">
        <v>409.93617021276498</v>
      </c>
      <c r="AI12" s="34">
        <f t="shared" si="5"/>
        <v>6.6840875143896417E-2</v>
      </c>
      <c r="AK12" t="s">
        <v>534</v>
      </c>
      <c r="AL12">
        <v>90</v>
      </c>
      <c r="AM12" s="86">
        <v>4.5999999999999996</v>
      </c>
      <c r="AN12" s="86">
        <v>10</v>
      </c>
      <c r="AO12" s="86">
        <v>67</v>
      </c>
      <c r="AP12" s="86">
        <v>90</v>
      </c>
      <c r="AQ12" s="34">
        <f t="shared" si="6"/>
        <v>6.6840875143896417E-2</v>
      </c>
    </row>
    <row r="13" spans="1:43" x14ac:dyDescent="0.35">
      <c r="A13" s="123" t="s">
        <v>517</v>
      </c>
      <c r="B13" t="s">
        <v>110</v>
      </c>
      <c r="C13" s="86">
        <v>11.2667903525046</v>
      </c>
      <c r="D13" s="86">
        <v>259.16697588126101</v>
      </c>
      <c r="E13" s="34">
        <f t="shared" si="0"/>
        <v>0.27985404803297975</v>
      </c>
      <c r="G13" s="123" t="s">
        <v>517</v>
      </c>
      <c r="H13" t="s">
        <v>110</v>
      </c>
      <c r="I13" s="86">
        <v>10.109682804674399</v>
      </c>
      <c r="J13" s="86">
        <v>232.626043405676</v>
      </c>
      <c r="K13" s="34">
        <f t="shared" si="1"/>
        <v>0.27985404803297975</v>
      </c>
      <c r="M13" s="123" t="s">
        <v>534</v>
      </c>
      <c r="N13" t="s">
        <v>239</v>
      </c>
      <c r="O13" s="86">
        <v>15.05</v>
      </c>
      <c r="P13" s="86">
        <v>249.625</v>
      </c>
      <c r="Q13" s="34">
        <f t="shared" si="2"/>
        <v>8.1399625924345104E-2</v>
      </c>
      <c r="S13" t="s">
        <v>535</v>
      </c>
      <c r="T13" t="s">
        <v>110</v>
      </c>
      <c r="U13" s="86">
        <v>8.1199999999999992</v>
      </c>
      <c r="V13" s="86">
        <v>190.72</v>
      </c>
      <c r="W13" s="34">
        <f t="shared" si="3"/>
        <v>2.4453669318906166E-2</v>
      </c>
      <c r="Y13" t="s">
        <v>536</v>
      </c>
      <c r="Z13" t="s">
        <v>110</v>
      </c>
      <c r="AA13" s="86">
        <v>10.9</v>
      </c>
      <c r="AB13" s="86">
        <v>258.142857142857</v>
      </c>
      <c r="AC13" s="34" t="e">
        <f t="shared" si="4"/>
        <v>#N/A</v>
      </c>
      <c r="AE13" s="123" t="s">
        <v>534</v>
      </c>
      <c r="AF13">
        <v>800</v>
      </c>
      <c r="AG13" s="86">
        <v>19.1108695652173</v>
      </c>
      <c r="AH13" s="86">
        <v>624.02173913043396</v>
      </c>
      <c r="AI13" s="34">
        <f t="shared" si="5"/>
        <v>6.6840875143896417E-2</v>
      </c>
      <c r="AK13" t="s">
        <v>535</v>
      </c>
      <c r="AL13">
        <v>35</v>
      </c>
      <c r="AM13" s="86">
        <v>3.2</v>
      </c>
      <c r="AN13" s="86">
        <v>7.8</v>
      </c>
      <c r="AO13" s="86">
        <v>94</v>
      </c>
      <c r="AP13" s="86">
        <v>35</v>
      </c>
      <c r="AQ13" s="34">
        <f t="shared" si="6"/>
        <v>2.4453669318906166E-2</v>
      </c>
    </row>
    <row r="14" spans="1:43" x14ac:dyDescent="0.35">
      <c r="A14" s="123" t="s">
        <v>517</v>
      </c>
      <c r="B14" t="s">
        <v>556</v>
      </c>
      <c r="C14" s="86">
        <v>7.8357142857142801</v>
      </c>
      <c r="D14" s="86">
        <v>180.28571428571399</v>
      </c>
      <c r="E14" s="34">
        <f t="shared" si="0"/>
        <v>0.27985404803297975</v>
      </c>
      <c r="G14" s="123" t="s">
        <v>517</v>
      </c>
      <c r="H14" t="s">
        <v>556</v>
      </c>
      <c r="I14" s="86">
        <v>6.5054054054053996</v>
      </c>
      <c r="J14" s="86">
        <v>149.62162162162099</v>
      </c>
      <c r="K14" s="34">
        <f t="shared" si="1"/>
        <v>0.27985404803297975</v>
      </c>
      <c r="M14" s="123" t="s">
        <v>534</v>
      </c>
      <c r="N14" t="s">
        <v>110</v>
      </c>
      <c r="O14" s="86">
        <v>10.446067415730299</v>
      </c>
      <c r="P14" s="86">
        <v>245.112359550561</v>
      </c>
      <c r="Q14" s="34">
        <f t="shared" si="2"/>
        <v>8.1399625924345104E-2</v>
      </c>
      <c r="S14" t="s">
        <v>536</v>
      </c>
      <c r="T14" t="s">
        <v>110</v>
      </c>
      <c r="U14" s="86">
        <v>10.799999999999899</v>
      </c>
      <c r="V14" s="86">
        <v>253.5</v>
      </c>
      <c r="W14" s="34" t="e">
        <f t="shared" si="3"/>
        <v>#N/A</v>
      </c>
      <c r="Y14" t="s">
        <v>537</v>
      </c>
      <c r="Z14" t="s">
        <v>110</v>
      </c>
      <c r="AA14" s="86">
        <v>12.13125</v>
      </c>
      <c r="AB14" s="86">
        <v>284.375</v>
      </c>
      <c r="AC14" s="34">
        <f>INDEX($I$56:$I$61,MATCH(Y14,$G$56:$G$61, 0))</f>
        <v>2.0672849126717584E-2</v>
      </c>
      <c r="AE14" s="123" t="s">
        <v>535</v>
      </c>
      <c r="AF14">
        <v>250</v>
      </c>
      <c r="AG14" s="86">
        <v>18.855555555555501</v>
      </c>
      <c r="AH14" s="86">
        <v>199.777777777777</v>
      </c>
      <c r="AI14" s="34">
        <f t="shared" si="5"/>
        <v>2.4453669318906166E-2</v>
      </c>
      <c r="AK14" t="s">
        <v>535</v>
      </c>
      <c r="AL14">
        <v>90</v>
      </c>
      <c r="AM14" s="86">
        <v>2.4142857142857101</v>
      </c>
      <c r="AN14" s="86">
        <v>5.7714285714285696</v>
      </c>
      <c r="AO14" s="86">
        <v>54.571428571428498</v>
      </c>
      <c r="AP14" s="86">
        <v>50.142857142857103</v>
      </c>
      <c r="AQ14" s="34">
        <f t="shared" si="6"/>
        <v>2.4453669318906166E-2</v>
      </c>
    </row>
    <row r="15" spans="1:43" x14ac:dyDescent="0.35">
      <c r="A15" s="123" t="s">
        <v>518</v>
      </c>
      <c r="B15" t="s">
        <v>239</v>
      </c>
      <c r="C15" s="86">
        <v>16.100000000000001</v>
      </c>
      <c r="D15" s="86">
        <v>257.73333333333301</v>
      </c>
      <c r="E15" s="34">
        <f t="shared" si="0"/>
        <v>8.1399625924345104E-2</v>
      </c>
      <c r="G15" s="123" t="s">
        <v>518</v>
      </c>
      <c r="H15" t="s">
        <v>109</v>
      </c>
      <c r="I15" s="86">
        <v>9.3333333333333304</v>
      </c>
      <c r="J15" s="86">
        <v>251.333333333333</v>
      </c>
      <c r="K15" s="34">
        <f t="shared" si="1"/>
        <v>8.1399625924345104E-2</v>
      </c>
      <c r="M15" s="123" t="s">
        <v>534</v>
      </c>
      <c r="N15" t="s">
        <v>556</v>
      </c>
      <c r="O15" s="86">
        <v>5.5</v>
      </c>
      <c r="P15" s="86">
        <v>128</v>
      </c>
      <c r="Q15" s="34">
        <f t="shared" si="2"/>
        <v>8.1399625924345104E-2</v>
      </c>
      <c r="S15" t="s">
        <v>537</v>
      </c>
      <c r="T15" t="s">
        <v>109</v>
      </c>
      <c r="U15" s="86">
        <v>10.7</v>
      </c>
      <c r="V15" s="86">
        <v>286.8</v>
      </c>
      <c r="W15" s="34">
        <f>INDEX($I$56:$I$61,MATCH(S15,$G$56:$G$61, 0))</f>
        <v>2.0672849126717584E-2</v>
      </c>
      <c r="Y15" t="s">
        <v>537</v>
      </c>
      <c r="Z15" t="s">
        <v>556</v>
      </c>
      <c r="AA15" s="86">
        <v>6.4</v>
      </c>
      <c r="AB15" s="86">
        <v>149</v>
      </c>
      <c r="AC15" s="34">
        <f t="shared" ref="AC15:AC27" si="7">INDEX($I$56:$I$61,MATCH(Y15,$G$56:$G$61, 0))</f>
        <v>2.0672849126717584E-2</v>
      </c>
      <c r="AE15" s="123" t="s">
        <v>535</v>
      </c>
      <c r="AF15">
        <v>500</v>
      </c>
      <c r="AG15" s="86">
        <v>19.425000000000001</v>
      </c>
      <c r="AH15" s="86">
        <v>406.375</v>
      </c>
      <c r="AI15" s="34">
        <f t="shared" si="5"/>
        <v>2.4453669318906166E-2</v>
      </c>
      <c r="AK15" t="s">
        <v>539</v>
      </c>
      <c r="AL15">
        <v>35</v>
      </c>
      <c r="AM15" s="86">
        <v>3.75</v>
      </c>
      <c r="AN15" s="86">
        <v>9.2125000000000004</v>
      </c>
      <c r="AO15" s="86">
        <v>120.25</v>
      </c>
      <c r="AP15" s="86">
        <v>29.875</v>
      </c>
      <c r="AQ15" s="34">
        <f>INDEX($I$56:$I$61,MATCH(AK15,$G$56:$G$61, 0))</f>
        <v>0.56868624710569682</v>
      </c>
    </row>
    <row r="16" spans="1:43" x14ac:dyDescent="0.35">
      <c r="A16" s="123" t="s">
        <v>518</v>
      </c>
      <c r="B16" t="s">
        <v>110</v>
      </c>
      <c r="C16" s="86">
        <v>12.4788990825688</v>
      </c>
      <c r="D16" s="86">
        <v>287.03211009174299</v>
      </c>
      <c r="E16" s="34">
        <f t="shared" si="0"/>
        <v>8.1399625924345104E-2</v>
      </c>
      <c r="G16" s="122" t="s">
        <v>518</v>
      </c>
      <c r="H16" t="s">
        <v>239</v>
      </c>
      <c r="I16" s="86">
        <v>15.2631578947368</v>
      </c>
      <c r="J16" s="86">
        <v>244.13157894736801</v>
      </c>
      <c r="K16" s="34">
        <f t="shared" si="1"/>
        <v>8.1399625924345104E-2</v>
      </c>
      <c r="M16" s="123" t="s">
        <v>535</v>
      </c>
      <c r="N16" t="s">
        <v>109</v>
      </c>
      <c r="O16" s="86">
        <v>7</v>
      </c>
      <c r="P16" s="86">
        <v>184</v>
      </c>
      <c r="Q16" s="34">
        <f t="shared" si="2"/>
        <v>2.5732449154512678E-2</v>
      </c>
      <c r="S16" t="s">
        <v>537</v>
      </c>
      <c r="T16" t="s">
        <v>110</v>
      </c>
      <c r="U16" s="86">
        <v>11.8928571428571</v>
      </c>
      <c r="V16" s="86">
        <v>278.35714285714198</v>
      </c>
      <c r="W16" s="34">
        <f t="shared" ref="W16:W31" si="8">INDEX($I$56:$I$61,MATCH(S16,$G$56:$G$61, 0))</f>
        <v>2.0672849126717584E-2</v>
      </c>
      <c r="Y16" t="s">
        <v>538</v>
      </c>
      <c r="Z16" t="s">
        <v>109</v>
      </c>
      <c r="AA16" s="86">
        <v>9.8777777777777693</v>
      </c>
      <c r="AB16" s="86">
        <v>265.77777777777698</v>
      </c>
      <c r="AC16" s="34">
        <f t="shared" si="7"/>
        <v>0.23647015701501611</v>
      </c>
      <c r="AE16" s="123" t="s">
        <v>538</v>
      </c>
      <c r="AF16">
        <v>500</v>
      </c>
      <c r="AG16" s="86">
        <v>31.3333333333333</v>
      </c>
      <c r="AH16" s="86">
        <v>456</v>
      </c>
      <c r="AI16" s="34">
        <f t="shared" ref="AI16:AI21" si="9">INDEX($I$56:$I$61,MATCH(AE16,$G$56:$G$61, 0))</f>
        <v>0.23647015701501611</v>
      </c>
      <c r="AK16" t="s">
        <v>539</v>
      </c>
      <c r="AL16">
        <v>90</v>
      </c>
      <c r="AM16" s="86">
        <v>2.9319999999999999</v>
      </c>
      <c r="AN16" s="86">
        <v>7.0919999999999996</v>
      </c>
      <c r="AO16" s="86">
        <v>65.680000000000007</v>
      </c>
      <c r="AP16" s="86">
        <v>53.2</v>
      </c>
      <c r="AQ16" s="34">
        <f t="shared" ref="AQ16:AQ19" si="10">INDEX($I$56:$I$61,MATCH(AK16,$G$56:$G$61, 0))</f>
        <v>0.56868624710569682</v>
      </c>
    </row>
    <row r="17" spans="1:43" x14ac:dyDescent="0.35">
      <c r="A17" s="123" t="s">
        <v>519</v>
      </c>
      <c r="B17" t="s">
        <v>109</v>
      </c>
      <c r="C17" s="86">
        <v>7.25</v>
      </c>
      <c r="D17" s="86">
        <v>195.333333333333</v>
      </c>
      <c r="E17" s="34">
        <f t="shared" si="0"/>
        <v>2.5732449154512678E-2</v>
      </c>
      <c r="G17" s="122" t="s">
        <v>518</v>
      </c>
      <c r="H17" t="s">
        <v>110</v>
      </c>
      <c r="I17" s="86">
        <v>11.944128113879</v>
      </c>
      <c r="J17" s="86">
        <v>274.78291814946601</v>
      </c>
      <c r="K17" s="34">
        <f t="shared" si="1"/>
        <v>8.1399625924345104E-2</v>
      </c>
      <c r="M17" s="123" t="s">
        <v>535</v>
      </c>
      <c r="N17" t="s">
        <v>110</v>
      </c>
      <c r="O17" s="86">
        <v>8.2894736842105203</v>
      </c>
      <c r="P17" s="86">
        <v>194.447368421052</v>
      </c>
      <c r="Q17" s="34">
        <f t="shared" si="2"/>
        <v>2.5732449154512678E-2</v>
      </c>
      <c r="S17" t="s">
        <v>538</v>
      </c>
      <c r="T17" t="s">
        <v>109</v>
      </c>
      <c r="U17" s="86">
        <v>9.6636363636363605</v>
      </c>
      <c r="V17" s="86">
        <v>259.636363636363</v>
      </c>
      <c r="W17" s="34">
        <f t="shared" si="8"/>
        <v>0.23647015701501611</v>
      </c>
      <c r="Y17" t="s">
        <v>538</v>
      </c>
      <c r="Z17" t="s">
        <v>239</v>
      </c>
      <c r="AA17" s="86">
        <v>17.486666666666601</v>
      </c>
      <c r="AB17" s="86">
        <v>287.2</v>
      </c>
      <c r="AC17" s="34">
        <f t="shared" si="7"/>
        <v>0.23647015701501611</v>
      </c>
      <c r="AE17" s="123" t="s">
        <v>538</v>
      </c>
      <c r="AF17">
        <v>800</v>
      </c>
      <c r="AG17" s="86">
        <v>28.4</v>
      </c>
      <c r="AH17" s="86">
        <v>536.625</v>
      </c>
      <c r="AI17" s="34">
        <f t="shared" si="9"/>
        <v>0.23647015701501611</v>
      </c>
      <c r="AK17" t="s">
        <v>540</v>
      </c>
      <c r="AL17">
        <v>35</v>
      </c>
      <c r="AM17" s="86">
        <v>4.7</v>
      </c>
      <c r="AN17" s="86">
        <v>10.578571428571401</v>
      </c>
      <c r="AO17" s="86">
        <v>152.07142857142799</v>
      </c>
      <c r="AP17" s="86">
        <v>26.1428571428571</v>
      </c>
      <c r="AQ17" s="34">
        <f t="shared" si="10"/>
        <v>0.1224010870958033</v>
      </c>
    </row>
    <row r="18" spans="1:43" x14ac:dyDescent="0.35">
      <c r="A18" s="123" t="s">
        <v>519</v>
      </c>
      <c r="B18" t="s">
        <v>110</v>
      </c>
      <c r="C18" s="86">
        <v>10.5819672131147</v>
      </c>
      <c r="D18" s="86">
        <v>243.42213114754099</v>
      </c>
      <c r="E18" s="34">
        <f t="shared" si="0"/>
        <v>2.5732449154512678E-2</v>
      </c>
      <c r="G18" s="123" t="s">
        <v>518</v>
      </c>
      <c r="H18" t="s">
        <v>556</v>
      </c>
      <c r="I18" s="86">
        <v>9.7583333333333293</v>
      </c>
      <c r="J18" s="86">
        <v>224.5</v>
      </c>
      <c r="K18" s="34">
        <f t="shared" si="1"/>
        <v>8.1399625924345104E-2</v>
      </c>
      <c r="M18" s="123" t="s">
        <v>536</v>
      </c>
      <c r="N18" t="s">
        <v>110</v>
      </c>
      <c r="O18" s="86">
        <v>9.7099999999999902</v>
      </c>
      <c r="P18" s="86">
        <v>227.1</v>
      </c>
      <c r="Q18" s="34" t="e">
        <f t="shared" si="2"/>
        <v>#N/A</v>
      </c>
      <c r="S18" t="s">
        <v>538</v>
      </c>
      <c r="T18" t="s">
        <v>239</v>
      </c>
      <c r="U18" s="86">
        <v>18.079999999999998</v>
      </c>
      <c r="V18" s="86">
        <v>301.2</v>
      </c>
      <c r="W18" s="34">
        <f t="shared" si="8"/>
        <v>0.23647015701501611</v>
      </c>
      <c r="Y18" t="s">
        <v>538</v>
      </c>
      <c r="Z18" t="s">
        <v>110</v>
      </c>
      <c r="AA18" s="86">
        <v>12.829032258064499</v>
      </c>
      <c r="AB18" s="86">
        <v>301.40322580645102</v>
      </c>
      <c r="AC18" s="34">
        <f t="shared" si="7"/>
        <v>0.23647015701501611</v>
      </c>
      <c r="AE18" s="123" t="s">
        <v>539</v>
      </c>
      <c r="AF18">
        <v>500</v>
      </c>
      <c r="AG18" s="86">
        <v>22.0474576271186</v>
      </c>
      <c r="AH18" s="86">
        <v>404.23728813559302</v>
      </c>
      <c r="AI18" s="34">
        <f t="shared" si="9"/>
        <v>0.56868624710569682</v>
      </c>
      <c r="AK18" t="s">
        <v>540</v>
      </c>
      <c r="AL18">
        <v>90</v>
      </c>
      <c r="AM18" s="86">
        <v>4.2222222222222197</v>
      </c>
      <c r="AN18" s="86">
        <v>10.9444444444444</v>
      </c>
      <c r="AO18" s="86">
        <v>103.666666666666</v>
      </c>
      <c r="AP18" s="86">
        <v>50.6666666666666</v>
      </c>
      <c r="AQ18" s="34">
        <f t="shared" si="10"/>
        <v>0.1224010870958033</v>
      </c>
    </row>
    <row r="19" spans="1:43" x14ac:dyDescent="0.35">
      <c r="A19" s="123" t="s">
        <v>520</v>
      </c>
      <c r="B19" t="s">
        <v>109</v>
      </c>
      <c r="C19" s="86">
        <v>8.6</v>
      </c>
      <c r="D19" s="86">
        <v>232</v>
      </c>
      <c r="E19" s="34" t="e">
        <f t="shared" si="0"/>
        <v>#N/A</v>
      </c>
      <c r="G19" s="123" t="s">
        <v>519</v>
      </c>
      <c r="H19" t="s">
        <v>109</v>
      </c>
      <c r="I19" s="86">
        <v>7.3199999999999896</v>
      </c>
      <c r="J19" s="86">
        <v>196.2</v>
      </c>
      <c r="K19" s="34">
        <f t="shared" si="1"/>
        <v>2.5732449154512678E-2</v>
      </c>
      <c r="M19" s="123" t="s">
        <v>537</v>
      </c>
      <c r="N19" t="s">
        <v>109</v>
      </c>
      <c r="O19" s="86">
        <v>10.34</v>
      </c>
      <c r="P19" s="86">
        <v>277.39999999999998</v>
      </c>
      <c r="Q19" s="34">
        <f>INDEX($H$56:$H$61,MATCH(M19,$G$56:$G$61, 0))</f>
        <v>2.1325397463433791E-2</v>
      </c>
      <c r="S19" t="s">
        <v>538</v>
      </c>
      <c r="T19" t="s">
        <v>110</v>
      </c>
      <c r="U19" s="86">
        <v>12.9230769230769</v>
      </c>
      <c r="V19" s="86">
        <v>303.35384615384601</v>
      </c>
      <c r="W19" s="34">
        <f t="shared" si="8"/>
        <v>0.23647015701501611</v>
      </c>
      <c r="Y19" t="s">
        <v>538</v>
      </c>
      <c r="Z19" t="s">
        <v>556</v>
      </c>
      <c r="AA19" s="86">
        <v>11.125</v>
      </c>
      <c r="AB19" s="86">
        <v>260.5</v>
      </c>
      <c r="AC19" s="34">
        <f t="shared" si="7"/>
        <v>0.23647015701501611</v>
      </c>
      <c r="AE19" s="123" t="s">
        <v>539</v>
      </c>
      <c r="AF19">
        <v>800</v>
      </c>
      <c r="AG19" s="86">
        <v>19.177777777777699</v>
      </c>
      <c r="AH19" s="86">
        <v>512.66666666666595</v>
      </c>
      <c r="AI19" s="34">
        <f t="shared" si="9"/>
        <v>0.56868624710569682</v>
      </c>
      <c r="AK19" t="s">
        <v>541</v>
      </c>
      <c r="AL19">
        <v>90</v>
      </c>
      <c r="AM19" s="86">
        <v>2.8714285714285701</v>
      </c>
      <c r="AN19" s="86">
        <v>7.8</v>
      </c>
      <c r="AO19" s="86">
        <v>71.714285714285694</v>
      </c>
      <c r="AP19" s="86">
        <v>51.571428571428498</v>
      </c>
      <c r="AQ19" s="34">
        <f t="shared" si="10"/>
        <v>2.506757099051473E-2</v>
      </c>
    </row>
    <row r="20" spans="1:43" ht="14.5" customHeight="1" x14ac:dyDescent="0.35">
      <c r="A20" s="123" t="s">
        <v>520</v>
      </c>
      <c r="B20" t="s">
        <v>239</v>
      </c>
      <c r="C20" s="86">
        <v>16.2</v>
      </c>
      <c r="D20" s="86">
        <v>259</v>
      </c>
      <c r="E20" s="34" t="e">
        <f t="shared" si="0"/>
        <v>#N/A</v>
      </c>
      <c r="G20" s="123" t="s">
        <v>519</v>
      </c>
      <c r="H20" t="s">
        <v>110</v>
      </c>
      <c r="I20" s="86">
        <v>9.6362068965517196</v>
      </c>
      <c r="J20" s="86">
        <v>221.702586206896</v>
      </c>
      <c r="K20" s="34">
        <f t="shared" si="1"/>
        <v>2.5732449154512678E-2</v>
      </c>
      <c r="M20" s="123" t="s">
        <v>537</v>
      </c>
      <c r="N20" t="s">
        <v>110</v>
      </c>
      <c r="O20" s="86">
        <v>11.9727272727272</v>
      </c>
      <c r="P20" s="86">
        <v>281.04545454545399</v>
      </c>
      <c r="Q20" s="34">
        <f t="shared" ref="Q20:Q36" si="11">INDEX($H$56:$H$61,MATCH(M20,$G$56:$G$61, 0))</f>
        <v>2.1325397463433791E-2</v>
      </c>
      <c r="S20" t="s">
        <v>539</v>
      </c>
      <c r="T20" t="s">
        <v>109</v>
      </c>
      <c r="U20" s="86">
        <v>9.5</v>
      </c>
      <c r="V20" s="86">
        <v>255</v>
      </c>
      <c r="W20" s="34">
        <f t="shared" si="8"/>
        <v>0.56868624710569682</v>
      </c>
      <c r="Y20" t="s">
        <v>539</v>
      </c>
      <c r="Z20" t="s">
        <v>109</v>
      </c>
      <c r="AA20" s="86">
        <v>9.85</v>
      </c>
      <c r="AB20" s="86">
        <v>265</v>
      </c>
      <c r="AC20" s="34">
        <f t="shared" si="7"/>
        <v>0.56868624710569682</v>
      </c>
      <c r="AE20" s="123" t="s">
        <v>540</v>
      </c>
      <c r="AF20">
        <v>500</v>
      </c>
      <c r="AG20" s="86">
        <v>25.5461538461538</v>
      </c>
      <c r="AH20" s="86">
        <v>417.53846153846098</v>
      </c>
      <c r="AI20" s="34">
        <f t="shared" si="9"/>
        <v>0.1224010870958033</v>
      </c>
      <c r="AK20" s="533" t="s">
        <v>568</v>
      </c>
      <c r="AL20" s="533"/>
      <c r="AM20" s="533"/>
      <c r="AN20" s="533"/>
      <c r="AO20" s="533"/>
      <c r="AP20" s="533"/>
    </row>
    <row r="21" spans="1:43" x14ac:dyDescent="0.35">
      <c r="A21" s="123" t="s">
        <v>520</v>
      </c>
      <c r="B21" t="s">
        <v>110</v>
      </c>
      <c r="C21" s="86">
        <v>11.546456692913299</v>
      </c>
      <c r="D21" s="86">
        <v>265.62992125984198</v>
      </c>
      <c r="E21" s="34" t="e">
        <f t="shared" si="0"/>
        <v>#N/A</v>
      </c>
      <c r="G21" s="123" t="s">
        <v>520</v>
      </c>
      <c r="H21" t="s">
        <v>110</v>
      </c>
      <c r="I21" s="86">
        <v>10.7814814814814</v>
      </c>
      <c r="J21" s="86">
        <v>248.03703703703701</v>
      </c>
      <c r="K21" s="34" t="e">
        <f t="shared" si="1"/>
        <v>#N/A</v>
      </c>
      <c r="M21" s="123" t="s">
        <v>538</v>
      </c>
      <c r="N21" t="s">
        <v>109</v>
      </c>
      <c r="O21" s="86">
        <v>10.242857142857099</v>
      </c>
      <c r="P21" s="86">
        <v>275</v>
      </c>
      <c r="Q21" s="34">
        <f t="shared" si="11"/>
        <v>0.25696837153644597</v>
      </c>
      <c r="S21" t="s">
        <v>539</v>
      </c>
      <c r="T21" t="s">
        <v>110</v>
      </c>
      <c r="U21" s="86">
        <v>10.078688524590101</v>
      </c>
      <c r="V21" s="86">
        <v>236.07650273223999</v>
      </c>
      <c r="W21" s="34">
        <f t="shared" si="8"/>
        <v>0.56868624710569682</v>
      </c>
      <c r="Y21" t="s">
        <v>539</v>
      </c>
      <c r="Z21" t="s">
        <v>110</v>
      </c>
      <c r="AA21" s="86">
        <v>9.8994535519125595</v>
      </c>
      <c r="AB21" s="86">
        <v>232.032786885245</v>
      </c>
      <c r="AC21" s="34">
        <f t="shared" si="7"/>
        <v>0.56868624710569682</v>
      </c>
      <c r="AE21" s="123" t="s">
        <v>540</v>
      </c>
      <c r="AF21">
        <v>800</v>
      </c>
      <c r="AG21" s="86">
        <v>23.7523809523809</v>
      </c>
      <c r="AH21" s="86">
        <v>543.33333333333303</v>
      </c>
      <c r="AI21" s="34">
        <f t="shared" si="9"/>
        <v>0.1224010870958033</v>
      </c>
      <c r="AK21" s="533"/>
      <c r="AL21" s="533"/>
      <c r="AM21" s="533"/>
      <c r="AN21" s="533"/>
      <c r="AO21" s="533"/>
      <c r="AP21" s="533"/>
    </row>
    <row r="22" spans="1:43" x14ac:dyDescent="0.35">
      <c r="A22" s="123" t="s">
        <v>521</v>
      </c>
      <c r="B22" t="s">
        <v>110</v>
      </c>
      <c r="C22" s="86">
        <v>13.040540540540499</v>
      </c>
      <c r="D22" s="86">
        <v>300</v>
      </c>
      <c r="E22" s="34">
        <f>INDEX($F$56:$F$60,MATCH(A22,$E$56:$E$60, 0))</f>
        <v>2.1325397463433791E-2</v>
      </c>
      <c r="G22" s="123" t="s">
        <v>521</v>
      </c>
      <c r="H22" t="s">
        <v>110</v>
      </c>
      <c r="I22" s="86">
        <v>12.7581395348837</v>
      </c>
      <c r="J22" s="86">
        <v>293.47093023255798</v>
      </c>
      <c r="K22" s="34">
        <f>INDEX($H$56:$H$61,MATCH(G22,$J$56:$J$61, 0))</f>
        <v>2.1325397463433791E-2</v>
      </c>
      <c r="M22" s="123" t="s">
        <v>538</v>
      </c>
      <c r="N22" t="s">
        <v>239</v>
      </c>
      <c r="O22" s="86">
        <v>17.25</v>
      </c>
      <c r="P22" s="86">
        <v>286.85000000000002</v>
      </c>
      <c r="Q22" s="34">
        <f t="shared" si="11"/>
        <v>0.25696837153644597</v>
      </c>
      <c r="S22" t="s">
        <v>539</v>
      </c>
      <c r="T22" t="s">
        <v>556</v>
      </c>
      <c r="U22" s="86">
        <v>6.6749999999999998</v>
      </c>
      <c r="V22" s="86">
        <v>156</v>
      </c>
      <c r="W22" s="34">
        <f t="shared" si="8"/>
        <v>0.56868624710569682</v>
      </c>
      <c r="Y22" t="s">
        <v>539</v>
      </c>
      <c r="Z22" t="s">
        <v>556</v>
      </c>
      <c r="AA22" s="86">
        <v>6.2888888888888799</v>
      </c>
      <c r="AB22" s="86">
        <v>148</v>
      </c>
      <c r="AC22" s="34">
        <f t="shared" si="7"/>
        <v>0.56868624710569682</v>
      </c>
      <c r="AI22" s="34"/>
      <c r="AK22" s="533"/>
      <c r="AL22" s="533"/>
      <c r="AM22" s="533"/>
      <c r="AN22" s="533"/>
      <c r="AO22" s="533"/>
      <c r="AP22" s="533"/>
    </row>
    <row r="23" spans="1:43" x14ac:dyDescent="0.35">
      <c r="A23" s="123" t="s">
        <v>522</v>
      </c>
      <c r="B23" t="s">
        <v>239</v>
      </c>
      <c r="C23" s="86">
        <v>20.692063492063401</v>
      </c>
      <c r="D23" s="86">
        <v>331.06349206349199</v>
      </c>
      <c r="E23" s="34">
        <f t="shared" ref="E23:E35" si="12">INDEX($F$56:$F$60,MATCH(A23,$E$56:$E$60, 0))</f>
        <v>0.25696837153644597</v>
      </c>
      <c r="G23" s="123" t="s">
        <v>522</v>
      </c>
      <c r="H23" t="s">
        <v>109</v>
      </c>
      <c r="I23" s="86">
        <v>10.399999999999901</v>
      </c>
      <c r="J23" s="86">
        <v>280.5</v>
      </c>
      <c r="K23" s="34">
        <f t="shared" ref="K23:K41" si="13">INDEX($H$56:$H$61,MATCH(G23,$J$56:$J$61, 0))</f>
        <v>0.25696837153644597</v>
      </c>
      <c r="M23" s="123" t="s">
        <v>538</v>
      </c>
      <c r="N23" t="s">
        <v>110</v>
      </c>
      <c r="O23" s="86">
        <v>12.8469696969696</v>
      </c>
      <c r="P23" s="86">
        <v>301.39393939393898</v>
      </c>
      <c r="Q23" s="34">
        <f t="shared" si="11"/>
        <v>0.25696837153644597</v>
      </c>
      <c r="S23" t="s">
        <v>540</v>
      </c>
      <c r="T23" t="s">
        <v>109</v>
      </c>
      <c r="U23" s="86">
        <v>9.86666666666666</v>
      </c>
      <c r="V23" s="86">
        <v>263.666666666666</v>
      </c>
      <c r="W23" s="34">
        <f t="shared" si="8"/>
        <v>0.1224010870958033</v>
      </c>
      <c r="Y23" t="s">
        <v>540</v>
      </c>
      <c r="Z23" t="s">
        <v>109</v>
      </c>
      <c r="AA23" s="86">
        <v>10.3</v>
      </c>
      <c r="AB23" s="86">
        <v>276.222222222222</v>
      </c>
      <c r="AC23" s="34">
        <f t="shared" si="7"/>
        <v>0.1224010870958033</v>
      </c>
      <c r="AI23" s="34"/>
      <c r="AK23" s="533"/>
      <c r="AL23" s="533"/>
      <c r="AM23" s="533"/>
      <c r="AN23" s="533"/>
      <c r="AO23" s="533"/>
      <c r="AP23" s="533"/>
    </row>
    <row r="24" spans="1:43" x14ac:dyDescent="0.35">
      <c r="A24" s="123" t="s">
        <v>522</v>
      </c>
      <c r="B24" t="s">
        <v>110</v>
      </c>
      <c r="C24" s="86">
        <v>14.7417004048583</v>
      </c>
      <c r="D24" s="86">
        <v>339.08502024291499</v>
      </c>
      <c r="E24" s="34">
        <f t="shared" si="12"/>
        <v>0.25696837153644597</v>
      </c>
      <c r="G24" s="123" t="s">
        <v>522</v>
      </c>
      <c r="H24" t="s">
        <v>239</v>
      </c>
      <c r="I24" s="86">
        <v>19.051886792452802</v>
      </c>
      <c r="J24" s="86">
        <v>304.81132075471697</v>
      </c>
      <c r="K24" s="34">
        <f t="shared" si="13"/>
        <v>0.25696837153644597</v>
      </c>
      <c r="M24" s="123" t="s">
        <v>539</v>
      </c>
      <c r="N24" t="s">
        <v>109</v>
      </c>
      <c r="O24" s="86">
        <v>7.7</v>
      </c>
      <c r="P24" s="86">
        <v>206.5</v>
      </c>
      <c r="Q24" s="34">
        <f t="shared" si="11"/>
        <v>0.52796277179654827</v>
      </c>
      <c r="S24" t="s">
        <v>540</v>
      </c>
      <c r="T24" t="s">
        <v>239</v>
      </c>
      <c r="U24" s="86">
        <v>18.324999999999999</v>
      </c>
      <c r="V24" s="86">
        <v>305</v>
      </c>
      <c r="W24" s="34">
        <f t="shared" si="8"/>
        <v>0.1224010870958033</v>
      </c>
      <c r="Y24" t="s">
        <v>540</v>
      </c>
      <c r="Z24" t="s">
        <v>110</v>
      </c>
      <c r="AA24" s="86">
        <v>12.9991150442477</v>
      </c>
      <c r="AB24" s="86">
        <v>304.36283185840699</v>
      </c>
      <c r="AC24" s="34">
        <f t="shared" si="7"/>
        <v>0.1224010870958033</v>
      </c>
      <c r="AI24" s="34"/>
      <c r="AK24" t="s">
        <v>2192</v>
      </c>
    </row>
    <row r="25" spans="1:43" x14ac:dyDescent="0.35">
      <c r="A25" s="123" t="s">
        <v>522</v>
      </c>
      <c r="B25" t="s">
        <v>556</v>
      </c>
      <c r="C25" s="86">
        <v>13.4625</v>
      </c>
      <c r="D25" s="86">
        <v>309.625</v>
      </c>
      <c r="E25" s="34">
        <f t="shared" si="12"/>
        <v>0.25696837153644597</v>
      </c>
      <c r="G25" s="123" t="s">
        <v>522</v>
      </c>
      <c r="H25" t="s">
        <v>110</v>
      </c>
      <c r="I25" s="86">
        <v>14.2696078431372</v>
      </c>
      <c r="J25" s="86">
        <v>328.225490196078</v>
      </c>
      <c r="K25" s="34">
        <f t="shared" si="13"/>
        <v>0.25696837153644597</v>
      </c>
      <c r="M25" s="123" t="s">
        <v>539</v>
      </c>
      <c r="N25" t="s">
        <v>239</v>
      </c>
      <c r="O25" s="86">
        <v>13.9</v>
      </c>
      <c r="P25" s="86">
        <v>229.6</v>
      </c>
      <c r="Q25" s="34">
        <f t="shared" si="11"/>
        <v>0.52796277179654827</v>
      </c>
      <c r="S25" t="s">
        <v>540</v>
      </c>
      <c r="T25" t="s">
        <v>110</v>
      </c>
      <c r="U25" s="86">
        <v>12.9363636363636</v>
      </c>
      <c r="V25" s="86">
        <v>302.87878787878702</v>
      </c>
      <c r="W25" s="34">
        <f t="shared" si="8"/>
        <v>0.1224010870958033</v>
      </c>
      <c r="Y25" t="s">
        <v>540</v>
      </c>
      <c r="Z25" t="s">
        <v>556</v>
      </c>
      <c r="AA25" s="86">
        <v>7.6666666666666599</v>
      </c>
      <c r="AB25" s="86">
        <v>179.666666666666</v>
      </c>
      <c r="AC25" s="34">
        <f t="shared" si="7"/>
        <v>0.1224010870958033</v>
      </c>
      <c r="AI25" s="34"/>
      <c r="AK25" s="279" t="s">
        <v>1079</v>
      </c>
    </row>
    <row r="26" spans="1:43" x14ac:dyDescent="0.35">
      <c r="A26" t="s">
        <v>243</v>
      </c>
      <c r="B26" t="s">
        <v>109</v>
      </c>
      <c r="C26" s="86">
        <v>11.5428571428571</v>
      </c>
      <c r="D26" s="86">
        <v>311.57142857142799</v>
      </c>
      <c r="E26" s="34">
        <f t="shared" si="12"/>
        <v>0.63737575599334384</v>
      </c>
      <c r="G26" s="123" t="s">
        <v>522</v>
      </c>
      <c r="H26" t="s">
        <v>556</v>
      </c>
      <c r="I26" s="86">
        <v>10.875</v>
      </c>
      <c r="J26" s="86">
        <v>250.125</v>
      </c>
      <c r="K26" s="34">
        <f t="shared" si="13"/>
        <v>0.25696837153644597</v>
      </c>
      <c r="M26" s="123" t="s">
        <v>539</v>
      </c>
      <c r="N26" t="s">
        <v>110</v>
      </c>
      <c r="O26" s="86">
        <v>10.1548780487804</v>
      </c>
      <c r="P26" s="86">
        <v>238.04878048780401</v>
      </c>
      <c r="Q26" s="34">
        <f t="shared" si="11"/>
        <v>0.52796277179654827</v>
      </c>
      <c r="S26" t="s">
        <v>540</v>
      </c>
      <c r="T26" t="s">
        <v>556</v>
      </c>
      <c r="U26" s="86">
        <v>7.6666666666666599</v>
      </c>
      <c r="V26" s="86">
        <v>179.666666666666</v>
      </c>
      <c r="W26" s="34">
        <f t="shared" si="8"/>
        <v>0.1224010870958033</v>
      </c>
      <c r="Y26" t="s">
        <v>541</v>
      </c>
      <c r="Z26" t="s">
        <v>110</v>
      </c>
      <c r="AA26" s="86">
        <v>9.6714285714285708</v>
      </c>
      <c r="AB26" s="86">
        <v>227</v>
      </c>
      <c r="AC26" s="34">
        <f t="shared" si="7"/>
        <v>2.506757099051473E-2</v>
      </c>
    </row>
    <row r="27" spans="1:43" x14ac:dyDescent="0.35">
      <c r="A27" t="s">
        <v>243</v>
      </c>
      <c r="B27" t="s">
        <v>239</v>
      </c>
      <c r="C27" s="86">
        <v>20.0031746031746</v>
      </c>
      <c r="D27" s="86">
        <v>320.01587301587301</v>
      </c>
      <c r="E27" s="34">
        <f t="shared" si="12"/>
        <v>0.63737575599334384</v>
      </c>
      <c r="G27" s="123" t="s">
        <v>527</v>
      </c>
      <c r="H27" t="s">
        <v>109</v>
      </c>
      <c r="I27" s="86">
        <v>8.75</v>
      </c>
      <c r="J27" s="86">
        <v>237</v>
      </c>
      <c r="K27" s="34">
        <f t="shared" si="13"/>
        <v>0.52796277179654827</v>
      </c>
      <c r="M27" s="123" t="s">
        <v>539</v>
      </c>
      <c r="N27" t="s">
        <v>556</v>
      </c>
      <c r="O27" s="86">
        <v>8.15</v>
      </c>
      <c r="P27" s="86">
        <v>190.5</v>
      </c>
      <c r="Q27" s="34">
        <f t="shared" si="11"/>
        <v>0.52796277179654827</v>
      </c>
      <c r="S27" t="s">
        <v>541</v>
      </c>
      <c r="T27" t="s">
        <v>110</v>
      </c>
      <c r="U27" s="86">
        <v>11.2</v>
      </c>
      <c r="V27" s="86">
        <v>262.75</v>
      </c>
      <c r="W27" s="34">
        <f t="shared" si="8"/>
        <v>2.506757099051473E-2</v>
      </c>
      <c r="Y27" t="s">
        <v>543</v>
      </c>
      <c r="Z27" t="s">
        <v>110</v>
      </c>
      <c r="AA27" s="86">
        <v>10.82</v>
      </c>
      <c r="AB27" s="86">
        <v>252.8</v>
      </c>
      <c r="AC27" s="34" t="e">
        <f t="shared" si="7"/>
        <v>#N/A</v>
      </c>
    </row>
    <row r="28" spans="1:43" x14ac:dyDescent="0.35">
      <c r="A28" t="s">
        <v>243</v>
      </c>
      <c r="B28" t="s">
        <v>110</v>
      </c>
      <c r="C28" s="86">
        <v>13.4714285714285</v>
      </c>
      <c r="D28" s="86">
        <v>309.89652014652</v>
      </c>
      <c r="E28" s="34">
        <f t="shared" si="12"/>
        <v>0.63737575599334384</v>
      </c>
      <c r="G28" s="123" t="s">
        <v>527</v>
      </c>
      <c r="H28" t="s">
        <v>239</v>
      </c>
      <c r="I28" s="86">
        <v>16.54</v>
      </c>
      <c r="J28" s="86">
        <v>264.60000000000002</v>
      </c>
      <c r="K28" s="34">
        <f t="shared" si="13"/>
        <v>0.52796277179654827</v>
      </c>
      <c r="M28" s="123" t="s">
        <v>540</v>
      </c>
      <c r="N28" t="s">
        <v>109</v>
      </c>
      <c r="O28" s="86">
        <v>9.65</v>
      </c>
      <c r="P28" s="86">
        <v>257</v>
      </c>
      <c r="Q28" s="34">
        <f t="shared" si="11"/>
        <v>0.10941298419679553</v>
      </c>
      <c r="S28" t="s">
        <v>542</v>
      </c>
      <c r="T28" t="s">
        <v>239</v>
      </c>
      <c r="U28" s="86">
        <v>19.45</v>
      </c>
      <c r="V28" s="86">
        <v>322</v>
      </c>
      <c r="W28" s="34">
        <f t="shared" si="8"/>
        <v>2.6702088666251456E-2</v>
      </c>
    </row>
    <row r="29" spans="1:43" x14ac:dyDescent="0.35">
      <c r="A29" t="s">
        <v>243</v>
      </c>
      <c r="B29" t="s">
        <v>556</v>
      </c>
      <c r="C29" s="86">
        <v>9.4730769230769205</v>
      </c>
      <c r="D29" s="86">
        <v>217.923076923076</v>
      </c>
      <c r="E29" s="34">
        <f t="shared" si="12"/>
        <v>0.63737575599334384</v>
      </c>
      <c r="G29" s="123" t="s">
        <v>527</v>
      </c>
      <c r="H29" t="s">
        <v>110</v>
      </c>
      <c r="I29" s="86">
        <v>10.574999999999999</v>
      </c>
      <c r="J29" s="86">
        <v>243.23571428571401</v>
      </c>
      <c r="K29" s="34">
        <f t="shared" si="13"/>
        <v>0.52796277179654827</v>
      </c>
      <c r="M29" s="123" t="s">
        <v>540</v>
      </c>
      <c r="N29" t="s">
        <v>239</v>
      </c>
      <c r="O29" s="86">
        <v>17.690000000000001</v>
      </c>
      <c r="P29" s="86">
        <v>293.7</v>
      </c>
      <c r="Q29" s="34">
        <f t="shared" si="11"/>
        <v>0.10941298419679553</v>
      </c>
      <c r="S29" t="s">
        <v>542</v>
      </c>
      <c r="T29" t="s">
        <v>110</v>
      </c>
      <c r="U29" s="86">
        <v>14.75</v>
      </c>
      <c r="V29" s="86">
        <v>346</v>
      </c>
      <c r="W29" s="34">
        <f t="shared" si="8"/>
        <v>2.6702088666251456E-2</v>
      </c>
    </row>
    <row r="30" spans="1:43" ht="14.5" customHeight="1" x14ac:dyDescent="0.35">
      <c r="A30" t="s">
        <v>523</v>
      </c>
      <c r="B30" t="s">
        <v>239</v>
      </c>
      <c r="C30" s="86">
        <v>17.3681818181818</v>
      </c>
      <c r="D30" s="86">
        <v>277.86363636363598</v>
      </c>
      <c r="E30" s="34">
        <f t="shared" si="12"/>
        <v>5.0561290152753166E-2</v>
      </c>
      <c r="G30" s="123" t="s">
        <v>527</v>
      </c>
      <c r="H30" t="s">
        <v>556</v>
      </c>
      <c r="I30" s="86">
        <v>8.6666666666666607</v>
      </c>
      <c r="J30" s="86">
        <v>199.333333333333</v>
      </c>
      <c r="K30" s="34">
        <f t="shared" si="13"/>
        <v>0.52796277179654827</v>
      </c>
      <c r="M30" t="s">
        <v>540</v>
      </c>
      <c r="N30" t="s">
        <v>110</v>
      </c>
      <c r="O30" s="86">
        <v>12.870370370370299</v>
      </c>
      <c r="P30" s="86">
        <v>301.72839506172801</v>
      </c>
      <c r="Q30" s="34">
        <f t="shared" si="11"/>
        <v>0.10941298419679553</v>
      </c>
      <c r="S30" t="s">
        <v>543</v>
      </c>
      <c r="T30" t="s">
        <v>239</v>
      </c>
      <c r="U30" s="86">
        <v>12.55</v>
      </c>
      <c r="V30" s="86">
        <v>208.5</v>
      </c>
      <c r="W30" s="34" t="e">
        <f t="shared" si="8"/>
        <v>#N/A</v>
      </c>
    </row>
    <row r="31" spans="1:43" x14ac:dyDescent="0.35">
      <c r="A31" t="s">
        <v>523</v>
      </c>
      <c r="B31" t="s">
        <v>110</v>
      </c>
      <c r="C31" s="86">
        <v>12.4449152542372</v>
      </c>
      <c r="D31" s="86">
        <v>286.31355932203297</v>
      </c>
      <c r="E31" s="34">
        <f t="shared" si="12"/>
        <v>5.0561290152753166E-2</v>
      </c>
      <c r="G31" s="123" t="s">
        <v>528</v>
      </c>
      <c r="H31" t="s">
        <v>109</v>
      </c>
      <c r="I31" s="86">
        <v>10.6076923076923</v>
      </c>
      <c r="J31" s="86">
        <v>287</v>
      </c>
      <c r="K31" s="34">
        <f t="shared" si="13"/>
        <v>0.10941298419679553</v>
      </c>
      <c r="M31" t="s">
        <v>540</v>
      </c>
      <c r="N31" t="s">
        <v>556</v>
      </c>
      <c r="O31" s="86">
        <v>8.3000000000000007</v>
      </c>
      <c r="P31" s="86">
        <v>193</v>
      </c>
      <c r="Q31" s="34">
        <f t="shared" si="11"/>
        <v>0.10941298419679553</v>
      </c>
      <c r="S31" t="s">
        <v>543</v>
      </c>
      <c r="T31" t="s">
        <v>110</v>
      </c>
      <c r="U31" s="86">
        <v>9.9545454545454497</v>
      </c>
      <c r="V31" s="86">
        <v>233.09090909090901</v>
      </c>
      <c r="W31" s="34" t="e">
        <f t="shared" si="8"/>
        <v>#N/A</v>
      </c>
    </row>
    <row r="32" spans="1:43" x14ac:dyDescent="0.35">
      <c r="A32" t="s">
        <v>524</v>
      </c>
      <c r="C32" s="86">
        <v>21.633333333333301</v>
      </c>
      <c r="D32" s="86">
        <v>346.166666666666</v>
      </c>
      <c r="E32" s="34" t="e">
        <f t="shared" si="12"/>
        <v>#N/A</v>
      </c>
      <c r="G32" s="123" t="s">
        <v>528</v>
      </c>
      <c r="H32" t="s">
        <v>239</v>
      </c>
      <c r="I32" s="86">
        <v>18.2243243243243</v>
      </c>
      <c r="J32" s="86">
        <v>291.37837837837799</v>
      </c>
      <c r="K32" s="34">
        <f t="shared" si="13"/>
        <v>0.10941298419679553</v>
      </c>
      <c r="M32" t="s">
        <v>541</v>
      </c>
      <c r="N32" t="s">
        <v>239</v>
      </c>
      <c r="O32" s="86">
        <v>16.7</v>
      </c>
      <c r="P32" s="86">
        <v>274</v>
      </c>
      <c r="Q32" s="34">
        <f t="shared" si="11"/>
        <v>5.0561290152753166E-2</v>
      </c>
    </row>
    <row r="33" spans="1:19" x14ac:dyDescent="0.35">
      <c r="A33" t="s">
        <v>524</v>
      </c>
      <c r="C33" s="86">
        <v>15.862195121951199</v>
      </c>
      <c r="D33" s="86">
        <v>364.951219512195</v>
      </c>
      <c r="E33" s="34" t="e">
        <f t="shared" si="12"/>
        <v>#N/A</v>
      </c>
      <c r="G33" s="122" t="s">
        <v>528</v>
      </c>
      <c r="H33" t="s">
        <v>110</v>
      </c>
      <c r="I33" s="86">
        <v>14.0438848920863</v>
      </c>
      <c r="J33" s="86">
        <v>323.51079136690601</v>
      </c>
      <c r="K33" s="34">
        <f t="shared" si="13"/>
        <v>0.10941298419679553</v>
      </c>
      <c r="M33" t="s">
        <v>541</v>
      </c>
      <c r="N33" t="s">
        <v>110</v>
      </c>
      <c r="O33" s="86">
        <v>11.27</v>
      </c>
      <c r="P33" s="86">
        <v>265.3</v>
      </c>
      <c r="Q33" s="34">
        <f t="shared" si="11"/>
        <v>5.0561290152753166E-2</v>
      </c>
    </row>
    <row r="34" spans="1:19" x14ac:dyDescent="0.35">
      <c r="A34" t="s">
        <v>525</v>
      </c>
      <c r="B34" t="s">
        <v>239</v>
      </c>
      <c r="C34" s="86">
        <v>22.3666666666666</v>
      </c>
      <c r="D34" s="86">
        <v>358</v>
      </c>
      <c r="E34" s="34">
        <f t="shared" si="12"/>
        <v>3.3769184854023297E-2</v>
      </c>
      <c r="G34" t="s">
        <v>528</v>
      </c>
      <c r="H34" t="s">
        <v>556</v>
      </c>
      <c r="I34" s="86">
        <v>9.9538461538461505</v>
      </c>
      <c r="J34" s="86">
        <v>229</v>
      </c>
      <c r="K34" s="34">
        <f t="shared" si="13"/>
        <v>0.10941298419679553</v>
      </c>
      <c r="M34" t="s">
        <v>542</v>
      </c>
      <c r="N34" t="s">
        <v>110</v>
      </c>
      <c r="O34" s="86">
        <v>14.899999999999901</v>
      </c>
      <c r="P34" s="86">
        <v>349.5</v>
      </c>
      <c r="Q34" s="34">
        <f t="shared" si="11"/>
        <v>3.3769184854023297E-2</v>
      </c>
    </row>
    <row r="35" spans="1:19" x14ac:dyDescent="0.35">
      <c r="A35" t="s">
        <v>525</v>
      </c>
      <c r="B35" t="s">
        <v>110</v>
      </c>
      <c r="C35" s="86">
        <v>16.468181818181801</v>
      </c>
      <c r="D35" s="86">
        <v>378.90909090909003</v>
      </c>
      <c r="E35" s="34">
        <f t="shared" si="12"/>
        <v>3.3769184854023297E-2</v>
      </c>
      <c r="G35" t="s">
        <v>523</v>
      </c>
      <c r="H35" t="s">
        <v>239</v>
      </c>
      <c r="I35" s="86">
        <v>16.553333333333299</v>
      </c>
      <c r="J35" s="86">
        <v>264.60000000000002</v>
      </c>
      <c r="K35" s="34">
        <f t="shared" si="13"/>
        <v>5.0561290152753166E-2</v>
      </c>
      <c r="M35" t="s">
        <v>543</v>
      </c>
      <c r="N35" t="s">
        <v>239</v>
      </c>
      <c r="O35" s="86">
        <v>14.5</v>
      </c>
      <c r="P35" s="86">
        <v>237.5</v>
      </c>
      <c r="Q35" s="34" t="e">
        <f t="shared" si="11"/>
        <v>#N/A</v>
      </c>
    </row>
    <row r="36" spans="1:19" ht="14.5" customHeight="1" thickBot="1" x14ac:dyDescent="0.4">
      <c r="G36" t="s">
        <v>523</v>
      </c>
      <c r="H36" t="s">
        <v>110</v>
      </c>
      <c r="I36" s="86">
        <v>11.358620689655099</v>
      </c>
      <c r="J36" s="86">
        <v>261.17241379310298</v>
      </c>
      <c r="K36" s="34">
        <f t="shared" si="13"/>
        <v>5.0561290152753166E-2</v>
      </c>
      <c r="M36" t="s">
        <v>543</v>
      </c>
      <c r="N36" t="s">
        <v>110</v>
      </c>
      <c r="O36" s="86">
        <v>10.55</v>
      </c>
      <c r="P36" s="86">
        <v>247.5</v>
      </c>
      <c r="Q36" s="34" t="e">
        <f t="shared" si="11"/>
        <v>#N/A</v>
      </c>
    </row>
    <row r="37" spans="1:19" ht="14.5" customHeight="1" x14ac:dyDescent="0.35">
      <c r="A37" s="539" t="s">
        <v>2190</v>
      </c>
      <c r="B37" s="540"/>
      <c r="C37" s="540"/>
      <c r="D37" s="541"/>
      <c r="E37" s="233"/>
      <c r="G37" t="s">
        <v>524</v>
      </c>
      <c r="I37" s="86">
        <v>21.810416666666601</v>
      </c>
      <c r="J37" s="86">
        <v>348.979166666666</v>
      </c>
      <c r="K37" s="34" t="e">
        <f t="shared" si="13"/>
        <v>#N/A</v>
      </c>
    </row>
    <row r="38" spans="1:19" ht="14.5" customHeight="1" x14ac:dyDescent="0.35">
      <c r="A38" s="542"/>
      <c r="B38" s="543"/>
      <c r="C38" s="543"/>
      <c r="D38" s="544"/>
      <c r="E38" s="233"/>
      <c r="G38" t="s">
        <v>524</v>
      </c>
      <c r="I38" s="86">
        <v>16.001724137930999</v>
      </c>
      <c r="J38" s="86">
        <v>368.17241379310298</v>
      </c>
      <c r="K38" s="34" t="e">
        <f t="shared" si="13"/>
        <v>#N/A</v>
      </c>
    </row>
    <row r="39" spans="1:19" ht="14.5" customHeight="1" x14ac:dyDescent="0.35">
      <c r="A39" s="542"/>
      <c r="B39" s="543"/>
      <c r="C39" s="543"/>
      <c r="D39" s="544"/>
      <c r="E39" s="233"/>
      <c r="G39" t="s">
        <v>525</v>
      </c>
      <c r="H39" t="s">
        <v>239</v>
      </c>
      <c r="I39" s="86">
        <v>23.754385964912199</v>
      </c>
      <c r="J39" s="86">
        <v>380.15789473684202</v>
      </c>
      <c r="K39" s="34">
        <f t="shared" si="13"/>
        <v>3.3769184854023297E-2</v>
      </c>
    </row>
    <row r="40" spans="1:19" ht="14.5" customHeight="1" x14ac:dyDescent="0.35">
      <c r="A40" s="534" t="s">
        <v>545</v>
      </c>
      <c r="B40" s="495"/>
      <c r="C40" s="495"/>
      <c r="D40" s="535"/>
      <c r="E40" s="434"/>
      <c r="G40" t="s">
        <v>525</v>
      </c>
      <c r="H40" t="s">
        <v>110</v>
      </c>
      <c r="I40" s="86">
        <v>17.670491803278601</v>
      </c>
      <c r="J40" s="86">
        <v>406.44262295081899</v>
      </c>
      <c r="K40" s="34">
        <f t="shared" si="13"/>
        <v>3.3769184854023297E-2</v>
      </c>
    </row>
    <row r="41" spans="1:19" ht="15" thickBot="1" x14ac:dyDescent="0.4">
      <c r="A41" s="536"/>
      <c r="B41" s="537"/>
      <c r="C41" s="537"/>
      <c r="D41" s="538"/>
      <c r="E41" s="434"/>
      <c r="G41" t="s">
        <v>529</v>
      </c>
      <c r="H41" t="s">
        <v>110</v>
      </c>
      <c r="I41" s="86">
        <v>10.25625</v>
      </c>
      <c r="J41" s="86">
        <v>236</v>
      </c>
      <c r="K41" s="34" t="e">
        <f t="shared" si="13"/>
        <v>#N/A</v>
      </c>
    </row>
    <row r="44" spans="1:19" ht="15.5" x14ac:dyDescent="0.35">
      <c r="G44" s="189" t="s">
        <v>2180</v>
      </c>
      <c r="H44" s="33"/>
      <c r="I44" s="33"/>
      <c r="J44" s="33"/>
      <c r="K44" s="33"/>
      <c r="L44" s="33"/>
      <c r="N44" s="33"/>
      <c r="P44" s="33"/>
      <c r="Q44" s="33"/>
      <c r="R44" s="33"/>
      <c r="S44" s="33"/>
    </row>
    <row r="45" spans="1:19" ht="15" thickBot="1" x14ac:dyDescent="0.4">
      <c r="G45" s="105" t="s">
        <v>1435</v>
      </c>
      <c r="H45" s="105" t="s">
        <v>2188</v>
      </c>
      <c r="I45" s="105" t="s">
        <v>2184</v>
      </c>
      <c r="L45" s="33"/>
      <c r="O45" s="35"/>
    </row>
    <row r="46" spans="1:19" ht="15" thickTop="1" x14ac:dyDescent="0.35">
      <c r="F46" t="str" cm="1">
        <f t="array" ref="F46:F51">_xlfn.UNIQUE(A4:A17)</f>
        <v>MINICOMPACT</v>
      </c>
      <c r="G46" s="3" t="s">
        <v>530</v>
      </c>
      <c r="H46" s="34">
        <v>4.4278342824028288E-3</v>
      </c>
      <c r="I46" s="34">
        <v>5.9556466062645284E-3</v>
      </c>
      <c r="L46" s="34"/>
    </row>
    <row r="47" spans="1:19" x14ac:dyDescent="0.35">
      <c r="F47" t="str">
        <v>SUBCOMPACT</v>
      </c>
      <c r="G47" s="3" t="s">
        <v>531</v>
      </c>
      <c r="H47" s="34">
        <v>7.4903618262387353E-2</v>
      </c>
      <c r="I47" s="34">
        <v>7.4528035619713884E-2</v>
      </c>
      <c r="L47" s="34"/>
    </row>
    <row r="48" spans="1:19" x14ac:dyDescent="0.35">
      <c r="F48" t="str">
        <v>COMPACT</v>
      </c>
      <c r="G48" s="3" t="s">
        <v>532</v>
      </c>
      <c r="H48" s="34">
        <v>0.53368242434337232</v>
      </c>
      <c r="I48" s="34">
        <v>0.47363564001002123</v>
      </c>
      <c r="L48" s="34"/>
    </row>
    <row r="49" spans="5:12" x14ac:dyDescent="0.35">
      <c r="F49" t="str">
        <v>MID-SIZE</v>
      </c>
      <c r="G49" s="3" t="s">
        <v>533</v>
      </c>
      <c r="H49" s="34">
        <v>0.27985404803297975</v>
      </c>
      <c r="I49" s="34">
        <v>0.35458613330119781</v>
      </c>
      <c r="L49" s="34"/>
    </row>
    <row r="50" spans="5:12" x14ac:dyDescent="0.35">
      <c r="F50" t="str">
        <v>FULL-SIZE</v>
      </c>
      <c r="G50" s="3" t="s">
        <v>534</v>
      </c>
      <c r="H50" s="34">
        <v>8.1399625924345104E-2</v>
      </c>
      <c r="I50" s="34">
        <v>6.6840875143896417E-2</v>
      </c>
      <c r="L50" s="34"/>
    </row>
    <row r="51" spans="5:12" x14ac:dyDescent="0.35">
      <c r="F51" t="str">
        <v>STATION WAGON - SMALL</v>
      </c>
      <c r="G51" s="3" t="s">
        <v>535</v>
      </c>
      <c r="H51" s="34">
        <v>2.5732449154512678E-2</v>
      </c>
      <c r="I51" s="34">
        <v>2.4453669318906166E-2</v>
      </c>
      <c r="L51" s="34"/>
    </row>
    <row r="52" spans="5:12" x14ac:dyDescent="0.35">
      <c r="G52" s="323" t="s">
        <v>247</v>
      </c>
      <c r="H52" s="360">
        <f>SUM(H46:H51)</f>
        <v>1.0000000000000002</v>
      </c>
      <c r="I52" s="360">
        <f>SUM(I46:I51)</f>
        <v>1</v>
      </c>
      <c r="L52" s="34"/>
    </row>
    <row r="53" spans="5:12" x14ac:dyDescent="0.35">
      <c r="L53" s="440"/>
    </row>
    <row r="54" spans="5:12" ht="15.5" x14ac:dyDescent="0.35">
      <c r="G54" s="189" t="s">
        <v>2181</v>
      </c>
      <c r="H54" s="33"/>
      <c r="I54" s="33"/>
      <c r="J54" s="33"/>
      <c r="K54" s="33"/>
    </row>
    <row r="55" spans="5:12" ht="15" thickBot="1" x14ac:dyDescent="0.4">
      <c r="G55" s="105" t="s">
        <v>1435</v>
      </c>
      <c r="H55" s="105" t="s">
        <v>2188</v>
      </c>
      <c r="I55" s="105" t="s">
        <v>2184</v>
      </c>
      <c r="L55" s="33"/>
    </row>
    <row r="56" spans="5:12" ht="15" thickTop="1" x14ac:dyDescent="0.35">
      <c r="E56" t="s">
        <v>521</v>
      </c>
      <c r="F56" s="35">
        <f>H56</f>
        <v>2.1325397463433791E-2</v>
      </c>
      <c r="G56" s="18" t="s">
        <v>537</v>
      </c>
      <c r="H56" s="34">
        <v>2.1325397463433791E-2</v>
      </c>
      <c r="I56" s="34">
        <v>2.0672849126717584E-2</v>
      </c>
      <c r="J56" t="s">
        <v>521</v>
      </c>
      <c r="L56" s="33"/>
    </row>
    <row r="57" spans="5:12" x14ac:dyDescent="0.35">
      <c r="E57" t="s">
        <v>522</v>
      </c>
      <c r="F57" s="35">
        <f>H57</f>
        <v>0.25696837153644597</v>
      </c>
      <c r="G57" s="18" t="s">
        <v>538</v>
      </c>
      <c r="H57" s="34">
        <v>0.25696837153644597</v>
      </c>
      <c r="I57" s="34">
        <v>0.23647015701501611</v>
      </c>
      <c r="J57" t="s">
        <v>522</v>
      </c>
      <c r="L57" s="34"/>
    </row>
    <row r="58" spans="5:12" x14ac:dyDescent="0.35">
      <c r="E58" t="s">
        <v>243</v>
      </c>
      <c r="F58" s="35">
        <f>H58+H59</f>
        <v>0.63737575599334384</v>
      </c>
      <c r="G58" s="18" t="s">
        <v>539</v>
      </c>
      <c r="H58" s="34">
        <v>0.52796277179654827</v>
      </c>
      <c r="I58" s="34">
        <v>0.56868624710569682</v>
      </c>
      <c r="J58" t="s">
        <v>527</v>
      </c>
      <c r="L58" s="34"/>
    </row>
    <row r="59" spans="5:12" x14ac:dyDescent="0.35">
      <c r="E59" t="s">
        <v>523</v>
      </c>
      <c r="F59" s="35">
        <f>H60</f>
        <v>5.0561290152753166E-2</v>
      </c>
      <c r="G59" s="18" t="s">
        <v>540</v>
      </c>
      <c r="H59" s="34">
        <v>0.10941298419679553</v>
      </c>
      <c r="I59" s="34">
        <v>0.1224010870958033</v>
      </c>
      <c r="J59" t="s">
        <v>528</v>
      </c>
      <c r="L59" s="34"/>
    </row>
    <row r="60" spans="5:12" x14ac:dyDescent="0.35">
      <c r="E60" t="s">
        <v>525</v>
      </c>
      <c r="F60" s="35">
        <f>H61</f>
        <v>3.3769184854023297E-2</v>
      </c>
      <c r="G60" s="18" t="s">
        <v>541</v>
      </c>
      <c r="H60" s="34">
        <v>5.0561290152753166E-2</v>
      </c>
      <c r="I60" s="34">
        <v>2.506757099051473E-2</v>
      </c>
      <c r="J60" t="s">
        <v>523</v>
      </c>
      <c r="L60" s="34"/>
    </row>
    <row r="61" spans="5:12" x14ac:dyDescent="0.35">
      <c r="F61" s="35"/>
      <c r="G61" s="18" t="s">
        <v>542</v>
      </c>
      <c r="H61" s="34">
        <v>3.3769184854023297E-2</v>
      </c>
      <c r="I61" s="34">
        <v>2.6702088666251456E-2</v>
      </c>
      <c r="J61" t="s">
        <v>525</v>
      </c>
      <c r="L61" s="34"/>
    </row>
    <row r="62" spans="5:12" x14ac:dyDescent="0.35">
      <c r="G62" s="323" t="s">
        <v>247</v>
      </c>
      <c r="H62" s="360">
        <v>1</v>
      </c>
      <c r="I62" s="360">
        <v>1</v>
      </c>
      <c r="L62" s="34"/>
    </row>
    <row r="63" spans="5:12" x14ac:dyDescent="0.35">
      <c r="L63" s="440"/>
    </row>
  </sheetData>
  <mergeCells count="10">
    <mergeCell ref="AK2:AP2"/>
    <mergeCell ref="AK20:AP23"/>
    <mergeCell ref="S2:V2"/>
    <mergeCell ref="A40:D41"/>
    <mergeCell ref="AE2:AH2"/>
    <mergeCell ref="G2:J2"/>
    <mergeCell ref="M2:P2"/>
    <mergeCell ref="A2:D2"/>
    <mergeCell ref="Y2:AB2"/>
    <mergeCell ref="A37:D39"/>
  </mergeCells>
  <hyperlinks>
    <hyperlink ref="A1" r:id="rId1" xr:uid="{D08BCBED-5CCA-4022-97E5-F4147CBDCF4F}"/>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tabColor theme="7" tint="0.59999389629810485"/>
  </sheetPr>
  <dimension ref="A1:BI302"/>
  <sheetViews>
    <sheetView workbookViewId="0"/>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66"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62"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104" t="s">
        <v>1037</v>
      </c>
      <c r="H1" s="547" t="s">
        <v>1038</v>
      </c>
      <c r="I1" s="547"/>
      <c r="J1" s="547"/>
      <c r="K1" s="547"/>
      <c r="L1" s="547"/>
      <c r="M1" s="547"/>
      <c r="N1" s="547"/>
      <c r="O1" s="547"/>
      <c r="P1" s="547"/>
      <c r="Q1" s="547"/>
      <c r="R1" s="547"/>
      <c r="S1" s="547"/>
      <c r="T1" s="547"/>
      <c r="U1" s="547"/>
      <c r="V1" s="547"/>
      <c r="W1" s="547"/>
      <c r="X1" s="547"/>
      <c r="Y1" s="547"/>
      <c r="Z1" s="547"/>
      <c r="AA1" s="545" t="s">
        <v>1043</v>
      </c>
      <c r="AB1" s="545"/>
      <c r="AC1" s="545"/>
      <c r="AD1" s="545"/>
      <c r="AE1" s="545"/>
      <c r="AF1" s="546" t="s">
        <v>1039</v>
      </c>
      <c r="AG1" s="546"/>
      <c r="AH1" s="546"/>
      <c r="AI1" s="546"/>
      <c r="AJ1" s="546"/>
      <c r="AK1" s="546"/>
      <c r="AL1" s="546"/>
      <c r="AM1" s="546"/>
      <c r="AN1" s="546"/>
      <c r="AO1" s="546"/>
      <c r="AP1" s="546"/>
      <c r="AQ1" s="546"/>
      <c r="AS1" s="474" t="s">
        <v>1041</v>
      </c>
      <c r="AT1" s="474"/>
      <c r="AU1" s="474"/>
      <c r="AV1" s="474"/>
      <c r="AW1" s="474"/>
      <c r="AX1" s="474"/>
      <c r="AY1" s="474"/>
      <c r="AZ1" s="474"/>
    </row>
    <row r="2" spans="1:61" s="263" customFormat="1" ht="72.5" x14ac:dyDescent="0.35">
      <c r="A2" s="259" t="s">
        <v>953</v>
      </c>
      <c r="B2" s="259" t="s">
        <v>1007</v>
      </c>
      <c r="C2" s="259" t="s">
        <v>954</v>
      </c>
      <c r="D2" s="259" t="s">
        <v>513</v>
      </c>
      <c r="E2" s="259" t="s">
        <v>955</v>
      </c>
      <c r="F2" s="259" t="s">
        <v>956</v>
      </c>
      <c r="G2" s="356" t="s">
        <v>1585</v>
      </c>
      <c r="H2" s="260" t="s">
        <v>957</v>
      </c>
      <c r="I2" s="260" t="s">
        <v>958</v>
      </c>
      <c r="J2" s="260" t="s">
        <v>959</v>
      </c>
      <c r="K2" s="260" t="s">
        <v>960</v>
      </c>
      <c r="L2" s="260" t="s">
        <v>961</v>
      </c>
      <c r="M2" s="260" t="s">
        <v>962</v>
      </c>
      <c r="N2" s="260" t="s">
        <v>963</v>
      </c>
      <c r="O2" s="260" t="s">
        <v>964</v>
      </c>
      <c r="P2" s="260" t="s">
        <v>965</v>
      </c>
      <c r="Q2" s="260" t="s">
        <v>966</v>
      </c>
      <c r="R2" s="260" t="s">
        <v>967</v>
      </c>
      <c r="S2" s="260" t="s">
        <v>968</v>
      </c>
      <c r="T2" s="260" t="s">
        <v>969</v>
      </c>
      <c r="U2" s="260" t="s">
        <v>970</v>
      </c>
      <c r="V2" s="260" t="s">
        <v>971</v>
      </c>
      <c r="W2" s="260" t="s">
        <v>972</v>
      </c>
      <c r="X2" s="260" t="s">
        <v>973</v>
      </c>
      <c r="Y2" s="260" t="s">
        <v>974</v>
      </c>
      <c r="Z2" s="260" t="s">
        <v>1040</v>
      </c>
      <c r="AA2" s="261" t="s">
        <v>997</v>
      </c>
      <c r="AB2" s="261" t="s">
        <v>998</v>
      </c>
      <c r="AC2" s="261" t="s">
        <v>999</v>
      </c>
      <c r="AD2" s="261" t="s">
        <v>1000</v>
      </c>
      <c r="AE2" s="261" t="s">
        <v>1001</v>
      </c>
      <c r="AF2" s="262" t="s">
        <v>18</v>
      </c>
      <c r="AG2" s="262" t="s">
        <v>26</v>
      </c>
      <c r="AH2" s="262" t="s">
        <v>20</v>
      </c>
      <c r="AI2" s="262" t="s">
        <v>1002</v>
      </c>
      <c r="AJ2" s="262" t="s">
        <v>253</v>
      </c>
      <c r="AK2" s="262" t="s">
        <v>250</v>
      </c>
      <c r="AL2" s="262" t="s">
        <v>1003</v>
      </c>
      <c r="AM2" s="262" t="s">
        <v>251</v>
      </c>
      <c r="AN2" s="262" t="s">
        <v>252</v>
      </c>
      <c r="AO2" s="262" t="s">
        <v>1004</v>
      </c>
      <c r="AP2" s="262" t="s">
        <v>1005</v>
      </c>
      <c r="AQ2" s="262" t="s">
        <v>1006</v>
      </c>
      <c r="AR2" s="264"/>
      <c r="AS2" s="263" t="s">
        <v>1062</v>
      </c>
      <c r="AT2" s="263" t="s">
        <v>1060</v>
      </c>
      <c r="AU2" s="263" t="s">
        <v>1044</v>
      </c>
      <c r="AV2" s="263" t="s">
        <v>1042</v>
      </c>
      <c r="AW2" s="263" t="s">
        <v>1045</v>
      </c>
      <c r="AX2" s="263" t="s">
        <v>1046</v>
      </c>
      <c r="AY2" s="263" t="s">
        <v>1047</v>
      </c>
      <c r="AZ2" s="263" t="s">
        <v>1048</v>
      </c>
      <c r="BB2" s="268" t="s">
        <v>1057</v>
      </c>
      <c r="BC2" s="268" t="s">
        <v>1058</v>
      </c>
    </row>
    <row r="3" spans="1:61" ht="15" thickBot="1" x14ac:dyDescent="0.4">
      <c r="A3" t="s">
        <v>975</v>
      </c>
      <c r="B3">
        <v>2015</v>
      </c>
      <c r="C3" t="s">
        <v>837</v>
      </c>
      <c r="D3" t="s">
        <v>976</v>
      </c>
      <c r="E3" t="s">
        <v>977</v>
      </c>
      <c r="F3" t="s">
        <v>978</v>
      </c>
      <c r="G3" s="357">
        <v>44631.216</v>
      </c>
      <c r="H3" s="198">
        <v>7949</v>
      </c>
      <c r="I3" s="198">
        <v>0</v>
      </c>
      <c r="J3" s="198">
        <v>0</v>
      </c>
      <c r="K3" s="198">
        <v>0</v>
      </c>
      <c r="L3" s="198">
        <v>61.624000000000009</v>
      </c>
      <c r="M3" s="198">
        <v>6248.3702400000002</v>
      </c>
      <c r="N3" s="198">
        <v>75</v>
      </c>
      <c r="O3" s="198">
        <v>0</v>
      </c>
      <c r="P3" s="198">
        <v>1117.8119999999999</v>
      </c>
      <c r="Q3" s="198">
        <v>0</v>
      </c>
      <c r="R3" s="198">
        <v>0</v>
      </c>
      <c r="S3" s="198">
        <v>0</v>
      </c>
      <c r="T3" s="198">
        <v>0</v>
      </c>
      <c r="U3" s="198">
        <v>313.08305027076466</v>
      </c>
      <c r="V3" s="198">
        <v>943.14714099029493</v>
      </c>
      <c r="W3" s="198">
        <v>29.60526315789474</v>
      </c>
      <c r="X3" s="198">
        <v>0</v>
      </c>
      <c r="Y3" s="198">
        <v>200.2</v>
      </c>
      <c r="Z3" s="271">
        <v>16937.841694418952</v>
      </c>
      <c r="AA3" s="272">
        <v>0</v>
      </c>
      <c r="AB3" s="198">
        <v>0</v>
      </c>
      <c r="AC3" s="272">
        <v>216.39257798265425</v>
      </c>
      <c r="AD3" s="198">
        <v>0.77901328073755527</v>
      </c>
      <c r="AE3" s="265">
        <v>0.77901328073755527</v>
      </c>
      <c r="AF3" s="198">
        <v>0</v>
      </c>
      <c r="AG3" s="198">
        <v>0</v>
      </c>
      <c r="AH3" s="198">
        <v>0</v>
      </c>
      <c r="AI3" s="198">
        <v>0</v>
      </c>
      <c r="AJ3" s="198">
        <v>0</v>
      </c>
      <c r="AK3" s="198">
        <v>0</v>
      </c>
      <c r="AL3" s="198">
        <v>0</v>
      </c>
      <c r="AM3" s="198">
        <v>1.151723133585118E-2</v>
      </c>
      <c r="AN3" s="198">
        <v>2.943292452495294E-3</v>
      </c>
      <c r="AO3" s="198">
        <v>0</v>
      </c>
      <c r="AP3" s="198">
        <v>4.2082184831508391E-4</v>
      </c>
      <c r="AQ3" s="198">
        <v>5.2612431871325532E-4</v>
      </c>
      <c r="AS3" s="258">
        <f>Z3*USD_CAD_2020</f>
        <v>22722.114633063022</v>
      </c>
      <c r="AT3" s="3">
        <f t="shared" ref="AT3:AT66" si="0">IFERROR(L_100km_to_mpg/AA3, 0)</f>
        <v>0</v>
      </c>
      <c r="AU3" s="3">
        <f t="shared" ref="AU3:AU66" si="1">AT3 * GSL_PJ_ML * 10</f>
        <v>0</v>
      </c>
      <c r="AV3" s="95">
        <f t="shared" ref="AV3:AV66" si="2">AC3/km_mile / 10</f>
        <v>13.44604483717886</v>
      </c>
      <c r="AW3" s="95">
        <f>AV3*3.6/100</f>
        <v>0.48405761413843895</v>
      </c>
      <c r="AX3" s="95">
        <f>AU3+AW3</f>
        <v>0.48405761413843895</v>
      </c>
      <c r="AY3" s="102">
        <f>AU3/AX3</f>
        <v>0</v>
      </c>
      <c r="AZ3" s="102">
        <f>AW3/AX3</f>
        <v>1</v>
      </c>
      <c r="BB3" s="269">
        <f>AVERAGEIF($A:$A, "Split PHEV20", $AY:$AY)</f>
        <v>0.69852123696330215</v>
      </c>
      <c r="BC3" s="269">
        <f>AVERAGEIF($A:$A, "EREV PHEV50", $AY:$AY)</f>
        <v>0.40777126496922705</v>
      </c>
      <c r="BE3" s="95"/>
      <c r="BF3" s="95"/>
      <c r="BG3" s="95"/>
      <c r="BH3" s="102"/>
      <c r="BI3" s="102"/>
    </row>
    <row r="4" spans="1:61" x14ac:dyDescent="0.35">
      <c r="A4" t="s">
        <v>979</v>
      </c>
      <c r="B4">
        <v>2015</v>
      </c>
      <c r="C4" t="s">
        <v>837</v>
      </c>
      <c r="D4" t="s">
        <v>976</v>
      </c>
      <c r="E4" t="s">
        <v>977</v>
      </c>
      <c r="F4" t="s">
        <v>978</v>
      </c>
      <c r="G4" s="357">
        <v>70480.653099999996</v>
      </c>
      <c r="H4" s="198">
        <v>7949</v>
      </c>
      <c r="I4" s="198">
        <v>0</v>
      </c>
      <c r="J4" s="198">
        <v>0</v>
      </c>
      <c r="K4" s="198">
        <v>0</v>
      </c>
      <c r="L4" s="198">
        <v>61.624000000000009</v>
      </c>
      <c r="M4" s="198">
        <v>9867.2914339999988</v>
      </c>
      <c r="N4" s="198">
        <v>75</v>
      </c>
      <c r="O4" s="198">
        <v>0</v>
      </c>
      <c r="P4" s="198">
        <v>1214.136</v>
      </c>
      <c r="Q4" s="198">
        <v>0</v>
      </c>
      <c r="R4" s="198">
        <v>0</v>
      </c>
      <c r="S4" s="198">
        <v>0</v>
      </c>
      <c r="T4" s="198">
        <v>0</v>
      </c>
      <c r="U4" s="198">
        <v>313.08305027076466</v>
      </c>
      <c r="V4" s="198">
        <v>943.14714099029493</v>
      </c>
      <c r="W4" s="198">
        <v>29.60526315789474</v>
      </c>
      <c r="X4" s="198">
        <v>0</v>
      </c>
      <c r="Y4" s="198">
        <v>200.2</v>
      </c>
      <c r="Z4" s="271">
        <v>20653.086888418951</v>
      </c>
      <c r="AA4" s="272">
        <v>0</v>
      </c>
      <c r="AB4" s="198">
        <v>0</v>
      </c>
      <c r="AC4" s="272">
        <v>226.82458927106859</v>
      </c>
      <c r="AD4" s="198">
        <v>0.8165685213758469</v>
      </c>
      <c r="AE4" s="198">
        <v>0.8165685213758469</v>
      </c>
      <c r="AF4" s="198">
        <v>0</v>
      </c>
      <c r="AG4" s="198">
        <v>0</v>
      </c>
      <c r="AH4" s="198">
        <v>0</v>
      </c>
      <c r="AI4" s="198">
        <v>0</v>
      </c>
      <c r="AJ4" s="198">
        <v>0</v>
      </c>
      <c r="AK4" s="198">
        <v>0</v>
      </c>
      <c r="AL4" s="198">
        <v>0</v>
      </c>
      <c r="AM4" s="198">
        <v>1.2072462427540979E-2</v>
      </c>
      <c r="AN4" s="198">
        <v>3.0851848425937976E-3</v>
      </c>
      <c r="AO4" s="198">
        <v>0</v>
      </c>
      <c r="AP4" s="198">
        <v>4.4110913502778363E-4</v>
      </c>
      <c r="AQ4" s="198">
        <v>5.5148810375197299E-4</v>
      </c>
      <c r="AS4" s="258">
        <f t="shared" ref="AS4:AS66" si="3">Z4*USD_CAD_2020</f>
        <v>27706.11606081402</v>
      </c>
      <c r="AT4" s="3">
        <f t="shared" si="0"/>
        <v>0</v>
      </c>
      <c r="AU4" s="3">
        <f t="shared" si="1"/>
        <v>0</v>
      </c>
      <c r="AV4" s="95">
        <f t="shared" si="2"/>
        <v>14.094261577483229</v>
      </c>
      <c r="AW4" s="95">
        <f t="shared" ref="AW4:AW67" si="4">AV4*3.6/100</f>
        <v>0.5073934167893962</v>
      </c>
      <c r="AX4" s="95">
        <f t="shared" ref="AX4:AX14" si="5">AU4+AW4</f>
        <v>0.5073934167893962</v>
      </c>
      <c r="AY4" s="102">
        <f t="shared" ref="AY4:AY67" si="6">AU4/AX4</f>
        <v>0</v>
      </c>
      <c r="AZ4" s="102">
        <f t="shared" ref="AZ4:AZ67" si="7">AW4/AX4</f>
        <v>1</v>
      </c>
      <c r="BB4" t="s">
        <v>2151</v>
      </c>
    </row>
    <row r="5" spans="1:61" x14ac:dyDescent="0.35">
      <c r="A5" t="s">
        <v>980</v>
      </c>
      <c r="B5">
        <v>2015</v>
      </c>
      <c r="C5" t="s">
        <v>837</v>
      </c>
      <c r="D5" t="s">
        <v>976</v>
      </c>
      <c r="E5" t="s">
        <v>977</v>
      </c>
      <c r="F5" t="s">
        <v>978</v>
      </c>
      <c r="G5" s="357">
        <v>104692.48269999999</v>
      </c>
      <c r="H5" s="198">
        <v>7949</v>
      </c>
      <c r="I5" s="198">
        <v>0</v>
      </c>
      <c r="J5" s="198">
        <v>0</v>
      </c>
      <c r="K5" s="198">
        <v>0</v>
      </c>
      <c r="L5" s="198">
        <v>61.624000000000009</v>
      </c>
      <c r="M5" s="198">
        <v>14656.947577999999</v>
      </c>
      <c r="N5" s="198">
        <v>75</v>
      </c>
      <c r="O5" s="198">
        <v>0</v>
      </c>
      <c r="P5" s="198">
        <v>1343.2919999999999</v>
      </c>
      <c r="Q5" s="198">
        <v>0</v>
      </c>
      <c r="R5" s="198">
        <v>0</v>
      </c>
      <c r="S5" s="198">
        <v>0</v>
      </c>
      <c r="T5" s="198">
        <v>0</v>
      </c>
      <c r="U5" s="198">
        <v>313.08305027076466</v>
      </c>
      <c r="V5" s="198">
        <v>943.14714099029493</v>
      </c>
      <c r="W5" s="198">
        <v>29.60526315789474</v>
      </c>
      <c r="X5" s="198">
        <v>0</v>
      </c>
      <c r="Y5" s="198">
        <v>200.2</v>
      </c>
      <c r="Z5" s="271">
        <v>25571.899032418954</v>
      </c>
      <c r="AA5" s="272">
        <v>0</v>
      </c>
      <c r="AB5" s="198">
        <v>0</v>
      </c>
      <c r="AC5" s="272">
        <v>252.32292706631486</v>
      </c>
      <c r="AD5" s="198">
        <v>0.90836253743873352</v>
      </c>
      <c r="AE5" s="198">
        <v>0.90836253743873352</v>
      </c>
      <c r="AF5" s="198">
        <v>0</v>
      </c>
      <c r="AG5" s="198">
        <v>0</v>
      </c>
      <c r="AH5" s="198">
        <v>0</v>
      </c>
      <c r="AI5" s="198">
        <v>0</v>
      </c>
      <c r="AJ5" s="198">
        <v>0</v>
      </c>
      <c r="AK5" s="198">
        <v>0</v>
      </c>
      <c r="AL5" s="198">
        <v>0</v>
      </c>
      <c r="AM5" s="198">
        <v>1.3429580392516049E-2</v>
      </c>
      <c r="AN5" s="198">
        <v>3.432003878087426E-3</v>
      </c>
      <c r="AO5" s="198">
        <v>0</v>
      </c>
      <c r="AP5" s="198">
        <v>4.906961298313579E-4</v>
      </c>
      <c r="AQ5" s="198">
        <v>6.1348327810550256E-4</v>
      </c>
      <c r="AS5" s="258">
        <f t="shared" si="3"/>
        <v>34304.702551990027</v>
      </c>
      <c r="AT5" s="3">
        <f t="shared" si="0"/>
        <v>0</v>
      </c>
      <c r="AU5" s="3">
        <f t="shared" si="1"/>
        <v>0</v>
      </c>
      <c r="AV5" s="95">
        <f t="shared" si="2"/>
        <v>15.678658771068566</v>
      </c>
      <c r="AW5" s="95">
        <f t="shared" si="4"/>
        <v>0.5644317157584684</v>
      </c>
      <c r="AX5" s="95">
        <f t="shared" si="5"/>
        <v>0.5644317157584684</v>
      </c>
      <c r="AY5" s="102">
        <f t="shared" si="6"/>
        <v>0</v>
      </c>
      <c r="AZ5" s="102">
        <f t="shared" si="7"/>
        <v>1</v>
      </c>
    </row>
    <row r="6" spans="1:61" x14ac:dyDescent="0.35">
      <c r="A6" t="s">
        <v>981</v>
      </c>
      <c r="B6">
        <v>2015</v>
      </c>
      <c r="C6" t="s">
        <v>837</v>
      </c>
      <c r="D6" t="s">
        <v>976</v>
      </c>
      <c r="E6" t="s">
        <v>977</v>
      </c>
      <c r="F6" t="s">
        <v>978</v>
      </c>
      <c r="G6" s="357">
        <v>146278.90220000001</v>
      </c>
      <c r="H6" s="198">
        <v>7949</v>
      </c>
      <c r="I6" s="198">
        <v>0</v>
      </c>
      <c r="J6" s="198">
        <v>0</v>
      </c>
      <c r="K6" s="198">
        <v>0</v>
      </c>
      <c r="L6" s="198">
        <v>61.624000000000009</v>
      </c>
      <c r="M6" s="198">
        <v>20479.046308000001</v>
      </c>
      <c r="N6" s="198">
        <v>75</v>
      </c>
      <c r="O6" s="198">
        <v>0</v>
      </c>
      <c r="P6" s="198">
        <v>1502.22</v>
      </c>
      <c r="Q6" s="198">
        <v>0</v>
      </c>
      <c r="R6" s="198">
        <v>0</v>
      </c>
      <c r="S6" s="198">
        <v>0</v>
      </c>
      <c r="T6" s="198">
        <v>0</v>
      </c>
      <c r="U6" s="198">
        <v>313.08305027076466</v>
      </c>
      <c r="V6" s="198">
        <v>943.14714099029493</v>
      </c>
      <c r="W6" s="198">
        <v>29.60526315789474</v>
      </c>
      <c r="X6" s="198">
        <v>0</v>
      </c>
      <c r="Y6" s="198">
        <v>200.2</v>
      </c>
      <c r="Z6" s="271">
        <v>31552.925762418956</v>
      </c>
      <c r="AA6" s="272">
        <v>0</v>
      </c>
      <c r="AB6" s="198">
        <v>0</v>
      </c>
      <c r="AC6" s="272">
        <v>279.95004561585665</v>
      </c>
      <c r="AD6" s="198">
        <v>1.0078201642170839</v>
      </c>
      <c r="AE6" s="198">
        <v>1.0078201642170839</v>
      </c>
      <c r="AF6" s="198">
        <v>0</v>
      </c>
      <c r="AG6" s="198">
        <v>0</v>
      </c>
      <c r="AH6" s="198">
        <v>0</v>
      </c>
      <c r="AI6" s="198">
        <v>0</v>
      </c>
      <c r="AJ6" s="198">
        <v>0</v>
      </c>
      <c r="AK6" s="198">
        <v>0</v>
      </c>
      <c r="AL6" s="198">
        <v>0</v>
      </c>
      <c r="AM6" s="198">
        <v>1.4900000119682308E-2</v>
      </c>
      <c r="AN6" s="198">
        <v>3.8077778083632466E-3</v>
      </c>
      <c r="AO6" s="198">
        <v>0</v>
      </c>
      <c r="AP6" s="198">
        <v>5.4442299606689956E-4</v>
      </c>
      <c r="AQ6" s="198">
        <v>6.8065424607674757E-4</v>
      </c>
      <c r="AS6" s="258">
        <f t="shared" si="3"/>
        <v>42328.249910285027</v>
      </c>
      <c r="AT6" s="3">
        <f t="shared" si="0"/>
        <v>0</v>
      </c>
      <c r="AU6" s="3">
        <f t="shared" si="1"/>
        <v>0</v>
      </c>
      <c r="AV6" s="95">
        <f t="shared" si="2"/>
        <v>17.395332596956308</v>
      </c>
      <c r="AW6" s="95">
        <f t="shared" si="4"/>
        <v>0.62623197349042714</v>
      </c>
      <c r="AX6" s="95">
        <f t="shared" si="5"/>
        <v>0.62623197349042714</v>
      </c>
      <c r="AY6" s="102">
        <f t="shared" si="6"/>
        <v>0</v>
      </c>
      <c r="AZ6" s="102">
        <f t="shared" si="7"/>
        <v>1</v>
      </c>
    </row>
    <row r="7" spans="1:61" x14ac:dyDescent="0.35">
      <c r="A7" t="s">
        <v>982</v>
      </c>
      <c r="B7">
        <v>2015</v>
      </c>
      <c r="C7" t="s">
        <v>837</v>
      </c>
      <c r="D7" t="s">
        <v>976</v>
      </c>
      <c r="E7" t="s">
        <v>983</v>
      </c>
      <c r="F7" t="s">
        <v>978</v>
      </c>
      <c r="G7" s="357"/>
      <c r="H7" s="198">
        <v>7949</v>
      </c>
      <c r="I7" s="198">
        <v>7944.7585277247399</v>
      </c>
      <c r="J7" s="198">
        <v>0</v>
      </c>
      <c r="K7" s="198">
        <v>0</v>
      </c>
      <c r="L7" s="198">
        <v>61.624000000000009</v>
      </c>
      <c r="M7" s="198">
        <v>0</v>
      </c>
      <c r="N7" s="198">
        <v>0</v>
      </c>
      <c r="O7" s="198">
        <v>48.429660116721465</v>
      </c>
      <c r="P7" s="198">
        <v>0</v>
      </c>
      <c r="Q7" s="198">
        <v>0</v>
      </c>
      <c r="R7" s="198">
        <v>15.008419498827607</v>
      </c>
      <c r="S7" s="198">
        <v>2323.16</v>
      </c>
      <c r="T7" s="198">
        <v>116.9</v>
      </c>
      <c r="U7" s="198">
        <v>313.08305027076466</v>
      </c>
      <c r="V7" s="198">
        <v>354.43209088909185</v>
      </c>
      <c r="W7" s="198">
        <v>0</v>
      </c>
      <c r="X7" s="198">
        <v>0</v>
      </c>
      <c r="Y7" s="198">
        <v>200.2</v>
      </c>
      <c r="Z7" s="271">
        <v>19326.595748500145</v>
      </c>
      <c r="AA7" s="272">
        <v>36.822122239629373</v>
      </c>
      <c r="AB7" s="198">
        <v>3.3458622834999328</v>
      </c>
      <c r="AC7" s="272">
        <v>0</v>
      </c>
      <c r="AD7" s="198">
        <v>0</v>
      </c>
      <c r="AE7" s="198">
        <v>3.3458622834999328</v>
      </c>
      <c r="AF7" s="198">
        <v>250.45631159727657</v>
      </c>
      <c r="AG7" s="198">
        <v>0.11010500967999631</v>
      </c>
      <c r="AH7" s="198">
        <v>5.8177585716514158E-4</v>
      </c>
      <c r="AI7" s="198">
        <v>253.91363246540041</v>
      </c>
      <c r="AJ7" s="198">
        <v>0.10684009250437618</v>
      </c>
      <c r="AK7" s="198">
        <v>2.4931940677015296</v>
      </c>
      <c r="AL7" s="198">
        <v>0.11672891261475095</v>
      </c>
      <c r="AM7" s="198">
        <v>2.0981544037977515E-2</v>
      </c>
      <c r="AN7" s="198">
        <v>8.6270603117129686E-3</v>
      </c>
      <c r="AO7" s="198">
        <v>1.7273877271037545E-3</v>
      </c>
      <c r="AP7" s="198">
        <v>1.4334664397749628E-3</v>
      </c>
      <c r="AQ7" s="198">
        <v>1.3615390999216514E-3</v>
      </c>
      <c r="AS7" s="258">
        <f t="shared" si="3"/>
        <v>25926.628196612943</v>
      </c>
      <c r="AT7" s="3">
        <f t="shared" si="0"/>
        <v>6.3878751395887949</v>
      </c>
      <c r="AU7" s="3">
        <f t="shared" si="1"/>
        <v>2.1442953281078845</v>
      </c>
      <c r="AV7" s="95">
        <f t="shared" si="2"/>
        <v>0</v>
      </c>
      <c r="AW7" s="95">
        <f t="shared" si="4"/>
        <v>0</v>
      </c>
      <c r="AX7" s="95">
        <f t="shared" si="5"/>
        <v>2.1442953281078845</v>
      </c>
      <c r="AY7" s="102">
        <f t="shared" si="6"/>
        <v>1</v>
      </c>
      <c r="AZ7" s="102">
        <f t="shared" si="7"/>
        <v>0</v>
      </c>
    </row>
    <row r="8" spans="1:61" x14ac:dyDescent="0.35">
      <c r="A8" t="s">
        <v>984</v>
      </c>
      <c r="B8">
        <v>2015</v>
      </c>
      <c r="C8" t="s">
        <v>837</v>
      </c>
      <c r="D8" t="s">
        <v>976</v>
      </c>
      <c r="E8" t="s">
        <v>240</v>
      </c>
      <c r="F8" t="s">
        <v>978</v>
      </c>
      <c r="G8" s="357"/>
      <c r="H8" s="198">
        <v>7949</v>
      </c>
      <c r="I8" s="198">
        <v>9520.9211300000006</v>
      </c>
      <c r="J8" s="198">
        <v>0</v>
      </c>
      <c r="K8" s="198">
        <v>0</v>
      </c>
      <c r="L8" s="198">
        <v>61.624000000000009</v>
      </c>
      <c r="M8" s="198">
        <v>0</v>
      </c>
      <c r="N8" s="198">
        <v>0</v>
      </c>
      <c r="O8" s="198">
        <v>48.429660116721465</v>
      </c>
      <c r="P8" s="198">
        <v>0</v>
      </c>
      <c r="Q8" s="198">
        <v>0</v>
      </c>
      <c r="R8" s="198">
        <v>15.008419498827607</v>
      </c>
      <c r="S8" s="198">
        <v>2323.16</v>
      </c>
      <c r="T8" s="198">
        <v>116.9</v>
      </c>
      <c r="U8" s="198">
        <v>313.08305027076466</v>
      </c>
      <c r="V8" s="198">
        <v>331.21152175292735</v>
      </c>
      <c r="W8" s="198">
        <v>0</v>
      </c>
      <c r="X8" s="198">
        <v>0</v>
      </c>
      <c r="Y8" s="198">
        <v>200.2</v>
      </c>
      <c r="Z8" s="271">
        <v>20879.537781639247</v>
      </c>
      <c r="AA8" s="272">
        <v>29.746904767032095</v>
      </c>
      <c r="AB8" s="198">
        <v>4.1416661990508024</v>
      </c>
      <c r="AC8" s="272">
        <v>0</v>
      </c>
      <c r="AD8" s="198">
        <v>0</v>
      </c>
      <c r="AE8" s="198">
        <v>4.1416661990508024</v>
      </c>
      <c r="AF8" s="198">
        <v>0</v>
      </c>
      <c r="AG8" s="198">
        <v>0</v>
      </c>
      <c r="AH8" s="198">
        <v>0</v>
      </c>
      <c r="AI8" s="198">
        <v>0</v>
      </c>
      <c r="AJ8" s="198">
        <v>0</v>
      </c>
      <c r="AK8" s="198">
        <v>0</v>
      </c>
      <c r="AL8" s="198">
        <v>0</v>
      </c>
      <c r="AM8" s="198">
        <v>0</v>
      </c>
      <c r="AN8" s="198">
        <v>0</v>
      </c>
      <c r="AO8" s="198">
        <v>0</v>
      </c>
      <c r="AP8" s="198">
        <v>0</v>
      </c>
      <c r="AQ8" s="198">
        <v>0</v>
      </c>
      <c r="AS8" s="258">
        <f t="shared" si="3"/>
        <v>28009.899934069046</v>
      </c>
      <c r="AT8" s="3">
        <f t="shared" si="0"/>
        <v>7.9072132406230171</v>
      </c>
      <c r="AU8" s="3">
        <f t="shared" si="1"/>
        <v>2.6543099293127708</v>
      </c>
      <c r="AV8" s="95">
        <f t="shared" si="2"/>
        <v>0</v>
      </c>
      <c r="AW8" s="95">
        <f t="shared" si="4"/>
        <v>0</v>
      </c>
      <c r="AX8" s="95">
        <f t="shared" si="5"/>
        <v>2.6543099293127708</v>
      </c>
      <c r="AY8" s="102">
        <f t="shared" si="6"/>
        <v>1</v>
      </c>
      <c r="AZ8" s="102">
        <f t="shared" si="7"/>
        <v>0</v>
      </c>
    </row>
    <row r="9" spans="1:61" x14ac:dyDescent="0.35">
      <c r="A9" t="s">
        <v>985</v>
      </c>
      <c r="B9">
        <v>2015</v>
      </c>
      <c r="C9" t="s">
        <v>837</v>
      </c>
      <c r="D9" t="s">
        <v>976</v>
      </c>
      <c r="E9" t="s">
        <v>986</v>
      </c>
      <c r="F9" t="s">
        <v>978</v>
      </c>
      <c r="G9" s="357"/>
      <c r="H9" s="198">
        <v>7949</v>
      </c>
      <c r="I9" s="198">
        <v>4098.335008</v>
      </c>
      <c r="J9" s="198">
        <v>0</v>
      </c>
      <c r="K9" s="198">
        <v>0</v>
      </c>
      <c r="L9" s="198">
        <v>61.624000000000009</v>
      </c>
      <c r="M9" s="198">
        <v>0</v>
      </c>
      <c r="N9" s="198">
        <v>0</v>
      </c>
      <c r="O9" s="198">
        <v>48.429660116721465</v>
      </c>
      <c r="P9" s="198">
        <v>0</v>
      </c>
      <c r="Q9" s="198">
        <v>0</v>
      </c>
      <c r="R9" s="198">
        <v>15.008419498827607</v>
      </c>
      <c r="S9" s="198">
        <v>2323.16</v>
      </c>
      <c r="T9" s="198">
        <v>116.9</v>
      </c>
      <c r="U9" s="198">
        <v>313.08305027076466</v>
      </c>
      <c r="V9" s="198">
        <v>329.62391139712776</v>
      </c>
      <c r="W9" s="198">
        <v>0</v>
      </c>
      <c r="X9" s="198">
        <v>0</v>
      </c>
      <c r="Y9" s="198">
        <v>200.2</v>
      </c>
      <c r="Z9" s="271">
        <v>15455.36404928344</v>
      </c>
      <c r="AA9" s="272">
        <v>29.925014348312676</v>
      </c>
      <c r="AB9" s="198">
        <v>4.1170155698504036</v>
      </c>
      <c r="AC9" s="272">
        <v>0</v>
      </c>
      <c r="AD9" s="198">
        <v>0</v>
      </c>
      <c r="AE9" s="198">
        <v>4.1170155698504036</v>
      </c>
      <c r="AF9" s="198">
        <v>308.18140349000788</v>
      </c>
      <c r="AG9" s="198">
        <v>0.1354819776673224</v>
      </c>
      <c r="AH9" s="198">
        <v>7.1586337367313233E-4</v>
      </c>
      <c r="AI9" s="198">
        <v>312.43556658399666</v>
      </c>
      <c r="AJ9" s="198">
        <v>0.13146456340834717</v>
      </c>
      <c r="AK9" s="198">
        <v>3.0678246519604744</v>
      </c>
      <c r="AL9" s="198">
        <v>0.14363255566631766</v>
      </c>
      <c r="AM9" s="198">
        <v>2.5817363706164349E-2</v>
      </c>
      <c r="AN9" s="198">
        <v>1.061542245791644E-2</v>
      </c>
      <c r="AO9" s="198">
        <v>2.125515506936973E-3</v>
      </c>
      <c r="AP9" s="198">
        <v>1.7638513337847805E-3</v>
      </c>
      <c r="AQ9" s="198">
        <v>1.6753462032734784E-3</v>
      </c>
      <c r="AS9" s="258">
        <f t="shared" si="3"/>
        <v>20733.370872113734</v>
      </c>
      <c r="AT9" s="3">
        <f t="shared" si="0"/>
        <v>7.8601505918639853</v>
      </c>
      <c r="AU9" s="3">
        <f t="shared" si="1"/>
        <v>2.6385118406436692</v>
      </c>
      <c r="AV9" s="95">
        <f t="shared" si="2"/>
        <v>0</v>
      </c>
      <c r="AW9" s="95">
        <f t="shared" si="4"/>
        <v>0</v>
      </c>
      <c r="AX9" s="95">
        <f t="shared" si="5"/>
        <v>2.6385118406436692</v>
      </c>
      <c r="AY9" s="102">
        <f t="shared" si="6"/>
        <v>1</v>
      </c>
      <c r="AZ9" s="102">
        <f t="shared" si="7"/>
        <v>0</v>
      </c>
    </row>
    <row r="10" spans="1:61" x14ac:dyDescent="0.35">
      <c r="A10" t="s">
        <v>987</v>
      </c>
      <c r="B10">
        <v>2015</v>
      </c>
      <c r="C10" t="s">
        <v>837</v>
      </c>
      <c r="D10" t="s">
        <v>976</v>
      </c>
      <c r="E10" t="s">
        <v>986</v>
      </c>
      <c r="F10" t="s">
        <v>978</v>
      </c>
      <c r="G10" s="357">
        <v>17636.486400000002</v>
      </c>
      <c r="H10" s="198">
        <v>7949</v>
      </c>
      <c r="I10" s="198">
        <v>4641.1316669999997</v>
      </c>
      <c r="J10" s="198">
        <v>0</v>
      </c>
      <c r="K10" s="198">
        <v>0</v>
      </c>
      <c r="L10" s="198">
        <v>61.624000000000009</v>
      </c>
      <c r="M10" s="198">
        <v>3527.2972800000007</v>
      </c>
      <c r="N10" s="198">
        <v>75</v>
      </c>
      <c r="O10" s="198">
        <v>0</v>
      </c>
      <c r="P10" s="198">
        <v>1182.1079999999999</v>
      </c>
      <c r="Q10" s="198">
        <v>709.41600000000005</v>
      </c>
      <c r="R10" s="198">
        <v>0</v>
      </c>
      <c r="S10" s="198">
        <v>1189.2013280000001</v>
      </c>
      <c r="T10" s="198">
        <v>0</v>
      </c>
      <c r="U10" s="198">
        <v>313.08305027076466</v>
      </c>
      <c r="V10" s="198">
        <v>969.23284110540465</v>
      </c>
      <c r="W10" s="198">
        <v>29.60526315789474</v>
      </c>
      <c r="X10" s="198">
        <v>0</v>
      </c>
      <c r="Y10" s="198">
        <v>200.2</v>
      </c>
      <c r="Z10" s="271">
        <v>20846.899429534064</v>
      </c>
      <c r="AA10" s="272">
        <v>235.78537317073835</v>
      </c>
      <c r="AB10" s="198">
        <v>0.52251650873519795</v>
      </c>
      <c r="AC10" s="272">
        <v>214.72441731011907</v>
      </c>
      <c r="AD10" s="198">
        <v>0.77300790231642857</v>
      </c>
      <c r="AE10" s="198">
        <v>1.2955244110516264</v>
      </c>
      <c r="AF10" s="198">
        <v>39.113252859173294</v>
      </c>
      <c r="AG10" s="198">
        <v>1.7194875454367459E-2</v>
      </c>
      <c r="AH10" s="198">
        <v>9.0854752525669242E-5</v>
      </c>
      <c r="AI10" s="198">
        <v>39.653175628409244</v>
      </c>
      <c r="AJ10" s="198">
        <v>1.6684999978521489E-2</v>
      </c>
      <c r="AK10" s="198">
        <v>0.38935704744308441</v>
      </c>
      <c r="AL10" s="198">
        <v>1.8229316905450838E-2</v>
      </c>
      <c r="AM10" s="198">
        <v>1.4705090581106672E-2</v>
      </c>
      <c r="AN10" s="198">
        <v>4.267873208128244E-3</v>
      </c>
      <c r="AO10" s="198">
        <v>2.697626285604713E-4</v>
      </c>
      <c r="AP10" s="198">
        <v>6.4143929040262452E-4</v>
      </c>
      <c r="AQ10" s="198">
        <v>7.3469724238731191E-4</v>
      </c>
      <c r="AS10" s="258">
        <f t="shared" si="3"/>
        <v>27966.115584719944</v>
      </c>
      <c r="AT10" s="3">
        <f t="shared" si="0"/>
        <v>0.99758147029376043</v>
      </c>
      <c r="AU10" s="3">
        <f t="shared" si="1"/>
        <v>0.33487024079428157</v>
      </c>
      <c r="AV10" s="95">
        <f t="shared" si="2"/>
        <v>13.342389880952382</v>
      </c>
      <c r="AW10" s="95">
        <f t="shared" si="4"/>
        <v>0.48032603571428573</v>
      </c>
      <c r="AX10" s="95">
        <f t="shared" si="5"/>
        <v>0.8151962765085673</v>
      </c>
      <c r="AY10" s="102">
        <f t="shared" si="6"/>
        <v>0.41078480170261455</v>
      </c>
      <c r="AZ10" s="102">
        <f t="shared" si="7"/>
        <v>0.58921519829738545</v>
      </c>
    </row>
    <row r="11" spans="1:61" x14ac:dyDescent="0.35">
      <c r="A11" t="s">
        <v>988</v>
      </c>
      <c r="B11">
        <v>2015</v>
      </c>
      <c r="C11" t="s">
        <v>837</v>
      </c>
      <c r="D11" t="s">
        <v>976</v>
      </c>
      <c r="E11" t="s">
        <v>989</v>
      </c>
      <c r="F11" t="s">
        <v>978</v>
      </c>
      <c r="G11" s="357">
        <v>1263.5999999999999</v>
      </c>
      <c r="H11" s="198">
        <v>7949</v>
      </c>
      <c r="I11" s="198">
        <v>0</v>
      </c>
      <c r="J11" s="198">
        <v>5036.0639999999994</v>
      </c>
      <c r="K11" s="198">
        <v>2342.5347999999999</v>
      </c>
      <c r="L11" s="198">
        <v>61.624000000000009</v>
      </c>
      <c r="M11" s="198">
        <v>728.20846800000004</v>
      </c>
      <c r="N11" s="198">
        <v>0</v>
      </c>
      <c r="O11" s="198">
        <v>0</v>
      </c>
      <c r="P11" s="198">
        <v>1057.74</v>
      </c>
      <c r="Q11" s="198">
        <v>0</v>
      </c>
      <c r="R11" s="198">
        <v>0</v>
      </c>
      <c r="S11" s="198">
        <v>0</v>
      </c>
      <c r="T11" s="198">
        <v>0</v>
      </c>
      <c r="U11" s="198">
        <v>313.08305027076466</v>
      </c>
      <c r="V11" s="198">
        <v>943.14714099029493</v>
      </c>
      <c r="W11" s="198">
        <v>21.710526315789476</v>
      </c>
      <c r="X11" s="198">
        <v>291.28338719999999</v>
      </c>
      <c r="Y11" s="198">
        <v>200.2</v>
      </c>
      <c r="Z11" s="271">
        <v>18944.59537277685</v>
      </c>
      <c r="AA11" s="272">
        <v>75.268619434053704</v>
      </c>
      <c r="AB11" s="198">
        <v>1.6368275507954908</v>
      </c>
      <c r="AC11" s="272">
        <v>0</v>
      </c>
      <c r="AD11" s="198">
        <v>0</v>
      </c>
      <c r="AE11" s="198">
        <v>1.6368275507954908</v>
      </c>
      <c r="AF11" s="198">
        <v>0</v>
      </c>
      <c r="AG11" s="198">
        <v>0</v>
      </c>
      <c r="AH11" s="198">
        <v>0</v>
      </c>
      <c r="AI11" s="198">
        <v>0</v>
      </c>
      <c r="AJ11" s="198">
        <v>0</v>
      </c>
      <c r="AK11" s="198">
        <v>0</v>
      </c>
      <c r="AL11" s="198">
        <v>0</v>
      </c>
      <c r="AM11" s="198">
        <v>1.5302018662605161E-2</v>
      </c>
      <c r="AN11" s="198">
        <v>3.9105158804435478E-3</v>
      </c>
      <c r="AO11" s="198">
        <v>0</v>
      </c>
      <c r="AP11" s="198">
        <v>5.591121328356605E-4</v>
      </c>
      <c r="AQ11" s="198">
        <v>6.9901905319380553E-4</v>
      </c>
      <c r="AS11" s="258">
        <f t="shared" si="3"/>
        <v>25414.174692580142</v>
      </c>
      <c r="AT11" s="3">
        <f t="shared" si="0"/>
        <v>3.125009080942569</v>
      </c>
      <c r="AU11" s="3">
        <f t="shared" si="1"/>
        <v>1.0490096043097084</v>
      </c>
      <c r="AV11" s="95">
        <f t="shared" si="2"/>
        <v>0</v>
      </c>
      <c r="AW11" s="95">
        <f t="shared" si="4"/>
        <v>0</v>
      </c>
      <c r="AX11" s="95">
        <f t="shared" si="5"/>
        <v>1.0490096043097084</v>
      </c>
      <c r="AY11" s="102">
        <f t="shared" si="6"/>
        <v>1</v>
      </c>
      <c r="AZ11" s="102">
        <f t="shared" si="7"/>
        <v>0</v>
      </c>
    </row>
    <row r="12" spans="1:61" x14ac:dyDescent="0.35">
      <c r="A12" t="s">
        <v>990</v>
      </c>
      <c r="B12">
        <v>2015</v>
      </c>
      <c r="C12" t="s">
        <v>837</v>
      </c>
      <c r="D12" t="s">
        <v>976</v>
      </c>
      <c r="E12" t="s">
        <v>989</v>
      </c>
      <c r="F12" t="s">
        <v>978</v>
      </c>
      <c r="G12" s="357">
        <v>1263.5999999999999</v>
      </c>
      <c r="H12" s="198">
        <v>7949</v>
      </c>
      <c r="I12" s="198">
        <v>0</v>
      </c>
      <c r="J12" s="198">
        <v>5124.1480000000001</v>
      </c>
      <c r="K12" s="198">
        <v>2775.5803999999998</v>
      </c>
      <c r="L12" s="198">
        <v>61.624000000000009</v>
      </c>
      <c r="M12" s="198">
        <v>728.20846800000004</v>
      </c>
      <c r="N12" s="198">
        <v>0</v>
      </c>
      <c r="O12" s="198">
        <v>0</v>
      </c>
      <c r="P12" s="198">
        <v>1079.8320000000001</v>
      </c>
      <c r="Q12" s="198">
        <v>0</v>
      </c>
      <c r="R12" s="198">
        <v>0</v>
      </c>
      <c r="S12" s="198">
        <v>0</v>
      </c>
      <c r="T12" s="198">
        <v>0</v>
      </c>
      <c r="U12" s="198">
        <v>313.08305027076466</v>
      </c>
      <c r="V12" s="198">
        <v>943.14714099029493</v>
      </c>
      <c r="W12" s="198">
        <v>21.710526315789476</v>
      </c>
      <c r="X12" s="198">
        <v>291.28338719999999</v>
      </c>
      <c r="Y12" s="198">
        <v>200.2</v>
      </c>
      <c r="Z12" s="271">
        <v>19487.816972776851</v>
      </c>
      <c r="AA12" s="272">
        <v>74.552911483809126</v>
      </c>
      <c r="AB12" s="198">
        <v>1.6525410952831281</v>
      </c>
      <c r="AC12" s="272">
        <v>0</v>
      </c>
      <c r="AD12" s="198">
        <v>0</v>
      </c>
      <c r="AE12" s="198">
        <v>1.6525410952831281</v>
      </c>
      <c r="AF12" s="198">
        <v>0</v>
      </c>
      <c r="AG12" s="198">
        <v>0</v>
      </c>
      <c r="AH12" s="198">
        <v>0</v>
      </c>
      <c r="AI12" s="198">
        <v>0</v>
      </c>
      <c r="AJ12" s="198">
        <v>0</v>
      </c>
      <c r="AK12" s="198">
        <v>0</v>
      </c>
      <c r="AL12" s="198">
        <v>0</v>
      </c>
      <c r="AM12" s="198">
        <v>1.5448918041766175E-2</v>
      </c>
      <c r="AN12" s="198">
        <v>3.9480568328958071E-3</v>
      </c>
      <c r="AO12" s="198">
        <v>0</v>
      </c>
      <c r="AP12" s="198">
        <v>5.64479609310883E-4</v>
      </c>
      <c r="AQ12" s="198">
        <v>7.0572963610446629E-4</v>
      </c>
      <c r="AS12" s="258">
        <f t="shared" si="3"/>
        <v>26142.906468980145</v>
      </c>
      <c r="AT12" s="3">
        <f t="shared" si="0"/>
        <v>3.155009168119618</v>
      </c>
      <c r="AU12" s="3">
        <f t="shared" si="1"/>
        <v>1.0590800965110816</v>
      </c>
      <c r="AV12" s="95">
        <f t="shared" si="2"/>
        <v>0</v>
      </c>
      <c r="AW12" s="95">
        <f t="shared" si="4"/>
        <v>0</v>
      </c>
      <c r="AX12" s="95">
        <f t="shared" si="5"/>
        <v>1.0590800965110816</v>
      </c>
      <c r="AY12" s="102">
        <f t="shared" si="6"/>
        <v>1</v>
      </c>
      <c r="AZ12" s="102">
        <f t="shared" si="7"/>
        <v>0</v>
      </c>
    </row>
    <row r="13" spans="1:61" x14ac:dyDescent="0.35">
      <c r="A13" t="s">
        <v>991</v>
      </c>
      <c r="B13">
        <v>2015</v>
      </c>
      <c r="C13" t="s">
        <v>837</v>
      </c>
      <c r="D13" t="s">
        <v>976</v>
      </c>
      <c r="E13" t="s">
        <v>986</v>
      </c>
      <c r="F13" t="s">
        <v>978</v>
      </c>
      <c r="G13" s="357">
        <v>1263.5999999999999</v>
      </c>
      <c r="H13" s="198">
        <v>7949</v>
      </c>
      <c r="I13" s="198">
        <v>4641.1316672597404</v>
      </c>
      <c r="J13" s="198">
        <v>0</v>
      </c>
      <c r="K13" s="198">
        <v>0</v>
      </c>
      <c r="L13" s="198">
        <v>61.624000000000009</v>
      </c>
      <c r="M13" s="198">
        <v>728.20846800000004</v>
      </c>
      <c r="N13" s="198">
        <v>0</v>
      </c>
      <c r="O13" s="198">
        <v>0</v>
      </c>
      <c r="P13" s="198">
        <v>767.64</v>
      </c>
      <c r="Q13" s="198">
        <v>592.96800000000007</v>
      </c>
      <c r="R13" s="198">
        <v>0</v>
      </c>
      <c r="S13" s="198">
        <v>1054.43494192559</v>
      </c>
      <c r="T13" s="198">
        <v>0</v>
      </c>
      <c r="U13" s="198">
        <v>313.08305027076466</v>
      </c>
      <c r="V13" s="198">
        <v>971.093583982116</v>
      </c>
      <c r="W13" s="198">
        <v>21.710526315789476</v>
      </c>
      <c r="X13" s="198">
        <v>291.28338719999999</v>
      </c>
      <c r="Y13" s="198">
        <v>200.2</v>
      </c>
      <c r="Z13" s="271">
        <v>17592.377624954006</v>
      </c>
      <c r="AA13" s="272">
        <v>49.356342196111719</v>
      </c>
      <c r="AB13" s="198">
        <v>2.4961685675666989</v>
      </c>
      <c r="AC13" s="272">
        <v>0</v>
      </c>
      <c r="AD13" s="198">
        <v>0</v>
      </c>
      <c r="AE13" s="198">
        <v>2.4961685675666989</v>
      </c>
      <c r="AF13" s="198">
        <v>186.8520338212615</v>
      </c>
      <c r="AG13" s="198">
        <v>8.2143447938729075E-2</v>
      </c>
      <c r="AH13" s="198">
        <v>4.3403179359364358E-4</v>
      </c>
      <c r="AI13" s="198">
        <v>189.43135566650363</v>
      </c>
      <c r="AJ13" s="198">
        <v>7.9707668178850083E-2</v>
      </c>
      <c r="AK13" s="198">
        <v>1.8600385004879247</v>
      </c>
      <c r="AL13" s="198">
        <v>8.7085186988147337E-2</v>
      </c>
      <c r="AM13" s="198">
        <v>1.5653205747557183E-2</v>
      </c>
      <c r="AN13" s="198">
        <v>6.4361874326978744E-3</v>
      </c>
      <c r="AO13" s="198">
        <v>1.2887114241553516E-3</v>
      </c>
      <c r="AP13" s="198">
        <v>1.0694325009351739E-3</v>
      </c>
      <c r="AQ13" s="198">
        <v>1.0157713667707654E-3</v>
      </c>
      <c r="AS13" s="258">
        <f t="shared" si="3"/>
        <v>23600.174583875796</v>
      </c>
      <c r="AT13" s="3">
        <f t="shared" si="0"/>
        <v>4.7656513585797757</v>
      </c>
      <c r="AU13" s="3">
        <f t="shared" si="1"/>
        <v>1.599743846003137</v>
      </c>
      <c r="AV13" s="95">
        <f t="shared" si="2"/>
        <v>0</v>
      </c>
      <c r="AW13" s="95">
        <f t="shared" si="4"/>
        <v>0</v>
      </c>
      <c r="AX13" s="95">
        <f t="shared" si="5"/>
        <v>1.599743846003137</v>
      </c>
      <c r="AY13" s="102">
        <f t="shared" si="6"/>
        <v>1</v>
      </c>
      <c r="AZ13" s="102">
        <f t="shared" si="7"/>
        <v>0</v>
      </c>
    </row>
    <row r="14" spans="1:61" x14ac:dyDescent="0.35">
      <c r="A14" t="s">
        <v>992</v>
      </c>
      <c r="B14">
        <v>2015</v>
      </c>
      <c r="C14" t="s">
        <v>837</v>
      </c>
      <c r="D14" t="s">
        <v>976</v>
      </c>
      <c r="E14" t="s">
        <v>986</v>
      </c>
      <c r="F14" t="s">
        <v>978</v>
      </c>
      <c r="G14" s="357">
        <v>7678.8432000000003</v>
      </c>
      <c r="H14" s="198">
        <v>7949</v>
      </c>
      <c r="I14" s="198">
        <v>4641.1316672597404</v>
      </c>
      <c r="J14" s="198">
        <v>0</v>
      </c>
      <c r="K14" s="198">
        <v>0</v>
      </c>
      <c r="L14" s="198">
        <v>61.624000000000009</v>
      </c>
      <c r="M14" s="198">
        <v>1535.76864</v>
      </c>
      <c r="N14" s="198">
        <v>75</v>
      </c>
      <c r="O14" s="198">
        <v>0</v>
      </c>
      <c r="P14" s="198">
        <v>795.50400000000002</v>
      </c>
      <c r="Q14" s="198">
        <v>622.404</v>
      </c>
      <c r="R14" s="198">
        <v>0</v>
      </c>
      <c r="S14" s="198">
        <v>1069.30088942579</v>
      </c>
      <c r="T14" s="198">
        <v>0</v>
      </c>
      <c r="U14" s="198">
        <v>313.08305027076466</v>
      </c>
      <c r="V14" s="198">
        <v>972.48086773937951</v>
      </c>
      <c r="W14" s="198">
        <v>21.710526315789476</v>
      </c>
      <c r="X14" s="198">
        <v>352.376304</v>
      </c>
      <c r="Y14" s="198">
        <v>200.2</v>
      </c>
      <c r="Z14" s="271">
        <v>18609.583945011469</v>
      </c>
      <c r="AA14" s="272">
        <v>101.19858943576673</v>
      </c>
      <c r="AB14" s="198">
        <v>1.2174255657802349</v>
      </c>
      <c r="AC14" s="272">
        <v>147.06978496452382</v>
      </c>
      <c r="AD14" s="198">
        <v>0.52945122587228577</v>
      </c>
      <c r="AE14" s="198">
        <v>1.7468767916525207</v>
      </c>
      <c r="AF14" s="198">
        <v>91.131042169073595</v>
      </c>
      <c r="AG14" s="198">
        <v>4.0062812616630056E-2</v>
      </c>
      <c r="AH14" s="198">
        <v>2.1168498343741463E-4</v>
      </c>
      <c r="AI14" s="198">
        <v>92.389023059296193</v>
      </c>
      <c r="AJ14" s="198">
        <v>3.8874839740592512E-2</v>
      </c>
      <c r="AK14" s="198">
        <v>0.90717367939496096</v>
      </c>
      <c r="AL14" s="198">
        <v>4.2472986166744491E-2</v>
      </c>
      <c r="AM14" s="198">
        <v>7.6343453367297576E-3</v>
      </c>
      <c r="AN14" s="198">
        <v>3.1390424623278074E-3</v>
      </c>
      <c r="AO14" s="198">
        <v>6.2852735791364342E-4</v>
      </c>
      <c r="AP14" s="198">
        <v>5.2158114817699977E-4</v>
      </c>
      <c r="AQ14" s="198">
        <v>4.9540966381919572E-4</v>
      </c>
      <c r="AS14" s="258">
        <f t="shared" si="3"/>
        <v>24964.756862232884</v>
      </c>
      <c r="AT14" s="3">
        <f t="shared" si="0"/>
        <v>2.3242924684313415</v>
      </c>
      <c r="AU14" s="3">
        <f t="shared" si="1"/>
        <v>0.78022337198258074</v>
      </c>
      <c r="AV14" s="95">
        <f t="shared" si="2"/>
        <v>9.1385154761904772</v>
      </c>
      <c r="AW14" s="95">
        <f t="shared" si="4"/>
        <v>0.32898655714285718</v>
      </c>
      <c r="AX14" s="95">
        <f t="shared" si="5"/>
        <v>1.1092099291254378</v>
      </c>
      <c r="AY14" s="102">
        <f t="shared" si="6"/>
        <v>0.70340460493150458</v>
      </c>
      <c r="AZ14" s="102">
        <f t="shared" si="7"/>
        <v>0.29659539506849558</v>
      </c>
    </row>
    <row r="15" spans="1:61" x14ac:dyDescent="0.35">
      <c r="A15" t="s">
        <v>975</v>
      </c>
      <c r="B15">
        <v>2015</v>
      </c>
      <c r="C15" t="s">
        <v>837</v>
      </c>
      <c r="D15" t="s">
        <v>993</v>
      </c>
      <c r="E15" t="s">
        <v>977</v>
      </c>
      <c r="F15" t="s">
        <v>978</v>
      </c>
      <c r="G15" s="357">
        <v>46642.236499999999</v>
      </c>
      <c r="H15" s="198">
        <v>10671</v>
      </c>
      <c r="I15" s="198">
        <v>0</v>
      </c>
      <c r="J15" s="198">
        <v>0</v>
      </c>
      <c r="K15" s="198">
        <v>0</v>
      </c>
      <c r="L15" s="198">
        <v>61.624000000000009</v>
      </c>
      <c r="M15" s="198">
        <v>6529.9131099999995</v>
      </c>
      <c r="N15" s="198">
        <v>75</v>
      </c>
      <c r="O15" s="198">
        <v>0</v>
      </c>
      <c r="P15" s="198">
        <v>1383.5639999999999</v>
      </c>
      <c r="Q15" s="198">
        <v>0</v>
      </c>
      <c r="R15" s="198">
        <v>0</v>
      </c>
      <c r="S15" s="198">
        <v>0</v>
      </c>
      <c r="T15" s="198">
        <v>0</v>
      </c>
      <c r="U15" s="198">
        <v>313.08305027076466</v>
      </c>
      <c r="V15" s="198">
        <v>943.14714099029493</v>
      </c>
      <c r="W15" s="198">
        <v>29.60526315789474</v>
      </c>
      <c r="X15" s="198">
        <v>0</v>
      </c>
      <c r="Y15" s="198">
        <v>200.2</v>
      </c>
      <c r="Z15" s="271">
        <v>20207.13656441895</v>
      </c>
      <c r="AA15" s="272">
        <v>0</v>
      </c>
      <c r="AB15" s="198">
        <v>0</v>
      </c>
      <c r="AC15" s="272">
        <v>225.95223139453444</v>
      </c>
      <c r="AD15" s="198">
        <v>0.81342803302032396</v>
      </c>
      <c r="AE15" s="198">
        <v>0.81342803302032396</v>
      </c>
      <c r="AF15" s="198">
        <v>0</v>
      </c>
      <c r="AG15" s="198">
        <v>0</v>
      </c>
      <c r="AH15" s="198">
        <v>0</v>
      </c>
      <c r="AI15" s="198">
        <v>0</v>
      </c>
      <c r="AJ15" s="198">
        <v>0</v>
      </c>
      <c r="AK15" s="198">
        <v>0</v>
      </c>
      <c r="AL15" s="198">
        <v>0</v>
      </c>
      <c r="AM15" s="198">
        <v>1.2026032242340721E-2</v>
      </c>
      <c r="AN15" s="198">
        <v>3.0733193508203985E-3</v>
      </c>
      <c r="AO15" s="198">
        <v>0</v>
      </c>
      <c r="AP15" s="198">
        <v>4.3941264775720473E-4</v>
      </c>
      <c r="AQ15" s="198">
        <v>5.4936710358762138E-4</v>
      </c>
      <c r="AS15" s="258">
        <f t="shared" si="3"/>
        <v>27107.87370116802</v>
      </c>
      <c r="AT15" s="3">
        <f t="shared" si="0"/>
        <v>0</v>
      </c>
      <c r="AU15" s="3">
        <f t="shared" si="1"/>
        <v>0</v>
      </c>
      <c r="AV15" s="95">
        <f t="shared" si="2"/>
        <v>14.040055637375223</v>
      </c>
      <c r="AW15" s="95">
        <f t="shared" si="4"/>
        <v>0.50544200294550801</v>
      </c>
      <c r="AX15" s="95">
        <f t="shared" ref="AX15:AX78" si="8">AU15+AW15</f>
        <v>0.50544200294550801</v>
      </c>
      <c r="AY15" s="102">
        <f t="shared" si="6"/>
        <v>0</v>
      </c>
      <c r="AZ15" s="102">
        <f t="shared" si="7"/>
        <v>1</v>
      </c>
    </row>
    <row r="16" spans="1:61" x14ac:dyDescent="0.35">
      <c r="A16" t="s">
        <v>979</v>
      </c>
      <c r="B16">
        <v>2015</v>
      </c>
      <c r="C16" t="s">
        <v>837</v>
      </c>
      <c r="D16" t="s">
        <v>993</v>
      </c>
      <c r="E16" t="s">
        <v>977</v>
      </c>
      <c r="F16" t="s">
        <v>978</v>
      </c>
      <c r="G16" s="357">
        <v>72712.371599999999</v>
      </c>
      <c r="H16" s="198">
        <v>10671</v>
      </c>
      <c r="I16" s="198">
        <v>0</v>
      </c>
      <c r="J16" s="198">
        <v>0</v>
      </c>
      <c r="K16" s="198">
        <v>0</v>
      </c>
      <c r="L16" s="198">
        <v>61.624000000000009</v>
      </c>
      <c r="M16" s="198">
        <v>10179.732023999999</v>
      </c>
      <c r="N16" s="198">
        <v>75</v>
      </c>
      <c r="O16" s="198">
        <v>0</v>
      </c>
      <c r="P16" s="198">
        <v>1488.2280000000001</v>
      </c>
      <c r="Q16" s="198">
        <v>0</v>
      </c>
      <c r="R16" s="198">
        <v>0</v>
      </c>
      <c r="S16" s="198">
        <v>0</v>
      </c>
      <c r="T16" s="198">
        <v>0</v>
      </c>
      <c r="U16" s="198">
        <v>313.08305027076466</v>
      </c>
      <c r="V16" s="198">
        <v>943.14714099029493</v>
      </c>
      <c r="W16" s="198">
        <v>29.60526315789474</v>
      </c>
      <c r="X16" s="198">
        <v>0</v>
      </c>
      <c r="Y16" s="198">
        <v>200.2</v>
      </c>
      <c r="Z16" s="271">
        <v>23961.619478418954</v>
      </c>
      <c r="AA16" s="272">
        <v>0</v>
      </c>
      <c r="AB16" s="198">
        <v>0</v>
      </c>
      <c r="AC16" s="272">
        <v>236.54570009372446</v>
      </c>
      <c r="AD16" s="198">
        <v>0.85156452033740804</v>
      </c>
      <c r="AE16" s="198">
        <v>0.85156452033740804</v>
      </c>
      <c r="AF16" s="198">
        <v>0</v>
      </c>
      <c r="AG16" s="198">
        <v>0</v>
      </c>
      <c r="AH16" s="198">
        <v>0</v>
      </c>
      <c r="AI16" s="198">
        <v>0</v>
      </c>
      <c r="AJ16" s="198">
        <v>0</v>
      </c>
      <c r="AK16" s="198">
        <v>0</v>
      </c>
      <c r="AL16" s="198">
        <v>0</v>
      </c>
      <c r="AM16" s="198">
        <v>1.2589856708018328E-2</v>
      </c>
      <c r="AN16" s="198">
        <v>3.2174078253824536E-3</v>
      </c>
      <c r="AO16" s="198">
        <v>0</v>
      </c>
      <c r="AP16" s="198">
        <v>4.6001392308568889E-4</v>
      </c>
      <c r="AQ16" s="198">
        <v>5.7512344677707354E-4</v>
      </c>
      <c r="AS16" s="258">
        <f t="shared" si="3"/>
        <v>32144.512530299024</v>
      </c>
      <c r="AT16" s="3">
        <f t="shared" si="0"/>
        <v>0</v>
      </c>
      <c r="AU16" s="3">
        <f t="shared" si="1"/>
        <v>0</v>
      </c>
      <c r="AV16" s="95">
        <f t="shared" si="2"/>
        <v>14.698304900998201</v>
      </c>
      <c r="AW16" s="95">
        <f t="shared" si="4"/>
        <v>0.52913897643593522</v>
      </c>
      <c r="AX16" s="95">
        <f t="shared" si="8"/>
        <v>0.52913897643593522</v>
      </c>
      <c r="AY16" s="102">
        <f t="shared" si="6"/>
        <v>0</v>
      </c>
      <c r="AZ16" s="102">
        <f t="shared" si="7"/>
        <v>1</v>
      </c>
    </row>
    <row r="17" spans="1:52" x14ac:dyDescent="0.35">
      <c r="A17" t="s">
        <v>980</v>
      </c>
      <c r="B17">
        <v>2015</v>
      </c>
      <c r="C17" t="s">
        <v>837</v>
      </c>
      <c r="D17" t="s">
        <v>993</v>
      </c>
      <c r="E17" t="s">
        <v>977</v>
      </c>
      <c r="F17" t="s">
        <v>978</v>
      </c>
      <c r="G17" s="357">
        <v>109874.7504</v>
      </c>
      <c r="H17" s="198">
        <v>10671</v>
      </c>
      <c r="I17" s="198">
        <v>0</v>
      </c>
      <c r="J17" s="198">
        <v>0</v>
      </c>
      <c r="K17" s="198">
        <v>0</v>
      </c>
      <c r="L17" s="198">
        <v>61.624000000000009</v>
      </c>
      <c r="M17" s="198">
        <v>15382.465056000001</v>
      </c>
      <c r="N17" s="198">
        <v>75</v>
      </c>
      <c r="O17" s="198">
        <v>0</v>
      </c>
      <c r="P17" s="198">
        <v>1646.556</v>
      </c>
      <c r="Q17" s="198">
        <v>0</v>
      </c>
      <c r="R17" s="198">
        <v>0</v>
      </c>
      <c r="S17" s="198">
        <v>0</v>
      </c>
      <c r="T17" s="198">
        <v>0</v>
      </c>
      <c r="U17" s="198">
        <v>313.08305027076466</v>
      </c>
      <c r="V17" s="198">
        <v>943.14714099029493</v>
      </c>
      <c r="W17" s="198">
        <v>29.60526315789474</v>
      </c>
      <c r="X17" s="198">
        <v>0</v>
      </c>
      <c r="Y17" s="198">
        <v>200.2</v>
      </c>
      <c r="Z17" s="271">
        <v>29322.680510418955</v>
      </c>
      <c r="AA17" s="272">
        <v>0</v>
      </c>
      <c r="AB17" s="198">
        <v>0</v>
      </c>
      <c r="AC17" s="272">
        <v>264.58624073441337</v>
      </c>
      <c r="AD17" s="198">
        <v>0.95251046664388805</v>
      </c>
      <c r="AE17" s="198">
        <v>0.95251046664388805</v>
      </c>
      <c r="AF17" s="198">
        <v>0</v>
      </c>
      <c r="AG17" s="198">
        <v>0</v>
      </c>
      <c r="AH17" s="198">
        <v>0</v>
      </c>
      <c r="AI17" s="198">
        <v>0</v>
      </c>
      <c r="AJ17" s="198">
        <v>0</v>
      </c>
      <c r="AK17" s="198">
        <v>0</v>
      </c>
      <c r="AL17" s="198">
        <v>0</v>
      </c>
      <c r="AM17" s="198">
        <v>1.4082280322321023E-2</v>
      </c>
      <c r="AN17" s="198">
        <v>3.598804971259808E-3</v>
      </c>
      <c r="AO17" s="198">
        <v>0</v>
      </c>
      <c r="AP17" s="198">
        <v>5.1454477737919804E-4</v>
      </c>
      <c r="AQ17" s="198">
        <v>6.4329958515699692E-4</v>
      </c>
      <c r="AS17" s="258">
        <f t="shared" si="3"/>
        <v>39336.375904727029</v>
      </c>
      <c r="AT17" s="3">
        <f t="shared" si="0"/>
        <v>0</v>
      </c>
      <c r="AU17" s="3">
        <f t="shared" si="1"/>
        <v>0</v>
      </c>
      <c r="AV17" s="95">
        <f t="shared" si="2"/>
        <v>16.440667648502703</v>
      </c>
      <c r="AW17" s="95">
        <f t="shared" si="4"/>
        <v>0.59186403534609733</v>
      </c>
      <c r="AX17" s="95">
        <f t="shared" si="8"/>
        <v>0.59186403534609733</v>
      </c>
      <c r="AY17" s="102">
        <f t="shared" si="6"/>
        <v>0</v>
      </c>
      <c r="AZ17" s="102">
        <f t="shared" si="7"/>
        <v>1</v>
      </c>
    </row>
    <row r="18" spans="1:52" x14ac:dyDescent="0.35">
      <c r="A18" t="s">
        <v>981</v>
      </c>
      <c r="B18">
        <v>2015</v>
      </c>
      <c r="C18" t="s">
        <v>837</v>
      </c>
      <c r="D18" t="s">
        <v>993</v>
      </c>
      <c r="E18" t="s">
        <v>977</v>
      </c>
      <c r="F18" t="s">
        <v>978</v>
      </c>
      <c r="G18" s="357">
        <v>154336.88159999999</v>
      </c>
      <c r="H18" s="198">
        <v>10671</v>
      </c>
      <c r="I18" s="198">
        <v>0</v>
      </c>
      <c r="J18" s="198">
        <v>0</v>
      </c>
      <c r="K18" s="198">
        <v>0</v>
      </c>
      <c r="L18" s="198">
        <v>61.624000000000009</v>
      </c>
      <c r="M18" s="198">
        <v>21607.163423999998</v>
      </c>
      <c r="N18" s="198">
        <v>75</v>
      </c>
      <c r="O18" s="198">
        <v>0</v>
      </c>
      <c r="P18" s="198">
        <v>1835.8319999999999</v>
      </c>
      <c r="Q18" s="198">
        <v>0</v>
      </c>
      <c r="R18" s="198">
        <v>0</v>
      </c>
      <c r="S18" s="198">
        <v>0</v>
      </c>
      <c r="T18" s="198">
        <v>0</v>
      </c>
      <c r="U18" s="198">
        <v>313.08305027076466</v>
      </c>
      <c r="V18" s="198">
        <v>943.14714099029493</v>
      </c>
      <c r="W18" s="198">
        <v>29.60526315789474</v>
      </c>
      <c r="X18" s="198">
        <v>0</v>
      </c>
      <c r="Y18" s="198">
        <v>200.2</v>
      </c>
      <c r="Z18" s="271">
        <v>35736.654878418944</v>
      </c>
      <c r="AA18" s="272">
        <v>0</v>
      </c>
      <c r="AB18" s="198">
        <v>0</v>
      </c>
      <c r="AC18" s="272">
        <v>294.96526550450005</v>
      </c>
      <c r="AD18" s="198">
        <v>1.0618749558162002</v>
      </c>
      <c r="AE18" s="198">
        <v>1.0618749558162002</v>
      </c>
      <c r="AF18" s="198">
        <v>0</v>
      </c>
      <c r="AG18" s="198">
        <v>0</v>
      </c>
      <c r="AH18" s="198">
        <v>0</v>
      </c>
      <c r="AI18" s="198">
        <v>0</v>
      </c>
      <c r="AJ18" s="198">
        <v>0</v>
      </c>
      <c r="AK18" s="198">
        <v>0</v>
      </c>
      <c r="AL18" s="198">
        <v>0</v>
      </c>
      <c r="AM18" s="198">
        <v>1.5699166905476791E-2</v>
      </c>
      <c r="AN18" s="198">
        <v>4.0120093202885027E-3</v>
      </c>
      <c r="AO18" s="198">
        <v>0</v>
      </c>
      <c r="AP18" s="198">
        <v>5.7362331636116978E-4</v>
      </c>
      <c r="AQ18" s="198">
        <v>7.1716137773481891E-4</v>
      </c>
      <c r="AS18" s="258">
        <f t="shared" si="3"/>
        <v>47940.722519399009</v>
      </c>
      <c r="AT18" s="3">
        <f t="shared" si="0"/>
        <v>0</v>
      </c>
      <c r="AU18" s="3">
        <f t="shared" si="1"/>
        <v>0</v>
      </c>
      <c r="AV18" s="95">
        <f t="shared" si="2"/>
        <v>18.328337424316803</v>
      </c>
      <c r="AW18" s="95">
        <f t="shared" si="4"/>
        <v>0.65982014727540483</v>
      </c>
      <c r="AX18" s="95">
        <f t="shared" si="8"/>
        <v>0.65982014727540483</v>
      </c>
      <c r="AY18" s="102">
        <f t="shared" si="6"/>
        <v>0</v>
      </c>
      <c r="AZ18" s="102">
        <f t="shared" si="7"/>
        <v>1</v>
      </c>
    </row>
    <row r="19" spans="1:52" x14ac:dyDescent="0.35">
      <c r="A19" t="s">
        <v>982</v>
      </c>
      <c r="B19">
        <v>2015</v>
      </c>
      <c r="C19" t="s">
        <v>837</v>
      </c>
      <c r="D19" t="s">
        <v>993</v>
      </c>
      <c r="E19" t="s">
        <v>983</v>
      </c>
      <c r="F19" t="s">
        <v>978</v>
      </c>
      <c r="G19" s="357"/>
      <c r="H19" s="198">
        <v>10671</v>
      </c>
      <c r="I19" s="198">
        <v>7944.7585277247399</v>
      </c>
      <c r="J19" s="198">
        <v>0</v>
      </c>
      <c r="K19" s="198">
        <v>0</v>
      </c>
      <c r="L19" s="198">
        <v>61.624000000000009</v>
      </c>
      <c r="M19" s="198">
        <v>0</v>
      </c>
      <c r="N19" s="198">
        <v>0</v>
      </c>
      <c r="O19" s="198">
        <v>48.429660116721465</v>
      </c>
      <c r="P19" s="198">
        <v>0</v>
      </c>
      <c r="Q19" s="198">
        <v>0</v>
      </c>
      <c r="R19" s="198">
        <v>15.008419498827607</v>
      </c>
      <c r="S19" s="198">
        <v>2323.16</v>
      </c>
      <c r="T19" s="198">
        <v>116.9</v>
      </c>
      <c r="U19" s="198">
        <v>313.08305027076466</v>
      </c>
      <c r="V19" s="198">
        <v>366.92338092865077</v>
      </c>
      <c r="W19" s="198">
        <v>0</v>
      </c>
      <c r="X19" s="198">
        <v>0</v>
      </c>
      <c r="Y19" s="198">
        <v>200.2</v>
      </c>
      <c r="Z19" s="271">
        <v>22061.08703853971</v>
      </c>
      <c r="AA19" s="272">
        <v>33.231855967472967</v>
      </c>
      <c r="AB19" s="198">
        <v>3.7073388293626675</v>
      </c>
      <c r="AC19" s="272">
        <v>0</v>
      </c>
      <c r="AD19" s="198">
        <v>0</v>
      </c>
      <c r="AE19" s="198">
        <v>3.7073388293626675</v>
      </c>
      <c r="AF19" s="198">
        <v>277.51483186338908</v>
      </c>
      <c r="AG19" s="198">
        <v>0.1220004121828378</v>
      </c>
      <c r="AH19" s="198">
        <v>6.4462910977851719E-4</v>
      </c>
      <c r="AI19" s="198">
        <v>281.34567091590191</v>
      </c>
      <c r="AJ19" s="198">
        <v>0.11838276351883836</v>
      </c>
      <c r="AK19" s="198">
        <v>2.762550993777841</v>
      </c>
      <c r="AL19" s="198">
        <v>0.12933994097129031</v>
      </c>
      <c r="AM19" s="198">
        <v>2.3248324742944661E-2</v>
      </c>
      <c r="AN19" s="198">
        <v>9.5591010528415631E-3</v>
      </c>
      <c r="AO19" s="198">
        <v>1.9140093200002747E-3</v>
      </c>
      <c r="AP19" s="198">
        <v>1.5883336917283158E-3</v>
      </c>
      <c r="AQ19" s="198">
        <v>1.5086355459779748E-3</v>
      </c>
      <c r="AS19" s="258">
        <f t="shared" si="3"/>
        <v>29594.948262201018</v>
      </c>
      <c r="AT19" s="3">
        <f t="shared" si="0"/>
        <v>7.0780012850216529</v>
      </c>
      <c r="AU19" s="3">
        <f t="shared" si="1"/>
        <v>2.3759583204361974</v>
      </c>
      <c r="AV19" s="95">
        <f t="shared" si="2"/>
        <v>0</v>
      </c>
      <c r="AW19" s="95">
        <f t="shared" si="4"/>
        <v>0</v>
      </c>
      <c r="AX19" s="95">
        <f t="shared" si="8"/>
        <v>2.3759583204361974</v>
      </c>
      <c r="AY19" s="102">
        <f t="shared" si="6"/>
        <v>1</v>
      </c>
      <c r="AZ19" s="102">
        <f t="shared" si="7"/>
        <v>0</v>
      </c>
    </row>
    <row r="20" spans="1:52" x14ac:dyDescent="0.35">
      <c r="A20" t="s">
        <v>984</v>
      </c>
      <c r="B20">
        <v>2015</v>
      </c>
      <c r="C20" t="s">
        <v>837</v>
      </c>
      <c r="D20" t="s">
        <v>993</v>
      </c>
      <c r="E20" t="s">
        <v>240</v>
      </c>
      <c r="F20" t="s">
        <v>978</v>
      </c>
      <c r="G20" s="357"/>
      <c r="H20" s="198">
        <v>10671</v>
      </c>
      <c r="I20" s="198">
        <v>9520.9211300000006</v>
      </c>
      <c r="J20" s="198">
        <v>0</v>
      </c>
      <c r="K20" s="198">
        <v>0</v>
      </c>
      <c r="L20" s="198">
        <v>61.624000000000009</v>
      </c>
      <c r="M20" s="198">
        <v>0</v>
      </c>
      <c r="N20" s="198">
        <v>0</v>
      </c>
      <c r="O20" s="198">
        <v>48.429660116721465</v>
      </c>
      <c r="P20" s="198">
        <v>0</v>
      </c>
      <c r="Q20" s="198">
        <v>0</v>
      </c>
      <c r="R20" s="198">
        <v>15.008419498827607</v>
      </c>
      <c r="S20" s="198">
        <v>2323.16</v>
      </c>
      <c r="T20" s="198">
        <v>116.9</v>
      </c>
      <c r="U20" s="198">
        <v>313.08305027076466</v>
      </c>
      <c r="V20" s="198">
        <v>342.90680037451443</v>
      </c>
      <c r="W20" s="198">
        <v>0</v>
      </c>
      <c r="X20" s="198">
        <v>0</v>
      </c>
      <c r="Y20" s="198">
        <v>200.2</v>
      </c>
      <c r="Z20" s="271">
        <v>23613.233060260834</v>
      </c>
      <c r="AA20" s="272">
        <v>27.089718806978453</v>
      </c>
      <c r="AB20" s="198">
        <v>4.5479154242185267</v>
      </c>
      <c r="AC20" s="272">
        <v>0</v>
      </c>
      <c r="AD20" s="198">
        <v>0</v>
      </c>
      <c r="AE20" s="198">
        <v>4.5479154242185267</v>
      </c>
      <c r="AF20" s="198">
        <v>0</v>
      </c>
      <c r="AG20" s="198">
        <v>0</v>
      </c>
      <c r="AH20" s="198">
        <v>0</v>
      </c>
      <c r="AI20" s="198">
        <v>0</v>
      </c>
      <c r="AJ20" s="198">
        <v>0</v>
      </c>
      <c r="AK20" s="198">
        <v>0</v>
      </c>
      <c r="AL20" s="198">
        <v>0</v>
      </c>
      <c r="AM20" s="198">
        <v>0</v>
      </c>
      <c r="AN20" s="198">
        <v>0</v>
      </c>
      <c r="AO20" s="198">
        <v>0</v>
      </c>
      <c r="AP20" s="198">
        <v>0</v>
      </c>
      <c r="AQ20" s="198">
        <v>0</v>
      </c>
      <c r="AS20" s="258">
        <f t="shared" si="3"/>
        <v>31677.152150339909</v>
      </c>
      <c r="AT20" s="3">
        <f t="shared" si="0"/>
        <v>8.6828187814498641</v>
      </c>
      <c r="AU20" s="3">
        <f t="shared" si="1"/>
        <v>2.9146668244158676</v>
      </c>
      <c r="AV20" s="95">
        <f t="shared" si="2"/>
        <v>0</v>
      </c>
      <c r="AW20" s="95">
        <f t="shared" si="4"/>
        <v>0</v>
      </c>
      <c r="AX20" s="95">
        <f t="shared" si="8"/>
        <v>2.9146668244158676</v>
      </c>
      <c r="AY20" s="102">
        <f t="shared" si="6"/>
        <v>1</v>
      </c>
      <c r="AZ20" s="102">
        <f t="shared" si="7"/>
        <v>0</v>
      </c>
    </row>
    <row r="21" spans="1:52" x14ac:dyDescent="0.35">
      <c r="A21" t="s">
        <v>985</v>
      </c>
      <c r="B21">
        <v>2015</v>
      </c>
      <c r="C21" t="s">
        <v>837</v>
      </c>
      <c r="D21" t="s">
        <v>993</v>
      </c>
      <c r="E21" t="s">
        <v>986</v>
      </c>
      <c r="F21" t="s">
        <v>978</v>
      </c>
      <c r="G21" s="357"/>
      <c r="H21" s="198">
        <v>10671</v>
      </c>
      <c r="I21" s="198">
        <v>4098.335008</v>
      </c>
      <c r="J21" s="198">
        <v>0</v>
      </c>
      <c r="K21" s="198">
        <v>0</v>
      </c>
      <c r="L21" s="198">
        <v>61.624000000000009</v>
      </c>
      <c r="M21" s="198">
        <v>0</v>
      </c>
      <c r="N21" s="198">
        <v>0</v>
      </c>
      <c r="O21" s="198">
        <v>48.429660116721465</v>
      </c>
      <c r="P21" s="198">
        <v>0</v>
      </c>
      <c r="Q21" s="198">
        <v>0</v>
      </c>
      <c r="R21" s="198">
        <v>15.008419498827607</v>
      </c>
      <c r="S21" s="198">
        <v>2323.16</v>
      </c>
      <c r="T21" s="198">
        <v>116.9</v>
      </c>
      <c r="U21" s="198">
        <v>313.08305027076466</v>
      </c>
      <c r="V21" s="198">
        <v>341.47803930389767</v>
      </c>
      <c r="W21" s="198">
        <v>0</v>
      </c>
      <c r="X21" s="198">
        <v>0</v>
      </c>
      <c r="Y21" s="198">
        <v>200.2</v>
      </c>
      <c r="Z21" s="271">
        <v>18189.218177190211</v>
      </c>
      <c r="AA21" s="272">
        <v>26.643394966617386</v>
      </c>
      <c r="AB21" s="198">
        <v>4.6241010259527577</v>
      </c>
      <c r="AC21" s="272">
        <v>0</v>
      </c>
      <c r="AD21" s="198">
        <v>0</v>
      </c>
      <c r="AE21" s="198">
        <v>4.6241010259527577</v>
      </c>
      <c r="AF21" s="198">
        <v>346.13955664721652</v>
      </c>
      <c r="AG21" s="198">
        <v>0.15216905093034128</v>
      </c>
      <c r="AH21" s="198">
        <v>8.0403498711184476E-4</v>
      </c>
      <c r="AI21" s="198">
        <v>350.91769741295542</v>
      </c>
      <c r="AJ21" s="198">
        <v>0.14765681893086899</v>
      </c>
      <c r="AK21" s="198">
        <v>3.4456831362163278</v>
      </c>
      <c r="AL21" s="198">
        <v>0.16132352106722045</v>
      </c>
      <c r="AM21" s="198">
        <v>2.8997242292529864E-2</v>
      </c>
      <c r="AN21" s="198">
        <v>1.1922905086403882E-2</v>
      </c>
      <c r="AO21" s="198">
        <v>2.3873114564545808E-3</v>
      </c>
      <c r="AP21" s="198">
        <v>1.9811017529085297E-3</v>
      </c>
      <c r="AQ21" s="198">
        <v>1.8816956035132128E-3</v>
      </c>
      <c r="AS21" s="258">
        <f t="shared" si="3"/>
        <v>24400.836184700667</v>
      </c>
      <c r="AT21" s="3">
        <f t="shared" si="0"/>
        <v>8.8282713046193599</v>
      </c>
      <c r="AU21" s="3">
        <f t="shared" si="1"/>
        <v>2.9634926325411541</v>
      </c>
      <c r="AV21" s="95">
        <f t="shared" si="2"/>
        <v>0</v>
      </c>
      <c r="AW21" s="95">
        <f t="shared" si="4"/>
        <v>0</v>
      </c>
      <c r="AX21" s="95">
        <f t="shared" si="8"/>
        <v>2.9634926325411541</v>
      </c>
      <c r="AY21" s="102">
        <f t="shared" si="6"/>
        <v>1</v>
      </c>
      <c r="AZ21" s="102">
        <f t="shared" si="7"/>
        <v>0</v>
      </c>
    </row>
    <row r="22" spans="1:52" x14ac:dyDescent="0.35">
      <c r="A22" t="s">
        <v>987</v>
      </c>
      <c r="B22">
        <v>2015</v>
      </c>
      <c r="C22" t="s">
        <v>837</v>
      </c>
      <c r="D22" t="s">
        <v>993</v>
      </c>
      <c r="E22" t="s">
        <v>986</v>
      </c>
      <c r="F22" t="s">
        <v>978</v>
      </c>
      <c r="G22" s="357">
        <v>18619.009900000001</v>
      </c>
      <c r="H22" s="198">
        <v>10671</v>
      </c>
      <c r="I22" s="198">
        <v>4641.1316669999997</v>
      </c>
      <c r="J22" s="198">
        <v>0</v>
      </c>
      <c r="K22" s="198">
        <v>0</v>
      </c>
      <c r="L22" s="198">
        <v>61.624000000000009</v>
      </c>
      <c r="M22" s="198">
        <v>3723.8019800000002</v>
      </c>
      <c r="N22" s="198">
        <v>75</v>
      </c>
      <c r="O22" s="198">
        <v>0</v>
      </c>
      <c r="P22" s="198">
        <v>1363.296</v>
      </c>
      <c r="Q22" s="198">
        <v>871.75199999999995</v>
      </c>
      <c r="R22" s="198">
        <v>0</v>
      </c>
      <c r="S22" s="198">
        <v>1253.166512</v>
      </c>
      <c r="T22" s="198">
        <v>0</v>
      </c>
      <c r="U22" s="198">
        <v>313.08305027076466</v>
      </c>
      <c r="V22" s="198">
        <v>975.20204424416454</v>
      </c>
      <c r="W22" s="198">
        <v>29.60526315789474</v>
      </c>
      <c r="X22" s="198">
        <v>0</v>
      </c>
      <c r="Y22" s="198">
        <v>200.2</v>
      </c>
      <c r="Z22" s="271">
        <v>24178.862516672823</v>
      </c>
      <c r="AA22" s="272">
        <v>218.54564702477134</v>
      </c>
      <c r="AB22" s="198">
        <v>0.56373463245431543</v>
      </c>
      <c r="AC22" s="272">
        <v>226.76046680948411</v>
      </c>
      <c r="AD22" s="198">
        <v>0.81633768051414279</v>
      </c>
      <c r="AE22" s="198">
        <v>1.3800723129684582</v>
      </c>
      <c r="AF22" s="198">
        <v>42.198657565924009</v>
      </c>
      <c r="AG22" s="198">
        <v>1.8551273753683414E-2</v>
      </c>
      <c r="AH22" s="198">
        <v>9.8021726903450412E-5</v>
      </c>
      <c r="AI22" s="198">
        <v>42.78117153204866</v>
      </c>
      <c r="AJ22" s="198">
        <v>1.8001177327698216E-2</v>
      </c>
      <c r="AK22" s="198">
        <v>0.42007103768861076</v>
      </c>
      <c r="AL22" s="198">
        <v>1.9667315948471809E-2</v>
      </c>
      <c r="AM22" s="198">
        <v>1.5604169091784288E-2</v>
      </c>
      <c r="AN22" s="198">
        <v>4.5378610440589282E-3</v>
      </c>
      <c r="AO22" s="198">
        <v>2.9104254835805767E-4</v>
      </c>
      <c r="AP22" s="198">
        <v>6.8250503821648415E-4</v>
      </c>
      <c r="AQ22" s="198">
        <v>7.807339743320285E-4</v>
      </c>
      <c r="AS22" s="258">
        <f t="shared" si="3"/>
        <v>32435.94406611659</v>
      </c>
      <c r="AT22" s="3">
        <f t="shared" si="0"/>
        <v>1.0762745561103186</v>
      </c>
      <c r="AU22" s="3">
        <f t="shared" si="1"/>
        <v>0.3612861009329788</v>
      </c>
      <c r="AV22" s="95">
        <f t="shared" si="2"/>
        <v>14.090277182539683</v>
      </c>
      <c r="AW22" s="95">
        <f t="shared" si="4"/>
        <v>0.50724997857142862</v>
      </c>
      <c r="AX22" s="95">
        <f t="shared" si="8"/>
        <v>0.86853607950440748</v>
      </c>
      <c r="AY22" s="102">
        <f t="shared" si="6"/>
        <v>0.41597132169699974</v>
      </c>
      <c r="AZ22" s="102">
        <f t="shared" si="7"/>
        <v>0.5840286783030002</v>
      </c>
    </row>
    <row r="23" spans="1:52" x14ac:dyDescent="0.35">
      <c r="A23" t="s">
        <v>988</v>
      </c>
      <c r="B23">
        <v>2015</v>
      </c>
      <c r="C23" t="s">
        <v>837</v>
      </c>
      <c r="D23" t="s">
        <v>993</v>
      </c>
      <c r="E23" t="s">
        <v>989</v>
      </c>
      <c r="F23" t="s">
        <v>978</v>
      </c>
      <c r="G23" s="357">
        <v>1404</v>
      </c>
      <c r="H23" s="198">
        <v>10671</v>
      </c>
      <c r="I23" s="198">
        <v>0</v>
      </c>
      <c r="J23" s="198">
        <v>6251.4560000000001</v>
      </c>
      <c r="K23" s="198">
        <v>2447.4161999999997</v>
      </c>
      <c r="L23" s="198">
        <v>61.624000000000009</v>
      </c>
      <c r="M23" s="198">
        <v>809.12052000000006</v>
      </c>
      <c r="N23" s="198">
        <v>0</v>
      </c>
      <c r="O23" s="198">
        <v>0</v>
      </c>
      <c r="P23" s="198">
        <v>1341.6960000000001</v>
      </c>
      <c r="Q23" s="198">
        <v>0</v>
      </c>
      <c r="R23" s="198">
        <v>0</v>
      </c>
      <c r="S23" s="198">
        <v>0</v>
      </c>
      <c r="T23" s="198">
        <v>0</v>
      </c>
      <c r="U23" s="198">
        <v>313.08305027076466</v>
      </c>
      <c r="V23" s="198">
        <v>943.14714099029493</v>
      </c>
      <c r="W23" s="198">
        <v>21.710526315789476</v>
      </c>
      <c r="X23" s="198">
        <v>323.64820800000001</v>
      </c>
      <c r="Y23" s="198">
        <v>200.2</v>
      </c>
      <c r="Z23" s="271">
        <v>23384.101645576848</v>
      </c>
      <c r="AA23" s="272">
        <v>69.093623588750518</v>
      </c>
      <c r="AB23" s="198">
        <v>1.7831131673351563</v>
      </c>
      <c r="AC23" s="272">
        <v>0</v>
      </c>
      <c r="AD23" s="198">
        <v>0</v>
      </c>
      <c r="AE23" s="198">
        <v>1.7831131673351563</v>
      </c>
      <c r="AF23" s="198">
        <v>0</v>
      </c>
      <c r="AG23" s="198">
        <v>0</v>
      </c>
      <c r="AH23" s="198">
        <v>0</v>
      </c>
      <c r="AI23" s="198">
        <v>0</v>
      </c>
      <c r="AJ23" s="198">
        <v>0</v>
      </c>
      <c r="AK23" s="198">
        <v>0</v>
      </c>
      <c r="AL23" s="198">
        <v>0</v>
      </c>
      <c r="AM23" s="198">
        <v>1.6669581930508843E-2</v>
      </c>
      <c r="AN23" s="198">
        <v>4.260004271130045E-3</v>
      </c>
      <c r="AO23" s="198">
        <v>0</v>
      </c>
      <c r="AP23" s="198">
        <v>6.0908078287880173E-4</v>
      </c>
      <c r="AQ23" s="198">
        <v>7.6149138457638332E-4</v>
      </c>
      <c r="AS23" s="258">
        <f t="shared" si="3"/>
        <v>31369.77235754134</v>
      </c>
      <c r="AT23" s="3">
        <f t="shared" si="0"/>
        <v>3.4042956068050931</v>
      </c>
      <c r="AU23" s="3">
        <f t="shared" si="1"/>
        <v>1.1427610912320159</v>
      </c>
      <c r="AV23" s="95">
        <f t="shared" si="2"/>
        <v>0</v>
      </c>
      <c r="AW23" s="95">
        <f t="shared" si="4"/>
        <v>0</v>
      </c>
      <c r="AX23" s="95">
        <f t="shared" si="8"/>
        <v>1.1427610912320159</v>
      </c>
      <c r="AY23" s="102">
        <f t="shared" si="6"/>
        <v>1</v>
      </c>
      <c r="AZ23" s="102">
        <f t="shared" si="7"/>
        <v>0</v>
      </c>
    </row>
    <row r="24" spans="1:52" x14ac:dyDescent="0.35">
      <c r="A24" t="s">
        <v>990</v>
      </c>
      <c r="B24">
        <v>2015</v>
      </c>
      <c r="C24" t="s">
        <v>837</v>
      </c>
      <c r="D24" t="s">
        <v>993</v>
      </c>
      <c r="E24" t="s">
        <v>989</v>
      </c>
      <c r="F24" t="s">
        <v>978</v>
      </c>
      <c r="G24" s="357">
        <v>1544.4</v>
      </c>
      <c r="H24" s="198">
        <v>10671</v>
      </c>
      <c r="I24" s="198">
        <v>0</v>
      </c>
      <c r="J24" s="198">
        <v>6391.22</v>
      </c>
      <c r="K24" s="198">
        <v>2921.1570000000002</v>
      </c>
      <c r="L24" s="198">
        <v>61.624000000000009</v>
      </c>
      <c r="M24" s="198">
        <v>890.03257200000007</v>
      </c>
      <c r="N24" s="198">
        <v>0</v>
      </c>
      <c r="O24" s="198">
        <v>0</v>
      </c>
      <c r="P24" s="198">
        <v>1370.82</v>
      </c>
      <c r="Q24" s="198">
        <v>0</v>
      </c>
      <c r="R24" s="198">
        <v>0</v>
      </c>
      <c r="S24" s="198">
        <v>0</v>
      </c>
      <c r="T24" s="198">
        <v>0</v>
      </c>
      <c r="U24" s="198">
        <v>313.08305027076466</v>
      </c>
      <c r="V24" s="198">
        <v>943.14714099029493</v>
      </c>
      <c r="W24" s="198">
        <v>21.710526315789476</v>
      </c>
      <c r="X24" s="198">
        <v>356.01302880000003</v>
      </c>
      <c r="Y24" s="198">
        <v>200.2</v>
      </c>
      <c r="Z24" s="271">
        <v>24140.007318376851</v>
      </c>
      <c r="AA24" s="272">
        <v>68.051293660670595</v>
      </c>
      <c r="AB24" s="198">
        <v>1.8104248041827153</v>
      </c>
      <c r="AC24" s="272">
        <v>0</v>
      </c>
      <c r="AD24" s="198">
        <v>0</v>
      </c>
      <c r="AE24" s="198">
        <v>1.8104248041827153</v>
      </c>
      <c r="AF24" s="198">
        <v>0</v>
      </c>
      <c r="AG24" s="198">
        <v>0</v>
      </c>
      <c r="AH24" s="198">
        <v>0</v>
      </c>
      <c r="AI24" s="198">
        <v>0</v>
      </c>
      <c r="AJ24" s="198">
        <v>0</v>
      </c>
      <c r="AK24" s="198">
        <v>0</v>
      </c>
      <c r="AL24" s="198">
        <v>0</v>
      </c>
      <c r="AM24" s="198">
        <v>1.6924907041907741E-2</v>
      </c>
      <c r="AN24" s="198">
        <v>4.3252540218208747E-3</v>
      </c>
      <c r="AO24" s="198">
        <v>0</v>
      </c>
      <c r="AP24" s="198">
        <v>6.1840996818097397E-4</v>
      </c>
      <c r="AQ24" s="198">
        <v>7.7315501677824566E-4</v>
      </c>
      <c r="AS24" s="258">
        <f t="shared" si="3"/>
        <v>32383.819817602543</v>
      </c>
      <c r="AT24" s="3">
        <f t="shared" si="0"/>
        <v>3.4564386154699629</v>
      </c>
      <c r="AU24" s="3">
        <f t="shared" si="1"/>
        <v>1.1602645657724977</v>
      </c>
      <c r="AV24" s="95">
        <f t="shared" si="2"/>
        <v>0</v>
      </c>
      <c r="AW24" s="95">
        <f t="shared" si="4"/>
        <v>0</v>
      </c>
      <c r="AX24" s="95">
        <f t="shared" si="8"/>
        <v>1.1602645657724977</v>
      </c>
      <c r="AY24" s="102">
        <f t="shared" si="6"/>
        <v>1</v>
      </c>
      <c r="AZ24" s="102">
        <f t="shared" si="7"/>
        <v>0</v>
      </c>
    </row>
    <row r="25" spans="1:52" x14ac:dyDescent="0.35">
      <c r="A25" t="s">
        <v>991</v>
      </c>
      <c r="B25">
        <v>2015</v>
      </c>
      <c r="C25" t="s">
        <v>837</v>
      </c>
      <c r="D25" t="s">
        <v>993</v>
      </c>
      <c r="E25" t="s">
        <v>986</v>
      </c>
      <c r="F25" t="s">
        <v>978</v>
      </c>
      <c r="G25" s="357">
        <v>1684.8</v>
      </c>
      <c r="H25" s="198">
        <v>10671</v>
      </c>
      <c r="I25" s="198">
        <v>4641.1316672597404</v>
      </c>
      <c r="J25" s="198">
        <v>0</v>
      </c>
      <c r="K25" s="198">
        <v>0</v>
      </c>
      <c r="L25" s="198">
        <v>61.624000000000009</v>
      </c>
      <c r="M25" s="198">
        <v>970.94462399999998</v>
      </c>
      <c r="N25" s="198">
        <v>0</v>
      </c>
      <c r="O25" s="198">
        <v>0</v>
      </c>
      <c r="P25" s="198">
        <v>953.79600000000005</v>
      </c>
      <c r="Q25" s="198">
        <v>737.17200000000003</v>
      </c>
      <c r="R25" s="198">
        <v>0</v>
      </c>
      <c r="S25" s="198">
        <v>1127.2610625993</v>
      </c>
      <c r="T25" s="198">
        <v>0</v>
      </c>
      <c r="U25" s="198">
        <v>313.08305027076466</v>
      </c>
      <c r="V25" s="198">
        <v>977.88968589985541</v>
      </c>
      <c r="W25" s="198">
        <v>21.710526315789476</v>
      </c>
      <c r="X25" s="198">
        <v>388.37784959999999</v>
      </c>
      <c r="Y25" s="198">
        <v>200.2</v>
      </c>
      <c r="Z25" s="271">
        <v>21064.190465945452</v>
      </c>
      <c r="AA25" s="272">
        <v>46.26977828297079</v>
      </c>
      <c r="AB25" s="198">
        <v>2.6626829557414027</v>
      </c>
      <c r="AC25" s="272">
        <v>0</v>
      </c>
      <c r="AD25" s="198">
        <v>0</v>
      </c>
      <c r="AE25" s="198">
        <v>2.6626829557414027</v>
      </c>
      <c r="AF25" s="198">
        <v>199.3165574496783</v>
      </c>
      <c r="AG25" s="198">
        <v>8.7623072253288761E-2</v>
      </c>
      <c r="AH25" s="198">
        <v>4.6298518219795053E-4</v>
      </c>
      <c r="AI25" s="198">
        <v>202.06794067112182</v>
      </c>
      <c r="AJ25" s="198">
        <v>8.5024806521222421E-2</v>
      </c>
      <c r="AK25" s="198">
        <v>1.9841179304248473</v>
      </c>
      <c r="AL25" s="198">
        <v>9.2894464782453806E-2</v>
      </c>
      <c r="AM25" s="198">
        <v>1.6697399642109777E-2</v>
      </c>
      <c r="AN25" s="198">
        <v>6.8655325604502562E-3</v>
      </c>
      <c r="AO25" s="198">
        <v>1.3746787731217572E-3</v>
      </c>
      <c r="AP25" s="198">
        <v>1.1407721936551069E-3</v>
      </c>
      <c r="AQ25" s="198">
        <v>1.0835314330823517E-3</v>
      </c>
      <c r="AS25" s="258">
        <f t="shared" si="3"/>
        <v>28257.611510065821</v>
      </c>
      <c r="AT25" s="3">
        <f t="shared" si="0"/>
        <v>5.0835583823836288</v>
      </c>
      <c r="AU25" s="3">
        <f t="shared" si="1"/>
        <v>1.7064595426971032</v>
      </c>
      <c r="AV25" s="95">
        <f t="shared" si="2"/>
        <v>0</v>
      </c>
      <c r="AW25" s="95">
        <f t="shared" si="4"/>
        <v>0</v>
      </c>
      <c r="AX25" s="95">
        <f t="shared" si="8"/>
        <v>1.7064595426971032</v>
      </c>
      <c r="AY25" s="102">
        <f t="shared" si="6"/>
        <v>1</v>
      </c>
      <c r="AZ25" s="102">
        <f t="shared" si="7"/>
        <v>0</v>
      </c>
    </row>
    <row r="26" spans="1:52" x14ac:dyDescent="0.35">
      <c r="A26" t="s">
        <v>992</v>
      </c>
      <c r="B26">
        <v>2015</v>
      </c>
      <c r="C26" t="s">
        <v>837</v>
      </c>
      <c r="D26" t="s">
        <v>993</v>
      </c>
      <c r="E26" t="s">
        <v>986</v>
      </c>
      <c r="F26" t="s">
        <v>978</v>
      </c>
      <c r="G26" s="357">
        <v>8169.6383999999998</v>
      </c>
      <c r="H26" s="198">
        <v>10671</v>
      </c>
      <c r="I26" s="198">
        <v>4641.1316672597404</v>
      </c>
      <c r="J26" s="198">
        <v>0</v>
      </c>
      <c r="K26" s="198">
        <v>0</v>
      </c>
      <c r="L26" s="198">
        <v>61.624000000000009</v>
      </c>
      <c r="M26" s="198">
        <v>1633.92768</v>
      </c>
      <c r="N26" s="198">
        <v>75</v>
      </c>
      <c r="O26" s="198">
        <v>0</v>
      </c>
      <c r="P26" s="198">
        <v>1002.5520000000001</v>
      </c>
      <c r="Q26" s="198">
        <v>773.09999999999991</v>
      </c>
      <c r="R26" s="198">
        <v>0</v>
      </c>
      <c r="S26" s="198">
        <v>1145.40848833269</v>
      </c>
      <c r="T26" s="198">
        <v>0</v>
      </c>
      <c r="U26" s="198">
        <v>313.08305027076466</v>
      </c>
      <c r="V26" s="198">
        <v>979.58319577911038</v>
      </c>
      <c r="W26" s="198">
        <v>21.710526315789476</v>
      </c>
      <c r="X26" s="198">
        <v>401.24217599999997</v>
      </c>
      <c r="Y26" s="198">
        <v>200.2</v>
      </c>
      <c r="Z26" s="271">
        <v>21919.562783958092</v>
      </c>
      <c r="AA26" s="272">
        <v>92.500058995501405</v>
      </c>
      <c r="AB26" s="198">
        <v>1.3319099613330165</v>
      </c>
      <c r="AC26" s="272">
        <v>156.61682730400796</v>
      </c>
      <c r="AD26" s="198">
        <v>0.56382057829442866</v>
      </c>
      <c r="AE26" s="198">
        <v>1.8957305396274453</v>
      </c>
      <c r="AF26" s="198">
        <v>99.700832858605395</v>
      </c>
      <c r="AG26" s="198">
        <v>4.3830243674002144E-2</v>
      </c>
      <c r="AH26" s="198">
        <v>2.3159143854861586E-4</v>
      </c>
      <c r="AI26" s="198">
        <v>101.07711189031789</v>
      </c>
      <c r="AJ26" s="198">
        <v>4.2530556077599674E-2</v>
      </c>
      <c r="AK26" s="198">
        <v>0.99248257487586378</v>
      </c>
      <c r="AL26" s="198">
        <v>4.6467065382178971E-2</v>
      </c>
      <c r="AM26" s="198">
        <v>8.3522647199624871E-3</v>
      </c>
      <c r="AN26" s="198">
        <v>3.4342320731060214E-3</v>
      </c>
      <c r="AO26" s="198">
        <v>6.8763288081517219E-4</v>
      </c>
      <c r="AP26" s="198">
        <v>5.706296519699198E-4</v>
      </c>
      <c r="AQ26" s="198">
        <v>5.4199705076715936E-4</v>
      </c>
      <c r="AS26" s="258">
        <f t="shared" si="3"/>
        <v>29405.093474679779</v>
      </c>
      <c r="AT26" s="3">
        <f t="shared" si="0"/>
        <v>2.5428645321498387</v>
      </c>
      <c r="AU26" s="3">
        <f t="shared" si="1"/>
        <v>0.85359410087829968</v>
      </c>
      <c r="AV26" s="95">
        <f t="shared" si="2"/>
        <v>9.731742658730159</v>
      </c>
      <c r="AW26" s="95">
        <f t="shared" si="4"/>
        <v>0.3503427357142857</v>
      </c>
      <c r="AX26" s="95">
        <f t="shared" si="8"/>
        <v>1.2039368365925853</v>
      </c>
      <c r="AY26" s="102">
        <f t="shared" si="6"/>
        <v>0.70900239525369524</v>
      </c>
      <c r="AZ26" s="102">
        <f t="shared" si="7"/>
        <v>0.29099760474630482</v>
      </c>
    </row>
    <row r="27" spans="1:52" x14ac:dyDescent="0.35">
      <c r="A27" t="s">
        <v>975</v>
      </c>
      <c r="B27">
        <v>2015</v>
      </c>
      <c r="C27" t="s">
        <v>837</v>
      </c>
      <c r="D27" t="s">
        <v>994</v>
      </c>
      <c r="E27" t="s">
        <v>977</v>
      </c>
      <c r="F27" t="s">
        <v>978</v>
      </c>
      <c r="G27" s="357">
        <v>62123.2114</v>
      </c>
      <c r="H27" s="198">
        <v>13773</v>
      </c>
      <c r="I27" s="198">
        <v>0</v>
      </c>
      <c r="J27" s="198">
        <v>0</v>
      </c>
      <c r="K27" s="198">
        <v>0</v>
      </c>
      <c r="L27" s="198">
        <v>61.624000000000009</v>
      </c>
      <c r="M27" s="198">
        <v>8697.2495959999997</v>
      </c>
      <c r="N27" s="198">
        <v>75</v>
      </c>
      <c r="O27" s="198">
        <v>0</v>
      </c>
      <c r="P27" s="198">
        <v>1587.7919999999999</v>
      </c>
      <c r="Q27" s="198">
        <v>0</v>
      </c>
      <c r="R27" s="198">
        <v>0</v>
      </c>
      <c r="S27" s="198">
        <v>0</v>
      </c>
      <c r="T27" s="198">
        <v>0</v>
      </c>
      <c r="U27" s="198">
        <v>431.5785427754775</v>
      </c>
      <c r="V27" s="198">
        <v>943.14714099029493</v>
      </c>
      <c r="W27" s="198">
        <v>33.55263157894737</v>
      </c>
      <c r="X27" s="198">
        <v>0</v>
      </c>
      <c r="Y27" s="198">
        <v>200.2</v>
      </c>
      <c r="Z27" s="271">
        <v>25803.14391134472</v>
      </c>
      <c r="AA27" s="272">
        <v>0</v>
      </c>
      <c r="AB27" s="198">
        <v>0</v>
      </c>
      <c r="AC27" s="272">
        <v>302.88868416143021</v>
      </c>
      <c r="AD27" s="198">
        <v>1.0903992629811488</v>
      </c>
      <c r="AE27" s="198">
        <v>1.0903992629811488</v>
      </c>
      <c r="AF27" s="198">
        <v>0</v>
      </c>
      <c r="AG27" s="198">
        <v>0</v>
      </c>
      <c r="AH27" s="198">
        <v>0</v>
      </c>
      <c r="AI27" s="198">
        <v>0</v>
      </c>
      <c r="AJ27" s="198">
        <v>0</v>
      </c>
      <c r="AK27" s="198">
        <v>0</v>
      </c>
      <c r="AL27" s="198">
        <v>0</v>
      </c>
      <c r="AM27" s="198">
        <v>1.612088121053017E-2</v>
      </c>
      <c r="AN27" s="198">
        <v>4.1197807538021439E-3</v>
      </c>
      <c r="AO27" s="198">
        <v>0</v>
      </c>
      <c r="AP27" s="198">
        <v>5.8903210586434232E-4</v>
      </c>
      <c r="AQ27" s="198">
        <v>7.3642591666503779E-4</v>
      </c>
      <c r="AS27" s="258">
        <f t="shared" si="3"/>
        <v>34614.91755706894</v>
      </c>
      <c r="AT27" s="3">
        <f t="shared" si="0"/>
        <v>0</v>
      </c>
      <c r="AU27" s="3">
        <f t="shared" si="1"/>
        <v>0</v>
      </c>
      <c r="AV27" s="95">
        <f t="shared" si="2"/>
        <v>18.820677057764687</v>
      </c>
      <c r="AW27" s="95">
        <f t="shared" si="4"/>
        <v>0.67754437407952883</v>
      </c>
      <c r="AX27" s="95">
        <f t="shared" si="8"/>
        <v>0.67754437407952883</v>
      </c>
      <c r="AY27" s="102">
        <f t="shared" si="6"/>
        <v>0</v>
      </c>
      <c r="AZ27" s="102">
        <f t="shared" si="7"/>
        <v>1</v>
      </c>
    </row>
    <row r="28" spans="1:52" x14ac:dyDescent="0.35">
      <c r="A28" t="s">
        <v>979</v>
      </c>
      <c r="B28">
        <v>2015</v>
      </c>
      <c r="C28" t="s">
        <v>837</v>
      </c>
      <c r="D28" t="s">
        <v>994</v>
      </c>
      <c r="E28" t="s">
        <v>977</v>
      </c>
      <c r="F28" t="s">
        <v>978</v>
      </c>
      <c r="G28" s="357">
        <v>97217.82</v>
      </c>
      <c r="H28" s="198">
        <v>13773</v>
      </c>
      <c r="I28" s="198">
        <v>0</v>
      </c>
      <c r="J28" s="198">
        <v>0</v>
      </c>
      <c r="K28" s="198">
        <v>0</v>
      </c>
      <c r="L28" s="198">
        <v>61.624000000000009</v>
      </c>
      <c r="M28" s="198">
        <v>13610.4948</v>
      </c>
      <c r="N28" s="198">
        <v>75</v>
      </c>
      <c r="O28" s="198">
        <v>0</v>
      </c>
      <c r="P28" s="198">
        <v>1731.9839999999999</v>
      </c>
      <c r="Q28" s="198">
        <v>0</v>
      </c>
      <c r="R28" s="198">
        <v>0</v>
      </c>
      <c r="S28" s="198">
        <v>0</v>
      </c>
      <c r="T28" s="198">
        <v>0</v>
      </c>
      <c r="U28" s="198">
        <v>431.5785427754775</v>
      </c>
      <c r="V28" s="198">
        <v>943.14714099029493</v>
      </c>
      <c r="W28" s="198">
        <v>33.55263157894737</v>
      </c>
      <c r="X28" s="198">
        <v>0</v>
      </c>
      <c r="Y28" s="198">
        <v>200.2</v>
      </c>
      <c r="Z28" s="271">
        <v>30860.581115344721</v>
      </c>
      <c r="AA28" s="272">
        <v>0</v>
      </c>
      <c r="AB28" s="198">
        <v>0</v>
      </c>
      <c r="AC28" s="272">
        <v>316.67287811655217</v>
      </c>
      <c r="AD28" s="198">
        <v>1.1400223612195879</v>
      </c>
      <c r="AE28" s="198">
        <v>1.1400223612195879</v>
      </c>
      <c r="AF28" s="198">
        <v>0</v>
      </c>
      <c r="AG28" s="198">
        <v>0</v>
      </c>
      <c r="AH28" s="198">
        <v>0</v>
      </c>
      <c r="AI28" s="198">
        <v>0</v>
      </c>
      <c r="AJ28" s="198">
        <v>0</v>
      </c>
      <c r="AK28" s="198">
        <v>0</v>
      </c>
      <c r="AL28" s="198">
        <v>0</v>
      </c>
      <c r="AM28" s="198">
        <v>1.6854528140750238E-2</v>
      </c>
      <c r="AN28" s="198">
        <v>4.3072683026361613E-3</v>
      </c>
      <c r="AO28" s="198">
        <v>0</v>
      </c>
      <c r="AP28" s="198">
        <v>6.158384318104799E-4</v>
      </c>
      <c r="AQ28" s="198">
        <v>7.6994000352171026E-4</v>
      </c>
      <c r="AS28" s="258">
        <f t="shared" si="3"/>
        <v>41399.46956623494</v>
      </c>
      <c r="AT28" s="3">
        <f t="shared" si="0"/>
        <v>0</v>
      </c>
      <c r="AU28" s="3">
        <f t="shared" si="1"/>
        <v>0</v>
      </c>
      <c r="AV28" s="95">
        <f t="shared" si="2"/>
        <v>19.677189289805273</v>
      </c>
      <c r="AW28" s="95">
        <f t="shared" si="4"/>
        <v>0.70837881443298978</v>
      </c>
      <c r="AX28" s="95">
        <f t="shared" si="8"/>
        <v>0.70837881443298978</v>
      </c>
      <c r="AY28" s="102">
        <f t="shared" si="6"/>
        <v>0</v>
      </c>
      <c r="AZ28" s="102">
        <f t="shared" si="7"/>
        <v>1</v>
      </c>
    </row>
    <row r="29" spans="1:52" x14ac:dyDescent="0.35">
      <c r="A29" t="s">
        <v>980</v>
      </c>
      <c r="B29">
        <v>2015</v>
      </c>
      <c r="C29" t="s">
        <v>837</v>
      </c>
      <c r="D29" t="s">
        <v>994</v>
      </c>
      <c r="E29" t="s">
        <v>977</v>
      </c>
      <c r="F29" t="s">
        <v>978</v>
      </c>
      <c r="G29" s="357">
        <v>145991.7389</v>
      </c>
      <c r="H29" s="198">
        <v>13773</v>
      </c>
      <c r="I29" s="198">
        <v>0</v>
      </c>
      <c r="J29" s="198">
        <v>0</v>
      </c>
      <c r="K29" s="198">
        <v>0</v>
      </c>
      <c r="L29" s="198">
        <v>61.624000000000009</v>
      </c>
      <c r="M29" s="198">
        <v>20438.843445999999</v>
      </c>
      <c r="N29" s="198">
        <v>75</v>
      </c>
      <c r="O29" s="198">
        <v>0</v>
      </c>
      <c r="P29" s="198">
        <v>1924.9079999999999</v>
      </c>
      <c r="Q29" s="198">
        <v>0</v>
      </c>
      <c r="R29" s="198">
        <v>0</v>
      </c>
      <c r="S29" s="198">
        <v>0</v>
      </c>
      <c r="T29" s="198">
        <v>0</v>
      </c>
      <c r="U29" s="198">
        <v>431.5785427754775</v>
      </c>
      <c r="V29" s="198">
        <v>943.14714099029493</v>
      </c>
      <c r="W29" s="198">
        <v>33.55263157894737</v>
      </c>
      <c r="X29" s="198">
        <v>0</v>
      </c>
      <c r="Y29" s="198">
        <v>200.2</v>
      </c>
      <c r="Z29" s="271">
        <v>37881.853761344712</v>
      </c>
      <c r="AA29" s="272">
        <v>0</v>
      </c>
      <c r="AB29" s="198">
        <v>0</v>
      </c>
      <c r="AC29" s="272">
        <v>352.1186969570856</v>
      </c>
      <c r="AD29" s="198">
        <v>1.2676273090455081</v>
      </c>
      <c r="AE29" s="198">
        <v>1.2676273090455081</v>
      </c>
      <c r="AF29" s="198">
        <v>0</v>
      </c>
      <c r="AG29" s="198">
        <v>0</v>
      </c>
      <c r="AH29" s="198">
        <v>0</v>
      </c>
      <c r="AI29" s="198">
        <v>0</v>
      </c>
      <c r="AJ29" s="198">
        <v>0</v>
      </c>
      <c r="AK29" s="198">
        <v>0</v>
      </c>
      <c r="AL29" s="198">
        <v>0</v>
      </c>
      <c r="AM29" s="198">
        <v>1.8741088665519341E-2</v>
      </c>
      <c r="AN29" s="198">
        <v>4.7893893256327081E-3</v>
      </c>
      <c r="AO29" s="198">
        <v>0</v>
      </c>
      <c r="AP29" s="198">
        <v>6.847704401934595E-4</v>
      </c>
      <c r="AQ29" s="198">
        <v>8.5612090428349133E-4</v>
      </c>
      <c r="AS29" s="258">
        <f t="shared" si="3"/>
        <v>50818.506820843926</v>
      </c>
      <c r="AT29" s="3">
        <f t="shared" si="0"/>
        <v>0</v>
      </c>
      <c r="AU29" s="3">
        <f t="shared" si="1"/>
        <v>0</v>
      </c>
      <c r="AV29" s="95">
        <f t="shared" si="2"/>
        <v>21.879695835378826</v>
      </c>
      <c r="AW29" s="95">
        <f t="shared" si="4"/>
        <v>0.78766905007363774</v>
      </c>
      <c r="AX29" s="95">
        <f t="shared" si="8"/>
        <v>0.78766905007363774</v>
      </c>
      <c r="AY29" s="102">
        <f t="shared" si="6"/>
        <v>0</v>
      </c>
      <c r="AZ29" s="102">
        <f t="shared" si="7"/>
        <v>1</v>
      </c>
    </row>
    <row r="30" spans="1:52" x14ac:dyDescent="0.35">
      <c r="A30" t="s">
        <v>981</v>
      </c>
      <c r="B30">
        <v>2015</v>
      </c>
      <c r="C30" t="s">
        <v>837</v>
      </c>
      <c r="D30" t="s">
        <v>994</v>
      </c>
      <c r="E30" t="s">
        <v>977</v>
      </c>
      <c r="F30" t="s">
        <v>978</v>
      </c>
      <c r="G30" s="357">
        <v>203879.43</v>
      </c>
      <c r="H30" s="198">
        <v>13773</v>
      </c>
      <c r="I30" s="198">
        <v>0</v>
      </c>
      <c r="J30" s="198">
        <v>0</v>
      </c>
      <c r="K30" s="198">
        <v>0</v>
      </c>
      <c r="L30" s="198">
        <v>61.624000000000009</v>
      </c>
      <c r="M30" s="198">
        <v>28543.120199999998</v>
      </c>
      <c r="N30" s="198">
        <v>75</v>
      </c>
      <c r="O30" s="198">
        <v>0</v>
      </c>
      <c r="P30" s="198">
        <v>2163.0360000000001</v>
      </c>
      <c r="Q30" s="198">
        <v>0</v>
      </c>
      <c r="R30" s="198">
        <v>0</v>
      </c>
      <c r="S30" s="198">
        <v>0</v>
      </c>
      <c r="T30" s="198">
        <v>0</v>
      </c>
      <c r="U30" s="198">
        <v>431.5785427754775</v>
      </c>
      <c r="V30" s="198">
        <v>943.14714099029493</v>
      </c>
      <c r="W30" s="198">
        <v>33.55263157894737</v>
      </c>
      <c r="X30" s="198">
        <v>0</v>
      </c>
      <c r="Y30" s="198">
        <v>200.2</v>
      </c>
      <c r="Z30" s="271">
        <v>46224.258515344714</v>
      </c>
      <c r="AA30" s="272">
        <v>0</v>
      </c>
      <c r="AB30" s="198">
        <v>0</v>
      </c>
      <c r="AC30" s="272">
        <v>389.52818514138443</v>
      </c>
      <c r="AD30" s="198">
        <v>1.4023014665089839</v>
      </c>
      <c r="AE30" s="198">
        <v>1.4023014665089839</v>
      </c>
      <c r="AF30" s="198">
        <v>0</v>
      </c>
      <c r="AG30" s="198">
        <v>0</v>
      </c>
      <c r="AH30" s="198">
        <v>0</v>
      </c>
      <c r="AI30" s="198">
        <v>0</v>
      </c>
      <c r="AJ30" s="198">
        <v>0</v>
      </c>
      <c r="AK30" s="198">
        <v>0</v>
      </c>
      <c r="AL30" s="198">
        <v>0</v>
      </c>
      <c r="AM30" s="198">
        <v>2.0732163098806503E-2</v>
      </c>
      <c r="AN30" s="198">
        <v>5.2982194585838704E-3</v>
      </c>
      <c r="AO30" s="198">
        <v>0</v>
      </c>
      <c r="AP30" s="198">
        <v>7.5752122540523261E-4</v>
      </c>
      <c r="AQ30" s="198">
        <v>9.4707615638993598E-4</v>
      </c>
      <c r="AS30" s="258">
        <f t="shared" si="3"/>
        <v>62009.842798334932</v>
      </c>
      <c r="AT30" s="3">
        <f t="shared" si="0"/>
        <v>0</v>
      </c>
      <c r="AU30" s="3">
        <f t="shared" si="1"/>
        <v>0</v>
      </c>
      <c r="AV30" s="95">
        <f t="shared" si="2"/>
        <v>24.204219440353462</v>
      </c>
      <c r="AW30" s="95">
        <f t="shared" si="4"/>
        <v>0.87135189985272465</v>
      </c>
      <c r="AX30" s="95">
        <f t="shared" si="8"/>
        <v>0.87135189985272465</v>
      </c>
      <c r="AY30" s="102">
        <f t="shared" si="6"/>
        <v>0</v>
      </c>
      <c r="AZ30" s="102">
        <f t="shared" si="7"/>
        <v>1</v>
      </c>
    </row>
    <row r="31" spans="1:52" x14ac:dyDescent="0.35">
      <c r="A31" t="s">
        <v>982</v>
      </c>
      <c r="B31">
        <v>2015</v>
      </c>
      <c r="C31" t="s">
        <v>837</v>
      </c>
      <c r="D31" t="s">
        <v>994</v>
      </c>
      <c r="E31" t="s">
        <v>983</v>
      </c>
      <c r="F31" t="s">
        <v>978</v>
      </c>
      <c r="G31" s="357"/>
      <c r="H31" s="198">
        <v>13773</v>
      </c>
      <c r="I31" s="198">
        <v>7944.7585277247399</v>
      </c>
      <c r="J31" s="198">
        <v>0</v>
      </c>
      <c r="K31" s="198">
        <v>0</v>
      </c>
      <c r="L31" s="198">
        <v>61.624000000000009</v>
      </c>
      <c r="M31" s="198">
        <v>0</v>
      </c>
      <c r="N31" s="198">
        <v>0</v>
      </c>
      <c r="O31" s="198">
        <v>48.429660116721465</v>
      </c>
      <c r="P31" s="198">
        <v>0</v>
      </c>
      <c r="Q31" s="198">
        <v>0</v>
      </c>
      <c r="R31" s="198">
        <v>15.008419498827607</v>
      </c>
      <c r="S31" s="198">
        <v>2323.16</v>
      </c>
      <c r="T31" s="198">
        <v>116.9</v>
      </c>
      <c r="U31" s="198">
        <v>431.5785427754775</v>
      </c>
      <c r="V31" s="198">
        <v>366.75305919509356</v>
      </c>
      <c r="W31" s="198">
        <v>0</v>
      </c>
      <c r="X31" s="198">
        <v>0</v>
      </c>
      <c r="Y31" s="198">
        <v>200.2</v>
      </c>
      <c r="Z31" s="271">
        <v>25281.412209310864</v>
      </c>
      <c r="AA31" s="272">
        <v>29.14885411317557</v>
      </c>
      <c r="AB31" s="198">
        <v>4.2266412779606179</v>
      </c>
      <c r="AC31" s="272">
        <v>0</v>
      </c>
      <c r="AD31" s="198">
        <v>0</v>
      </c>
      <c r="AE31" s="198">
        <v>4.2266412779606179</v>
      </c>
      <c r="AF31" s="198">
        <v>316.38749453114991</v>
      </c>
      <c r="AG31" s="198">
        <v>0.13908951994788077</v>
      </c>
      <c r="AH31" s="198">
        <v>7.3492500409876992E-4</v>
      </c>
      <c r="AI31" s="198">
        <v>320.75493522481804</v>
      </c>
      <c r="AJ31" s="198">
        <v>0.13496513211170133</v>
      </c>
      <c r="AK31" s="198">
        <v>3.1495130604989341</v>
      </c>
      <c r="AL31" s="198">
        <v>0.14745712721710538</v>
      </c>
      <c r="AM31" s="198">
        <v>2.6504814780810165E-2</v>
      </c>
      <c r="AN31" s="198">
        <v>1.0898084299751651E-2</v>
      </c>
      <c r="AO31" s="198">
        <v>2.1821126070921404E-3</v>
      </c>
      <c r="AP31" s="198">
        <v>1.8108182320601565E-3</v>
      </c>
      <c r="AQ31" s="198">
        <v>1.7199564338513259E-3</v>
      </c>
      <c r="AS31" s="258">
        <f t="shared" si="3"/>
        <v>33915.014478790523</v>
      </c>
      <c r="AT31" s="3">
        <f t="shared" si="0"/>
        <v>8.0694465150555814</v>
      </c>
      <c r="AU31" s="3">
        <f t="shared" si="1"/>
        <v>2.7087687352267178</v>
      </c>
      <c r="AV31" s="95">
        <f t="shared" si="2"/>
        <v>0</v>
      </c>
      <c r="AW31" s="95">
        <f t="shared" si="4"/>
        <v>0</v>
      </c>
      <c r="AX31" s="95">
        <f t="shared" si="8"/>
        <v>2.7087687352267178</v>
      </c>
      <c r="AY31" s="102">
        <f t="shared" si="6"/>
        <v>1</v>
      </c>
      <c r="AZ31" s="102">
        <f t="shared" si="7"/>
        <v>0</v>
      </c>
    </row>
    <row r="32" spans="1:52" x14ac:dyDescent="0.35">
      <c r="A32" t="s">
        <v>984</v>
      </c>
      <c r="B32">
        <v>2015</v>
      </c>
      <c r="C32" t="s">
        <v>837</v>
      </c>
      <c r="D32" t="s">
        <v>994</v>
      </c>
      <c r="E32" t="s">
        <v>240</v>
      </c>
      <c r="F32" t="s">
        <v>978</v>
      </c>
      <c r="G32" s="357"/>
      <c r="H32" s="198">
        <v>13773</v>
      </c>
      <c r="I32" s="198">
        <v>9520.9211300000006</v>
      </c>
      <c r="J32" s="198">
        <v>0</v>
      </c>
      <c r="K32" s="198">
        <v>0</v>
      </c>
      <c r="L32" s="198">
        <v>61.624000000000009</v>
      </c>
      <c r="M32" s="198">
        <v>0</v>
      </c>
      <c r="N32" s="198">
        <v>0</v>
      </c>
      <c r="O32" s="198">
        <v>48.429660116721465</v>
      </c>
      <c r="P32" s="198">
        <v>0</v>
      </c>
      <c r="Q32" s="198">
        <v>0</v>
      </c>
      <c r="R32" s="198">
        <v>15.008419498827607</v>
      </c>
      <c r="S32" s="198">
        <v>2323.16</v>
      </c>
      <c r="T32" s="198">
        <v>116.9</v>
      </c>
      <c r="U32" s="198">
        <v>431.5785427754775</v>
      </c>
      <c r="V32" s="198">
        <v>345.33366445369677</v>
      </c>
      <c r="W32" s="198">
        <v>0</v>
      </c>
      <c r="X32" s="198">
        <v>0</v>
      </c>
      <c r="Y32" s="198">
        <v>200.2</v>
      </c>
      <c r="Z32" s="271">
        <v>26836.155416844729</v>
      </c>
      <c r="AA32" s="272">
        <v>23.571363592456407</v>
      </c>
      <c r="AB32" s="198">
        <v>5.2267553176019286</v>
      </c>
      <c r="AC32" s="272">
        <v>0</v>
      </c>
      <c r="AD32" s="198">
        <v>0</v>
      </c>
      <c r="AE32" s="198">
        <v>5.2267553176019286</v>
      </c>
      <c r="AF32" s="198">
        <v>0</v>
      </c>
      <c r="AG32" s="198">
        <v>0</v>
      </c>
      <c r="AH32" s="198">
        <v>0</v>
      </c>
      <c r="AI32" s="198">
        <v>0</v>
      </c>
      <c r="AJ32" s="198">
        <v>0</v>
      </c>
      <c r="AK32" s="198">
        <v>0</v>
      </c>
      <c r="AL32" s="198">
        <v>0</v>
      </c>
      <c r="AM32" s="198">
        <v>0</v>
      </c>
      <c r="AN32" s="198">
        <v>0</v>
      </c>
      <c r="AO32" s="198">
        <v>0</v>
      </c>
      <c r="AP32" s="198">
        <v>0</v>
      </c>
      <c r="AQ32" s="198">
        <v>0</v>
      </c>
      <c r="AS32" s="258">
        <f t="shared" si="3"/>
        <v>36000.7024916972</v>
      </c>
      <c r="AT32" s="3">
        <f t="shared" si="0"/>
        <v>9.9788507490803173</v>
      </c>
      <c r="AU32" s="3">
        <f t="shared" si="1"/>
        <v>3.3497215542813836</v>
      </c>
      <c r="AV32" s="95">
        <f t="shared" si="2"/>
        <v>0</v>
      </c>
      <c r="AW32" s="95">
        <f t="shared" si="4"/>
        <v>0</v>
      </c>
      <c r="AX32" s="95">
        <f t="shared" si="8"/>
        <v>3.3497215542813836</v>
      </c>
      <c r="AY32" s="102">
        <f t="shared" si="6"/>
        <v>1</v>
      </c>
      <c r="AZ32" s="102">
        <f t="shared" si="7"/>
        <v>0</v>
      </c>
    </row>
    <row r="33" spans="1:52" x14ac:dyDescent="0.35">
      <c r="A33" t="s">
        <v>985</v>
      </c>
      <c r="B33">
        <v>2015</v>
      </c>
      <c r="C33" t="s">
        <v>837</v>
      </c>
      <c r="D33" t="s">
        <v>994</v>
      </c>
      <c r="E33" t="s">
        <v>986</v>
      </c>
      <c r="F33" t="s">
        <v>978</v>
      </c>
      <c r="G33" s="357"/>
      <c r="H33" s="198">
        <v>13773</v>
      </c>
      <c r="I33" s="198">
        <v>4773.7953879999995</v>
      </c>
      <c r="J33" s="198">
        <v>0</v>
      </c>
      <c r="K33" s="198">
        <v>0</v>
      </c>
      <c r="L33" s="198">
        <v>61.624000000000009</v>
      </c>
      <c r="M33" s="198">
        <v>0</v>
      </c>
      <c r="N33" s="198">
        <v>0</v>
      </c>
      <c r="O33" s="198">
        <v>48.429660116721465</v>
      </c>
      <c r="P33" s="198">
        <v>0</v>
      </c>
      <c r="Q33" s="198">
        <v>0</v>
      </c>
      <c r="R33" s="198">
        <v>15.008419498827607</v>
      </c>
      <c r="S33" s="198">
        <v>2323.16</v>
      </c>
      <c r="T33" s="198">
        <v>116.9</v>
      </c>
      <c r="U33" s="198">
        <v>431.5785427754775</v>
      </c>
      <c r="V33" s="198">
        <v>344.87388402269534</v>
      </c>
      <c r="W33" s="198">
        <v>0</v>
      </c>
      <c r="X33" s="198">
        <v>0</v>
      </c>
      <c r="Y33" s="198">
        <v>200.2</v>
      </c>
      <c r="Z33" s="271">
        <v>22088.569894413722</v>
      </c>
      <c r="AA33" s="272">
        <v>23.886446041663547</v>
      </c>
      <c r="AB33" s="198">
        <v>5.1578099891925051</v>
      </c>
      <c r="AC33" s="272">
        <v>0</v>
      </c>
      <c r="AD33" s="198">
        <v>0</v>
      </c>
      <c r="AE33" s="198">
        <v>5.1578099891925051</v>
      </c>
      <c r="AF33" s="198">
        <v>386.09062667739346</v>
      </c>
      <c r="AG33" s="198">
        <v>0.16973224558231698</v>
      </c>
      <c r="AH33" s="198">
        <v>8.9683587467280143E-4</v>
      </c>
      <c r="AI33" s="198">
        <v>391.42025551399922</v>
      </c>
      <c r="AJ33" s="198">
        <v>0.164699216427069</v>
      </c>
      <c r="AK33" s="198">
        <v>3.8433803240505382</v>
      </c>
      <c r="AL33" s="198">
        <v>0.17994331520487805</v>
      </c>
      <c r="AM33" s="198">
        <v>3.2344074040776355E-2</v>
      </c>
      <c r="AN33" s="198">
        <v>1.3299034473879669E-2</v>
      </c>
      <c r="AO33" s="198">
        <v>2.6628524784183521E-3</v>
      </c>
      <c r="AP33" s="198">
        <v>2.2097584705457495E-3</v>
      </c>
      <c r="AQ33" s="198">
        <v>2.0988789660840823E-3</v>
      </c>
      <c r="AS33" s="258">
        <f t="shared" si="3"/>
        <v>29631.816513356007</v>
      </c>
      <c r="AT33" s="3">
        <f t="shared" si="0"/>
        <v>9.8472212580790792</v>
      </c>
      <c r="AU33" s="3">
        <f t="shared" si="1"/>
        <v>3.3055358905939518</v>
      </c>
      <c r="AV33" s="95">
        <f t="shared" si="2"/>
        <v>0</v>
      </c>
      <c r="AW33" s="95">
        <f t="shared" si="4"/>
        <v>0</v>
      </c>
      <c r="AX33" s="95">
        <f t="shared" si="8"/>
        <v>3.3055358905939518</v>
      </c>
      <c r="AY33" s="102">
        <f t="shared" si="6"/>
        <v>1</v>
      </c>
      <c r="AZ33" s="102">
        <f t="shared" si="7"/>
        <v>0</v>
      </c>
    </row>
    <row r="34" spans="1:52" x14ac:dyDescent="0.35">
      <c r="A34" t="s">
        <v>987</v>
      </c>
      <c r="B34">
        <v>2015</v>
      </c>
      <c r="C34" t="s">
        <v>837</v>
      </c>
      <c r="D34" t="s">
        <v>994</v>
      </c>
      <c r="E34" t="s">
        <v>986</v>
      </c>
      <c r="F34" t="s">
        <v>978</v>
      </c>
      <c r="G34" s="357">
        <v>24266.582600000002</v>
      </c>
      <c r="H34" s="198">
        <v>13773</v>
      </c>
      <c r="I34" s="198">
        <v>4641.1316669999997</v>
      </c>
      <c r="J34" s="198">
        <v>0</v>
      </c>
      <c r="K34" s="198">
        <v>0</v>
      </c>
      <c r="L34" s="198">
        <v>61.624000000000009</v>
      </c>
      <c r="M34" s="198">
        <v>4853.3165200000003</v>
      </c>
      <c r="N34" s="198">
        <v>75</v>
      </c>
      <c r="O34" s="198">
        <v>0</v>
      </c>
      <c r="P34" s="198">
        <v>1469.856</v>
      </c>
      <c r="Q34" s="198">
        <v>945.24</v>
      </c>
      <c r="R34" s="198">
        <v>0</v>
      </c>
      <c r="S34" s="198">
        <v>1282.122957</v>
      </c>
      <c r="T34" s="198">
        <v>0</v>
      </c>
      <c r="U34" s="198">
        <v>431.5785427754775</v>
      </c>
      <c r="V34" s="198">
        <v>977.90424708433056</v>
      </c>
      <c r="W34" s="198">
        <v>33.55263157894737</v>
      </c>
      <c r="X34" s="198">
        <v>0</v>
      </c>
      <c r="Y34" s="198">
        <v>200.2</v>
      </c>
      <c r="Z34" s="271">
        <v>28744.526565438759</v>
      </c>
      <c r="AA34" s="272">
        <v>167.16187941203779</v>
      </c>
      <c r="AB34" s="198">
        <v>0.73702060800787994</v>
      </c>
      <c r="AC34" s="272">
        <v>295.2396304542857</v>
      </c>
      <c r="AD34" s="198">
        <v>1.0628626696354284</v>
      </c>
      <c r="AE34" s="198">
        <v>1.7998832776433082</v>
      </c>
      <c r="AF34" s="198">
        <v>55.170071991051664</v>
      </c>
      <c r="AG34" s="198">
        <v>2.4253736198065493E-2</v>
      </c>
      <c r="AH34" s="198">
        <v>1.2815255370392375E-4</v>
      </c>
      <c r="AI34" s="198">
        <v>55.931644498344916</v>
      </c>
      <c r="AJ34" s="198">
        <v>2.3534546034818905E-2</v>
      </c>
      <c r="AK34" s="198">
        <v>0.54919636612684208</v>
      </c>
      <c r="AL34" s="198">
        <v>2.5712837785250752E-2</v>
      </c>
      <c r="AM34" s="198">
        <v>2.0335546943585431E-2</v>
      </c>
      <c r="AN34" s="198">
        <v>5.9160946721082139E-3</v>
      </c>
      <c r="AO34" s="198">
        <v>3.8050590401575462E-4</v>
      </c>
      <c r="AP34" s="198">
        <v>8.8991832221930697E-4</v>
      </c>
      <c r="AQ34" s="198">
        <v>1.0177458701659656E-3</v>
      </c>
      <c r="AS34" s="258">
        <f t="shared" si="3"/>
        <v>38560.782387536092</v>
      </c>
      <c r="AT34" s="3">
        <f t="shared" si="0"/>
        <v>1.4071098031964915</v>
      </c>
      <c r="AU34" s="3">
        <f t="shared" si="1"/>
        <v>0.47234157074073158</v>
      </c>
      <c r="AV34" s="95">
        <f t="shared" si="2"/>
        <v>18.345385714285715</v>
      </c>
      <c r="AW34" s="95">
        <f t="shared" si="4"/>
        <v>0.66043388571428574</v>
      </c>
      <c r="AX34" s="95">
        <f t="shared" si="8"/>
        <v>1.1327754564550174</v>
      </c>
      <c r="AY34" s="102">
        <f t="shared" si="6"/>
        <v>0.41697722884896232</v>
      </c>
      <c r="AZ34" s="102">
        <f t="shared" si="7"/>
        <v>0.58302277115103751</v>
      </c>
    </row>
    <row r="35" spans="1:52" x14ac:dyDescent="0.35">
      <c r="A35" t="s">
        <v>988</v>
      </c>
      <c r="B35">
        <v>2015</v>
      </c>
      <c r="C35" t="s">
        <v>837</v>
      </c>
      <c r="D35" t="s">
        <v>994</v>
      </c>
      <c r="E35" t="s">
        <v>989</v>
      </c>
      <c r="F35" t="s">
        <v>978</v>
      </c>
      <c r="G35" s="357">
        <v>1684.8</v>
      </c>
      <c r="H35" s="198">
        <v>13773</v>
      </c>
      <c r="I35" s="198">
        <v>0</v>
      </c>
      <c r="J35" s="198">
        <v>7132.5240000000003</v>
      </c>
      <c r="K35" s="198">
        <v>2825.5367999999999</v>
      </c>
      <c r="L35" s="198">
        <v>61.624000000000009</v>
      </c>
      <c r="M35" s="198">
        <v>970.94462399999998</v>
      </c>
      <c r="N35" s="198">
        <v>0</v>
      </c>
      <c r="O35" s="198">
        <v>0</v>
      </c>
      <c r="P35" s="198">
        <v>1529.556</v>
      </c>
      <c r="Q35" s="198">
        <v>0</v>
      </c>
      <c r="R35" s="198">
        <v>0</v>
      </c>
      <c r="S35" s="198">
        <v>0</v>
      </c>
      <c r="T35" s="198">
        <v>0</v>
      </c>
      <c r="U35" s="198">
        <v>431.5785427754775</v>
      </c>
      <c r="V35" s="198">
        <v>943.14714099029493</v>
      </c>
      <c r="W35" s="198">
        <v>25.657894736842106</v>
      </c>
      <c r="X35" s="198">
        <v>388.37784959999999</v>
      </c>
      <c r="Y35" s="198">
        <v>200.2</v>
      </c>
      <c r="Z35" s="271">
        <v>28282.146852102618</v>
      </c>
      <c r="AA35" s="272">
        <v>53.67566585558027</v>
      </c>
      <c r="AB35" s="198">
        <v>2.2952998912297913</v>
      </c>
      <c r="AC35" s="272">
        <v>0</v>
      </c>
      <c r="AD35" s="198">
        <v>0</v>
      </c>
      <c r="AE35" s="198">
        <v>2.2952998912297913</v>
      </c>
      <c r="AF35" s="198">
        <v>0</v>
      </c>
      <c r="AG35" s="198">
        <v>0</v>
      </c>
      <c r="AH35" s="198">
        <v>0</v>
      </c>
      <c r="AI35" s="198">
        <v>0</v>
      </c>
      <c r="AJ35" s="198">
        <v>0</v>
      </c>
      <c r="AK35" s="198">
        <v>0</v>
      </c>
      <c r="AL35" s="198">
        <v>0</v>
      </c>
      <c r="AM35" s="198">
        <v>2.1457802170304609E-2</v>
      </c>
      <c r="AN35" s="198">
        <v>5.4836605546334091E-3</v>
      </c>
      <c r="AO35" s="198">
        <v>0</v>
      </c>
      <c r="AP35" s="198">
        <v>7.8403495655926341E-4</v>
      </c>
      <c r="AQ35" s="198">
        <v>9.802244323071994E-4</v>
      </c>
      <c r="AS35" s="258">
        <f t="shared" si="3"/>
        <v>37940.500002095658</v>
      </c>
      <c r="AT35" s="3">
        <f t="shared" si="0"/>
        <v>4.3821555912188934</v>
      </c>
      <c r="AU35" s="3">
        <f t="shared" si="1"/>
        <v>1.4710111822720138</v>
      </c>
      <c r="AV35" s="95">
        <f t="shared" si="2"/>
        <v>0</v>
      </c>
      <c r="AW35" s="95">
        <f t="shared" si="4"/>
        <v>0</v>
      </c>
      <c r="AX35" s="95">
        <f t="shared" si="8"/>
        <v>1.4710111822720138</v>
      </c>
      <c r="AY35" s="102">
        <f t="shared" si="6"/>
        <v>1</v>
      </c>
      <c r="AZ35" s="102">
        <f t="shared" si="7"/>
        <v>0</v>
      </c>
    </row>
    <row r="36" spans="1:52" x14ac:dyDescent="0.35">
      <c r="A36" t="s">
        <v>990</v>
      </c>
      <c r="B36">
        <v>2015</v>
      </c>
      <c r="C36" t="s">
        <v>837</v>
      </c>
      <c r="D36" t="s">
        <v>994</v>
      </c>
      <c r="E36" t="s">
        <v>989</v>
      </c>
      <c r="F36" t="s">
        <v>978</v>
      </c>
      <c r="G36" s="357">
        <v>1684.8</v>
      </c>
      <c r="H36" s="198">
        <v>13773</v>
      </c>
      <c r="I36" s="198">
        <v>0</v>
      </c>
      <c r="J36" s="198">
        <v>7359.232</v>
      </c>
      <c r="K36" s="198">
        <v>3429.1034</v>
      </c>
      <c r="L36" s="198">
        <v>61.624000000000009</v>
      </c>
      <c r="M36" s="198">
        <v>970.94462399999998</v>
      </c>
      <c r="N36" s="198">
        <v>0</v>
      </c>
      <c r="O36" s="198">
        <v>0</v>
      </c>
      <c r="P36" s="198">
        <v>1564.8959999999997</v>
      </c>
      <c r="Q36" s="198">
        <v>0</v>
      </c>
      <c r="R36" s="198">
        <v>0</v>
      </c>
      <c r="S36" s="198">
        <v>0</v>
      </c>
      <c r="T36" s="198">
        <v>0</v>
      </c>
      <c r="U36" s="198">
        <v>431.5785427754775</v>
      </c>
      <c r="V36" s="198">
        <v>943.14714099029493</v>
      </c>
      <c r="W36" s="198">
        <v>25.657894736842106</v>
      </c>
      <c r="X36" s="198">
        <v>388.37784959999999</v>
      </c>
      <c r="Y36" s="198">
        <v>200.2</v>
      </c>
      <c r="Z36" s="271">
        <v>29147.761452102619</v>
      </c>
      <c r="AA36" s="272">
        <v>52.950668921689171</v>
      </c>
      <c r="AB36" s="198">
        <v>2.3267269802050645</v>
      </c>
      <c r="AC36" s="272">
        <v>0</v>
      </c>
      <c r="AD36" s="198">
        <v>0</v>
      </c>
      <c r="AE36" s="198">
        <v>2.3267269802050645</v>
      </c>
      <c r="AF36" s="198">
        <v>0</v>
      </c>
      <c r="AG36" s="198">
        <v>0</v>
      </c>
      <c r="AH36" s="198">
        <v>0</v>
      </c>
      <c r="AI36" s="198">
        <v>0</v>
      </c>
      <c r="AJ36" s="198">
        <v>0</v>
      </c>
      <c r="AK36" s="198">
        <v>0</v>
      </c>
      <c r="AL36" s="198">
        <v>0</v>
      </c>
      <c r="AM36" s="198">
        <v>2.1751600928626626E-2</v>
      </c>
      <c r="AN36" s="198">
        <v>5.5587424595379253E-3</v>
      </c>
      <c r="AO36" s="198">
        <v>0</v>
      </c>
      <c r="AP36" s="198">
        <v>7.9476990950970796E-4</v>
      </c>
      <c r="AQ36" s="198">
        <v>9.9364559812852049E-4</v>
      </c>
      <c r="AS36" s="258">
        <f t="shared" si="3"/>
        <v>39101.721987995661</v>
      </c>
      <c r="AT36" s="3">
        <f t="shared" si="0"/>
        <v>4.4421557655729913</v>
      </c>
      <c r="AU36" s="3">
        <f t="shared" si="1"/>
        <v>1.4911521666747602</v>
      </c>
      <c r="AV36" s="95">
        <f t="shared" si="2"/>
        <v>0</v>
      </c>
      <c r="AW36" s="95">
        <f t="shared" si="4"/>
        <v>0</v>
      </c>
      <c r="AX36" s="95">
        <f t="shared" si="8"/>
        <v>1.4911521666747602</v>
      </c>
      <c r="AY36" s="102">
        <f t="shared" si="6"/>
        <v>1</v>
      </c>
      <c r="AZ36" s="102">
        <f t="shared" si="7"/>
        <v>0</v>
      </c>
    </row>
    <row r="37" spans="1:52" x14ac:dyDescent="0.35">
      <c r="A37" t="s">
        <v>991</v>
      </c>
      <c r="B37">
        <v>2015</v>
      </c>
      <c r="C37" t="s">
        <v>837</v>
      </c>
      <c r="D37" t="s">
        <v>994</v>
      </c>
      <c r="E37" t="s">
        <v>986</v>
      </c>
      <c r="F37" t="s">
        <v>978</v>
      </c>
      <c r="G37" s="357">
        <v>1965.6</v>
      </c>
      <c r="H37" s="198">
        <v>13773</v>
      </c>
      <c r="I37" s="198">
        <v>4641.1316672597404</v>
      </c>
      <c r="J37" s="198">
        <v>0</v>
      </c>
      <c r="K37" s="198">
        <v>0</v>
      </c>
      <c r="L37" s="198">
        <v>61.624000000000009</v>
      </c>
      <c r="M37" s="198">
        <v>1132.768728</v>
      </c>
      <c r="N37" s="198">
        <v>0</v>
      </c>
      <c r="O37" s="198">
        <v>0</v>
      </c>
      <c r="P37" s="198">
        <v>1081.704</v>
      </c>
      <c r="Q37" s="198">
        <v>803.29200000000003</v>
      </c>
      <c r="R37" s="198">
        <v>0</v>
      </c>
      <c r="S37" s="198">
        <v>1160.6527042171199</v>
      </c>
      <c r="T37" s="198">
        <v>0</v>
      </c>
      <c r="U37" s="198">
        <v>431.5785427754775</v>
      </c>
      <c r="V37" s="198">
        <v>981.00577937752564</v>
      </c>
      <c r="W37" s="198">
        <v>25.657894736842106</v>
      </c>
      <c r="X37" s="198">
        <v>453.10749120000003</v>
      </c>
      <c r="Y37" s="198">
        <v>200.2</v>
      </c>
      <c r="Z37" s="271">
        <v>24745.722807566708</v>
      </c>
      <c r="AA37" s="272">
        <v>37.812049581140151</v>
      </c>
      <c r="AB37" s="198">
        <v>3.2582669113353337</v>
      </c>
      <c r="AC37" s="272">
        <v>0</v>
      </c>
      <c r="AD37" s="198">
        <v>0</v>
      </c>
      <c r="AE37" s="198">
        <v>3.2582669113353337</v>
      </c>
      <c r="AF37" s="198">
        <v>243.89931314174325</v>
      </c>
      <c r="AG37" s="198">
        <v>0.10722243757065736</v>
      </c>
      <c r="AH37" s="198">
        <v>5.6654484392945875E-4</v>
      </c>
      <c r="AI37" s="198">
        <v>247.26612062871891</v>
      </c>
      <c r="AJ37" s="198">
        <v>0.1040429966074012</v>
      </c>
      <c r="AK37" s="198">
        <v>2.4279217272002831</v>
      </c>
      <c r="AL37" s="198">
        <v>0.11367292534555519</v>
      </c>
      <c r="AM37" s="198">
        <v>2.0432242840597675E-2</v>
      </c>
      <c r="AN37" s="198">
        <v>8.4012020740868668E-3</v>
      </c>
      <c r="AO37" s="198">
        <v>1.6821643562631786E-3</v>
      </c>
      <c r="AP37" s="198">
        <v>1.3959379895166326E-3</v>
      </c>
      <c r="AQ37" s="198">
        <v>1.3258937224168922E-3</v>
      </c>
      <c r="AS37" s="258">
        <f t="shared" si="3"/>
        <v>33196.387146350738</v>
      </c>
      <c r="AT37" s="3">
        <f t="shared" si="0"/>
        <v>6.2206392366191245</v>
      </c>
      <c r="AU37" s="3">
        <f t="shared" si="1"/>
        <v>2.0881572293514878</v>
      </c>
      <c r="AV37" s="95">
        <f t="shared" si="2"/>
        <v>0</v>
      </c>
      <c r="AW37" s="95">
        <f t="shared" si="4"/>
        <v>0</v>
      </c>
      <c r="AX37" s="95">
        <f t="shared" si="8"/>
        <v>2.0881572293514878</v>
      </c>
      <c r="AY37" s="102">
        <f t="shared" si="6"/>
        <v>1</v>
      </c>
      <c r="AZ37" s="102">
        <f t="shared" si="7"/>
        <v>0</v>
      </c>
    </row>
    <row r="38" spans="1:52" x14ac:dyDescent="0.35">
      <c r="A38" t="s">
        <v>992</v>
      </c>
      <c r="B38">
        <v>2015</v>
      </c>
      <c r="C38" t="s">
        <v>837</v>
      </c>
      <c r="D38" t="s">
        <v>994</v>
      </c>
      <c r="E38" t="s">
        <v>986</v>
      </c>
      <c r="F38" t="s">
        <v>978</v>
      </c>
      <c r="G38" s="357">
        <v>10817.9064</v>
      </c>
      <c r="H38" s="198">
        <v>13773</v>
      </c>
      <c r="I38" s="198">
        <v>4641.1316672597404</v>
      </c>
      <c r="J38" s="198">
        <v>0</v>
      </c>
      <c r="K38" s="198">
        <v>0</v>
      </c>
      <c r="L38" s="198">
        <v>61.624000000000009</v>
      </c>
      <c r="M38" s="198">
        <v>2163.5812799999999</v>
      </c>
      <c r="N38" s="198">
        <v>75</v>
      </c>
      <c r="O38" s="198">
        <v>0</v>
      </c>
      <c r="P38" s="198">
        <v>1138.56</v>
      </c>
      <c r="Q38" s="198">
        <v>846.64800000000002</v>
      </c>
      <c r="R38" s="198">
        <v>0</v>
      </c>
      <c r="S38" s="198">
        <v>1182.5497153091801</v>
      </c>
      <c r="T38" s="198">
        <v>0</v>
      </c>
      <c r="U38" s="198">
        <v>431.5785427754775</v>
      </c>
      <c r="V38" s="198">
        <v>983.04919893219721</v>
      </c>
      <c r="W38" s="198">
        <v>25.657894736842106</v>
      </c>
      <c r="X38" s="198">
        <v>468.08971200000002</v>
      </c>
      <c r="Y38" s="198">
        <v>200.2</v>
      </c>
      <c r="Z38" s="271">
        <v>25990.670011013437</v>
      </c>
      <c r="AA38" s="272">
        <v>72.854028766368359</v>
      </c>
      <c r="AB38" s="198">
        <v>1.6910766924789984</v>
      </c>
      <c r="AC38" s="272">
        <v>206.70546565257939</v>
      </c>
      <c r="AD38" s="198">
        <v>0.74413967634928579</v>
      </c>
      <c r="AE38" s="198">
        <v>2.435216368828284</v>
      </c>
      <c r="AF38" s="198">
        <v>126.58645070811696</v>
      </c>
      <c r="AG38" s="198">
        <v>5.5649635226542045E-2</v>
      </c>
      <c r="AH38" s="198">
        <v>2.9404306242689429E-4</v>
      </c>
      <c r="AI38" s="198">
        <v>128.33386116411148</v>
      </c>
      <c r="AJ38" s="198">
        <v>5.3999470076053512E-2</v>
      </c>
      <c r="AK38" s="198">
        <v>1.2601183254041866</v>
      </c>
      <c r="AL38" s="198">
        <v>5.8997509979620485E-2</v>
      </c>
      <c r="AM38" s="198">
        <v>1.0604560824222035E-2</v>
      </c>
      <c r="AN38" s="198">
        <v>4.3603171265278696E-3</v>
      </c>
      <c r="AO38" s="198">
        <v>8.7306197227094893E-4</v>
      </c>
      <c r="AP38" s="198">
        <v>7.2450731092810032E-4</v>
      </c>
      <c r="AQ38" s="198">
        <v>6.8815355883920229E-4</v>
      </c>
      <c r="AS38" s="258">
        <f t="shared" si="3"/>
        <v>34866.483819774527</v>
      </c>
      <c r="AT38" s="3">
        <f t="shared" si="0"/>
        <v>3.2285808104823794</v>
      </c>
      <c r="AU38" s="3">
        <f t="shared" si="1"/>
        <v>1.0837767797668298</v>
      </c>
      <c r="AV38" s="95">
        <f t="shared" si="2"/>
        <v>12.844114087301588</v>
      </c>
      <c r="AW38" s="95">
        <f t="shared" si="4"/>
        <v>0.46238810714285722</v>
      </c>
      <c r="AX38" s="95">
        <f t="shared" si="8"/>
        <v>1.5461648869096871</v>
      </c>
      <c r="AY38" s="102">
        <f t="shared" si="6"/>
        <v>0.70094515076782637</v>
      </c>
      <c r="AZ38" s="102">
        <f t="shared" si="7"/>
        <v>0.29905484923217357</v>
      </c>
    </row>
    <row r="39" spans="1:52" x14ac:dyDescent="0.35">
      <c r="A39" t="s">
        <v>975</v>
      </c>
      <c r="B39">
        <v>2015</v>
      </c>
      <c r="C39" t="s">
        <v>837</v>
      </c>
      <c r="D39" t="s">
        <v>995</v>
      </c>
      <c r="E39" t="s">
        <v>977</v>
      </c>
      <c r="F39" t="s">
        <v>978</v>
      </c>
      <c r="G39" s="357">
        <v>75263.903999999995</v>
      </c>
      <c r="H39" s="198">
        <v>14710</v>
      </c>
      <c r="I39" s="198">
        <v>0</v>
      </c>
      <c r="J39" s="198">
        <v>0</v>
      </c>
      <c r="K39" s="198">
        <v>0</v>
      </c>
      <c r="L39" s="198">
        <v>61.624000000000009</v>
      </c>
      <c r="M39" s="198">
        <v>10536.94656</v>
      </c>
      <c r="N39" s="198">
        <v>75</v>
      </c>
      <c r="O39" s="198">
        <v>0</v>
      </c>
      <c r="P39" s="198">
        <v>2478.4079999999999</v>
      </c>
      <c r="Q39" s="198">
        <v>0</v>
      </c>
      <c r="R39" s="198">
        <v>0</v>
      </c>
      <c r="S39" s="198">
        <v>0</v>
      </c>
      <c r="T39" s="198">
        <v>0</v>
      </c>
      <c r="U39" s="198">
        <v>524.02103056673286</v>
      </c>
      <c r="V39" s="198">
        <v>943.14714099029493</v>
      </c>
      <c r="W39" s="198">
        <v>33.55263157894737</v>
      </c>
      <c r="X39" s="198">
        <v>0</v>
      </c>
      <c r="Y39" s="198">
        <v>200.2</v>
      </c>
      <c r="Z39" s="271">
        <v>29562.899363135974</v>
      </c>
      <c r="AA39" s="272">
        <v>0</v>
      </c>
      <c r="AB39" s="198">
        <v>0</v>
      </c>
      <c r="AC39" s="272">
        <v>368.70974209662904</v>
      </c>
      <c r="AD39" s="198">
        <v>1.3273550715478646</v>
      </c>
      <c r="AE39" s="198">
        <v>1.3273550715478646</v>
      </c>
      <c r="AF39" s="198">
        <v>0</v>
      </c>
      <c r="AG39" s="198">
        <v>0</v>
      </c>
      <c r="AH39" s="198">
        <v>0</v>
      </c>
      <c r="AI39" s="198">
        <v>0</v>
      </c>
      <c r="AJ39" s="198">
        <v>0</v>
      </c>
      <c r="AK39" s="198">
        <v>0</v>
      </c>
      <c r="AL39" s="198">
        <v>0</v>
      </c>
      <c r="AM39" s="198">
        <v>1.9624126830492764E-2</v>
      </c>
      <c r="AN39" s="198">
        <v>5.0150546344592496E-3</v>
      </c>
      <c r="AO39" s="198">
        <v>0</v>
      </c>
      <c r="AP39" s="198">
        <v>7.1703529117028611E-4</v>
      </c>
      <c r="AQ39" s="198">
        <v>8.9645940573377151E-4</v>
      </c>
      <c r="AS39" s="258">
        <f t="shared" si="3"/>
        <v>39658.629495646906</v>
      </c>
      <c r="AT39" s="3">
        <f t="shared" si="0"/>
        <v>0</v>
      </c>
      <c r="AU39" s="3">
        <f t="shared" si="1"/>
        <v>0</v>
      </c>
      <c r="AV39" s="95">
        <f t="shared" si="2"/>
        <v>22.910618147602683</v>
      </c>
      <c r="AW39" s="95">
        <f t="shared" si="4"/>
        <v>0.82478225331369659</v>
      </c>
      <c r="AX39" s="95">
        <f t="shared" si="8"/>
        <v>0.82478225331369659</v>
      </c>
      <c r="AY39" s="102">
        <f t="shared" si="6"/>
        <v>0</v>
      </c>
      <c r="AZ39" s="102">
        <f t="shared" si="7"/>
        <v>1</v>
      </c>
    </row>
    <row r="40" spans="1:52" x14ac:dyDescent="0.35">
      <c r="A40" t="s">
        <v>979</v>
      </c>
      <c r="B40">
        <v>2015</v>
      </c>
      <c r="C40" t="s">
        <v>837</v>
      </c>
      <c r="D40" t="s">
        <v>995</v>
      </c>
      <c r="E40" t="s">
        <v>977</v>
      </c>
      <c r="F40" t="s">
        <v>978</v>
      </c>
      <c r="G40" s="357">
        <v>117717.6888</v>
      </c>
      <c r="H40" s="198">
        <v>14710</v>
      </c>
      <c r="I40" s="198">
        <v>0</v>
      </c>
      <c r="J40" s="198">
        <v>0</v>
      </c>
      <c r="K40" s="198">
        <v>0</v>
      </c>
      <c r="L40" s="198">
        <v>61.624000000000009</v>
      </c>
      <c r="M40" s="198">
        <v>16480.476431999999</v>
      </c>
      <c r="N40" s="198">
        <v>75</v>
      </c>
      <c r="O40" s="198">
        <v>0</v>
      </c>
      <c r="P40" s="198">
        <v>2702.8440000000001</v>
      </c>
      <c r="Q40" s="198">
        <v>0</v>
      </c>
      <c r="R40" s="198">
        <v>0</v>
      </c>
      <c r="S40" s="198">
        <v>0</v>
      </c>
      <c r="T40" s="198">
        <v>0</v>
      </c>
      <c r="U40" s="198">
        <v>524.02103056673286</v>
      </c>
      <c r="V40" s="198">
        <v>943.14714099029493</v>
      </c>
      <c r="W40" s="198">
        <v>33.55263157894737</v>
      </c>
      <c r="X40" s="198">
        <v>0</v>
      </c>
      <c r="Y40" s="198">
        <v>200.2</v>
      </c>
      <c r="Z40" s="271">
        <v>35730.865235135971</v>
      </c>
      <c r="AA40" s="272">
        <v>0</v>
      </c>
      <c r="AB40" s="198">
        <v>0</v>
      </c>
      <c r="AC40" s="272">
        <v>385.35507711360657</v>
      </c>
      <c r="AD40" s="198">
        <v>1.3872782776089836</v>
      </c>
      <c r="AE40" s="198">
        <v>1.3872782776089836</v>
      </c>
      <c r="AF40" s="198">
        <v>0</v>
      </c>
      <c r="AG40" s="198">
        <v>0</v>
      </c>
      <c r="AH40" s="198">
        <v>0</v>
      </c>
      <c r="AI40" s="198">
        <v>0</v>
      </c>
      <c r="AJ40" s="198">
        <v>0</v>
      </c>
      <c r="AK40" s="198">
        <v>0</v>
      </c>
      <c r="AL40" s="198">
        <v>0</v>
      </c>
      <c r="AM40" s="198">
        <v>2.0510054508052211E-2</v>
      </c>
      <c r="AN40" s="198">
        <v>5.2414583742799959E-3</v>
      </c>
      <c r="AO40" s="198">
        <v>0</v>
      </c>
      <c r="AP40" s="198">
        <v>7.4940572047507378E-4</v>
      </c>
      <c r="AQ40" s="198">
        <v>9.369299044320364E-4</v>
      </c>
      <c r="AS40" s="258">
        <f t="shared" si="3"/>
        <v>47932.955712934905</v>
      </c>
      <c r="AT40" s="3">
        <f t="shared" si="0"/>
        <v>0</v>
      </c>
      <c r="AU40" s="3">
        <f t="shared" si="1"/>
        <v>0</v>
      </c>
      <c r="AV40" s="95">
        <f t="shared" si="2"/>
        <v>23.944913884797906</v>
      </c>
      <c r="AW40" s="95">
        <f t="shared" si="4"/>
        <v>0.86201689985272467</v>
      </c>
      <c r="AX40" s="95">
        <f t="shared" si="8"/>
        <v>0.86201689985272467</v>
      </c>
      <c r="AY40" s="102">
        <f t="shared" si="6"/>
        <v>0</v>
      </c>
      <c r="AZ40" s="102">
        <f t="shared" si="7"/>
        <v>1</v>
      </c>
    </row>
    <row r="41" spans="1:52" x14ac:dyDescent="0.35">
      <c r="A41" t="s">
        <v>980</v>
      </c>
      <c r="B41">
        <v>2015</v>
      </c>
      <c r="C41" t="s">
        <v>837</v>
      </c>
      <c r="D41" t="s">
        <v>995</v>
      </c>
      <c r="E41" t="s">
        <v>977</v>
      </c>
      <c r="F41" t="s">
        <v>978</v>
      </c>
      <c r="G41" s="357">
        <v>177031.6949</v>
      </c>
      <c r="H41" s="198">
        <v>14710</v>
      </c>
      <c r="I41" s="198">
        <v>0</v>
      </c>
      <c r="J41" s="198">
        <v>0</v>
      </c>
      <c r="K41" s="198">
        <v>0</v>
      </c>
      <c r="L41" s="198">
        <v>61.624000000000009</v>
      </c>
      <c r="M41" s="198">
        <v>24784.437286</v>
      </c>
      <c r="N41" s="198">
        <v>75</v>
      </c>
      <c r="O41" s="198">
        <v>0</v>
      </c>
      <c r="P41" s="198">
        <v>3009.192</v>
      </c>
      <c r="Q41" s="198">
        <v>0</v>
      </c>
      <c r="R41" s="198">
        <v>0</v>
      </c>
      <c r="S41" s="198">
        <v>0</v>
      </c>
      <c r="T41" s="198">
        <v>0</v>
      </c>
      <c r="U41" s="198">
        <v>524.02103056673286</v>
      </c>
      <c r="V41" s="198">
        <v>943.14714099029493</v>
      </c>
      <c r="W41" s="198">
        <v>33.55263157894737</v>
      </c>
      <c r="X41" s="198">
        <v>0</v>
      </c>
      <c r="Y41" s="198">
        <v>200.2</v>
      </c>
      <c r="Z41" s="271">
        <v>44341.174089135973</v>
      </c>
      <c r="AA41" s="272">
        <v>0</v>
      </c>
      <c r="AB41" s="198">
        <v>0</v>
      </c>
      <c r="AC41" s="272">
        <v>428.49581782641962</v>
      </c>
      <c r="AD41" s="198">
        <v>1.5425849441751107</v>
      </c>
      <c r="AE41" s="198">
        <v>1.5425849441751107</v>
      </c>
      <c r="AF41" s="198">
        <v>0</v>
      </c>
      <c r="AG41" s="198">
        <v>0</v>
      </c>
      <c r="AH41" s="198">
        <v>0</v>
      </c>
      <c r="AI41" s="198">
        <v>0</v>
      </c>
      <c r="AJ41" s="198">
        <v>0</v>
      </c>
      <c r="AK41" s="198">
        <v>0</v>
      </c>
      <c r="AL41" s="198">
        <v>0</v>
      </c>
      <c r="AM41" s="198">
        <v>2.2806167874885291E-2</v>
      </c>
      <c r="AN41" s="198">
        <v>5.828242901359559E-3</v>
      </c>
      <c r="AO41" s="198">
        <v>0</v>
      </c>
      <c r="AP41" s="198">
        <v>8.3330215728310078E-4</v>
      </c>
      <c r="AQ41" s="198">
        <v>1.041819790341771E-3</v>
      </c>
      <c r="AS41" s="258">
        <f t="shared" si="3"/>
        <v>59483.685040575903</v>
      </c>
      <c r="AT41" s="3">
        <f t="shared" si="0"/>
        <v>0</v>
      </c>
      <c r="AU41" s="3">
        <f t="shared" si="1"/>
        <v>0</v>
      </c>
      <c r="AV41" s="95">
        <f t="shared" si="2"/>
        <v>26.625561896579939</v>
      </c>
      <c r="AW41" s="95">
        <f t="shared" si="4"/>
        <v>0.95852022827687777</v>
      </c>
      <c r="AX41" s="95">
        <f t="shared" si="8"/>
        <v>0.95852022827687777</v>
      </c>
      <c r="AY41" s="102">
        <f t="shared" si="6"/>
        <v>0</v>
      </c>
      <c r="AZ41" s="102">
        <f t="shared" si="7"/>
        <v>1</v>
      </c>
    </row>
    <row r="42" spans="1:52" x14ac:dyDescent="0.35">
      <c r="A42" t="s">
        <v>981</v>
      </c>
      <c r="B42">
        <v>2015</v>
      </c>
      <c r="C42" t="s">
        <v>837</v>
      </c>
      <c r="D42" t="s">
        <v>995</v>
      </c>
      <c r="E42" t="s">
        <v>977</v>
      </c>
      <c r="F42" t="s">
        <v>978</v>
      </c>
      <c r="G42" s="357">
        <v>247807.42559999999</v>
      </c>
      <c r="H42" s="198">
        <v>14710</v>
      </c>
      <c r="I42" s="198">
        <v>0</v>
      </c>
      <c r="J42" s="198">
        <v>0</v>
      </c>
      <c r="K42" s="198">
        <v>0</v>
      </c>
      <c r="L42" s="198">
        <v>61.624000000000009</v>
      </c>
      <c r="M42" s="198">
        <v>34693.039583999998</v>
      </c>
      <c r="N42" s="198">
        <v>75</v>
      </c>
      <c r="O42" s="198">
        <v>0</v>
      </c>
      <c r="P42" s="198">
        <v>3388.2840000000006</v>
      </c>
      <c r="Q42" s="198">
        <v>0</v>
      </c>
      <c r="R42" s="198">
        <v>0</v>
      </c>
      <c r="S42" s="198">
        <v>0</v>
      </c>
      <c r="T42" s="198">
        <v>0</v>
      </c>
      <c r="U42" s="198">
        <v>524.02103056673286</v>
      </c>
      <c r="V42" s="198">
        <v>943.14714099029493</v>
      </c>
      <c r="W42" s="198">
        <v>33.55263157894737</v>
      </c>
      <c r="X42" s="198">
        <v>0</v>
      </c>
      <c r="Y42" s="198">
        <v>200.2</v>
      </c>
      <c r="Z42" s="271">
        <v>54628.868387135968</v>
      </c>
      <c r="AA42" s="272">
        <v>0</v>
      </c>
      <c r="AB42" s="198">
        <v>0</v>
      </c>
      <c r="AC42" s="272">
        <v>474.73250035828835</v>
      </c>
      <c r="AD42" s="198">
        <v>1.7090370012898379</v>
      </c>
      <c r="AE42" s="198">
        <v>1.7090370012898379</v>
      </c>
      <c r="AF42" s="198">
        <v>0</v>
      </c>
      <c r="AG42" s="198">
        <v>0</v>
      </c>
      <c r="AH42" s="198">
        <v>0</v>
      </c>
      <c r="AI42" s="198">
        <v>0</v>
      </c>
      <c r="AJ42" s="198">
        <v>0</v>
      </c>
      <c r="AK42" s="198">
        <v>0</v>
      </c>
      <c r="AL42" s="198">
        <v>0</v>
      </c>
      <c r="AM42" s="198">
        <v>2.526705897330608E-2</v>
      </c>
      <c r="AN42" s="198">
        <v>6.4571372931782039E-3</v>
      </c>
      <c r="AO42" s="198">
        <v>0</v>
      </c>
      <c r="AP42" s="198">
        <v>9.2321931795659852E-4</v>
      </c>
      <c r="AQ42" s="198">
        <v>1.1542369689872903E-3</v>
      </c>
      <c r="AS42" s="258">
        <f t="shared" si="3"/>
        <v>73284.626941342896</v>
      </c>
      <c r="AT42" s="3">
        <f t="shared" si="0"/>
        <v>0</v>
      </c>
      <c r="AU42" s="3">
        <f t="shared" si="1"/>
        <v>0</v>
      </c>
      <c r="AV42" s="95">
        <f t="shared" si="2"/>
        <v>29.498583292423501</v>
      </c>
      <c r="AW42" s="95">
        <f t="shared" si="4"/>
        <v>1.0619489985272461</v>
      </c>
      <c r="AX42" s="95">
        <f t="shared" si="8"/>
        <v>1.0619489985272461</v>
      </c>
      <c r="AY42" s="102">
        <f t="shared" si="6"/>
        <v>0</v>
      </c>
      <c r="AZ42" s="102">
        <f t="shared" si="7"/>
        <v>1</v>
      </c>
    </row>
    <row r="43" spans="1:52" x14ac:dyDescent="0.35">
      <c r="A43" t="s">
        <v>982</v>
      </c>
      <c r="B43">
        <v>2015</v>
      </c>
      <c r="C43" t="s">
        <v>837</v>
      </c>
      <c r="D43" t="s">
        <v>995</v>
      </c>
      <c r="E43" t="s">
        <v>983</v>
      </c>
      <c r="F43" t="s">
        <v>978</v>
      </c>
      <c r="G43" s="357"/>
      <c r="H43" s="198">
        <v>14710</v>
      </c>
      <c r="I43" s="198">
        <v>9307.5366339792599</v>
      </c>
      <c r="J43" s="198">
        <v>0</v>
      </c>
      <c r="K43" s="198">
        <v>0</v>
      </c>
      <c r="L43" s="198">
        <v>61.624000000000009</v>
      </c>
      <c r="M43" s="198">
        <v>0</v>
      </c>
      <c r="N43" s="198">
        <v>0</v>
      </c>
      <c r="O43" s="198">
        <v>48.429660116721465</v>
      </c>
      <c r="P43" s="198">
        <v>0</v>
      </c>
      <c r="Q43" s="198">
        <v>0</v>
      </c>
      <c r="R43" s="198">
        <v>15.008419498827607</v>
      </c>
      <c r="S43" s="198">
        <v>2323.16</v>
      </c>
      <c r="T43" s="198">
        <v>116.9</v>
      </c>
      <c r="U43" s="198">
        <v>524.02103056673286</v>
      </c>
      <c r="V43" s="198">
        <v>399.87357640373142</v>
      </c>
      <c r="W43" s="198">
        <v>0</v>
      </c>
      <c r="X43" s="198">
        <v>0</v>
      </c>
      <c r="Y43" s="198">
        <v>200.2</v>
      </c>
      <c r="Z43" s="271">
        <v>27706.753320565273</v>
      </c>
      <c r="AA43" s="272">
        <v>23.003299358137845</v>
      </c>
      <c r="AB43" s="198">
        <v>5.3558295304458188</v>
      </c>
      <c r="AC43" s="272">
        <v>0</v>
      </c>
      <c r="AD43" s="198">
        <v>0</v>
      </c>
      <c r="AE43" s="198">
        <v>5.3558295304458188</v>
      </c>
      <c r="AF43" s="198">
        <v>400.91348539786975</v>
      </c>
      <c r="AG43" s="198">
        <v>0.1762486355766229</v>
      </c>
      <c r="AH43" s="198">
        <v>9.3126735409029468E-4</v>
      </c>
      <c r="AI43" s="198">
        <v>406.44773027490481</v>
      </c>
      <c r="AJ43" s="198">
        <v>0.17102237748767535</v>
      </c>
      <c r="AK43" s="198">
        <v>3.9909360522036121</v>
      </c>
      <c r="AL43" s="198">
        <v>0.18685173036618355</v>
      </c>
      <c r="AM43" s="198">
        <v>3.3585833376083021E-2</v>
      </c>
      <c r="AN43" s="198">
        <v>1.380961332636701E-2</v>
      </c>
      <c r="AO43" s="198">
        <v>2.7650851754945395E-3</v>
      </c>
      <c r="AP43" s="198">
        <v>2.2945959033970902E-3</v>
      </c>
      <c r="AQ43" s="198">
        <v>2.1794594936492841E-3</v>
      </c>
      <c r="AS43" s="258">
        <f t="shared" si="3"/>
        <v>37168.609579538308</v>
      </c>
      <c r="AT43" s="3">
        <f t="shared" si="0"/>
        <v>10.225277495170118</v>
      </c>
      <c r="AU43" s="3">
        <f t="shared" si="1"/>
        <v>3.4324426013923959</v>
      </c>
      <c r="AV43" s="95">
        <f t="shared" si="2"/>
        <v>0</v>
      </c>
      <c r="AW43" s="95">
        <f t="shared" si="4"/>
        <v>0</v>
      </c>
      <c r="AX43" s="95">
        <f t="shared" si="8"/>
        <v>3.4324426013923959</v>
      </c>
      <c r="AY43" s="102">
        <f t="shared" si="6"/>
        <v>1</v>
      </c>
      <c r="AZ43" s="102">
        <f t="shared" si="7"/>
        <v>0</v>
      </c>
    </row>
    <row r="44" spans="1:52" x14ac:dyDescent="0.35">
      <c r="A44" t="s">
        <v>984</v>
      </c>
      <c r="B44">
        <v>2015</v>
      </c>
      <c r="C44" t="s">
        <v>837</v>
      </c>
      <c r="D44" t="s">
        <v>995</v>
      </c>
      <c r="E44" t="s">
        <v>240</v>
      </c>
      <c r="F44" t="s">
        <v>978</v>
      </c>
      <c r="G44" s="357"/>
      <c r="H44" s="198">
        <v>14710</v>
      </c>
      <c r="I44" s="198">
        <v>10196.381509999999</v>
      </c>
      <c r="J44" s="198">
        <v>0</v>
      </c>
      <c r="K44" s="198">
        <v>0</v>
      </c>
      <c r="L44" s="198">
        <v>61.624000000000009</v>
      </c>
      <c r="M44" s="198">
        <v>0</v>
      </c>
      <c r="N44" s="198">
        <v>0</v>
      </c>
      <c r="O44" s="198">
        <v>48.429660116721465</v>
      </c>
      <c r="P44" s="198">
        <v>0</v>
      </c>
      <c r="Q44" s="198">
        <v>0</v>
      </c>
      <c r="R44" s="198">
        <v>15.008419498827607</v>
      </c>
      <c r="S44" s="198">
        <v>2323.16</v>
      </c>
      <c r="T44" s="198">
        <v>116.9</v>
      </c>
      <c r="U44" s="198">
        <v>524.02103056673286</v>
      </c>
      <c r="V44" s="198">
        <v>377.99042999920363</v>
      </c>
      <c r="W44" s="198">
        <v>0</v>
      </c>
      <c r="X44" s="198">
        <v>0</v>
      </c>
      <c r="Y44" s="198">
        <v>200.2</v>
      </c>
      <c r="Z44" s="271">
        <v>28573.715050181487</v>
      </c>
      <c r="AA44" s="272">
        <v>18.898676856072942</v>
      </c>
      <c r="AB44" s="198">
        <v>6.5190674954797219</v>
      </c>
      <c r="AC44" s="272">
        <v>0</v>
      </c>
      <c r="AD44" s="198">
        <v>0</v>
      </c>
      <c r="AE44" s="198">
        <v>6.5190674954797219</v>
      </c>
      <c r="AF44" s="198">
        <v>0</v>
      </c>
      <c r="AG44" s="198">
        <v>0</v>
      </c>
      <c r="AH44" s="198">
        <v>0</v>
      </c>
      <c r="AI44" s="198">
        <v>0</v>
      </c>
      <c r="AJ44" s="198">
        <v>0</v>
      </c>
      <c r="AK44" s="198">
        <v>0</v>
      </c>
      <c r="AL44" s="198">
        <v>0</v>
      </c>
      <c r="AM44" s="198">
        <v>0</v>
      </c>
      <c r="AN44" s="198">
        <v>0</v>
      </c>
      <c r="AO44" s="198">
        <v>0</v>
      </c>
      <c r="AP44" s="198">
        <v>0</v>
      </c>
      <c r="AQ44" s="198">
        <v>0</v>
      </c>
      <c r="AS44" s="258">
        <f t="shared" si="3"/>
        <v>38331.63873981846</v>
      </c>
      <c r="AT44" s="3">
        <f t="shared" si="0"/>
        <v>12.446115727188785</v>
      </c>
      <c r="AU44" s="3">
        <f t="shared" si="1"/>
        <v>4.177938238257263</v>
      </c>
      <c r="AV44" s="95">
        <f t="shared" si="2"/>
        <v>0</v>
      </c>
      <c r="AW44" s="95">
        <f t="shared" si="4"/>
        <v>0</v>
      </c>
      <c r="AX44" s="95">
        <f t="shared" si="8"/>
        <v>4.177938238257263</v>
      </c>
      <c r="AY44" s="102">
        <f t="shared" si="6"/>
        <v>1</v>
      </c>
      <c r="AZ44" s="102">
        <f t="shared" si="7"/>
        <v>0</v>
      </c>
    </row>
    <row r="45" spans="1:52" x14ac:dyDescent="0.35">
      <c r="A45" t="s">
        <v>985</v>
      </c>
      <c r="B45">
        <v>2015</v>
      </c>
      <c r="C45" t="s">
        <v>837</v>
      </c>
      <c r="D45" t="s">
        <v>995</v>
      </c>
      <c r="E45" t="s">
        <v>986</v>
      </c>
      <c r="F45" t="s">
        <v>978</v>
      </c>
      <c r="G45" s="357"/>
      <c r="H45" s="198">
        <v>14710</v>
      </c>
      <c r="I45" s="198">
        <v>4773.7953879999995</v>
      </c>
      <c r="J45" s="198">
        <v>0</v>
      </c>
      <c r="K45" s="198">
        <v>0</v>
      </c>
      <c r="L45" s="198">
        <v>61.624000000000009</v>
      </c>
      <c r="M45" s="198">
        <v>0</v>
      </c>
      <c r="N45" s="198">
        <v>0</v>
      </c>
      <c r="O45" s="198">
        <v>48.429660116721465</v>
      </c>
      <c r="P45" s="198">
        <v>0</v>
      </c>
      <c r="Q45" s="198">
        <v>0</v>
      </c>
      <c r="R45" s="198">
        <v>15.008419498827607</v>
      </c>
      <c r="S45" s="198">
        <v>2323.16</v>
      </c>
      <c r="T45" s="198">
        <v>116.9</v>
      </c>
      <c r="U45" s="198">
        <v>524.02103056673286</v>
      </c>
      <c r="V45" s="198">
        <v>377.6740551728812</v>
      </c>
      <c r="W45" s="198">
        <v>0</v>
      </c>
      <c r="X45" s="198">
        <v>0</v>
      </c>
      <c r="Y45" s="198">
        <v>200.2</v>
      </c>
      <c r="Z45" s="271">
        <v>23150.812553355161</v>
      </c>
      <c r="AA45" s="272">
        <v>18.713708814553527</v>
      </c>
      <c r="AB45" s="198">
        <v>6.5835025660005364</v>
      </c>
      <c r="AC45" s="272">
        <v>0</v>
      </c>
      <c r="AD45" s="198">
        <v>0</v>
      </c>
      <c r="AE45" s="198">
        <v>6.5835025660005364</v>
      </c>
      <c r="AF45" s="198">
        <v>492.81160740031794</v>
      </c>
      <c r="AG45" s="198">
        <v>0.21664867001026528</v>
      </c>
      <c r="AH45" s="198">
        <v>1.1447341593741206E-3</v>
      </c>
      <c r="AI45" s="198">
        <v>499.61442200480047</v>
      </c>
      <c r="AJ45" s="198">
        <v>0.21022443948844297</v>
      </c>
      <c r="AK45" s="198">
        <v>4.9057457096173591</v>
      </c>
      <c r="AL45" s="198">
        <v>0.22968222557020276</v>
      </c>
      <c r="AM45" s="198">
        <v>4.1284439498264547E-2</v>
      </c>
      <c r="AN45" s="198">
        <v>1.697507813734404E-2</v>
      </c>
      <c r="AO45" s="198">
        <v>3.3989030540639798E-3</v>
      </c>
      <c r="AP45" s="198">
        <v>2.8205673709505836E-3</v>
      </c>
      <c r="AQ45" s="198">
        <v>2.6790391828882434E-3</v>
      </c>
      <c r="AS45" s="258">
        <f t="shared" si="3"/>
        <v>31056.815040325946</v>
      </c>
      <c r="AT45" s="3">
        <f t="shared" si="0"/>
        <v>12.569134294667602</v>
      </c>
      <c r="AU45" s="3">
        <f t="shared" si="1"/>
        <v>4.2192333690716595</v>
      </c>
      <c r="AV45" s="95">
        <f t="shared" si="2"/>
        <v>0</v>
      </c>
      <c r="AW45" s="95">
        <f t="shared" si="4"/>
        <v>0</v>
      </c>
      <c r="AX45" s="95">
        <f t="shared" si="8"/>
        <v>4.2192333690716595</v>
      </c>
      <c r="AY45" s="102">
        <f t="shared" si="6"/>
        <v>1</v>
      </c>
      <c r="AZ45" s="102">
        <f t="shared" si="7"/>
        <v>0</v>
      </c>
    </row>
    <row r="46" spans="1:52" x14ac:dyDescent="0.35">
      <c r="A46" t="s">
        <v>987</v>
      </c>
      <c r="B46">
        <v>2015</v>
      </c>
      <c r="C46" t="s">
        <v>837</v>
      </c>
      <c r="D46" t="s">
        <v>995</v>
      </c>
      <c r="E46" t="s">
        <v>986</v>
      </c>
      <c r="F46" t="s">
        <v>978</v>
      </c>
      <c r="G46" s="357">
        <v>30122.474399999999</v>
      </c>
      <c r="H46" s="198">
        <v>14710</v>
      </c>
      <c r="I46" s="198">
        <v>5566.9967729999998</v>
      </c>
      <c r="J46" s="198">
        <v>0</v>
      </c>
      <c r="K46" s="198">
        <v>0</v>
      </c>
      <c r="L46" s="198">
        <v>61.624000000000009</v>
      </c>
      <c r="M46" s="198">
        <v>6024.4948799999993</v>
      </c>
      <c r="N46" s="198">
        <v>75</v>
      </c>
      <c r="O46" s="198">
        <v>0</v>
      </c>
      <c r="P46" s="198">
        <v>2252.16</v>
      </c>
      <c r="Q46" s="198">
        <v>1433.0880000000002</v>
      </c>
      <c r="R46" s="198">
        <v>0</v>
      </c>
      <c r="S46" s="198">
        <v>1474.3494929999999</v>
      </c>
      <c r="T46" s="198">
        <v>0</v>
      </c>
      <c r="U46" s="198">
        <v>524.02103056673286</v>
      </c>
      <c r="V46" s="198">
        <v>995.84274386161781</v>
      </c>
      <c r="W46" s="198">
        <v>33.55263157894737</v>
      </c>
      <c r="X46" s="198">
        <v>0</v>
      </c>
      <c r="Y46" s="198">
        <v>200.2</v>
      </c>
      <c r="Z46" s="271">
        <v>33351.329552007293</v>
      </c>
      <c r="AA46" s="272">
        <v>130.419023827887</v>
      </c>
      <c r="AB46" s="198">
        <v>0.94466088139555793</v>
      </c>
      <c r="AC46" s="272">
        <v>366.13228361809536</v>
      </c>
      <c r="AD46" s="198">
        <v>1.3180762210251433</v>
      </c>
      <c r="AE46" s="198">
        <v>2.2627371024207013</v>
      </c>
      <c r="AF46" s="198">
        <v>70.713095763485128</v>
      </c>
      <c r="AG46" s="198">
        <v>3.108672344444802E-2</v>
      </c>
      <c r="AH46" s="198">
        <v>1.6425687832835451E-4</v>
      </c>
      <c r="AI46" s="198">
        <v>71.689225532679558</v>
      </c>
      <c r="AJ46" s="198">
        <v>3.0164916365891713E-2</v>
      </c>
      <c r="AK46" s="198">
        <v>0.70392105410310757</v>
      </c>
      <c r="AL46" s="198">
        <v>3.2956896647774986E-2</v>
      </c>
      <c r="AM46" s="198">
        <v>2.5410811957096331E-2</v>
      </c>
      <c r="AN46" s="198">
        <v>7.4157357344590644E-3</v>
      </c>
      <c r="AO46" s="198">
        <v>4.8770555227119683E-4</v>
      </c>
      <c r="AP46" s="198">
        <v>1.1167435530809557E-3</v>
      </c>
      <c r="AQ46" s="198">
        <v>1.2746056539334107E-3</v>
      </c>
      <c r="AS46" s="258">
        <f t="shared" si="3"/>
        <v>44740.808594017784</v>
      </c>
      <c r="AT46" s="3">
        <f t="shared" si="0"/>
        <v>1.8035338123051723</v>
      </c>
      <c r="AU46" s="3">
        <f t="shared" si="1"/>
        <v>0.60541401378417248</v>
      </c>
      <c r="AV46" s="95">
        <f t="shared" si="2"/>
        <v>22.750461904761913</v>
      </c>
      <c r="AW46" s="95">
        <f t="shared" si="4"/>
        <v>0.81901662857142898</v>
      </c>
      <c r="AX46" s="95">
        <f t="shared" si="8"/>
        <v>1.4244306423556015</v>
      </c>
      <c r="AY46" s="102">
        <f t="shared" si="6"/>
        <v>0.42502175661076108</v>
      </c>
      <c r="AZ46" s="102">
        <f t="shared" si="7"/>
        <v>0.57497824338923897</v>
      </c>
    </row>
    <row r="47" spans="1:52" x14ac:dyDescent="0.35">
      <c r="A47" t="s">
        <v>988</v>
      </c>
      <c r="B47">
        <v>2015</v>
      </c>
      <c r="C47" t="s">
        <v>837</v>
      </c>
      <c r="D47" t="s">
        <v>995</v>
      </c>
      <c r="E47" t="s">
        <v>989</v>
      </c>
      <c r="F47" t="s">
        <v>978</v>
      </c>
      <c r="G47" s="357">
        <v>2106</v>
      </c>
      <c r="H47" s="198">
        <v>14710</v>
      </c>
      <c r="I47" s="198">
        <v>0</v>
      </c>
      <c r="J47" s="198">
        <v>12513.171999999999</v>
      </c>
      <c r="K47" s="198">
        <v>3361.6386000000002</v>
      </c>
      <c r="L47" s="198">
        <v>61.624000000000009</v>
      </c>
      <c r="M47" s="198">
        <v>1213.6807800000001</v>
      </c>
      <c r="N47" s="198">
        <v>0</v>
      </c>
      <c r="O47" s="198">
        <v>0</v>
      </c>
      <c r="P47" s="198">
        <v>2478.42</v>
      </c>
      <c r="Q47" s="198">
        <v>0</v>
      </c>
      <c r="R47" s="198">
        <v>0</v>
      </c>
      <c r="S47" s="198">
        <v>0</v>
      </c>
      <c r="T47" s="198">
        <v>0</v>
      </c>
      <c r="U47" s="198">
        <v>524.02103056673286</v>
      </c>
      <c r="V47" s="198">
        <v>943.14714099029493</v>
      </c>
      <c r="W47" s="198">
        <v>25.657894736842106</v>
      </c>
      <c r="X47" s="198">
        <v>485.47231200000004</v>
      </c>
      <c r="Y47" s="198">
        <v>200.2</v>
      </c>
      <c r="Z47" s="271">
        <v>36517.033758293859</v>
      </c>
      <c r="AA47" s="272">
        <v>41.388295589622487</v>
      </c>
      <c r="AB47" s="198">
        <v>2.9767292478429832</v>
      </c>
      <c r="AC47" s="272">
        <v>0</v>
      </c>
      <c r="AD47" s="198">
        <v>0</v>
      </c>
      <c r="AE47" s="198">
        <v>2.9767292478429832</v>
      </c>
      <c r="AF47" s="198">
        <v>0</v>
      </c>
      <c r="AG47" s="198">
        <v>0</v>
      </c>
      <c r="AH47" s="198">
        <v>0</v>
      </c>
      <c r="AI47" s="198">
        <v>0</v>
      </c>
      <c r="AJ47" s="198">
        <v>0</v>
      </c>
      <c r="AK47" s="198">
        <v>0</v>
      </c>
      <c r="AL47" s="198">
        <v>0</v>
      </c>
      <c r="AM47" s="198">
        <v>2.7828201255458384E-2</v>
      </c>
      <c r="AN47" s="198">
        <v>7.1116514319504876E-3</v>
      </c>
      <c r="AO47" s="198">
        <v>0</v>
      </c>
      <c r="AP47" s="198">
        <v>1.0167995020776179E-3</v>
      </c>
      <c r="AQ47" s="198">
        <v>1.2712337713464417E-3</v>
      </c>
      <c r="AS47" s="258">
        <f t="shared" si="3"/>
        <v>48987.600786751209</v>
      </c>
      <c r="AT47" s="3">
        <f t="shared" si="0"/>
        <v>5.6831313271186001</v>
      </c>
      <c r="AU47" s="3">
        <f t="shared" si="1"/>
        <v>1.9077254466417828</v>
      </c>
      <c r="AV47" s="95">
        <f t="shared" si="2"/>
        <v>0</v>
      </c>
      <c r="AW47" s="95">
        <f t="shared" si="4"/>
        <v>0</v>
      </c>
      <c r="AX47" s="95">
        <f t="shared" si="8"/>
        <v>1.9077254466417828</v>
      </c>
      <c r="AY47" s="102">
        <f t="shared" si="6"/>
        <v>1</v>
      </c>
      <c r="AZ47" s="102">
        <f t="shared" si="7"/>
        <v>0</v>
      </c>
    </row>
    <row r="48" spans="1:52" x14ac:dyDescent="0.35">
      <c r="A48" t="s">
        <v>990</v>
      </c>
      <c r="B48">
        <v>2015</v>
      </c>
      <c r="C48" t="s">
        <v>837</v>
      </c>
      <c r="D48" t="s">
        <v>995</v>
      </c>
      <c r="E48" t="s">
        <v>989</v>
      </c>
      <c r="F48" t="s">
        <v>978</v>
      </c>
      <c r="G48" s="357">
        <v>2106</v>
      </c>
      <c r="H48" s="198">
        <v>14710</v>
      </c>
      <c r="I48" s="198">
        <v>0</v>
      </c>
      <c r="J48" s="198">
        <v>12895.756000000001</v>
      </c>
      <c r="K48" s="198">
        <v>4161.2790000000005</v>
      </c>
      <c r="L48" s="198">
        <v>61.624000000000009</v>
      </c>
      <c r="M48" s="198">
        <v>1213.6807800000001</v>
      </c>
      <c r="N48" s="198">
        <v>0</v>
      </c>
      <c r="O48" s="198">
        <v>0</v>
      </c>
      <c r="P48" s="198">
        <v>2537.9759999999997</v>
      </c>
      <c r="Q48" s="198">
        <v>0</v>
      </c>
      <c r="R48" s="198">
        <v>0</v>
      </c>
      <c r="S48" s="198">
        <v>0</v>
      </c>
      <c r="T48" s="198">
        <v>0</v>
      </c>
      <c r="U48" s="198">
        <v>524.02103056673286</v>
      </c>
      <c r="V48" s="198">
        <v>943.14714099029493</v>
      </c>
      <c r="W48" s="198">
        <v>25.657894736842106</v>
      </c>
      <c r="X48" s="198">
        <v>485.47231200000004</v>
      </c>
      <c r="Y48" s="198">
        <v>200.2</v>
      </c>
      <c r="Z48" s="271">
        <v>37758.81415829387</v>
      </c>
      <c r="AA48" s="272">
        <v>40.791888919143638</v>
      </c>
      <c r="AB48" s="198">
        <v>3.0202511642499945</v>
      </c>
      <c r="AC48" s="272">
        <v>0</v>
      </c>
      <c r="AD48" s="198">
        <v>0</v>
      </c>
      <c r="AE48" s="198">
        <v>3.0202511642499945</v>
      </c>
      <c r="AF48" s="198">
        <v>0</v>
      </c>
      <c r="AG48" s="198">
        <v>0</v>
      </c>
      <c r="AH48" s="198">
        <v>0</v>
      </c>
      <c r="AI48" s="198">
        <v>0</v>
      </c>
      <c r="AJ48" s="198">
        <v>0</v>
      </c>
      <c r="AK48" s="198">
        <v>0</v>
      </c>
      <c r="AL48" s="198">
        <v>0</v>
      </c>
      <c r="AM48" s="198">
        <v>2.8235069515201917E-2</v>
      </c>
      <c r="AN48" s="198">
        <v>7.2156288761071686E-3</v>
      </c>
      <c r="AO48" s="198">
        <v>0</v>
      </c>
      <c r="AP48" s="198">
        <v>1.0316658400101588E-3</v>
      </c>
      <c r="AQ48" s="198">
        <v>1.2898201207668333E-3</v>
      </c>
      <c r="AS48" s="258">
        <f t="shared" si="3"/>
        <v>50653.449193351225</v>
      </c>
      <c r="AT48" s="3">
        <f t="shared" si="0"/>
        <v>5.7662227828592085</v>
      </c>
      <c r="AU48" s="3">
        <f t="shared" si="1"/>
        <v>1.9356177608240133</v>
      </c>
      <c r="AV48" s="95">
        <f t="shared" si="2"/>
        <v>0</v>
      </c>
      <c r="AW48" s="95">
        <f t="shared" si="4"/>
        <v>0</v>
      </c>
      <c r="AX48" s="95">
        <f t="shared" si="8"/>
        <v>1.9356177608240133</v>
      </c>
      <c r="AY48" s="102">
        <f t="shared" si="6"/>
        <v>1</v>
      </c>
      <c r="AZ48" s="102">
        <f t="shared" si="7"/>
        <v>0</v>
      </c>
    </row>
    <row r="49" spans="1:52" x14ac:dyDescent="0.35">
      <c r="A49" t="s">
        <v>991</v>
      </c>
      <c r="B49">
        <v>2015</v>
      </c>
      <c r="C49" t="s">
        <v>837</v>
      </c>
      <c r="D49" t="s">
        <v>995</v>
      </c>
      <c r="E49" t="s">
        <v>986</v>
      </c>
      <c r="F49" t="s">
        <v>978</v>
      </c>
      <c r="G49" s="357">
        <v>2948.4</v>
      </c>
      <c r="H49" s="198">
        <v>14710</v>
      </c>
      <c r="I49" s="198">
        <v>5566.99677289378</v>
      </c>
      <c r="J49" s="198">
        <v>0</v>
      </c>
      <c r="K49" s="198">
        <v>0</v>
      </c>
      <c r="L49" s="198">
        <v>61.624000000000009</v>
      </c>
      <c r="M49" s="198">
        <v>1699.1530920000002</v>
      </c>
      <c r="N49" s="198">
        <v>0</v>
      </c>
      <c r="O49" s="198">
        <v>0</v>
      </c>
      <c r="P49" s="198">
        <v>1680.5519999999999</v>
      </c>
      <c r="Q49" s="198">
        <v>1227.8399999999999</v>
      </c>
      <c r="R49" s="198">
        <v>0</v>
      </c>
      <c r="S49" s="198">
        <v>1375.0694094625701</v>
      </c>
      <c r="T49" s="198">
        <v>0</v>
      </c>
      <c r="U49" s="198">
        <v>524.02103056673286</v>
      </c>
      <c r="V49" s="198">
        <v>1001.0150530863771</v>
      </c>
      <c r="W49" s="198">
        <v>25.657894736842106</v>
      </c>
      <c r="X49" s="198">
        <v>679.6612368000001</v>
      </c>
      <c r="Y49" s="198">
        <v>200.2</v>
      </c>
      <c r="Z49" s="271">
        <v>28751.7904895463</v>
      </c>
      <c r="AA49" s="272">
        <v>30.856315198850478</v>
      </c>
      <c r="AB49" s="198">
        <v>3.9927564003037461</v>
      </c>
      <c r="AC49" s="272">
        <v>0</v>
      </c>
      <c r="AD49" s="198">
        <v>0</v>
      </c>
      <c r="AE49" s="198">
        <v>3.9927564003037461</v>
      </c>
      <c r="AF49" s="198">
        <v>298.8799168626976</v>
      </c>
      <c r="AG49" s="198">
        <v>0.13139288017719752</v>
      </c>
      <c r="AH49" s="198">
        <v>6.9425728867969516E-4</v>
      </c>
      <c r="AI49" s="198">
        <v>303.0056814203665</v>
      </c>
      <c r="AJ49" s="198">
        <v>0.12749671893538378</v>
      </c>
      <c r="AK49" s="198">
        <v>2.9752320112235768</v>
      </c>
      <c r="AL49" s="198">
        <v>0.13929745860774395</v>
      </c>
      <c r="AM49" s="198">
        <v>2.5038147762094318E-2</v>
      </c>
      <c r="AN49" s="198">
        <v>1.0295029309863427E-2</v>
      </c>
      <c r="AO49" s="198">
        <v>2.061363504771937E-3</v>
      </c>
      <c r="AP49" s="198">
        <v>1.7106150274795739E-3</v>
      </c>
      <c r="AQ49" s="198">
        <v>1.6247811460396841E-3</v>
      </c>
      <c r="AS49" s="258">
        <f t="shared" si="3"/>
        <v>38570.526941726355</v>
      </c>
      <c r="AT49" s="3">
        <f t="shared" si="0"/>
        <v>7.6229166614875279</v>
      </c>
      <c r="AU49" s="3">
        <f t="shared" si="1"/>
        <v>2.558876657197104</v>
      </c>
      <c r="AV49" s="95">
        <f t="shared" si="2"/>
        <v>0</v>
      </c>
      <c r="AW49" s="95">
        <f t="shared" si="4"/>
        <v>0</v>
      </c>
      <c r="AX49" s="95">
        <f t="shared" si="8"/>
        <v>2.558876657197104</v>
      </c>
      <c r="AY49" s="102">
        <f t="shared" si="6"/>
        <v>1</v>
      </c>
      <c r="AZ49" s="102">
        <f t="shared" si="7"/>
        <v>0</v>
      </c>
    </row>
    <row r="50" spans="1:52" x14ac:dyDescent="0.35">
      <c r="A50" t="s">
        <v>992</v>
      </c>
      <c r="B50">
        <v>2015</v>
      </c>
      <c r="C50" t="s">
        <v>837</v>
      </c>
      <c r="D50" t="s">
        <v>995</v>
      </c>
      <c r="E50" t="s">
        <v>986</v>
      </c>
      <c r="F50" t="s">
        <v>978</v>
      </c>
      <c r="G50" s="357">
        <v>13405.4136</v>
      </c>
      <c r="H50" s="198">
        <v>14710</v>
      </c>
      <c r="I50" s="198">
        <v>5566.99677289378</v>
      </c>
      <c r="J50" s="198">
        <v>0</v>
      </c>
      <c r="K50" s="198">
        <v>0</v>
      </c>
      <c r="L50" s="198">
        <v>61.624000000000009</v>
      </c>
      <c r="M50" s="198">
        <v>2681.0827199999999</v>
      </c>
      <c r="N50" s="198">
        <v>75</v>
      </c>
      <c r="O50" s="198">
        <v>0</v>
      </c>
      <c r="P50" s="198">
        <v>1864.3319999999999</v>
      </c>
      <c r="Q50" s="198">
        <v>1293.8519999999999</v>
      </c>
      <c r="R50" s="198">
        <v>0</v>
      </c>
      <c r="S50" s="198">
        <v>1408.40431082276</v>
      </c>
      <c r="T50" s="198">
        <v>0</v>
      </c>
      <c r="U50" s="198">
        <v>524.02103056673286</v>
      </c>
      <c r="V50" s="198">
        <v>1004.1258515878745</v>
      </c>
      <c r="W50" s="198">
        <v>25.657894736842106</v>
      </c>
      <c r="X50" s="198">
        <v>639.09038399999997</v>
      </c>
      <c r="Y50" s="198">
        <v>200.2</v>
      </c>
      <c r="Z50" s="271">
        <v>30054.386964607987</v>
      </c>
      <c r="AA50" s="272">
        <v>57.299497133110322</v>
      </c>
      <c r="AB50" s="198">
        <v>2.1501366707249567</v>
      </c>
      <c r="AC50" s="272">
        <v>257.336202516627</v>
      </c>
      <c r="AD50" s="198">
        <v>0.92641032905985721</v>
      </c>
      <c r="AE50" s="198">
        <v>3.0765469997848141</v>
      </c>
      <c r="AF50" s="198">
        <v>160.94963102202394</v>
      </c>
      <c r="AG50" s="198">
        <v>7.0756295054632115E-2</v>
      </c>
      <c r="AH50" s="198">
        <v>3.7386404419631892E-4</v>
      </c>
      <c r="AI50" s="198">
        <v>163.17139382967892</v>
      </c>
      <c r="AJ50" s="198">
        <v>6.8658175780327332E-2</v>
      </c>
      <c r="AK50" s="198">
        <v>1.6021902690481993</v>
      </c>
      <c r="AL50" s="198">
        <v>7.5012984480725436E-2</v>
      </c>
      <c r="AM50" s="198">
        <v>1.3483276782478768E-2</v>
      </c>
      <c r="AN50" s="198">
        <v>5.5439695854326704E-3</v>
      </c>
      <c r="AO50" s="198">
        <v>1.1100635297878636E-3</v>
      </c>
      <c r="AP50" s="198">
        <v>9.2118219378402495E-4</v>
      </c>
      <c r="AQ50" s="198">
        <v>8.7495984571878225E-4</v>
      </c>
      <c r="AS50" s="258">
        <f t="shared" si="3"/>
        <v>40317.960113021611</v>
      </c>
      <c r="AT50" s="3">
        <f t="shared" si="0"/>
        <v>4.1050119287261575</v>
      </c>
      <c r="AU50" s="3">
        <f t="shared" si="1"/>
        <v>1.3779790162212324</v>
      </c>
      <c r="AV50" s="95">
        <f t="shared" si="2"/>
        <v>15.990170039682543</v>
      </c>
      <c r="AW50" s="95">
        <f t="shared" si="4"/>
        <v>0.57564612142857152</v>
      </c>
      <c r="AX50" s="95">
        <f t="shared" si="8"/>
        <v>1.9536251376498039</v>
      </c>
      <c r="AY50" s="102">
        <f t="shared" si="6"/>
        <v>0.70534463836748673</v>
      </c>
      <c r="AZ50" s="102">
        <f t="shared" si="7"/>
        <v>0.29465536163251327</v>
      </c>
    </row>
    <row r="51" spans="1:52" x14ac:dyDescent="0.35">
      <c r="A51" t="s">
        <v>975</v>
      </c>
      <c r="B51">
        <v>2015</v>
      </c>
      <c r="C51" t="s">
        <v>837</v>
      </c>
      <c r="D51" t="s">
        <v>996</v>
      </c>
      <c r="E51" t="s">
        <v>977</v>
      </c>
      <c r="F51" t="s">
        <v>978</v>
      </c>
      <c r="G51" s="357">
        <v>56771.4787</v>
      </c>
      <c r="H51" s="198">
        <v>12617</v>
      </c>
      <c r="I51" s="198">
        <v>0</v>
      </c>
      <c r="J51" s="198">
        <v>0</v>
      </c>
      <c r="K51" s="198">
        <v>0</v>
      </c>
      <c r="L51" s="198">
        <v>61.624000000000009</v>
      </c>
      <c r="M51" s="198">
        <v>7948.0070180000002</v>
      </c>
      <c r="N51" s="198">
        <v>75</v>
      </c>
      <c r="O51" s="198">
        <v>0</v>
      </c>
      <c r="P51" s="198">
        <v>1633.0920000000001</v>
      </c>
      <c r="Q51" s="198">
        <v>0</v>
      </c>
      <c r="R51" s="198">
        <v>0</v>
      </c>
      <c r="S51" s="198">
        <v>0</v>
      </c>
      <c r="T51" s="198">
        <v>0</v>
      </c>
      <c r="U51" s="198">
        <v>384.2509739196214</v>
      </c>
      <c r="V51" s="198">
        <v>943.14714099029493</v>
      </c>
      <c r="W51" s="198">
        <v>33.55263157894737</v>
      </c>
      <c r="X51" s="198">
        <v>0</v>
      </c>
      <c r="Y51" s="198">
        <v>200.2</v>
      </c>
      <c r="Z51" s="271">
        <v>23895.873764488864</v>
      </c>
      <c r="AA51" s="272">
        <v>0</v>
      </c>
      <c r="AB51" s="198">
        <v>0</v>
      </c>
      <c r="AC51" s="272">
        <v>276.19868816515293</v>
      </c>
      <c r="AD51" s="198">
        <v>0.9943152773945505</v>
      </c>
      <c r="AE51" s="198">
        <v>0.9943152773945505</v>
      </c>
      <c r="AF51" s="198">
        <v>0</v>
      </c>
      <c r="AG51" s="198">
        <v>0</v>
      </c>
      <c r="AH51" s="198">
        <v>0</v>
      </c>
      <c r="AI51" s="198">
        <v>0</v>
      </c>
      <c r="AJ51" s="198">
        <v>0</v>
      </c>
      <c r="AK51" s="198">
        <v>0</v>
      </c>
      <c r="AL51" s="198">
        <v>0</v>
      </c>
      <c r="AM51" s="198">
        <v>1.470033868958147E-2</v>
      </c>
      <c r="AN51" s="198">
        <v>3.7567532206708104E-3</v>
      </c>
      <c r="AO51" s="198">
        <v>0</v>
      </c>
      <c r="AP51" s="198">
        <v>5.3712767572452525E-4</v>
      </c>
      <c r="AQ51" s="198">
        <v>6.7153341392343956E-4</v>
      </c>
      <c r="AS51" s="258">
        <f t="shared" si="3"/>
        <v>32056.314655061808</v>
      </c>
      <c r="AT51" s="3">
        <f t="shared" si="0"/>
        <v>0</v>
      </c>
      <c r="AU51" s="3">
        <f t="shared" si="1"/>
        <v>0</v>
      </c>
      <c r="AV51" s="95">
        <f t="shared" si="2"/>
        <v>17.162233472426767</v>
      </c>
      <c r="AW51" s="95">
        <f t="shared" si="4"/>
        <v>0.61784040500736359</v>
      </c>
      <c r="AX51" s="95">
        <f t="shared" si="8"/>
        <v>0.61784040500736359</v>
      </c>
      <c r="AY51" s="102">
        <f t="shared" si="6"/>
        <v>0</v>
      </c>
      <c r="AZ51" s="102">
        <f t="shared" si="7"/>
        <v>1</v>
      </c>
    </row>
    <row r="52" spans="1:52" x14ac:dyDescent="0.35">
      <c r="A52" t="s">
        <v>979</v>
      </c>
      <c r="B52">
        <v>2015</v>
      </c>
      <c r="C52" t="s">
        <v>837</v>
      </c>
      <c r="D52" t="s">
        <v>996</v>
      </c>
      <c r="E52" t="s">
        <v>977</v>
      </c>
      <c r="F52" t="s">
        <v>978</v>
      </c>
      <c r="G52" s="357">
        <v>88738.433300000004</v>
      </c>
      <c r="H52" s="198">
        <v>12617</v>
      </c>
      <c r="I52" s="198">
        <v>0</v>
      </c>
      <c r="J52" s="198">
        <v>0</v>
      </c>
      <c r="K52" s="198">
        <v>0</v>
      </c>
      <c r="L52" s="198">
        <v>61.624000000000009</v>
      </c>
      <c r="M52" s="198">
        <v>12423.380662000001</v>
      </c>
      <c r="N52" s="198">
        <v>75</v>
      </c>
      <c r="O52" s="198">
        <v>0</v>
      </c>
      <c r="P52" s="198">
        <v>1769.9279999999999</v>
      </c>
      <c r="Q52" s="198">
        <v>0</v>
      </c>
      <c r="R52" s="198">
        <v>0</v>
      </c>
      <c r="S52" s="198">
        <v>0</v>
      </c>
      <c r="T52" s="198">
        <v>0</v>
      </c>
      <c r="U52" s="198">
        <v>384.2509739196214</v>
      </c>
      <c r="V52" s="198">
        <v>943.14714099029493</v>
      </c>
      <c r="W52" s="198">
        <v>33.55263157894737</v>
      </c>
      <c r="X52" s="198">
        <v>0</v>
      </c>
      <c r="Y52" s="198">
        <v>200.2</v>
      </c>
      <c r="Z52" s="271">
        <v>28508.083408488863</v>
      </c>
      <c r="AA52" s="272">
        <v>0</v>
      </c>
      <c r="AB52" s="198">
        <v>0</v>
      </c>
      <c r="AC52" s="272">
        <v>288.95924536201119</v>
      </c>
      <c r="AD52" s="198">
        <v>1.0402532833032403</v>
      </c>
      <c r="AE52" s="198">
        <v>1.0402532833032403</v>
      </c>
      <c r="AF52" s="198">
        <v>0</v>
      </c>
      <c r="AG52" s="198">
        <v>0</v>
      </c>
      <c r="AH52" s="198">
        <v>0</v>
      </c>
      <c r="AI52" s="198">
        <v>0</v>
      </c>
      <c r="AJ52" s="198">
        <v>0</v>
      </c>
      <c r="AK52" s="198">
        <v>0</v>
      </c>
      <c r="AL52" s="198">
        <v>0</v>
      </c>
      <c r="AM52" s="198">
        <v>1.5379503800421631E-2</v>
      </c>
      <c r="AN52" s="198">
        <v>3.9303176378855179E-3</v>
      </c>
      <c r="AO52" s="198">
        <v>0</v>
      </c>
      <c r="AP52" s="198">
        <v>5.6194332012034492E-4</v>
      </c>
      <c r="AQ52" s="198">
        <v>7.025586899480949E-4</v>
      </c>
      <c r="AS52" s="258">
        <f t="shared" si="3"/>
        <v>38243.593892487806</v>
      </c>
      <c r="AT52" s="3">
        <f t="shared" si="0"/>
        <v>0</v>
      </c>
      <c r="AU52" s="3">
        <f t="shared" si="1"/>
        <v>0</v>
      </c>
      <c r="AV52" s="95">
        <f t="shared" si="2"/>
        <v>17.955139707085586</v>
      </c>
      <c r="AW52" s="95">
        <f t="shared" si="4"/>
        <v>0.64638502945508103</v>
      </c>
      <c r="AX52" s="95">
        <f t="shared" si="8"/>
        <v>0.64638502945508103</v>
      </c>
      <c r="AY52" s="102">
        <f t="shared" si="6"/>
        <v>0</v>
      </c>
      <c r="AZ52" s="102">
        <f t="shared" si="7"/>
        <v>1</v>
      </c>
    </row>
    <row r="53" spans="1:52" x14ac:dyDescent="0.35">
      <c r="A53" t="s">
        <v>980</v>
      </c>
      <c r="B53">
        <v>2015</v>
      </c>
      <c r="C53" t="s">
        <v>837</v>
      </c>
      <c r="D53" t="s">
        <v>996</v>
      </c>
      <c r="E53" t="s">
        <v>977</v>
      </c>
      <c r="F53" t="s">
        <v>978</v>
      </c>
      <c r="G53" s="357">
        <v>133580.016</v>
      </c>
      <c r="H53" s="198">
        <v>12617</v>
      </c>
      <c r="I53" s="198">
        <v>0</v>
      </c>
      <c r="J53" s="198">
        <v>0</v>
      </c>
      <c r="K53" s="198">
        <v>0</v>
      </c>
      <c r="L53" s="198">
        <v>61.624000000000009</v>
      </c>
      <c r="M53" s="198">
        <v>18701.202239999999</v>
      </c>
      <c r="N53" s="198">
        <v>75</v>
      </c>
      <c r="O53" s="198">
        <v>0</v>
      </c>
      <c r="P53" s="198">
        <v>1974.1320000000001</v>
      </c>
      <c r="Q53" s="198">
        <v>0</v>
      </c>
      <c r="R53" s="198">
        <v>0</v>
      </c>
      <c r="S53" s="198">
        <v>0</v>
      </c>
      <c r="T53" s="198">
        <v>0</v>
      </c>
      <c r="U53" s="198">
        <v>384.2509739196214</v>
      </c>
      <c r="V53" s="198">
        <v>943.14714099029493</v>
      </c>
      <c r="W53" s="198">
        <v>33.55263157894737</v>
      </c>
      <c r="X53" s="198">
        <v>0</v>
      </c>
      <c r="Y53" s="198">
        <v>200.2</v>
      </c>
      <c r="Z53" s="271">
        <v>34990.108986488864</v>
      </c>
      <c r="AA53" s="272">
        <v>0</v>
      </c>
      <c r="AB53" s="198">
        <v>0</v>
      </c>
      <c r="AC53" s="272">
        <v>322.01571376305026</v>
      </c>
      <c r="AD53" s="198">
        <v>1.159256569546981</v>
      </c>
      <c r="AE53" s="198">
        <v>1.159256569546981</v>
      </c>
      <c r="AF53" s="198">
        <v>0</v>
      </c>
      <c r="AG53" s="198">
        <v>0</v>
      </c>
      <c r="AH53" s="198">
        <v>0</v>
      </c>
      <c r="AI53" s="198">
        <v>0</v>
      </c>
      <c r="AJ53" s="198">
        <v>0</v>
      </c>
      <c r="AK53" s="198">
        <v>0</v>
      </c>
      <c r="AL53" s="198">
        <v>0</v>
      </c>
      <c r="AM53" s="198">
        <v>1.7138894058952307E-2</v>
      </c>
      <c r="AN53" s="198">
        <v>4.3799395928433562E-3</v>
      </c>
      <c r="AO53" s="198">
        <v>0</v>
      </c>
      <c r="AP53" s="198">
        <v>6.2622872334895988E-4</v>
      </c>
      <c r="AQ53" s="198">
        <v>7.8293026312634432E-4</v>
      </c>
      <c r="AS53" s="258">
        <f t="shared" si="3"/>
        <v>46939.23120537481</v>
      </c>
      <c r="AT53" s="3">
        <f t="shared" si="0"/>
        <v>0</v>
      </c>
      <c r="AU53" s="3">
        <f t="shared" si="1"/>
        <v>0</v>
      </c>
      <c r="AV53" s="95">
        <f t="shared" si="2"/>
        <v>20.009178530518739</v>
      </c>
      <c r="AW53" s="95">
        <f t="shared" si="4"/>
        <v>0.72033042709867456</v>
      </c>
      <c r="AX53" s="95">
        <f t="shared" si="8"/>
        <v>0.72033042709867456</v>
      </c>
      <c r="AY53" s="102">
        <f t="shared" si="6"/>
        <v>0</v>
      </c>
      <c r="AZ53" s="102">
        <f t="shared" si="7"/>
        <v>1</v>
      </c>
    </row>
    <row r="54" spans="1:52" x14ac:dyDescent="0.35">
      <c r="A54" t="s">
        <v>981</v>
      </c>
      <c r="B54">
        <v>2015</v>
      </c>
      <c r="C54" t="s">
        <v>837</v>
      </c>
      <c r="D54" t="s">
        <v>996</v>
      </c>
      <c r="E54" t="s">
        <v>977</v>
      </c>
      <c r="F54" t="s">
        <v>978</v>
      </c>
      <c r="G54" s="357">
        <v>186840.5141</v>
      </c>
      <c r="H54" s="198">
        <v>12617</v>
      </c>
      <c r="I54" s="198">
        <v>0</v>
      </c>
      <c r="J54" s="198">
        <v>0</v>
      </c>
      <c r="K54" s="198">
        <v>0</v>
      </c>
      <c r="L54" s="198">
        <v>61.624000000000009</v>
      </c>
      <c r="M54" s="198">
        <v>26157.671974000001</v>
      </c>
      <c r="N54" s="198">
        <v>75</v>
      </c>
      <c r="O54" s="198">
        <v>0</v>
      </c>
      <c r="P54" s="198">
        <v>2215.1279999999997</v>
      </c>
      <c r="Q54" s="198">
        <v>0</v>
      </c>
      <c r="R54" s="198">
        <v>0</v>
      </c>
      <c r="S54" s="198">
        <v>0</v>
      </c>
      <c r="T54" s="198">
        <v>0</v>
      </c>
      <c r="U54" s="198">
        <v>384.2509739196214</v>
      </c>
      <c r="V54" s="198">
        <v>943.14714099029493</v>
      </c>
      <c r="W54" s="198">
        <v>33.55263157894737</v>
      </c>
      <c r="X54" s="198">
        <v>0</v>
      </c>
      <c r="Y54" s="198">
        <v>200.2</v>
      </c>
      <c r="Z54" s="271">
        <v>42687.574720488861</v>
      </c>
      <c r="AA54" s="272">
        <v>0</v>
      </c>
      <c r="AB54" s="198">
        <v>0</v>
      </c>
      <c r="AC54" s="272">
        <v>357.08417976947317</v>
      </c>
      <c r="AD54" s="198">
        <v>1.2855030471701034</v>
      </c>
      <c r="AE54" s="198">
        <v>1.2855030471701034</v>
      </c>
      <c r="AF54" s="198">
        <v>0</v>
      </c>
      <c r="AG54" s="198">
        <v>0</v>
      </c>
      <c r="AH54" s="198">
        <v>0</v>
      </c>
      <c r="AI54" s="198">
        <v>0</v>
      </c>
      <c r="AJ54" s="198">
        <v>0</v>
      </c>
      <c r="AK54" s="198">
        <v>0</v>
      </c>
      <c r="AL54" s="198">
        <v>0</v>
      </c>
      <c r="AM54" s="198">
        <v>1.9005370438848208E-2</v>
      </c>
      <c r="AN54" s="198">
        <v>4.8569280010389744E-3</v>
      </c>
      <c r="AO54" s="198">
        <v>0</v>
      </c>
      <c r="AP54" s="198">
        <v>6.9442688809184003E-4</v>
      </c>
      <c r="AQ54" s="198">
        <v>8.6819369017155084E-4</v>
      </c>
      <c r="AS54" s="258">
        <f t="shared" si="3"/>
        <v>57265.3814875358</v>
      </c>
      <c r="AT54" s="3">
        <f t="shared" si="0"/>
        <v>0</v>
      </c>
      <c r="AU54" s="3">
        <f t="shared" si="1"/>
        <v>0</v>
      </c>
      <c r="AV54" s="95">
        <f t="shared" si="2"/>
        <v>22.188237399770909</v>
      </c>
      <c r="AW54" s="95">
        <f t="shared" si="4"/>
        <v>0.79877654639175277</v>
      </c>
      <c r="AX54" s="95">
        <f t="shared" si="8"/>
        <v>0.79877654639175277</v>
      </c>
      <c r="AY54" s="102">
        <f t="shared" si="6"/>
        <v>0</v>
      </c>
      <c r="AZ54" s="102">
        <f t="shared" si="7"/>
        <v>1</v>
      </c>
    </row>
    <row r="55" spans="1:52" x14ac:dyDescent="0.35">
      <c r="A55" t="s">
        <v>982</v>
      </c>
      <c r="B55">
        <v>2015</v>
      </c>
      <c r="C55" t="s">
        <v>837</v>
      </c>
      <c r="D55" t="s">
        <v>996</v>
      </c>
      <c r="E55" t="s">
        <v>983</v>
      </c>
      <c r="F55" t="s">
        <v>978</v>
      </c>
      <c r="G55" s="357"/>
      <c r="H55" s="198">
        <v>12617</v>
      </c>
      <c r="I55" s="198">
        <v>7944.7585277247399</v>
      </c>
      <c r="J55" s="198">
        <v>0</v>
      </c>
      <c r="K55" s="198">
        <v>0</v>
      </c>
      <c r="L55" s="198">
        <v>61.624000000000009</v>
      </c>
      <c r="M55" s="198">
        <v>0</v>
      </c>
      <c r="N55" s="198">
        <v>0</v>
      </c>
      <c r="O55" s="198">
        <v>48.429660116721465</v>
      </c>
      <c r="P55" s="198">
        <v>0</v>
      </c>
      <c r="Q55" s="198">
        <v>0</v>
      </c>
      <c r="R55" s="198">
        <v>15.008419498827607</v>
      </c>
      <c r="S55" s="198">
        <v>2323.16</v>
      </c>
      <c r="T55" s="198">
        <v>116.9</v>
      </c>
      <c r="U55" s="198">
        <v>384.2509739196214</v>
      </c>
      <c r="V55" s="198">
        <v>371.1690693231767</v>
      </c>
      <c r="W55" s="198">
        <v>0</v>
      </c>
      <c r="X55" s="198">
        <v>0</v>
      </c>
      <c r="Y55" s="198">
        <v>200.2</v>
      </c>
      <c r="Z55" s="271">
        <v>24082.50065058309</v>
      </c>
      <c r="AA55" s="272">
        <v>30.188287970411235</v>
      </c>
      <c r="AB55" s="198">
        <v>4.0811108639468072</v>
      </c>
      <c r="AC55" s="272">
        <v>0</v>
      </c>
      <c r="AD55" s="198">
        <v>0</v>
      </c>
      <c r="AE55" s="198">
        <v>4.0811108639468072</v>
      </c>
      <c r="AF55" s="198">
        <v>305.4937375170399</v>
      </c>
      <c r="AG55" s="198">
        <v>0.1343004323268078</v>
      </c>
      <c r="AH55" s="198">
        <v>7.0962029213437973E-4</v>
      </c>
      <c r="AI55" s="198">
        <v>309.71079983446759</v>
      </c>
      <c r="AJ55" s="198">
        <v>0.13031805414554812</v>
      </c>
      <c r="AK55" s="198">
        <v>3.0410699943635766</v>
      </c>
      <c r="AL55" s="198">
        <v>0.14237992871315597</v>
      </c>
      <c r="AM55" s="198">
        <v>2.5592209140836899E-2</v>
      </c>
      <c r="AN55" s="198">
        <v>1.052284480914943E-2</v>
      </c>
      <c r="AO55" s="198">
        <v>2.1069787761728289E-3</v>
      </c>
      <c r="AP55" s="198">
        <v>1.7484686949963851E-3</v>
      </c>
      <c r="AQ55" s="198">
        <v>1.660735422309775E-3</v>
      </c>
      <c r="AS55" s="258">
        <f t="shared" si="3"/>
        <v>32306.674622757211</v>
      </c>
      <c r="AT55" s="3">
        <f t="shared" si="0"/>
        <v>7.7916018116685519</v>
      </c>
      <c r="AU55" s="3">
        <f t="shared" si="1"/>
        <v>2.6155012422978126</v>
      </c>
      <c r="AV55" s="95">
        <f t="shared" si="2"/>
        <v>0</v>
      </c>
      <c r="AW55" s="95">
        <f t="shared" si="4"/>
        <v>0</v>
      </c>
      <c r="AX55" s="95">
        <f t="shared" si="8"/>
        <v>2.6155012422978126</v>
      </c>
      <c r="AY55" s="102">
        <f t="shared" si="6"/>
        <v>1</v>
      </c>
      <c r="AZ55" s="102">
        <f t="shared" si="7"/>
        <v>0</v>
      </c>
    </row>
    <row r="56" spans="1:52" x14ac:dyDescent="0.35">
      <c r="A56" t="s">
        <v>984</v>
      </c>
      <c r="B56">
        <v>2015</v>
      </c>
      <c r="C56" t="s">
        <v>837</v>
      </c>
      <c r="D56" t="s">
        <v>996</v>
      </c>
      <c r="E56" t="s">
        <v>240</v>
      </c>
      <c r="F56" t="s">
        <v>978</v>
      </c>
      <c r="G56" s="357"/>
      <c r="H56" s="198">
        <v>12617</v>
      </c>
      <c r="I56" s="198">
        <v>10196.381509999999</v>
      </c>
      <c r="J56" s="198">
        <v>0</v>
      </c>
      <c r="K56" s="198">
        <v>0</v>
      </c>
      <c r="L56" s="198">
        <v>61.624000000000009</v>
      </c>
      <c r="M56" s="198">
        <v>0</v>
      </c>
      <c r="N56" s="198">
        <v>0</v>
      </c>
      <c r="O56" s="198">
        <v>48.429660116721465</v>
      </c>
      <c r="P56" s="198">
        <v>0</v>
      </c>
      <c r="Q56" s="198">
        <v>0</v>
      </c>
      <c r="R56" s="198">
        <v>15.008419498827607</v>
      </c>
      <c r="S56" s="198">
        <v>2323.16</v>
      </c>
      <c r="T56" s="198">
        <v>116.9</v>
      </c>
      <c r="U56" s="198">
        <v>384.2509739196214</v>
      </c>
      <c r="V56" s="198">
        <v>347.87172303250713</v>
      </c>
      <c r="W56" s="198">
        <v>0</v>
      </c>
      <c r="X56" s="198">
        <v>0</v>
      </c>
      <c r="Y56" s="198">
        <v>200.2</v>
      </c>
      <c r="Z56" s="271">
        <v>26310.826286567677</v>
      </c>
      <c r="AA56" s="272">
        <v>24.564059325415162</v>
      </c>
      <c r="AB56" s="198">
        <v>5.015528922474533</v>
      </c>
      <c r="AC56" s="272">
        <v>0</v>
      </c>
      <c r="AD56" s="198">
        <v>0</v>
      </c>
      <c r="AE56" s="198">
        <v>5.015528922474533</v>
      </c>
      <c r="AF56" s="198">
        <v>0</v>
      </c>
      <c r="AG56" s="198">
        <v>0</v>
      </c>
      <c r="AH56" s="198">
        <v>0</v>
      </c>
      <c r="AI56" s="198">
        <v>0</v>
      </c>
      <c r="AJ56" s="198">
        <v>0</v>
      </c>
      <c r="AK56" s="198">
        <v>0</v>
      </c>
      <c r="AL56" s="198">
        <v>0</v>
      </c>
      <c r="AM56" s="198">
        <v>0</v>
      </c>
      <c r="AN56" s="198">
        <v>0</v>
      </c>
      <c r="AO56" s="198">
        <v>0</v>
      </c>
      <c r="AP56" s="198">
        <v>0</v>
      </c>
      <c r="AQ56" s="198">
        <v>0</v>
      </c>
      <c r="AS56" s="258">
        <f t="shared" si="3"/>
        <v>35295.973463430535</v>
      </c>
      <c r="AT56" s="3">
        <f t="shared" si="0"/>
        <v>9.5755801647190797</v>
      </c>
      <c r="AU56" s="3">
        <f t="shared" si="1"/>
        <v>3.2143508384935977</v>
      </c>
      <c r="AV56" s="95">
        <f t="shared" si="2"/>
        <v>0</v>
      </c>
      <c r="AW56" s="95">
        <f t="shared" si="4"/>
        <v>0</v>
      </c>
      <c r="AX56" s="95">
        <f t="shared" si="8"/>
        <v>3.2143508384935977</v>
      </c>
      <c r="AY56" s="102">
        <f t="shared" si="6"/>
        <v>1</v>
      </c>
      <c r="AZ56" s="102">
        <f t="shared" si="7"/>
        <v>0</v>
      </c>
    </row>
    <row r="57" spans="1:52" x14ac:dyDescent="0.35">
      <c r="A57" t="s">
        <v>985</v>
      </c>
      <c r="B57">
        <v>2015</v>
      </c>
      <c r="C57" t="s">
        <v>837</v>
      </c>
      <c r="D57" t="s">
        <v>996</v>
      </c>
      <c r="E57" t="s">
        <v>986</v>
      </c>
      <c r="F57" t="s">
        <v>978</v>
      </c>
      <c r="G57" s="357"/>
      <c r="H57" s="198">
        <v>12617</v>
      </c>
      <c r="I57" s="198">
        <v>4773.7953879999995</v>
      </c>
      <c r="J57" s="198">
        <v>0</v>
      </c>
      <c r="K57" s="198">
        <v>0</v>
      </c>
      <c r="L57" s="198">
        <v>61.624000000000009</v>
      </c>
      <c r="M57" s="198">
        <v>0</v>
      </c>
      <c r="N57" s="198">
        <v>0</v>
      </c>
      <c r="O57" s="198">
        <v>48.429660116721465</v>
      </c>
      <c r="P57" s="198">
        <v>0</v>
      </c>
      <c r="Q57" s="198">
        <v>0</v>
      </c>
      <c r="R57" s="198">
        <v>15.008419498827607</v>
      </c>
      <c r="S57" s="198">
        <v>2323.16</v>
      </c>
      <c r="T57" s="198">
        <v>116.9</v>
      </c>
      <c r="U57" s="198">
        <v>384.2509739196214</v>
      </c>
      <c r="V57" s="198">
        <v>347.37576026432521</v>
      </c>
      <c r="W57" s="198">
        <v>0</v>
      </c>
      <c r="X57" s="198">
        <v>0</v>
      </c>
      <c r="Y57" s="198">
        <v>200.2</v>
      </c>
      <c r="Z57" s="271">
        <v>20887.744201799494</v>
      </c>
      <c r="AA57" s="272">
        <v>24.559259300782987</v>
      </c>
      <c r="AB57" s="198">
        <v>5.0165091907341095</v>
      </c>
      <c r="AC57" s="272">
        <v>0</v>
      </c>
      <c r="AD57" s="198">
        <v>0</v>
      </c>
      <c r="AE57" s="198">
        <v>5.0165091907341095</v>
      </c>
      <c r="AF57" s="198">
        <v>375.51347979894496</v>
      </c>
      <c r="AG57" s="198">
        <v>0.16508234535815755</v>
      </c>
      <c r="AH57" s="198">
        <v>8.7226660487749446E-4</v>
      </c>
      <c r="AI57" s="198">
        <v>380.69710077336168</v>
      </c>
      <c r="AJ57" s="198">
        <v>0.16018719856767119</v>
      </c>
      <c r="AK57" s="198">
        <v>3.7380889872805594</v>
      </c>
      <c r="AL57" s="198">
        <v>0.17501367759337685</v>
      </c>
      <c r="AM57" s="198">
        <v>3.1457991866959273E-2</v>
      </c>
      <c r="AN57" s="198">
        <v>1.2934700736533302E-2</v>
      </c>
      <c r="AO57" s="198">
        <v>2.5899022956536052E-3</v>
      </c>
      <c r="AP57" s="198">
        <v>2.1492210259825384E-3</v>
      </c>
      <c r="AQ57" s="198">
        <v>2.0413791213056507E-3</v>
      </c>
      <c r="AS57" s="258">
        <f t="shared" si="3"/>
        <v>28020.908846714021</v>
      </c>
      <c r="AT57" s="3">
        <f t="shared" si="0"/>
        <v>9.5774516796575018</v>
      </c>
      <c r="AU57" s="3">
        <f t="shared" si="1"/>
        <v>3.2149790725544158</v>
      </c>
      <c r="AV57" s="95">
        <f t="shared" si="2"/>
        <v>0</v>
      </c>
      <c r="AW57" s="95">
        <f t="shared" si="4"/>
        <v>0</v>
      </c>
      <c r="AX57" s="95">
        <f t="shared" si="8"/>
        <v>3.2149790725544158</v>
      </c>
      <c r="AY57" s="102">
        <f t="shared" si="6"/>
        <v>1</v>
      </c>
      <c r="AZ57" s="102">
        <f t="shared" si="7"/>
        <v>0</v>
      </c>
    </row>
    <row r="58" spans="1:52" x14ac:dyDescent="0.35">
      <c r="A58" t="s">
        <v>987</v>
      </c>
      <c r="B58">
        <v>2015</v>
      </c>
      <c r="C58" t="s">
        <v>837</v>
      </c>
      <c r="D58" t="s">
        <v>996</v>
      </c>
      <c r="E58" t="s">
        <v>986</v>
      </c>
      <c r="F58" t="s">
        <v>978</v>
      </c>
      <c r="G58" s="357">
        <v>22392.1865</v>
      </c>
      <c r="H58" s="198">
        <v>12617</v>
      </c>
      <c r="I58" s="198">
        <v>4641.1316669999997</v>
      </c>
      <c r="J58" s="198">
        <v>0</v>
      </c>
      <c r="K58" s="198">
        <v>0</v>
      </c>
      <c r="L58" s="198">
        <v>61.624000000000009</v>
      </c>
      <c r="M58" s="198">
        <v>4478.4373000000005</v>
      </c>
      <c r="N58" s="198">
        <v>75</v>
      </c>
      <c r="O58" s="198">
        <v>0</v>
      </c>
      <c r="P58" s="198">
        <v>1538.712</v>
      </c>
      <c r="Q58" s="198">
        <v>975.88799999999992</v>
      </c>
      <c r="R58" s="198">
        <v>0</v>
      </c>
      <c r="S58" s="198">
        <v>1294.199175</v>
      </c>
      <c r="T58" s="198">
        <v>0</v>
      </c>
      <c r="U58" s="198">
        <v>384.2509739196214</v>
      </c>
      <c r="V58" s="198">
        <v>979.03119451309988</v>
      </c>
      <c r="W58" s="198">
        <v>33.55263157894737</v>
      </c>
      <c r="X58" s="198">
        <v>0</v>
      </c>
      <c r="Y58" s="198">
        <v>200.2</v>
      </c>
      <c r="Z58" s="271">
        <v>27279.026942011671</v>
      </c>
      <c r="AA58" s="272">
        <v>179.7500041070011</v>
      </c>
      <c r="AB58" s="198">
        <v>0.68540610395013302</v>
      </c>
      <c r="AC58" s="272">
        <v>272.7406197948016</v>
      </c>
      <c r="AD58" s="198">
        <v>0.98186623126128569</v>
      </c>
      <c r="AE58" s="198">
        <v>1.6672723352114187</v>
      </c>
      <c r="AF58" s="198">
        <v>51.306440670965323</v>
      </c>
      <c r="AG58" s="198">
        <v>2.2555215760768316E-2</v>
      </c>
      <c r="AH58" s="198">
        <v>1.1917786502996598E-4</v>
      </c>
      <c r="AI58" s="198">
        <v>52.01467927301784</v>
      </c>
      <c r="AJ58" s="198">
        <v>2.1886391412528607E-2</v>
      </c>
      <c r="AK58" s="198">
        <v>0.51073543605248151</v>
      </c>
      <c r="AL58" s="198">
        <v>2.3912134581319685E-2</v>
      </c>
      <c r="AM58" s="198">
        <v>1.8814395484351008E-2</v>
      </c>
      <c r="AN58" s="198">
        <v>5.4769871736705953E-3</v>
      </c>
      <c r="AO58" s="198">
        <v>3.538585846417381E-4</v>
      </c>
      <c r="AP58" s="198">
        <v>8.2405098194935841E-4</v>
      </c>
      <c r="AQ58" s="198">
        <v>9.4203948154270836E-4</v>
      </c>
      <c r="AS58" s="258">
        <f t="shared" si="3"/>
        <v>36594.814642708654</v>
      </c>
      <c r="AT58" s="3">
        <f t="shared" si="0"/>
        <v>1.3085680882733661</v>
      </c>
      <c r="AU58" s="3">
        <f t="shared" si="1"/>
        <v>0.43926288114270684</v>
      </c>
      <c r="AV58" s="95">
        <f t="shared" si="2"/>
        <v>16.947358531746033</v>
      </c>
      <c r="AW58" s="95">
        <f t="shared" si="4"/>
        <v>0.61010490714285726</v>
      </c>
      <c r="AX58" s="95">
        <f t="shared" si="8"/>
        <v>1.0493677882855641</v>
      </c>
      <c r="AY58" s="102">
        <f t="shared" si="6"/>
        <v>0.4185976414049889</v>
      </c>
      <c r="AZ58" s="102">
        <f t="shared" si="7"/>
        <v>0.5814023585950111</v>
      </c>
    </row>
    <row r="59" spans="1:52" x14ac:dyDescent="0.35">
      <c r="A59" t="s">
        <v>988</v>
      </c>
      <c r="B59">
        <v>2015</v>
      </c>
      <c r="C59" t="s">
        <v>837</v>
      </c>
      <c r="D59" t="s">
        <v>996</v>
      </c>
      <c r="E59" t="s">
        <v>989</v>
      </c>
      <c r="F59" t="s">
        <v>978</v>
      </c>
      <c r="G59" s="357">
        <v>1544.4</v>
      </c>
      <c r="H59" s="198">
        <v>12617</v>
      </c>
      <c r="I59" s="198">
        <v>0</v>
      </c>
      <c r="J59" s="198">
        <v>7576.8959999999997</v>
      </c>
      <c r="K59" s="198">
        <v>2720.723</v>
      </c>
      <c r="L59" s="198">
        <v>61.624000000000009</v>
      </c>
      <c r="M59" s="198">
        <v>890.03257200000007</v>
      </c>
      <c r="N59" s="198">
        <v>0</v>
      </c>
      <c r="O59" s="198">
        <v>0</v>
      </c>
      <c r="P59" s="198">
        <v>1596.192</v>
      </c>
      <c r="Q59" s="198">
        <v>0</v>
      </c>
      <c r="R59" s="198">
        <v>0</v>
      </c>
      <c r="S59" s="198">
        <v>0</v>
      </c>
      <c r="T59" s="198">
        <v>0</v>
      </c>
      <c r="U59" s="198">
        <v>384.2509739196214</v>
      </c>
      <c r="V59" s="198">
        <v>943.14714099029493</v>
      </c>
      <c r="W59" s="198">
        <v>25.657894736842106</v>
      </c>
      <c r="X59" s="198">
        <v>356.01302880000003</v>
      </c>
      <c r="Y59" s="198">
        <v>200.2</v>
      </c>
      <c r="Z59" s="271">
        <v>27371.736610446758</v>
      </c>
      <c r="AA59" s="272">
        <v>57.150331486286873</v>
      </c>
      <c r="AB59" s="198">
        <v>2.1557486508991128</v>
      </c>
      <c r="AC59" s="272">
        <v>0</v>
      </c>
      <c r="AD59" s="198">
        <v>0</v>
      </c>
      <c r="AE59" s="198">
        <v>2.1557486508991128</v>
      </c>
      <c r="AF59" s="198">
        <v>0</v>
      </c>
      <c r="AG59" s="198">
        <v>0</v>
      </c>
      <c r="AH59" s="198">
        <v>0</v>
      </c>
      <c r="AI59" s="198">
        <v>0</v>
      </c>
      <c r="AJ59" s="198">
        <v>0</v>
      </c>
      <c r="AK59" s="198">
        <v>0</v>
      </c>
      <c r="AL59" s="198">
        <v>0</v>
      </c>
      <c r="AM59" s="198">
        <v>2.0153195779184216E-2</v>
      </c>
      <c r="AN59" s="198">
        <v>5.1502611435693081E-3</v>
      </c>
      <c r="AO59" s="198">
        <v>0</v>
      </c>
      <c r="AP59" s="198">
        <v>7.3636665357693163E-4</v>
      </c>
      <c r="AQ59" s="198">
        <v>9.2062806502919031E-4</v>
      </c>
      <c r="AS59" s="258">
        <f t="shared" si="3"/>
        <v>36719.184662914326</v>
      </c>
      <c r="AT59" s="3">
        <f t="shared" si="0"/>
        <v>4.1157262455751047</v>
      </c>
      <c r="AU59" s="3">
        <f t="shared" si="1"/>
        <v>1.3815756205788663</v>
      </c>
      <c r="AV59" s="95">
        <f t="shared" si="2"/>
        <v>0</v>
      </c>
      <c r="AW59" s="95">
        <f t="shared" si="4"/>
        <v>0</v>
      </c>
      <c r="AX59" s="95">
        <f t="shared" si="8"/>
        <v>1.3815756205788663</v>
      </c>
      <c r="AY59" s="102">
        <f t="shared" si="6"/>
        <v>1</v>
      </c>
      <c r="AZ59" s="102">
        <f t="shared" si="7"/>
        <v>0</v>
      </c>
    </row>
    <row r="60" spans="1:52" x14ac:dyDescent="0.35">
      <c r="A60" t="s">
        <v>990</v>
      </c>
      <c r="B60">
        <v>2015</v>
      </c>
      <c r="C60" t="s">
        <v>837</v>
      </c>
      <c r="D60" t="s">
        <v>996</v>
      </c>
      <c r="E60" t="s">
        <v>989</v>
      </c>
      <c r="F60" t="s">
        <v>978</v>
      </c>
      <c r="G60" s="357">
        <v>1544.4</v>
      </c>
      <c r="H60" s="198">
        <v>12617</v>
      </c>
      <c r="I60" s="198">
        <v>0</v>
      </c>
      <c r="J60" s="198">
        <v>7814.9279999999999</v>
      </c>
      <c r="K60" s="198">
        <v>3292.9231999999997</v>
      </c>
      <c r="L60" s="198">
        <v>61.624000000000009</v>
      </c>
      <c r="M60" s="198">
        <v>890.03257200000007</v>
      </c>
      <c r="N60" s="198">
        <v>0</v>
      </c>
      <c r="O60" s="198">
        <v>0</v>
      </c>
      <c r="P60" s="198">
        <v>1633.248</v>
      </c>
      <c r="Q60" s="198">
        <v>0</v>
      </c>
      <c r="R60" s="198">
        <v>0</v>
      </c>
      <c r="S60" s="198">
        <v>0</v>
      </c>
      <c r="T60" s="198">
        <v>0</v>
      </c>
      <c r="U60" s="198">
        <v>384.2509739196214</v>
      </c>
      <c r="V60" s="198">
        <v>943.14714099029493</v>
      </c>
      <c r="W60" s="198">
        <v>25.657894736842106</v>
      </c>
      <c r="X60" s="198">
        <v>356.01302880000003</v>
      </c>
      <c r="Y60" s="198">
        <v>200.2</v>
      </c>
      <c r="Z60" s="271">
        <v>28219.024810446761</v>
      </c>
      <c r="AA60" s="272">
        <v>56.329149850151389</v>
      </c>
      <c r="AB60" s="198">
        <v>2.1871757398743856</v>
      </c>
      <c r="AC60" s="272">
        <v>0</v>
      </c>
      <c r="AD60" s="198">
        <v>0</v>
      </c>
      <c r="AE60" s="198">
        <v>2.1871757398743856</v>
      </c>
      <c r="AF60" s="198">
        <v>0</v>
      </c>
      <c r="AG60" s="198">
        <v>0</v>
      </c>
      <c r="AH60" s="198">
        <v>0</v>
      </c>
      <c r="AI60" s="198">
        <v>0</v>
      </c>
      <c r="AJ60" s="198">
        <v>0</v>
      </c>
      <c r="AK60" s="198">
        <v>0</v>
      </c>
      <c r="AL60" s="198">
        <v>0</v>
      </c>
      <c r="AM60" s="198">
        <v>2.0446994537506227E-2</v>
      </c>
      <c r="AN60" s="198">
        <v>5.2253430484738225E-3</v>
      </c>
      <c r="AO60" s="198">
        <v>0</v>
      </c>
      <c r="AP60" s="198">
        <v>7.4710160652737608E-4</v>
      </c>
      <c r="AQ60" s="198">
        <v>9.3404923085051118E-4</v>
      </c>
      <c r="AS60" s="258">
        <f t="shared" si="3"/>
        <v>37855.821783214327</v>
      </c>
      <c r="AT60" s="3">
        <f t="shared" si="0"/>
        <v>4.1757264199292008</v>
      </c>
      <c r="AU60" s="3">
        <f t="shared" si="1"/>
        <v>1.4017166049816121</v>
      </c>
      <c r="AV60" s="95">
        <f t="shared" si="2"/>
        <v>0</v>
      </c>
      <c r="AW60" s="95">
        <f t="shared" si="4"/>
        <v>0</v>
      </c>
      <c r="AX60" s="95">
        <f t="shared" si="8"/>
        <v>1.4017166049816121</v>
      </c>
      <c r="AY60" s="102">
        <f t="shared" si="6"/>
        <v>1</v>
      </c>
      <c r="AZ60" s="102">
        <f t="shared" si="7"/>
        <v>0</v>
      </c>
    </row>
    <row r="61" spans="1:52" x14ac:dyDescent="0.35">
      <c r="A61" t="s">
        <v>991</v>
      </c>
      <c r="B61">
        <v>2015</v>
      </c>
      <c r="C61" t="s">
        <v>837</v>
      </c>
      <c r="D61" t="s">
        <v>996</v>
      </c>
      <c r="E61" t="s">
        <v>986</v>
      </c>
      <c r="F61" t="s">
        <v>978</v>
      </c>
      <c r="G61" s="357">
        <v>1965.6</v>
      </c>
      <c r="H61" s="198">
        <v>12617</v>
      </c>
      <c r="I61" s="198">
        <v>4641.1316672597404</v>
      </c>
      <c r="J61" s="198">
        <v>0</v>
      </c>
      <c r="K61" s="198">
        <v>0</v>
      </c>
      <c r="L61" s="198">
        <v>61.624000000000009</v>
      </c>
      <c r="M61" s="198">
        <v>1132.768728</v>
      </c>
      <c r="N61" s="198">
        <v>0</v>
      </c>
      <c r="O61" s="198">
        <v>0</v>
      </c>
      <c r="P61" s="198">
        <v>1118.136</v>
      </c>
      <c r="Q61" s="198">
        <v>831.16799999999989</v>
      </c>
      <c r="R61" s="198">
        <v>0</v>
      </c>
      <c r="S61" s="198">
        <v>1174.7337448200501</v>
      </c>
      <c r="T61" s="198">
        <v>0</v>
      </c>
      <c r="U61" s="198">
        <v>384.2509739196214</v>
      </c>
      <c r="V61" s="198">
        <v>982.31981596439925</v>
      </c>
      <c r="W61" s="198">
        <v>25.657894736842106</v>
      </c>
      <c r="X61" s="198">
        <v>453.10749120000003</v>
      </c>
      <c r="Y61" s="198">
        <v>200.2</v>
      </c>
      <c r="Z61" s="271">
        <v>23622.09831590065</v>
      </c>
      <c r="AA61" s="272">
        <v>40.125709840021194</v>
      </c>
      <c r="AB61" s="198">
        <v>3.0703942806544235</v>
      </c>
      <c r="AC61" s="272">
        <v>0</v>
      </c>
      <c r="AD61" s="198">
        <v>0</v>
      </c>
      <c r="AE61" s="198">
        <v>3.0703942806544235</v>
      </c>
      <c r="AF61" s="198">
        <v>229.83600684176085</v>
      </c>
      <c r="AG61" s="198">
        <v>0.10103996020996643</v>
      </c>
      <c r="AH61" s="198">
        <v>5.3387770120476665E-4</v>
      </c>
      <c r="AI61" s="198">
        <v>233.00868321646522</v>
      </c>
      <c r="AJ61" s="198">
        <v>9.804384674998616E-2</v>
      </c>
      <c r="AK61" s="198">
        <v>2.2879270446315929</v>
      </c>
      <c r="AL61" s="198">
        <v>0.10711851095808814</v>
      </c>
      <c r="AM61" s="198">
        <v>1.9254113694756433E-2</v>
      </c>
      <c r="AN61" s="198">
        <v>7.9167862857272321E-3</v>
      </c>
      <c r="AO61" s="198">
        <v>1.585170263560287E-3</v>
      </c>
      <c r="AP61" s="198">
        <v>1.3154477935030625E-3</v>
      </c>
      <c r="AQ61" s="198">
        <v>1.2494422994941219E-3</v>
      </c>
      <c r="AS61" s="258">
        <f t="shared" si="3"/>
        <v>31689.044890780719</v>
      </c>
      <c r="AT61" s="3">
        <f t="shared" si="0"/>
        <v>5.8619553443220509</v>
      </c>
      <c r="AU61" s="3">
        <f t="shared" si="1"/>
        <v>1.9677534678951112</v>
      </c>
      <c r="AV61" s="95">
        <f t="shared" si="2"/>
        <v>0</v>
      </c>
      <c r="AW61" s="95">
        <f t="shared" si="4"/>
        <v>0</v>
      </c>
      <c r="AX61" s="95">
        <f t="shared" si="8"/>
        <v>1.9677534678951112</v>
      </c>
      <c r="AY61" s="102">
        <f t="shared" si="6"/>
        <v>1</v>
      </c>
      <c r="AZ61" s="102">
        <f t="shared" si="7"/>
        <v>0</v>
      </c>
    </row>
    <row r="62" spans="1:52" x14ac:dyDescent="0.35">
      <c r="A62" t="s">
        <v>992</v>
      </c>
      <c r="B62">
        <v>2015</v>
      </c>
      <c r="C62" t="s">
        <v>837</v>
      </c>
      <c r="D62" t="s">
        <v>996</v>
      </c>
      <c r="E62" t="s">
        <v>986</v>
      </c>
      <c r="F62" t="s">
        <v>978</v>
      </c>
      <c r="G62" s="357">
        <v>9912.5640000000003</v>
      </c>
      <c r="H62" s="198">
        <v>12617</v>
      </c>
      <c r="I62" s="198">
        <v>4641.1316672597404</v>
      </c>
      <c r="J62" s="198">
        <v>0</v>
      </c>
      <c r="K62" s="198">
        <v>0</v>
      </c>
      <c r="L62" s="198">
        <v>61.624000000000009</v>
      </c>
      <c r="M62" s="198">
        <v>1982.5128</v>
      </c>
      <c r="N62" s="198">
        <v>75</v>
      </c>
      <c r="O62" s="198">
        <v>0</v>
      </c>
      <c r="P62" s="198">
        <v>1204.6079999999999</v>
      </c>
      <c r="Q62" s="198">
        <v>875.19600000000014</v>
      </c>
      <c r="R62" s="198">
        <v>0</v>
      </c>
      <c r="S62" s="198">
        <v>1196.97119745791</v>
      </c>
      <c r="T62" s="198">
        <v>0</v>
      </c>
      <c r="U62" s="198">
        <v>384.2509739196214</v>
      </c>
      <c r="V62" s="198">
        <v>984.39500537610741</v>
      </c>
      <c r="W62" s="198">
        <v>25.657894736842106</v>
      </c>
      <c r="X62" s="198">
        <v>442.29647999999997</v>
      </c>
      <c r="Y62" s="198">
        <v>200.2</v>
      </c>
      <c r="Z62" s="271">
        <v>24690.844018750224</v>
      </c>
      <c r="AA62" s="272">
        <v>77.720134534808821</v>
      </c>
      <c r="AB62" s="198">
        <v>1.5851973331932556</v>
      </c>
      <c r="AC62" s="272">
        <v>189.72849967496035</v>
      </c>
      <c r="AD62" s="198">
        <v>0.68302259882985727</v>
      </c>
      <c r="AE62" s="198">
        <v>2.2682199320231131</v>
      </c>
      <c r="AF62" s="198">
        <v>118.66079461289634</v>
      </c>
      <c r="AG62" s="198">
        <v>5.2165377091782879E-2</v>
      </c>
      <c r="AH62" s="198">
        <v>2.7563284413777676E-4</v>
      </c>
      <c r="AI62" s="198">
        <v>120.29879861777439</v>
      </c>
      <c r="AJ62" s="198">
        <v>5.0618529803592632E-2</v>
      </c>
      <c r="AK62" s="198">
        <v>1.1812215364463579</v>
      </c>
      <c r="AL62" s="198">
        <v>5.5303639332666368E-2</v>
      </c>
      <c r="AM62" s="198">
        <v>9.9406027018205216E-3</v>
      </c>
      <c r="AN62" s="198">
        <v>4.0873149701545538E-3</v>
      </c>
      <c r="AO62" s="198">
        <v>8.1839902135221463E-4</v>
      </c>
      <c r="AP62" s="198">
        <v>6.791454593810533E-4</v>
      </c>
      <c r="AQ62" s="198">
        <v>6.4506783823046457E-4</v>
      </c>
      <c r="AS62" s="258">
        <f t="shared" si="3"/>
        <v>33122.767251153426</v>
      </c>
      <c r="AT62" s="3">
        <f t="shared" si="0"/>
        <v>3.0264373659322659</v>
      </c>
      <c r="AU62" s="3">
        <f t="shared" si="1"/>
        <v>1.015920844219482</v>
      </c>
      <c r="AV62" s="95">
        <f t="shared" si="2"/>
        <v>11.789211706349208</v>
      </c>
      <c r="AW62" s="95">
        <f t="shared" si="4"/>
        <v>0.42441162142857153</v>
      </c>
      <c r="AX62" s="95">
        <f t="shared" si="8"/>
        <v>1.4403324656480536</v>
      </c>
      <c r="AY62" s="102">
        <f t="shared" si="6"/>
        <v>0.70533773864660154</v>
      </c>
      <c r="AZ62" s="102">
        <f t="shared" si="7"/>
        <v>0.2946622613533984</v>
      </c>
    </row>
    <row r="63" spans="1:52" x14ac:dyDescent="0.35">
      <c r="A63" t="s">
        <v>975</v>
      </c>
      <c r="B63">
        <v>2020</v>
      </c>
      <c r="C63" t="s">
        <v>837</v>
      </c>
      <c r="D63" t="s">
        <v>976</v>
      </c>
      <c r="E63" t="s">
        <v>977</v>
      </c>
      <c r="F63" t="s">
        <v>978</v>
      </c>
      <c r="G63" s="357">
        <v>42737.492200000001</v>
      </c>
      <c r="H63" s="198">
        <v>7990.1896999999999</v>
      </c>
      <c r="I63" s="198">
        <v>0</v>
      </c>
      <c r="J63" s="198">
        <v>0</v>
      </c>
      <c r="K63" s="198">
        <v>0</v>
      </c>
      <c r="L63" s="198">
        <v>61.624000000000009</v>
      </c>
      <c r="M63" s="198">
        <v>5470.3990015999998</v>
      </c>
      <c r="N63" s="198">
        <v>45</v>
      </c>
      <c r="O63" s="198">
        <v>0</v>
      </c>
      <c r="P63" s="198">
        <v>826.31700000000001</v>
      </c>
      <c r="Q63" s="198">
        <v>0</v>
      </c>
      <c r="R63" s="198">
        <v>0</v>
      </c>
      <c r="S63" s="198">
        <v>0</v>
      </c>
      <c r="T63" s="198">
        <v>0</v>
      </c>
      <c r="U63" s="198">
        <v>297.73886559983873</v>
      </c>
      <c r="V63" s="198">
        <v>852.53031518358932</v>
      </c>
      <c r="W63" s="198">
        <v>17.763157894736842</v>
      </c>
      <c r="X63" s="198">
        <v>0</v>
      </c>
      <c r="Y63" s="198">
        <v>190</v>
      </c>
      <c r="Z63" s="271">
        <v>15751.562040278164</v>
      </c>
      <c r="AA63" s="272">
        <v>0</v>
      </c>
      <c r="AB63" s="198">
        <v>0</v>
      </c>
      <c r="AC63" s="272">
        <v>207.10765268204878</v>
      </c>
      <c r="AD63" s="198">
        <v>0.74558754965537555</v>
      </c>
      <c r="AE63" s="198">
        <v>0.74558754965537555</v>
      </c>
      <c r="AF63" s="198">
        <v>0</v>
      </c>
      <c r="AG63" s="198">
        <v>0</v>
      </c>
      <c r="AH63" s="198">
        <v>0</v>
      </c>
      <c r="AI63" s="198">
        <v>0</v>
      </c>
      <c r="AJ63" s="198">
        <v>0</v>
      </c>
      <c r="AK63" s="198">
        <v>0</v>
      </c>
      <c r="AL63" s="198">
        <v>0</v>
      </c>
      <c r="AM63" s="198">
        <v>1.1023052498387805E-2</v>
      </c>
      <c r="AN63" s="198">
        <v>2.8170023051435427E-3</v>
      </c>
      <c r="AO63" s="198">
        <v>0</v>
      </c>
      <c r="AP63" s="198">
        <v>4.0276531669604897E-4</v>
      </c>
      <c r="AQ63" s="198">
        <v>5.03549491777758E-4</v>
      </c>
      <c r="AS63" s="258">
        <f t="shared" si="3"/>
        <v>21130.720477033155</v>
      </c>
      <c r="AT63" s="3">
        <f t="shared" si="0"/>
        <v>0</v>
      </c>
      <c r="AU63" s="3">
        <f t="shared" si="1"/>
        <v>0</v>
      </c>
      <c r="AV63" s="95">
        <f t="shared" si="2"/>
        <v>12.869104892816233</v>
      </c>
      <c r="AW63" s="95">
        <f t="shared" si="4"/>
        <v>0.46328777614138439</v>
      </c>
      <c r="AX63" s="95">
        <f t="shared" si="8"/>
        <v>0.46328777614138439</v>
      </c>
      <c r="AY63" s="102">
        <f t="shared" si="6"/>
        <v>0</v>
      </c>
      <c r="AZ63" s="102">
        <f t="shared" si="7"/>
        <v>1</v>
      </c>
    </row>
    <row r="64" spans="1:52" x14ac:dyDescent="0.35">
      <c r="A64" t="s">
        <v>979</v>
      </c>
      <c r="B64">
        <v>2020</v>
      </c>
      <c r="C64" t="s">
        <v>837</v>
      </c>
      <c r="D64" t="s">
        <v>976</v>
      </c>
      <c r="E64" t="s">
        <v>977</v>
      </c>
      <c r="F64" t="s">
        <v>978</v>
      </c>
      <c r="G64" s="357">
        <v>66779.102199999994</v>
      </c>
      <c r="H64" s="198">
        <v>7990.1896999999999</v>
      </c>
      <c r="I64" s="198">
        <v>0</v>
      </c>
      <c r="J64" s="198">
        <v>0</v>
      </c>
      <c r="K64" s="198">
        <v>0</v>
      </c>
      <c r="L64" s="198">
        <v>61.624000000000009</v>
      </c>
      <c r="M64" s="198">
        <v>8547.7250815999996</v>
      </c>
      <c r="N64" s="198">
        <v>45</v>
      </c>
      <c r="O64" s="198">
        <v>0</v>
      </c>
      <c r="P64" s="198">
        <v>895.40100000000007</v>
      </c>
      <c r="Q64" s="198">
        <v>0</v>
      </c>
      <c r="R64" s="198">
        <v>0</v>
      </c>
      <c r="S64" s="198">
        <v>0</v>
      </c>
      <c r="T64" s="198">
        <v>0</v>
      </c>
      <c r="U64" s="198">
        <v>297.73886559983873</v>
      </c>
      <c r="V64" s="198">
        <v>852.53031518358932</v>
      </c>
      <c r="W64" s="198">
        <v>17.763157894736842</v>
      </c>
      <c r="X64" s="198">
        <v>0</v>
      </c>
      <c r="Y64" s="198">
        <v>190</v>
      </c>
      <c r="Z64" s="271">
        <v>18897.972120278169</v>
      </c>
      <c r="AA64" s="272">
        <v>0</v>
      </c>
      <c r="AB64" s="198">
        <v>0</v>
      </c>
      <c r="AC64" s="272">
        <v>216.52447749811819</v>
      </c>
      <c r="AD64" s="198">
        <v>0.77948811899322545</v>
      </c>
      <c r="AE64" s="198">
        <v>0.77948811899322545</v>
      </c>
      <c r="AF64" s="198">
        <v>0</v>
      </c>
      <c r="AG64" s="198">
        <v>0</v>
      </c>
      <c r="AH64" s="198">
        <v>0</v>
      </c>
      <c r="AI64" s="198">
        <v>0</v>
      </c>
      <c r="AJ64" s="198">
        <v>0</v>
      </c>
      <c r="AK64" s="198">
        <v>0</v>
      </c>
      <c r="AL64" s="198">
        <v>0</v>
      </c>
      <c r="AM64" s="198">
        <v>1.1524251526870886E-2</v>
      </c>
      <c r="AN64" s="198">
        <v>2.9450865013114411E-3</v>
      </c>
      <c r="AO64" s="198">
        <v>0</v>
      </c>
      <c r="AP64" s="198">
        <v>4.2107835525449403E-4</v>
      </c>
      <c r="AQ64" s="198">
        <v>5.2644501151778223E-4</v>
      </c>
      <c r="AS64" s="258">
        <f t="shared" si="3"/>
        <v>25351.629599353164</v>
      </c>
      <c r="AT64" s="3">
        <f t="shared" si="0"/>
        <v>0</v>
      </c>
      <c r="AU64" s="3">
        <f t="shared" si="1"/>
        <v>0</v>
      </c>
      <c r="AV64" s="95">
        <f t="shared" si="2"/>
        <v>13.454240713467518</v>
      </c>
      <c r="AW64" s="95">
        <f t="shared" si="4"/>
        <v>0.48435266568483065</v>
      </c>
      <c r="AX64" s="95">
        <f t="shared" si="8"/>
        <v>0.48435266568483065</v>
      </c>
      <c r="AY64" s="102">
        <f t="shared" si="6"/>
        <v>0</v>
      </c>
      <c r="AZ64" s="102">
        <f t="shared" si="7"/>
        <v>1</v>
      </c>
    </row>
    <row r="65" spans="1:52" x14ac:dyDescent="0.35">
      <c r="A65" t="s">
        <v>980</v>
      </c>
      <c r="B65">
        <v>2020</v>
      </c>
      <c r="C65" t="s">
        <v>837</v>
      </c>
      <c r="D65" t="s">
        <v>976</v>
      </c>
      <c r="E65" t="s">
        <v>977</v>
      </c>
      <c r="F65" t="s">
        <v>978</v>
      </c>
      <c r="G65" s="357">
        <v>99887.968800000002</v>
      </c>
      <c r="H65" s="198">
        <v>7990.1896999999999</v>
      </c>
      <c r="I65" s="198">
        <v>0</v>
      </c>
      <c r="J65" s="198">
        <v>0</v>
      </c>
      <c r="K65" s="198">
        <v>0</v>
      </c>
      <c r="L65" s="198">
        <v>61.624000000000009</v>
      </c>
      <c r="M65" s="198">
        <v>12785.660006399999</v>
      </c>
      <c r="N65" s="198">
        <v>45</v>
      </c>
      <c r="O65" s="198">
        <v>0</v>
      </c>
      <c r="P65" s="198">
        <v>986.98500000000001</v>
      </c>
      <c r="Q65" s="198">
        <v>0</v>
      </c>
      <c r="R65" s="198">
        <v>0</v>
      </c>
      <c r="S65" s="198">
        <v>0</v>
      </c>
      <c r="T65" s="198">
        <v>0</v>
      </c>
      <c r="U65" s="198">
        <v>297.73886559983873</v>
      </c>
      <c r="V65" s="198">
        <v>852.53031518358932</v>
      </c>
      <c r="W65" s="198">
        <v>17.763157894736842</v>
      </c>
      <c r="X65" s="198">
        <v>0</v>
      </c>
      <c r="Y65" s="198">
        <v>190</v>
      </c>
      <c r="Z65" s="271">
        <v>23227.491045078168</v>
      </c>
      <c r="AA65" s="272">
        <v>0</v>
      </c>
      <c r="AB65" s="198">
        <v>0</v>
      </c>
      <c r="AC65" s="272">
        <v>241.02442734421538</v>
      </c>
      <c r="AD65" s="198">
        <v>0.86768793843917535</v>
      </c>
      <c r="AE65" s="198">
        <v>0.86768793843917535</v>
      </c>
      <c r="AF65" s="198">
        <v>0</v>
      </c>
      <c r="AG65" s="198">
        <v>0</v>
      </c>
      <c r="AH65" s="198">
        <v>0</v>
      </c>
      <c r="AI65" s="198">
        <v>0</v>
      </c>
      <c r="AJ65" s="198">
        <v>0</v>
      </c>
      <c r="AK65" s="198">
        <v>0</v>
      </c>
      <c r="AL65" s="198">
        <v>0</v>
      </c>
      <c r="AM65" s="198">
        <v>1.2828231509570992E-2</v>
      </c>
      <c r="AN65" s="198">
        <v>3.2783258302236896E-3</v>
      </c>
      <c r="AO65" s="198">
        <v>0</v>
      </c>
      <c r="AP65" s="198">
        <v>4.6872377024043647E-4</v>
      </c>
      <c r="AQ65" s="198">
        <v>5.8601276352413835E-4</v>
      </c>
      <c r="AS65" s="258">
        <f t="shared" si="3"/>
        <v>31159.679236972359</v>
      </c>
      <c r="AT65" s="3">
        <f t="shared" si="0"/>
        <v>0</v>
      </c>
      <c r="AU65" s="3">
        <f t="shared" si="1"/>
        <v>0</v>
      </c>
      <c r="AV65" s="95">
        <f t="shared" si="2"/>
        <v>14.976600801832763</v>
      </c>
      <c r="AW65" s="95">
        <f t="shared" si="4"/>
        <v>0.53915762886597951</v>
      </c>
      <c r="AX65" s="95">
        <f t="shared" si="8"/>
        <v>0.53915762886597951</v>
      </c>
      <c r="AY65" s="102">
        <f t="shared" si="6"/>
        <v>0</v>
      </c>
      <c r="AZ65" s="102">
        <f t="shared" si="7"/>
        <v>1</v>
      </c>
    </row>
    <row r="66" spans="1:52" x14ac:dyDescent="0.35">
      <c r="A66" t="s">
        <v>981</v>
      </c>
      <c r="B66">
        <v>2020</v>
      </c>
      <c r="C66" t="s">
        <v>837</v>
      </c>
      <c r="D66" t="s">
        <v>976</v>
      </c>
      <c r="E66" t="s">
        <v>977</v>
      </c>
      <c r="F66" t="s">
        <v>978</v>
      </c>
      <c r="G66" s="357">
        <v>140000.02849999999</v>
      </c>
      <c r="H66" s="198">
        <v>7990.1896999999999</v>
      </c>
      <c r="I66" s="198">
        <v>0</v>
      </c>
      <c r="J66" s="198">
        <v>0</v>
      </c>
      <c r="K66" s="198">
        <v>0</v>
      </c>
      <c r="L66" s="198">
        <v>61.624000000000009</v>
      </c>
      <c r="M66" s="198">
        <v>17920.003647999998</v>
      </c>
      <c r="N66" s="198">
        <v>45</v>
      </c>
      <c r="O66" s="198">
        <v>0</v>
      </c>
      <c r="P66" s="198">
        <v>1102.1489999999999</v>
      </c>
      <c r="Q66" s="198">
        <v>0</v>
      </c>
      <c r="R66" s="198">
        <v>0</v>
      </c>
      <c r="S66" s="198">
        <v>0</v>
      </c>
      <c r="T66" s="198">
        <v>0</v>
      </c>
      <c r="U66" s="198">
        <v>297.73886559983873</v>
      </c>
      <c r="V66" s="198">
        <v>852.53031518358932</v>
      </c>
      <c r="W66" s="198">
        <v>17.763157894736842</v>
      </c>
      <c r="X66" s="198">
        <v>0</v>
      </c>
      <c r="Y66" s="198">
        <v>190</v>
      </c>
      <c r="Z66" s="271">
        <v>28476.998686678166</v>
      </c>
      <c r="AA66" s="272">
        <v>0</v>
      </c>
      <c r="AB66" s="198">
        <v>0</v>
      </c>
      <c r="AC66" s="272">
        <v>267.81390430678289</v>
      </c>
      <c r="AD66" s="198">
        <v>0.96413005550441833</v>
      </c>
      <c r="AE66" s="198">
        <v>0.96413005550441833</v>
      </c>
      <c r="AF66" s="198">
        <v>0</v>
      </c>
      <c r="AG66" s="198">
        <v>0</v>
      </c>
      <c r="AH66" s="198">
        <v>0</v>
      </c>
      <c r="AI66" s="198">
        <v>0</v>
      </c>
      <c r="AJ66" s="198">
        <v>0</v>
      </c>
      <c r="AK66" s="198">
        <v>0</v>
      </c>
      <c r="AL66" s="198">
        <v>0</v>
      </c>
      <c r="AM66" s="198">
        <v>1.4254068783754573E-2</v>
      </c>
      <c r="AN66" s="198">
        <v>3.6427064669594927E-3</v>
      </c>
      <c r="AO66" s="198">
        <v>0</v>
      </c>
      <c r="AP66" s="198">
        <v>5.2082166248739554E-4</v>
      </c>
      <c r="AQ66" s="198">
        <v>6.5114713849676368E-4</v>
      </c>
      <c r="AS66" s="258">
        <f t="shared" si="3"/>
        <v>38201.893738178755</v>
      </c>
      <c r="AT66" s="3">
        <f t="shared" si="0"/>
        <v>0</v>
      </c>
      <c r="AU66" s="3">
        <f t="shared" si="1"/>
        <v>0</v>
      </c>
      <c r="AV66" s="95">
        <f t="shared" si="2"/>
        <v>16.641225863197516</v>
      </c>
      <c r="AW66" s="95">
        <f t="shared" si="4"/>
        <v>0.5990841310751106</v>
      </c>
      <c r="AX66" s="95">
        <f t="shared" si="8"/>
        <v>0.5990841310751106</v>
      </c>
      <c r="AY66" s="102">
        <f t="shared" si="6"/>
        <v>0</v>
      </c>
      <c r="AZ66" s="102">
        <f t="shared" si="7"/>
        <v>1</v>
      </c>
    </row>
    <row r="67" spans="1:52" x14ac:dyDescent="0.35">
      <c r="A67" t="s">
        <v>982</v>
      </c>
      <c r="B67">
        <v>2020</v>
      </c>
      <c r="C67" t="s">
        <v>837</v>
      </c>
      <c r="D67" t="s">
        <v>976</v>
      </c>
      <c r="E67" t="s">
        <v>983</v>
      </c>
      <c r="F67" t="s">
        <v>978</v>
      </c>
      <c r="G67" s="357"/>
      <c r="H67" s="198">
        <v>7990.1896999999999</v>
      </c>
      <c r="I67" s="198">
        <v>7651.3626622066504</v>
      </c>
      <c r="J67" s="198">
        <v>0</v>
      </c>
      <c r="K67" s="198">
        <v>0</v>
      </c>
      <c r="L67" s="198">
        <v>61.624000000000009</v>
      </c>
      <c r="M67" s="198">
        <v>0</v>
      </c>
      <c r="N67" s="198">
        <v>0</v>
      </c>
      <c r="O67" s="198">
        <v>46.056124891040987</v>
      </c>
      <c r="P67" s="198">
        <v>0</v>
      </c>
      <c r="Q67" s="198">
        <v>0</v>
      </c>
      <c r="R67" s="198">
        <v>9.470738986137663</v>
      </c>
      <c r="S67" s="198">
        <v>2276.5300000000002</v>
      </c>
      <c r="T67" s="198">
        <v>111.1</v>
      </c>
      <c r="U67" s="198">
        <v>297.73886559983873</v>
      </c>
      <c r="V67" s="198">
        <v>338.90563256183236</v>
      </c>
      <c r="W67" s="198">
        <v>0</v>
      </c>
      <c r="X67" s="198">
        <v>0</v>
      </c>
      <c r="Y67" s="198">
        <v>190</v>
      </c>
      <c r="Z67" s="271">
        <v>18972.977724245502</v>
      </c>
      <c r="AA67" s="272">
        <v>35.623819557528464</v>
      </c>
      <c r="AB67" s="198">
        <v>3.4584093320213185</v>
      </c>
      <c r="AC67" s="272">
        <v>0</v>
      </c>
      <c r="AD67" s="198">
        <v>0</v>
      </c>
      <c r="AE67" s="198">
        <v>3.4584093320213185</v>
      </c>
      <c r="AF67" s="198">
        <v>258.88108113810176</v>
      </c>
      <c r="AG67" s="198">
        <v>0.11380868688393059</v>
      </c>
      <c r="AH67" s="198">
        <v>6.0134544792440122E-4</v>
      </c>
      <c r="AI67" s="198">
        <v>262.45469826307323</v>
      </c>
      <c r="AJ67" s="198">
        <v>0.11043394546551513</v>
      </c>
      <c r="AK67" s="198">
        <v>2.5770593346895398</v>
      </c>
      <c r="AL67" s="198">
        <v>0.12065540255329037</v>
      </c>
      <c r="AM67" s="198">
        <v>2.1687314525466229E-2</v>
      </c>
      <c r="AN67" s="198">
        <v>8.9172546153719993E-3</v>
      </c>
      <c r="AO67" s="198">
        <v>1.7854930446167718E-3</v>
      </c>
      <c r="AP67" s="198">
        <v>1.4816849267541606E-3</v>
      </c>
      <c r="AQ67" s="198">
        <v>1.4073381179799656E-3</v>
      </c>
      <c r="AS67" s="258">
        <f t="shared" ref="AS67:AS130" si="9">Z67*USD_CAD_2020</f>
        <v>25452.24961707534</v>
      </c>
      <c r="AT67" s="3">
        <f t="shared" ref="AT67:AT130" si="10">IFERROR(L_100km_to_mpg/AA67, 0)</f>
        <v>6.60274844648767</v>
      </c>
      <c r="AU67" s="3">
        <f t="shared" ref="AU67:AU130" si="11">AT67 * GSL_PJ_ML * 10</f>
        <v>2.2164244505546971</v>
      </c>
      <c r="AV67" s="95">
        <f t="shared" ref="AV67:AV130" si="12">AC67/km_mile / 10</f>
        <v>0</v>
      </c>
      <c r="AW67" s="95">
        <f t="shared" si="4"/>
        <v>0</v>
      </c>
      <c r="AX67" s="95">
        <f t="shared" si="8"/>
        <v>2.2164244505546971</v>
      </c>
      <c r="AY67" s="102">
        <f t="shared" si="6"/>
        <v>1</v>
      </c>
      <c r="AZ67" s="102">
        <f t="shared" si="7"/>
        <v>0</v>
      </c>
    </row>
    <row r="68" spans="1:52" x14ac:dyDescent="0.35">
      <c r="A68" t="s">
        <v>984</v>
      </c>
      <c r="B68">
        <v>2020</v>
      </c>
      <c r="C68" t="s">
        <v>837</v>
      </c>
      <c r="D68" t="s">
        <v>976</v>
      </c>
      <c r="E68" t="s">
        <v>240</v>
      </c>
      <c r="F68" t="s">
        <v>978</v>
      </c>
      <c r="G68" s="357"/>
      <c r="H68" s="198">
        <v>7990.1896999999999</v>
      </c>
      <c r="I68" s="198">
        <v>9300.3860970000005</v>
      </c>
      <c r="J68" s="198">
        <v>0</v>
      </c>
      <c r="K68" s="198">
        <v>0</v>
      </c>
      <c r="L68" s="198">
        <v>61.624000000000009</v>
      </c>
      <c r="M68" s="198">
        <v>0</v>
      </c>
      <c r="N68" s="198">
        <v>0</v>
      </c>
      <c r="O68" s="198">
        <v>46.056124891040987</v>
      </c>
      <c r="P68" s="198">
        <v>0</v>
      </c>
      <c r="Q68" s="198">
        <v>0</v>
      </c>
      <c r="R68" s="198">
        <v>9.470738986137663</v>
      </c>
      <c r="S68" s="198">
        <v>2276.5300000000002</v>
      </c>
      <c r="T68" s="198">
        <v>111.1</v>
      </c>
      <c r="U68" s="198">
        <v>297.73886559983873</v>
      </c>
      <c r="V68" s="198">
        <v>316.27969126008276</v>
      </c>
      <c r="W68" s="198">
        <v>0</v>
      </c>
      <c r="X68" s="198">
        <v>0</v>
      </c>
      <c r="Y68" s="198">
        <v>190</v>
      </c>
      <c r="Z68" s="271">
        <v>20599.375217737099</v>
      </c>
      <c r="AA68" s="272">
        <v>31.659758628420285</v>
      </c>
      <c r="AB68" s="198">
        <v>3.8914304889679245</v>
      </c>
      <c r="AC68" s="272">
        <v>0</v>
      </c>
      <c r="AD68" s="198">
        <v>0</v>
      </c>
      <c r="AE68" s="198">
        <v>3.8914304889679245</v>
      </c>
      <c r="AF68" s="198">
        <v>0</v>
      </c>
      <c r="AG68" s="198">
        <v>0</v>
      </c>
      <c r="AH68" s="198">
        <v>0</v>
      </c>
      <c r="AI68" s="198">
        <v>0</v>
      </c>
      <c r="AJ68" s="198">
        <v>0</v>
      </c>
      <c r="AK68" s="198">
        <v>0</v>
      </c>
      <c r="AL68" s="198">
        <v>0</v>
      </c>
      <c r="AM68" s="198">
        <v>0</v>
      </c>
      <c r="AN68" s="198">
        <v>0</v>
      </c>
      <c r="AO68" s="198">
        <v>0</v>
      </c>
      <c r="AP68" s="198">
        <v>0</v>
      </c>
      <c r="AQ68" s="198">
        <v>0</v>
      </c>
      <c r="AS68" s="258">
        <f t="shared" si="9"/>
        <v>27634.061854594318</v>
      </c>
      <c r="AT68" s="3">
        <f t="shared" si="10"/>
        <v>7.4294665983423069</v>
      </c>
      <c r="AU68" s="3">
        <f t="shared" si="11"/>
        <v>2.4939389341577685</v>
      </c>
      <c r="AV68" s="95">
        <f t="shared" si="12"/>
        <v>0</v>
      </c>
      <c r="AW68" s="95">
        <f t="shared" ref="AW68:AW131" si="13">AV68*3.6/100</f>
        <v>0</v>
      </c>
      <c r="AX68" s="95">
        <f t="shared" si="8"/>
        <v>2.4939389341577685</v>
      </c>
      <c r="AY68" s="102">
        <f t="shared" ref="AY68:AY131" si="14">AU68/AX68</f>
        <v>1</v>
      </c>
      <c r="AZ68" s="102">
        <f t="shared" ref="AZ68:AZ131" si="15">AW68/AX68</f>
        <v>0</v>
      </c>
    </row>
    <row r="69" spans="1:52" x14ac:dyDescent="0.35">
      <c r="A69" t="s">
        <v>985</v>
      </c>
      <c r="B69">
        <v>2020</v>
      </c>
      <c r="C69" t="s">
        <v>837</v>
      </c>
      <c r="D69" t="s">
        <v>976</v>
      </c>
      <c r="E69" t="s">
        <v>986</v>
      </c>
      <c r="F69" t="s">
        <v>978</v>
      </c>
      <c r="G69" s="357"/>
      <c r="H69" s="198">
        <v>7990.1896999999999</v>
      </c>
      <c r="I69" s="198">
        <v>4094.7034189999999</v>
      </c>
      <c r="J69" s="198">
        <v>0</v>
      </c>
      <c r="K69" s="198">
        <v>0</v>
      </c>
      <c r="L69" s="198">
        <v>61.624000000000009</v>
      </c>
      <c r="M69" s="198">
        <v>0</v>
      </c>
      <c r="N69" s="198">
        <v>0</v>
      </c>
      <c r="O69" s="198">
        <v>46.056124891040987</v>
      </c>
      <c r="P69" s="198">
        <v>0</v>
      </c>
      <c r="Q69" s="198">
        <v>0</v>
      </c>
      <c r="R69" s="198">
        <v>9.470738986137663</v>
      </c>
      <c r="S69" s="198">
        <v>2276.5300000000002</v>
      </c>
      <c r="T69" s="198">
        <v>111.1</v>
      </c>
      <c r="U69" s="198">
        <v>297.73886559983873</v>
      </c>
      <c r="V69" s="198">
        <v>315.68466659587938</v>
      </c>
      <c r="W69" s="198">
        <v>0</v>
      </c>
      <c r="X69" s="198">
        <v>0</v>
      </c>
      <c r="Y69" s="198">
        <v>190</v>
      </c>
      <c r="Z69" s="271">
        <v>15393.097515072899</v>
      </c>
      <c r="AA69" s="272">
        <v>29.382094483272244</v>
      </c>
      <c r="AB69" s="198">
        <v>4.1930894364981706</v>
      </c>
      <c r="AC69" s="272">
        <v>0</v>
      </c>
      <c r="AD69" s="198">
        <v>0</v>
      </c>
      <c r="AE69" s="198">
        <v>4.1930894364981706</v>
      </c>
      <c r="AF69" s="198">
        <v>313.87595348493841</v>
      </c>
      <c r="AG69" s="198">
        <v>0.13798540222993927</v>
      </c>
      <c r="AH69" s="198">
        <v>7.2909103674675274E-4</v>
      </c>
      <c r="AI69" s="198">
        <v>318.20872464596488</v>
      </c>
      <c r="AJ69" s="198">
        <v>0.13389375452894253</v>
      </c>
      <c r="AK69" s="198">
        <v>3.1245116572710843</v>
      </c>
      <c r="AL69" s="198">
        <v>0.14628658592213098</v>
      </c>
      <c r="AM69" s="198">
        <v>2.6294414776401379E-2</v>
      </c>
      <c r="AN69" s="198">
        <v>1.0811573339245895E-2</v>
      </c>
      <c r="AO69" s="198">
        <v>2.1647906032996422E-3</v>
      </c>
      <c r="AP69" s="198">
        <v>1.7964436300431366E-3</v>
      </c>
      <c r="AQ69" s="198">
        <v>1.7063031091909609E-3</v>
      </c>
      <c r="AS69" s="258">
        <f t="shared" si="9"/>
        <v>20649.840316470294</v>
      </c>
      <c r="AT69" s="3">
        <f t="shared" si="10"/>
        <v>8.0053897919135864</v>
      </c>
      <c r="AU69" s="3">
        <f t="shared" si="11"/>
        <v>2.6872660400165351</v>
      </c>
      <c r="AV69" s="95">
        <f t="shared" si="12"/>
        <v>0</v>
      </c>
      <c r="AW69" s="95">
        <f t="shared" si="13"/>
        <v>0</v>
      </c>
      <c r="AX69" s="95">
        <f t="shared" si="8"/>
        <v>2.6872660400165351</v>
      </c>
      <c r="AY69" s="102">
        <f t="shared" si="14"/>
        <v>1</v>
      </c>
      <c r="AZ69" s="102">
        <f t="shared" si="15"/>
        <v>0</v>
      </c>
    </row>
    <row r="70" spans="1:52" x14ac:dyDescent="0.35">
      <c r="A70" t="s">
        <v>987</v>
      </c>
      <c r="B70">
        <v>2020</v>
      </c>
      <c r="C70" t="s">
        <v>837</v>
      </c>
      <c r="D70" t="s">
        <v>976</v>
      </c>
      <c r="E70" t="s">
        <v>986</v>
      </c>
      <c r="F70" t="s">
        <v>978</v>
      </c>
      <c r="G70" s="357">
        <v>16816.044999999998</v>
      </c>
      <c r="H70" s="198">
        <v>7990.1896999999999</v>
      </c>
      <c r="I70" s="198">
        <v>4578.2894130000004</v>
      </c>
      <c r="J70" s="198">
        <v>0</v>
      </c>
      <c r="K70" s="198">
        <v>0</v>
      </c>
      <c r="L70" s="198">
        <v>61.624000000000009</v>
      </c>
      <c r="M70" s="198">
        <v>2522.4067499999996</v>
      </c>
      <c r="N70" s="198">
        <v>45</v>
      </c>
      <c r="O70" s="198">
        <v>0</v>
      </c>
      <c r="P70" s="198">
        <v>853.06499999999994</v>
      </c>
      <c r="Q70" s="198">
        <v>510.70499999999998</v>
      </c>
      <c r="R70" s="198">
        <v>0</v>
      </c>
      <c r="S70" s="198">
        <v>1120.248155</v>
      </c>
      <c r="T70" s="198">
        <v>0</v>
      </c>
      <c r="U70" s="198">
        <v>297.73886559983873</v>
      </c>
      <c r="V70" s="198">
        <v>876.3417923135064</v>
      </c>
      <c r="W70" s="198">
        <v>17.763157894736842</v>
      </c>
      <c r="X70" s="198">
        <v>0</v>
      </c>
      <c r="Y70" s="198">
        <v>190</v>
      </c>
      <c r="Z70" s="271">
        <v>19063.371833808087</v>
      </c>
      <c r="AA70" s="272">
        <v>251.92652136897456</v>
      </c>
      <c r="AB70" s="198">
        <v>0.48903842807227621</v>
      </c>
      <c r="AC70" s="272">
        <v>203.96460636210318</v>
      </c>
      <c r="AD70" s="198">
        <v>0.73427258290357145</v>
      </c>
      <c r="AE70" s="198">
        <v>1.2233110109758476</v>
      </c>
      <c r="AF70" s="198">
        <v>36.607233217079539</v>
      </c>
      <c r="AG70" s="198">
        <v>1.6093185043008728E-2</v>
      </c>
      <c r="AH70" s="198">
        <v>8.5033610642464935E-5</v>
      </c>
      <c r="AI70" s="198">
        <v>37.112562671620068</v>
      </c>
      <c r="AJ70" s="198">
        <v>1.5615977726011435E-2</v>
      </c>
      <c r="AK70" s="198">
        <v>0.36441060762144328</v>
      </c>
      <c r="AL70" s="198">
        <v>1.706134894350473E-2</v>
      </c>
      <c r="AM70" s="198">
        <v>1.3922475293552405E-2</v>
      </c>
      <c r="AN70" s="198">
        <v>4.0352014336294765E-3</v>
      </c>
      <c r="AO70" s="198">
        <v>2.5247870568375686E-4</v>
      </c>
      <c r="AP70" s="198">
        <v>6.0617152613433669E-4</v>
      </c>
      <c r="AQ70" s="198">
        <v>6.949131553202776E-4</v>
      </c>
      <c r="AS70" s="258">
        <f t="shared" si="9"/>
        <v>25573.513315053548</v>
      </c>
      <c r="AT70" s="3">
        <f t="shared" si="10"/>
        <v>0.93366557027526809</v>
      </c>
      <c r="AU70" s="3">
        <f t="shared" si="11"/>
        <v>0.31341481738563209</v>
      </c>
      <c r="AV70" s="95">
        <f t="shared" si="12"/>
        <v>12.673804563492064</v>
      </c>
      <c r="AW70" s="95">
        <f t="shared" si="13"/>
        <v>0.45625696428571433</v>
      </c>
      <c r="AX70" s="95">
        <f t="shared" si="8"/>
        <v>0.76967178167134642</v>
      </c>
      <c r="AY70" s="102">
        <f t="shared" si="14"/>
        <v>0.40720580492771885</v>
      </c>
      <c r="AZ70" s="102">
        <f t="shared" si="15"/>
        <v>0.59279419507228115</v>
      </c>
    </row>
    <row r="71" spans="1:52" x14ac:dyDescent="0.35">
      <c r="A71" t="s">
        <v>988</v>
      </c>
      <c r="B71">
        <v>2020</v>
      </c>
      <c r="C71" t="s">
        <v>837</v>
      </c>
      <c r="D71" t="s">
        <v>976</v>
      </c>
      <c r="E71" t="s">
        <v>989</v>
      </c>
      <c r="F71" t="s">
        <v>978</v>
      </c>
      <c r="G71" s="357">
        <v>1263.5999999999999</v>
      </c>
      <c r="H71" s="198">
        <v>7990.1896999999999</v>
      </c>
      <c r="I71" s="198">
        <v>0</v>
      </c>
      <c r="J71" s="198">
        <v>4425.3040000000001</v>
      </c>
      <c r="K71" s="198">
        <v>2298.5947999999999</v>
      </c>
      <c r="L71" s="198">
        <v>61.624000000000009</v>
      </c>
      <c r="M71" s="198">
        <v>728.20846800000004</v>
      </c>
      <c r="N71" s="198">
        <v>0</v>
      </c>
      <c r="O71" s="198">
        <v>0</v>
      </c>
      <c r="P71" s="198">
        <v>782.649</v>
      </c>
      <c r="Q71" s="198">
        <v>0</v>
      </c>
      <c r="R71" s="198">
        <v>0</v>
      </c>
      <c r="S71" s="198">
        <v>0</v>
      </c>
      <c r="T71" s="198">
        <v>0</v>
      </c>
      <c r="U71" s="198">
        <v>297.73886559983873</v>
      </c>
      <c r="V71" s="198">
        <v>852.53031518358932</v>
      </c>
      <c r="W71" s="198">
        <v>13.026315789473685</v>
      </c>
      <c r="X71" s="198">
        <v>182.05211700000001</v>
      </c>
      <c r="Y71" s="198">
        <v>190</v>
      </c>
      <c r="Z71" s="271">
        <v>17821.9175815729</v>
      </c>
      <c r="AA71" s="272">
        <v>78.05172079260133</v>
      </c>
      <c r="AB71" s="198">
        <v>1.5784629569842685</v>
      </c>
      <c r="AC71" s="272">
        <v>0</v>
      </c>
      <c r="AD71" s="198">
        <v>0</v>
      </c>
      <c r="AE71" s="198">
        <v>1.5784629569842685</v>
      </c>
      <c r="AF71" s="198">
        <v>0</v>
      </c>
      <c r="AG71" s="198">
        <v>0</v>
      </c>
      <c r="AH71" s="198">
        <v>0</v>
      </c>
      <c r="AI71" s="198">
        <v>0</v>
      </c>
      <c r="AJ71" s="198">
        <v>0</v>
      </c>
      <c r="AK71" s="198">
        <v>0</v>
      </c>
      <c r="AL71" s="198">
        <v>0</v>
      </c>
      <c r="AM71" s="198">
        <v>1.475639239714998E-2</v>
      </c>
      <c r="AN71" s="198">
        <v>3.7710780570494457E-3</v>
      </c>
      <c r="AO71" s="198">
        <v>0</v>
      </c>
      <c r="AP71" s="198">
        <v>5.3917579164197748E-4</v>
      </c>
      <c r="AQ71" s="198">
        <v>6.7409403095420922E-4</v>
      </c>
      <c r="AS71" s="258">
        <f t="shared" si="9"/>
        <v>23908.102435680044</v>
      </c>
      <c r="AT71" s="3">
        <f t="shared" si="10"/>
        <v>3.0135801857135305</v>
      </c>
      <c r="AU71" s="3">
        <f t="shared" si="11"/>
        <v>1.0116049189903218</v>
      </c>
      <c r="AV71" s="95">
        <f t="shared" si="12"/>
        <v>0</v>
      </c>
      <c r="AW71" s="95">
        <f t="shared" si="13"/>
        <v>0</v>
      </c>
      <c r="AX71" s="95">
        <f t="shared" si="8"/>
        <v>1.0116049189903218</v>
      </c>
      <c r="AY71" s="102">
        <f t="shared" si="14"/>
        <v>1</v>
      </c>
      <c r="AZ71" s="102">
        <f t="shared" si="15"/>
        <v>0</v>
      </c>
    </row>
    <row r="72" spans="1:52" x14ac:dyDescent="0.35">
      <c r="A72" t="s">
        <v>990</v>
      </c>
      <c r="B72">
        <v>2020</v>
      </c>
      <c r="C72" t="s">
        <v>837</v>
      </c>
      <c r="D72" t="s">
        <v>976</v>
      </c>
      <c r="E72" t="s">
        <v>989</v>
      </c>
      <c r="F72" t="s">
        <v>978</v>
      </c>
      <c r="G72" s="357">
        <v>1263.5999999999999</v>
      </c>
      <c r="H72" s="198">
        <v>7990.1896999999999</v>
      </c>
      <c r="I72" s="198">
        <v>0</v>
      </c>
      <c r="J72" s="198">
        <v>4505.9519999999993</v>
      </c>
      <c r="K72" s="198">
        <v>2717.8162000000002</v>
      </c>
      <c r="L72" s="198">
        <v>61.624000000000009</v>
      </c>
      <c r="M72" s="198">
        <v>728.20846800000004</v>
      </c>
      <c r="N72" s="198">
        <v>0</v>
      </c>
      <c r="O72" s="198">
        <v>0</v>
      </c>
      <c r="P72" s="198">
        <v>799.029</v>
      </c>
      <c r="Q72" s="198">
        <v>0</v>
      </c>
      <c r="R72" s="198">
        <v>0</v>
      </c>
      <c r="S72" s="198">
        <v>0</v>
      </c>
      <c r="T72" s="198">
        <v>0</v>
      </c>
      <c r="U72" s="198">
        <v>297.73886559983873</v>
      </c>
      <c r="V72" s="198">
        <v>852.53031518358932</v>
      </c>
      <c r="W72" s="198">
        <v>13.026315789473685</v>
      </c>
      <c r="X72" s="198">
        <v>182.05211700000001</v>
      </c>
      <c r="Y72" s="198">
        <v>190</v>
      </c>
      <c r="Z72" s="271">
        <v>18338.166981572904</v>
      </c>
      <c r="AA72" s="272">
        <v>77.282377381831722</v>
      </c>
      <c r="AB72" s="198">
        <v>1.5941765014719054</v>
      </c>
      <c r="AC72" s="272">
        <v>0</v>
      </c>
      <c r="AD72" s="198">
        <v>0</v>
      </c>
      <c r="AE72" s="198">
        <v>1.5941765014719054</v>
      </c>
      <c r="AF72" s="198">
        <v>0</v>
      </c>
      <c r="AG72" s="198">
        <v>0</v>
      </c>
      <c r="AH72" s="198">
        <v>0</v>
      </c>
      <c r="AI72" s="198">
        <v>0</v>
      </c>
      <c r="AJ72" s="198">
        <v>0</v>
      </c>
      <c r="AK72" s="198">
        <v>0</v>
      </c>
      <c r="AL72" s="198">
        <v>0</v>
      </c>
      <c r="AM72" s="198">
        <v>1.490329177631099E-2</v>
      </c>
      <c r="AN72" s="198">
        <v>3.8086190095017042E-3</v>
      </c>
      <c r="AO72" s="198">
        <v>0</v>
      </c>
      <c r="AP72" s="198">
        <v>5.4454326811719986E-4</v>
      </c>
      <c r="AQ72" s="198">
        <v>6.8080461386486977E-4</v>
      </c>
      <c r="AS72" s="258">
        <f t="shared" si="9"/>
        <v>24600.651005780048</v>
      </c>
      <c r="AT72" s="3">
        <f t="shared" si="10"/>
        <v>3.0435802728905794</v>
      </c>
      <c r="AU72" s="3">
        <f t="shared" si="11"/>
        <v>1.0216754111916952</v>
      </c>
      <c r="AV72" s="95">
        <f t="shared" si="12"/>
        <v>0</v>
      </c>
      <c r="AW72" s="95">
        <f t="shared" si="13"/>
        <v>0</v>
      </c>
      <c r="AX72" s="95">
        <f t="shared" si="8"/>
        <v>1.0216754111916952</v>
      </c>
      <c r="AY72" s="102">
        <f t="shared" si="14"/>
        <v>1</v>
      </c>
      <c r="AZ72" s="102">
        <f t="shared" si="15"/>
        <v>0</v>
      </c>
    </row>
    <row r="73" spans="1:52" x14ac:dyDescent="0.35">
      <c r="A73" t="s">
        <v>991</v>
      </c>
      <c r="B73">
        <v>2020</v>
      </c>
      <c r="C73" t="s">
        <v>837</v>
      </c>
      <c r="D73" t="s">
        <v>976</v>
      </c>
      <c r="E73" t="s">
        <v>986</v>
      </c>
      <c r="F73" t="s">
        <v>978</v>
      </c>
      <c r="G73" s="357">
        <v>1263.5999999999999</v>
      </c>
      <c r="H73" s="198">
        <v>7990.1896999999999</v>
      </c>
      <c r="I73" s="198">
        <v>4578.2894132022802</v>
      </c>
      <c r="J73" s="198">
        <v>0</v>
      </c>
      <c r="K73" s="198">
        <v>0</v>
      </c>
      <c r="L73" s="198">
        <v>61.624000000000009</v>
      </c>
      <c r="M73" s="198">
        <v>728.20846800000004</v>
      </c>
      <c r="N73" s="198">
        <v>0</v>
      </c>
      <c r="O73" s="198">
        <v>0</v>
      </c>
      <c r="P73" s="198">
        <v>571.06799999999998</v>
      </c>
      <c r="Q73" s="198">
        <v>439.22699999999998</v>
      </c>
      <c r="R73" s="198">
        <v>0</v>
      </c>
      <c r="S73" s="198">
        <v>999.23628585447398</v>
      </c>
      <c r="T73" s="198">
        <v>0</v>
      </c>
      <c r="U73" s="198">
        <v>297.73886559983873</v>
      </c>
      <c r="V73" s="198">
        <v>878.77854000393609</v>
      </c>
      <c r="W73" s="198">
        <v>13.026315789473685</v>
      </c>
      <c r="X73" s="198">
        <v>182.05211700000001</v>
      </c>
      <c r="Y73" s="198">
        <v>190</v>
      </c>
      <c r="Z73" s="271">
        <v>16929.438705450004</v>
      </c>
      <c r="AA73" s="272">
        <v>50.909146541042858</v>
      </c>
      <c r="AB73" s="198">
        <v>2.420031730460753</v>
      </c>
      <c r="AC73" s="272">
        <v>0</v>
      </c>
      <c r="AD73" s="198">
        <v>0</v>
      </c>
      <c r="AE73" s="198">
        <v>2.420031730460753</v>
      </c>
      <c r="AF73" s="198">
        <v>181.15277013898859</v>
      </c>
      <c r="AG73" s="198">
        <v>7.9637951156062509E-2</v>
      </c>
      <c r="AH73" s="198">
        <v>4.2079318126713139E-4</v>
      </c>
      <c r="AI73" s="198">
        <v>183.65341884904001</v>
      </c>
      <c r="AJ73" s="198">
        <v>7.7276466285244108E-2</v>
      </c>
      <c r="AK73" s="198">
        <v>1.803304572273899</v>
      </c>
      <c r="AL73" s="198">
        <v>8.4428959847798066E-2</v>
      </c>
      <c r="AM73" s="198">
        <v>1.517575979632105E-2</v>
      </c>
      <c r="AN73" s="198">
        <v>6.2398741866640361E-3</v>
      </c>
      <c r="AO73" s="198">
        <v>1.2494038176690096E-3</v>
      </c>
      <c r="AP73" s="198">
        <v>1.0368132262686084E-3</v>
      </c>
      <c r="AQ73" s="198">
        <v>9.8478883614620122E-4</v>
      </c>
      <c r="AS73" s="258">
        <f t="shared" si="9"/>
        <v>22710.84202336118</v>
      </c>
      <c r="AT73" s="3">
        <f t="shared" si="10"/>
        <v>4.6202919361808226</v>
      </c>
      <c r="AU73" s="3">
        <f t="shared" si="11"/>
        <v>1.5509492901398239</v>
      </c>
      <c r="AV73" s="95">
        <f t="shared" si="12"/>
        <v>0</v>
      </c>
      <c r="AW73" s="95">
        <f t="shared" si="13"/>
        <v>0</v>
      </c>
      <c r="AX73" s="95">
        <f t="shared" si="8"/>
        <v>1.5509492901398239</v>
      </c>
      <c r="AY73" s="102">
        <f t="shared" si="14"/>
        <v>1</v>
      </c>
      <c r="AZ73" s="102">
        <f t="shared" si="15"/>
        <v>0</v>
      </c>
    </row>
    <row r="74" spans="1:52" x14ac:dyDescent="0.35">
      <c r="A74" t="s">
        <v>992</v>
      </c>
      <c r="B74">
        <v>2020</v>
      </c>
      <c r="C74" t="s">
        <v>837</v>
      </c>
      <c r="D74" t="s">
        <v>976</v>
      </c>
      <c r="E74" t="s">
        <v>986</v>
      </c>
      <c r="F74" t="s">
        <v>978</v>
      </c>
      <c r="G74" s="357">
        <v>7338.4056</v>
      </c>
      <c r="H74" s="198">
        <v>7990.1896999999999</v>
      </c>
      <c r="I74" s="198">
        <v>4578.2894132022802</v>
      </c>
      <c r="J74" s="198">
        <v>0</v>
      </c>
      <c r="K74" s="198">
        <v>0</v>
      </c>
      <c r="L74" s="198">
        <v>61.624000000000009</v>
      </c>
      <c r="M74" s="198">
        <v>1314.0343200000002</v>
      </c>
      <c r="N74" s="198">
        <v>45</v>
      </c>
      <c r="O74" s="198">
        <v>0</v>
      </c>
      <c r="P74" s="198">
        <v>588.7890000000001</v>
      </c>
      <c r="Q74" s="198">
        <v>454.19400000000002</v>
      </c>
      <c r="R74" s="198">
        <v>0</v>
      </c>
      <c r="S74" s="198">
        <v>1008.81857960077</v>
      </c>
      <c r="T74" s="198">
        <v>0</v>
      </c>
      <c r="U74" s="198">
        <v>297.73886559983873</v>
      </c>
      <c r="V74" s="198">
        <v>879.67275549012606</v>
      </c>
      <c r="W74" s="198">
        <v>13.026315789473685</v>
      </c>
      <c r="X74" s="198">
        <v>215.73809999999997</v>
      </c>
      <c r="Y74" s="198">
        <v>190</v>
      </c>
      <c r="Z74" s="271">
        <v>17637.115049682485</v>
      </c>
      <c r="AA74" s="272">
        <v>106.36311693281171</v>
      </c>
      <c r="AB74" s="198">
        <v>1.1583127079457916</v>
      </c>
      <c r="AC74" s="272">
        <v>140.44852593817461</v>
      </c>
      <c r="AD74" s="198">
        <v>0.50561469337742859</v>
      </c>
      <c r="AE74" s="198">
        <v>1.6639274013232201</v>
      </c>
      <c r="AF74" s="198">
        <v>86.706117564674784</v>
      </c>
      <c r="AG74" s="198">
        <v>3.8117537756941176E-2</v>
      </c>
      <c r="AH74" s="198">
        <v>2.0140648700744788E-4</v>
      </c>
      <c r="AI74" s="198">
        <v>87.903016407984296</v>
      </c>
      <c r="AJ74" s="198">
        <v>3.6987247645013634E-2</v>
      </c>
      <c r="AK74" s="198">
        <v>0.86312529545384087</v>
      </c>
      <c r="AL74" s="198">
        <v>4.0410683826748887E-2</v>
      </c>
      <c r="AM74" s="198">
        <v>7.263654936237038E-3</v>
      </c>
      <c r="AN74" s="198">
        <v>2.9866242972854604E-3</v>
      </c>
      <c r="AO74" s="198">
        <v>5.9800881994487992E-4</v>
      </c>
      <c r="AP74" s="198">
        <v>4.9625545014013233E-4</v>
      </c>
      <c r="AQ74" s="198">
        <v>4.7135473853233842E-4</v>
      </c>
      <c r="AS74" s="258">
        <f t="shared" si="9"/>
        <v>23660.18983914905</v>
      </c>
      <c r="AT74" s="3">
        <f t="shared" si="10"/>
        <v>2.2114349976224434</v>
      </c>
      <c r="AU74" s="3">
        <f t="shared" si="11"/>
        <v>0.74233913941550989</v>
      </c>
      <c r="AV74" s="95">
        <f t="shared" si="12"/>
        <v>8.7270884920634924</v>
      </c>
      <c r="AW74" s="95">
        <f t="shared" si="13"/>
        <v>0.31417518571428571</v>
      </c>
      <c r="AX74" s="95">
        <f t="shared" si="8"/>
        <v>1.0565143251297955</v>
      </c>
      <c r="AY74" s="102">
        <f t="shared" si="14"/>
        <v>0.70263045351922859</v>
      </c>
      <c r="AZ74" s="102">
        <f t="shared" si="15"/>
        <v>0.29736954648077157</v>
      </c>
    </row>
    <row r="75" spans="1:52" x14ac:dyDescent="0.35">
      <c r="A75" t="s">
        <v>975</v>
      </c>
      <c r="B75">
        <v>2020</v>
      </c>
      <c r="C75" t="s">
        <v>837</v>
      </c>
      <c r="D75" t="s">
        <v>993</v>
      </c>
      <c r="E75" t="s">
        <v>977</v>
      </c>
      <c r="F75" t="s">
        <v>978</v>
      </c>
      <c r="G75" s="357">
        <v>44660.112500000003</v>
      </c>
      <c r="H75" s="198">
        <v>10719.453</v>
      </c>
      <c r="I75" s="198">
        <v>0</v>
      </c>
      <c r="J75" s="198">
        <v>0</v>
      </c>
      <c r="K75" s="198">
        <v>0</v>
      </c>
      <c r="L75" s="198">
        <v>61.624000000000009</v>
      </c>
      <c r="M75" s="198">
        <v>5716.4944000000005</v>
      </c>
      <c r="N75" s="198">
        <v>45</v>
      </c>
      <c r="O75" s="198">
        <v>0</v>
      </c>
      <c r="P75" s="198">
        <v>1022.796</v>
      </c>
      <c r="Q75" s="198">
        <v>0</v>
      </c>
      <c r="R75" s="198">
        <v>0</v>
      </c>
      <c r="S75" s="198">
        <v>0</v>
      </c>
      <c r="T75" s="198">
        <v>0</v>
      </c>
      <c r="U75" s="198">
        <v>297.73886559983873</v>
      </c>
      <c r="V75" s="198">
        <v>852.53031518358932</v>
      </c>
      <c r="W75" s="198">
        <v>17.763157894736842</v>
      </c>
      <c r="X75" s="198">
        <v>0</v>
      </c>
      <c r="Y75" s="198">
        <v>190</v>
      </c>
      <c r="Z75" s="271">
        <v>18923.399738678167</v>
      </c>
      <c r="AA75" s="272">
        <v>0</v>
      </c>
      <c r="AB75" s="198">
        <v>0</v>
      </c>
      <c r="AC75" s="272">
        <v>216.19944599022256</v>
      </c>
      <c r="AD75" s="198">
        <v>0.77831800556480113</v>
      </c>
      <c r="AE75" s="198">
        <v>0.77831800556480113</v>
      </c>
      <c r="AF75" s="198">
        <v>0</v>
      </c>
      <c r="AG75" s="198">
        <v>0</v>
      </c>
      <c r="AH75" s="198">
        <v>0</v>
      </c>
      <c r="AI75" s="198">
        <v>0</v>
      </c>
      <c r="AJ75" s="198">
        <v>0</v>
      </c>
      <c r="AK75" s="198">
        <v>0</v>
      </c>
      <c r="AL75" s="198">
        <v>0</v>
      </c>
      <c r="AM75" s="198">
        <v>1.1506952120843315E-2</v>
      </c>
      <c r="AN75" s="198">
        <v>2.9406655419932843E-3</v>
      </c>
      <c r="AO75" s="198">
        <v>0</v>
      </c>
      <c r="AP75" s="198">
        <v>4.2044626167167141E-4</v>
      </c>
      <c r="AQ75" s="198">
        <v>5.256547488283399E-4</v>
      </c>
      <c r="AS75" s="258">
        <f t="shared" si="9"/>
        <v>25385.740749436758</v>
      </c>
      <c r="AT75" s="3">
        <f t="shared" si="10"/>
        <v>0</v>
      </c>
      <c r="AU75" s="3">
        <f t="shared" si="11"/>
        <v>0</v>
      </c>
      <c r="AV75" s="95">
        <f t="shared" si="12"/>
        <v>13.43404414171167</v>
      </c>
      <c r="AW75" s="95">
        <f t="shared" si="13"/>
        <v>0.48362558910162012</v>
      </c>
      <c r="AX75" s="95">
        <f t="shared" si="8"/>
        <v>0.48362558910162012</v>
      </c>
      <c r="AY75" s="102">
        <f t="shared" si="14"/>
        <v>0</v>
      </c>
      <c r="AZ75" s="102">
        <f t="shared" si="15"/>
        <v>1</v>
      </c>
    </row>
    <row r="76" spans="1:52" x14ac:dyDescent="0.35">
      <c r="A76" t="s">
        <v>979</v>
      </c>
      <c r="B76">
        <v>2020</v>
      </c>
      <c r="C76" t="s">
        <v>837</v>
      </c>
      <c r="D76" t="s">
        <v>993</v>
      </c>
      <c r="E76" t="s">
        <v>977</v>
      </c>
      <c r="F76" t="s">
        <v>978</v>
      </c>
      <c r="G76" s="357">
        <v>69589.072100000005</v>
      </c>
      <c r="H76" s="198">
        <v>10719.453</v>
      </c>
      <c r="I76" s="198">
        <v>0</v>
      </c>
      <c r="J76" s="198">
        <v>0</v>
      </c>
      <c r="K76" s="198">
        <v>0</v>
      </c>
      <c r="L76" s="198">
        <v>61.624000000000009</v>
      </c>
      <c r="M76" s="198">
        <v>8907.4012288000013</v>
      </c>
      <c r="N76" s="198">
        <v>45</v>
      </c>
      <c r="O76" s="198">
        <v>0</v>
      </c>
      <c r="P76" s="198">
        <v>1097.8920000000001</v>
      </c>
      <c r="Q76" s="198">
        <v>0</v>
      </c>
      <c r="R76" s="198">
        <v>0</v>
      </c>
      <c r="S76" s="198">
        <v>0</v>
      </c>
      <c r="T76" s="198">
        <v>0</v>
      </c>
      <c r="U76" s="198">
        <v>297.73886559983873</v>
      </c>
      <c r="V76" s="198">
        <v>852.53031518358932</v>
      </c>
      <c r="W76" s="198">
        <v>17.763157894736842</v>
      </c>
      <c r="X76" s="198">
        <v>0</v>
      </c>
      <c r="Y76" s="198">
        <v>190</v>
      </c>
      <c r="Z76" s="271">
        <v>22189.402567478166</v>
      </c>
      <c r="AA76" s="272">
        <v>0</v>
      </c>
      <c r="AB76" s="198">
        <v>0</v>
      </c>
      <c r="AC76" s="272">
        <v>226.11348470802656</v>
      </c>
      <c r="AD76" s="198">
        <v>0.81400854494889563</v>
      </c>
      <c r="AE76" s="198">
        <v>0.81400854494889563</v>
      </c>
      <c r="AF76" s="198">
        <v>0</v>
      </c>
      <c r="AG76" s="198">
        <v>0</v>
      </c>
      <c r="AH76" s="198">
        <v>0</v>
      </c>
      <c r="AI76" s="198">
        <v>0</v>
      </c>
      <c r="AJ76" s="198">
        <v>0</v>
      </c>
      <c r="AK76" s="198">
        <v>0</v>
      </c>
      <c r="AL76" s="198">
        <v>0</v>
      </c>
      <c r="AM76" s="198">
        <v>1.2034614753499262E-2</v>
      </c>
      <c r="AN76" s="198">
        <v>3.0755126592275812E-3</v>
      </c>
      <c r="AO76" s="198">
        <v>0</v>
      </c>
      <c r="AP76" s="198">
        <v>4.3972623946198186E-4</v>
      </c>
      <c r="AQ76" s="198">
        <v>5.4975916550810042E-4</v>
      </c>
      <c r="AS76" s="258">
        <f t="shared" si="9"/>
        <v>29767.083544271958</v>
      </c>
      <c r="AT76" s="3">
        <f t="shared" si="10"/>
        <v>0</v>
      </c>
      <c r="AU76" s="3">
        <f t="shared" si="11"/>
        <v>0</v>
      </c>
      <c r="AV76" s="95">
        <f t="shared" si="12"/>
        <v>14.05007547864507</v>
      </c>
      <c r="AW76" s="95">
        <f t="shared" si="13"/>
        <v>0.5058027172312225</v>
      </c>
      <c r="AX76" s="95">
        <f t="shared" si="8"/>
        <v>0.5058027172312225</v>
      </c>
      <c r="AY76" s="102">
        <f t="shared" si="14"/>
        <v>0</v>
      </c>
      <c r="AZ76" s="102">
        <f t="shared" si="15"/>
        <v>1</v>
      </c>
    </row>
    <row r="77" spans="1:52" x14ac:dyDescent="0.35">
      <c r="A77" t="s">
        <v>980</v>
      </c>
      <c r="B77">
        <v>2020</v>
      </c>
      <c r="C77" t="s">
        <v>837</v>
      </c>
      <c r="D77" t="s">
        <v>993</v>
      </c>
      <c r="E77" t="s">
        <v>977</v>
      </c>
      <c r="F77" t="s">
        <v>978</v>
      </c>
      <c r="G77" s="357">
        <v>104867.29150000001</v>
      </c>
      <c r="H77" s="198">
        <v>10719.453</v>
      </c>
      <c r="I77" s="198">
        <v>0</v>
      </c>
      <c r="J77" s="198">
        <v>0</v>
      </c>
      <c r="K77" s="198">
        <v>0</v>
      </c>
      <c r="L77" s="198">
        <v>61.624000000000009</v>
      </c>
      <c r="M77" s="198">
        <v>13423.013312000001</v>
      </c>
      <c r="N77" s="198">
        <v>45</v>
      </c>
      <c r="O77" s="198">
        <v>0</v>
      </c>
      <c r="P77" s="198">
        <v>1210.671</v>
      </c>
      <c r="Q77" s="198">
        <v>0</v>
      </c>
      <c r="R77" s="198">
        <v>0</v>
      </c>
      <c r="S77" s="198">
        <v>0</v>
      </c>
      <c r="T77" s="198">
        <v>0</v>
      </c>
      <c r="U77" s="198">
        <v>297.73886559983873</v>
      </c>
      <c r="V77" s="198">
        <v>852.53031518358932</v>
      </c>
      <c r="W77" s="198">
        <v>17.763157894736842</v>
      </c>
      <c r="X77" s="198">
        <v>0</v>
      </c>
      <c r="Y77" s="198">
        <v>190</v>
      </c>
      <c r="Z77" s="271">
        <v>26817.793650678166</v>
      </c>
      <c r="AA77" s="272">
        <v>0</v>
      </c>
      <c r="AB77" s="198">
        <v>0</v>
      </c>
      <c r="AC77" s="272">
        <v>252.65342640627557</v>
      </c>
      <c r="AD77" s="198">
        <v>0.90955233506259203</v>
      </c>
      <c r="AE77" s="198">
        <v>0.90955233506259203</v>
      </c>
      <c r="AF77" s="198">
        <v>0</v>
      </c>
      <c r="AG77" s="198">
        <v>0</v>
      </c>
      <c r="AH77" s="198">
        <v>0</v>
      </c>
      <c r="AI77" s="198">
        <v>0</v>
      </c>
      <c r="AJ77" s="198">
        <v>0</v>
      </c>
      <c r="AK77" s="198">
        <v>0</v>
      </c>
      <c r="AL77" s="198">
        <v>0</v>
      </c>
      <c r="AM77" s="198">
        <v>1.3447170817243918E-2</v>
      </c>
      <c r="AN77" s="198">
        <v>3.4364992088512145E-3</v>
      </c>
      <c r="AO77" s="198">
        <v>0</v>
      </c>
      <c r="AP77" s="198">
        <v>4.913388567881037E-4</v>
      </c>
      <c r="AQ77" s="198">
        <v>6.1428683496356608E-4</v>
      </c>
      <c r="AS77" s="258">
        <f t="shared" si="9"/>
        <v>35976.070182384756</v>
      </c>
      <c r="AT77" s="3">
        <f t="shared" si="10"/>
        <v>0</v>
      </c>
      <c r="AU77" s="3">
        <f t="shared" si="11"/>
        <v>0</v>
      </c>
      <c r="AV77" s="95">
        <f t="shared" si="12"/>
        <v>15.699195099001802</v>
      </c>
      <c r="AW77" s="95">
        <f t="shared" si="13"/>
        <v>0.5651710235640649</v>
      </c>
      <c r="AX77" s="95">
        <f t="shared" si="8"/>
        <v>0.5651710235640649</v>
      </c>
      <c r="AY77" s="102">
        <f t="shared" si="14"/>
        <v>0</v>
      </c>
      <c r="AZ77" s="102">
        <f t="shared" si="15"/>
        <v>1</v>
      </c>
    </row>
    <row r="78" spans="1:52" x14ac:dyDescent="0.35">
      <c r="A78" t="s">
        <v>981</v>
      </c>
      <c r="B78">
        <v>2020</v>
      </c>
      <c r="C78" t="s">
        <v>837</v>
      </c>
      <c r="D78" t="s">
        <v>993</v>
      </c>
      <c r="E78" t="s">
        <v>977</v>
      </c>
      <c r="F78" t="s">
        <v>978</v>
      </c>
      <c r="G78" s="357">
        <v>147521.75760000001</v>
      </c>
      <c r="H78" s="198">
        <v>10719.453</v>
      </c>
      <c r="I78" s="198">
        <v>0</v>
      </c>
      <c r="J78" s="198">
        <v>0</v>
      </c>
      <c r="K78" s="198">
        <v>0</v>
      </c>
      <c r="L78" s="198">
        <v>61.624000000000009</v>
      </c>
      <c r="M78" s="198">
        <v>18882.7849728</v>
      </c>
      <c r="N78" s="198">
        <v>45</v>
      </c>
      <c r="O78" s="198">
        <v>0</v>
      </c>
      <c r="P78" s="198">
        <v>1346.607</v>
      </c>
      <c r="Q78" s="198">
        <v>0</v>
      </c>
      <c r="R78" s="198">
        <v>0</v>
      </c>
      <c r="S78" s="198">
        <v>0</v>
      </c>
      <c r="T78" s="198">
        <v>0</v>
      </c>
      <c r="U78" s="198">
        <v>297.73886559983873</v>
      </c>
      <c r="V78" s="198">
        <v>852.53031518358932</v>
      </c>
      <c r="W78" s="198">
        <v>17.763157894736842</v>
      </c>
      <c r="X78" s="198">
        <v>0</v>
      </c>
      <c r="Y78" s="198">
        <v>190</v>
      </c>
      <c r="Z78" s="271">
        <v>32413.501311478165</v>
      </c>
      <c r="AA78" s="272">
        <v>0</v>
      </c>
      <c r="AB78" s="198">
        <v>0</v>
      </c>
      <c r="AC78" s="272">
        <v>282.01966778493704</v>
      </c>
      <c r="AD78" s="198">
        <v>1.0152708040257734</v>
      </c>
      <c r="AE78" s="198">
        <v>1.0152708040257734</v>
      </c>
      <c r="AF78" s="198">
        <v>0</v>
      </c>
      <c r="AG78" s="198">
        <v>0</v>
      </c>
      <c r="AH78" s="198">
        <v>0</v>
      </c>
      <c r="AI78" s="198">
        <v>0</v>
      </c>
      <c r="AJ78" s="198">
        <v>0</v>
      </c>
      <c r="AK78" s="198">
        <v>0</v>
      </c>
      <c r="AL78" s="198">
        <v>0</v>
      </c>
      <c r="AM78" s="198">
        <v>1.501015323824729E-2</v>
      </c>
      <c r="AN78" s="198">
        <v>3.8359280497742973E-3</v>
      </c>
      <c r="AO78" s="198">
        <v>0</v>
      </c>
      <c r="AP78" s="198">
        <v>5.4844782092284324E-4</v>
      </c>
      <c r="AQ78" s="198">
        <v>6.856862049537686E-4</v>
      </c>
      <c r="AS78" s="258">
        <f t="shared" si="9"/>
        <v>43482.712009347953</v>
      </c>
      <c r="AT78" s="3">
        <f t="shared" si="10"/>
        <v>0</v>
      </c>
      <c r="AU78" s="3">
        <f t="shared" si="11"/>
        <v>0</v>
      </c>
      <c r="AV78" s="95">
        <f t="shared" si="12"/>
        <v>17.523933276059569</v>
      </c>
      <c r="AW78" s="95">
        <f t="shared" si="13"/>
        <v>0.63086159793814456</v>
      </c>
      <c r="AX78" s="95">
        <f t="shared" si="8"/>
        <v>0.63086159793814456</v>
      </c>
      <c r="AY78" s="102">
        <f t="shared" si="14"/>
        <v>0</v>
      </c>
      <c r="AZ78" s="102">
        <f t="shared" si="15"/>
        <v>1</v>
      </c>
    </row>
    <row r="79" spans="1:52" x14ac:dyDescent="0.35">
      <c r="A79" t="s">
        <v>982</v>
      </c>
      <c r="B79">
        <v>2020</v>
      </c>
      <c r="C79" t="s">
        <v>837</v>
      </c>
      <c r="D79" t="s">
        <v>993</v>
      </c>
      <c r="E79" t="s">
        <v>983</v>
      </c>
      <c r="F79" t="s">
        <v>978</v>
      </c>
      <c r="G79" s="357"/>
      <c r="H79" s="198">
        <v>10719.453</v>
      </c>
      <c r="I79" s="198">
        <v>7651.3626622066504</v>
      </c>
      <c r="J79" s="198">
        <v>0</v>
      </c>
      <c r="K79" s="198">
        <v>0</v>
      </c>
      <c r="L79" s="198">
        <v>61.624000000000009</v>
      </c>
      <c r="M79" s="198">
        <v>0</v>
      </c>
      <c r="N79" s="198">
        <v>0</v>
      </c>
      <c r="O79" s="198">
        <v>46.056124891040987</v>
      </c>
      <c r="P79" s="198">
        <v>0</v>
      </c>
      <c r="Q79" s="198">
        <v>0</v>
      </c>
      <c r="R79" s="198">
        <v>9.470738986137663</v>
      </c>
      <c r="S79" s="198">
        <v>2276.5300000000002</v>
      </c>
      <c r="T79" s="198">
        <v>111.1</v>
      </c>
      <c r="U79" s="198">
        <v>297.73886559983873</v>
      </c>
      <c r="V79" s="198">
        <v>350.67562325734815</v>
      </c>
      <c r="W79" s="198">
        <v>0</v>
      </c>
      <c r="X79" s="198">
        <v>0</v>
      </c>
      <c r="Y79" s="198">
        <v>190</v>
      </c>
      <c r="Z79" s="271">
        <v>21714.011014941014</v>
      </c>
      <c r="AA79" s="272">
        <v>32.230402260830701</v>
      </c>
      <c r="AB79" s="198">
        <v>3.8225321856974128</v>
      </c>
      <c r="AC79" s="272">
        <v>0</v>
      </c>
      <c r="AD79" s="198">
        <v>0</v>
      </c>
      <c r="AE79" s="198">
        <v>3.8225321856974128</v>
      </c>
      <c r="AF79" s="198">
        <v>286.13769219161861</v>
      </c>
      <c r="AG79" s="198">
        <v>0.12579117358890529</v>
      </c>
      <c r="AH79" s="198">
        <v>6.6465883842331758E-4</v>
      </c>
      <c r="AI79" s="198">
        <v>290.08756196356342</v>
      </c>
      <c r="AJ79" s="198">
        <v>0.12206111839536359</v>
      </c>
      <c r="AK79" s="198">
        <v>2.8483881766376182</v>
      </c>
      <c r="AL79" s="198">
        <v>0.13335875408613637</v>
      </c>
      <c r="AM79" s="198">
        <v>2.3970689943311387E-2</v>
      </c>
      <c r="AN79" s="198">
        <v>9.8561186669583502E-3</v>
      </c>
      <c r="AO79" s="198">
        <v>1.9734808621966805E-3</v>
      </c>
      <c r="AP79" s="198">
        <v>1.6376859353054683E-3</v>
      </c>
      <c r="AQ79" s="198">
        <v>1.5555114318966568E-3</v>
      </c>
      <c r="AS79" s="258">
        <f t="shared" si="9"/>
        <v>29129.345776543367</v>
      </c>
      <c r="AT79" s="3">
        <f t="shared" si="10"/>
        <v>7.2979268871019594</v>
      </c>
      <c r="AU79" s="3">
        <f t="shared" si="11"/>
        <v>2.4497834079288237</v>
      </c>
      <c r="AV79" s="95">
        <f t="shared" si="12"/>
        <v>0</v>
      </c>
      <c r="AW79" s="95">
        <f t="shared" si="13"/>
        <v>0</v>
      </c>
      <c r="AX79" s="95">
        <f t="shared" ref="AX79:AX142" si="16">AU79+AW79</f>
        <v>2.4497834079288237</v>
      </c>
      <c r="AY79" s="102">
        <f t="shared" si="14"/>
        <v>1</v>
      </c>
      <c r="AZ79" s="102">
        <f t="shared" si="15"/>
        <v>0</v>
      </c>
    </row>
    <row r="80" spans="1:52" x14ac:dyDescent="0.35">
      <c r="A80" t="s">
        <v>984</v>
      </c>
      <c r="B80">
        <v>2020</v>
      </c>
      <c r="C80" t="s">
        <v>837</v>
      </c>
      <c r="D80" t="s">
        <v>993</v>
      </c>
      <c r="E80" t="s">
        <v>240</v>
      </c>
      <c r="F80" t="s">
        <v>978</v>
      </c>
      <c r="G80" s="357"/>
      <c r="H80" s="198">
        <v>10719.453</v>
      </c>
      <c r="I80" s="198">
        <v>9300.3860970000005</v>
      </c>
      <c r="J80" s="198">
        <v>0</v>
      </c>
      <c r="K80" s="198">
        <v>0</v>
      </c>
      <c r="L80" s="198">
        <v>61.624000000000009</v>
      </c>
      <c r="M80" s="198">
        <v>0</v>
      </c>
      <c r="N80" s="198">
        <v>0</v>
      </c>
      <c r="O80" s="198">
        <v>46.056124891040987</v>
      </c>
      <c r="P80" s="198">
        <v>0</v>
      </c>
      <c r="Q80" s="198">
        <v>0</v>
      </c>
      <c r="R80" s="198">
        <v>9.470738986137663</v>
      </c>
      <c r="S80" s="198">
        <v>2276.5300000000002</v>
      </c>
      <c r="T80" s="198">
        <v>111.1</v>
      </c>
      <c r="U80" s="198">
        <v>297.73886559983873</v>
      </c>
      <c r="V80" s="198">
        <v>328.03289705674939</v>
      </c>
      <c r="W80" s="198">
        <v>0</v>
      </c>
      <c r="X80" s="198">
        <v>0</v>
      </c>
      <c r="Y80" s="198">
        <v>190</v>
      </c>
      <c r="Z80" s="271">
        <v>23340.391723533765</v>
      </c>
      <c r="AA80" s="272">
        <v>28.889459088731403</v>
      </c>
      <c r="AB80" s="198">
        <v>4.264591788361173</v>
      </c>
      <c r="AC80" s="272">
        <v>0</v>
      </c>
      <c r="AD80" s="198">
        <v>0</v>
      </c>
      <c r="AE80" s="198">
        <v>4.264591788361173</v>
      </c>
      <c r="AF80" s="198">
        <v>0</v>
      </c>
      <c r="AG80" s="198">
        <v>0</v>
      </c>
      <c r="AH80" s="198">
        <v>0</v>
      </c>
      <c r="AI80" s="198">
        <v>0</v>
      </c>
      <c r="AJ80" s="198">
        <v>0</v>
      </c>
      <c r="AK80" s="198">
        <v>0</v>
      </c>
      <c r="AL80" s="198">
        <v>0</v>
      </c>
      <c r="AM80" s="198">
        <v>0</v>
      </c>
      <c r="AN80" s="198">
        <v>0</v>
      </c>
      <c r="AO80" s="198">
        <v>0</v>
      </c>
      <c r="AP80" s="198">
        <v>0</v>
      </c>
      <c r="AQ80" s="198">
        <v>0</v>
      </c>
      <c r="AS80" s="258">
        <f t="shared" si="9"/>
        <v>31311.135497120544</v>
      </c>
      <c r="AT80" s="3">
        <f t="shared" si="10"/>
        <v>8.1419011176009164</v>
      </c>
      <c r="AU80" s="3">
        <f t="shared" si="11"/>
        <v>2.7330904482130918</v>
      </c>
      <c r="AV80" s="95">
        <f t="shared" si="12"/>
        <v>0</v>
      </c>
      <c r="AW80" s="95">
        <f t="shared" si="13"/>
        <v>0</v>
      </c>
      <c r="AX80" s="95">
        <f t="shared" si="16"/>
        <v>2.7330904482130918</v>
      </c>
      <c r="AY80" s="102">
        <f t="shared" si="14"/>
        <v>1</v>
      </c>
      <c r="AZ80" s="102">
        <f t="shared" si="15"/>
        <v>0</v>
      </c>
    </row>
    <row r="81" spans="1:52" x14ac:dyDescent="0.35">
      <c r="A81" t="s">
        <v>985</v>
      </c>
      <c r="B81">
        <v>2020</v>
      </c>
      <c r="C81" t="s">
        <v>837</v>
      </c>
      <c r="D81" t="s">
        <v>993</v>
      </c>
      <c r="E81" t="s">
        <v>986</v>
      </c>
      <c r="F81" t="s">
        <v>978</v>
      </c>
      <c r="G81" s="357"/>
      <c r="H81" s="198">
        <v>10719.453</v>
      </c>
      <c r="I81" s="198">
        <v>4766.5322109999997</v>
      </c>
      <c r="J81" s="198">
        <v>0</v>
      </c>
      <c r="K81" s="198">
        <v>0</v>
      </c>
      <c r="L81" s="198">
        <v>61.624000000000009</v>
      </c>
      <c r="M81" s="198">
        <v>0</v>
      </c>
      <c r="N81" s="198">
        <v>0</v>
      </c>
      <c r="O81" s="198">
        <v>46.056124891040987</v>
      </c>
      <c r="P81" s="198">
        <v>0</v>
      </c>
      <c r="Q81" s="198">
        <v>0</v>
      </c>
      <c r="R81" s="198">
        <v>9.470738986137663</v>
      </c>
      <c r="S81" s="198">
        <v>2276.5300000000002</v>
      </c>
      <c r="T81" s="198">
        <v>111.1</v>
      </c>
      <c r="U81" s="198">
        <v>297.73886559983873</v>
      </c>
      <c r="V81" s="198">
        <v>327.29184377255808</v>
      </c>
      <c r="W81" s="198">
        <v>0</v>
      </c>
      <c r="X81" s="198">
        <v>0</v>
      </c>
      <c r="Y81" s="198">
        <v>190</v>
      </c>
      <c r="Z81" s="271">
        <v>18805.796784249575</v>
      </c>
      <c r="AA81" s="272">
        <v>26.346093566154352</v>
      </c>
      <c r="AB81" s="198">
        <v>4.6762815022516957</v>
      </c>
      <c r="AC81" s="272">
        <v>0</v>
      </c>
      <c r="AD81" s="198">
        <v>0</v>
      </c>
      <c r="AE81" s="198">
        <v>4.6762815022516957</v>
      </c>
      <c r="AF81" s="198">
        <v>350.04555412226813</v>
      </c>
      <c r="AG81" s="198">
        <v>0.15388619627620156</v>
      </c>
      <c r="AH81" s="198">
        <v>8.1310808658632307E-4</v>
      </c>
      <c r="AI81" s="198">
        <v>354.87761361936265</v>
      </c>
      <c r="AJ81" s="198">
        <v>0.14932304618182124</v>
      </c>
      <c r="AK81" s="198">
        <v>3.4845658046991042</v>
      </c>
      <c r="AL81" s="198">
        <v>0.16314396965176989</v>
      </c>
      <c r="AM81" s="198">
        <v>2.9324460470871491E-2</v>
      </c>
      <c r="AN81" s="198">
        <v>1.2057448614493734E-2</v>
      </c>
      <c r="AO81" s="198">
        <v>2.4142509736001959E-3</v>
      </c>
      <c r="AP81" s="198">
        <v>2.0034574134970931E-3</v>
      </c>
      <c r="AQ81" s="198">
        <v>1.9029295195305874E-3</v>
      </c>
      <c r="AS81" s="258">
        <f t="shared" si="9"/>
        <v>25227.976386070804</v>
      </c>
      <c r="AT81" s="3">
        <f t="shared" si="10"/>
        <v>8.9278935661110115</v>
      </c>
      <c r="AU81" s="3">
        <f t="shared" si="11"/>
        <v>2.9969340422782018</v>
      </c>
      <c r="AV81" s="95">
        <f t="shared" si="12"/>
        <v>0</v>
      </c>
      <c r="AW81" s="95">
        <f t="shared" si="13"/>
        <v>0</v>
      </c>
      <c r="AX81" s="95">
        <f t="shared" si="16"/>
        <v>2.9969340422782018</v>
      </c>
      <c r="AY81" s="102">
        <f t="shared" si="14"/>
        <v>1</v>
      </c>
      <c r="AZ81" s="102">
        <f t="shared" si="15"/>
        <v>0</v>
      </c>
    </row>
    <row r="82" spans="1:52" x14ac:dyDescent="0.35">
      <c r="A82" t="s">
        <v>987</v>
      </c>
      <c r="B82">
        <v>2020</v>
      </c>
      <c r="C82" t="s">
        <v>837</v>
      </c>
      <c r="D82" t="s">
        <v>993</v>
      </c>
      <c r="E82" t="s">
        <v>986</v>
      </c>
      <c r="F82" t="s">
        <v>978</v>
      </c>
      <c r="G82" s="357">
        <v>17690.119200000001</v>
      </c>
      <c r="H82" s="198">
        <v>10719.453</v>
      </c>
      <c r="I82" s="198">
        <v>4578.2894130000004</v>
      </c>
      <c r="J82" s="198">
        <v>0</v>
      </c>
      <c r="K82" s="198">
        <v>0</v>
      </c>
      <c r="L82" s="198">
        <v>61.624000000000009</v>
      </c>
      <c r="M82" s="198">
        <v>2653.5178800000003</v>
      </c>
      <c r="N82" s="198">
        <v>45</v>
      </c>
      <c r="O82" s="198">
        <v>0</v>
      </c>
      <c r="P82" s="198">
        <v>984.32100000000003</v>
      </c>
      <c r="Q82" s="198">
        <v>627.71399999999994</v>
      </c>
      <c r="R82" s="198">
        <v>0</v>
      </c>
      <c r="S82" s="198">
        <v>1178.708691</v>
      </c>
      <c r="T82" s="198">
        <v>0</v>
      </c>
      <c r="U82" s="198">
        <v>297.73886559983873</v>
      </c>
      <c r="V82" s="198">
        <v>881.79730406196097</v>
      </c>
      <c r="W82" s="198">
        <v>17.763157894736842</v>
      </c>
      <c r="X82" s="198">
        <v>0</v>
      </c>
      <c r="Y82" s="198">
        <v>190</v>
      </c>
      <c r="Z82" s="271">
        <v>22235.927311556537</v>
      </c>
      <c r="AA82" s="272">
        <v>233.10615704534064</v>
      </c>
      <c r="AB82" s="198">
        <v>0.52852207578556787</v>
      </c>
      <c r="AC82" s="272">
        <v>215.02660601960318</v>
      </c>
      <c r="AD82" s="198">
        <v>0.77409578167057147</v>
      </c>
      <c r="AE82" s="198">
        <v>1.3026178574561393</v>
      </c>
      <c r="AF82" s="198">
        <v>39.562802794298655</v>
      </c>
      <c r="AG82" s="198">
        <v>1.7392505530618878E-2</v>
      </c>
      <c r="AH82" s="198">
        <v>9.1898995719933921E-5</v>
      </c>
      <c r="AI82" s="198">
        <v>40.108931190224787</v>
      </c>
      <c r="AJ82" s="198">
        <v>1.687676977800396E-2</v>
      </c>
      <c r="AK82" s="198">
        <v>0.39383214022170993</v>
      </c>
      <c r="AL82" s="198">
        <v>1.843883638115722E-2</v>
      </c>
      <c r="AM82" s="198">
        <v>1.4758834474794409E-2</v>
      </c>
      <c r="AN82" s="198">
        <v>4.2874683819140603E-3</v>
      </c>
      <c r="AO82" s="198">
        <v>2.7286315749385469E-4</v>
      </c>
      <c r="AP82" s="198">
        <v>6.4459992394653976E-4</v>
      </c>
      <c r="AQ82" s="198">
        <v>7.3787582503834399E-4</v>
      </c>
      <c r="AS82" s="258">
        <f t="shared" si="9"/>
        <v>29829.496488453093</v>
      </c>
      <c r="AT82" s="3">
        <f t="shared" si="10"/>
        <v>1.0090472178977121</v>
      </c>
      <c r="AU82" s="3">
        <f t="shared" si="11"/>
        <v>0.33871908700419678</v>
      </c>
      <c r="AV82" s="95">
        <f t="shared" si="12"/>
        <v>13.361167063492065</v>
      </c>
      <c r="AW82" s="95">
        <f t="shared" si="13"/>
        <v>0.48100201428571437</v>
      </c>
      <c r="AX82" s="95">
        <f t="shared" si="16"/>
        <v>0.81972110128991116</v>
      </c>
      <c r="AY82" s="102">
        <f t="shared" si="14"/>
        <v>0.41321259934774063</v>
      </c>
      <c r="AZ82" s="102">
        <f t="shared" si="15"/>
        <v>0.58678740065225932</v>
      </c>
    </row>
    <row r="83" spans="1:52" x14ac:dyDescent="0.35">
      <c r="A83" t="s">
        <v>988</v>
      </c>
      <c r="B83">
        <v>2020</v>
      </c>
      <c r="C83" t="s">
        <v>837</v>
      </c>
      <c r="D83" t="s">
        <v>993</v>
      </c>
      <c r="E83" t="s">
        <v>989</v>
      </c>
      <c r="F83" t="s">
        <v>978</v>
      </c>
      <c r="G83" s="357">
        <v>1404</v>
      </c>
      <c r="H83" s="198">
        <v>10719.453</v>
      </c>
      <c r="I83" s="198">
        <v>0</v>
      </c>
      <c r="J83" s="198">
        <v>5509.7000000000007</v>
      </c>
      <c r="K83" s="198">
        <v>2402.8001999999997</v>
      </c>
      <c r="L83" s="198">
        <v>61.624000000000009</v>
      </c>
      <c r="M83" s="198">
        <v>809.12052000000006</v>
      </c>
      <c r="N83" s="198">
        <v>0</v>
      </c>
      <c r="O83" s="198">
        <v>0</v>
      </c>
      <c r="P83" s="198">
        <v>994.54499999999996</v>
      </c>
      <c r="Q83" s="198">
        <v>0</v>
      </c>
      <c r="R83" s="198">
        <v>0</v>
      </c>
      <c r="S83" s="198">
        <v>0</v>
      </c>
      <c r="T83" s="198">
        <v>0</v>
      </c>
      <c r="U83" s="198">
        <v>297.73886559983873</v>
      </c>
      <c r="V83" s="198">
        <v>852.53031518358932</v>
      </c>
      <c r="W83" s="198">
        <v>13.026315789473685</v>
      </c>
      <c r="X83" s="198">
        <v>202.28013000000001</v>
      </c>
      <c r="Y83" s="198">
        <v>190</v>
      </c>
      <c r="Z83" s="271">
        <v>22052.818346572902</v>
      </c>
      <c r="AA83" s="272">
        <v>71.602567954769498</v>
      </c>
      <c r="AB83" s="198">
        <v>1.7206331213962203</v>
      </c>
      <c r="AC83" s="272">
        <v>0</v>
      </c>
      <c r="AD83" s="198">
        <v>0</v>
      </c>
      <c r="AE83" s="198">
        <v>1.7206331213962203</v>
      </c>
      <c r="AF83" s="198">
        <v>0</v>
      </c>
      <c r="AG83" s="198">
        <v>0</v>
      </c>
      <c r="AH83" s="198">
        <v>0</v>
      </c>
      <c r="AI83" s="198">
        <v>0</v>
      </c>
      <c r="AJ83" s="198">
        <v>0</v>
      </c>
      <c r="AK83" s="198">
        <v>0</v>
      </c>
      <c r="AL83" s="198">
        <v>0</v>
      </c>
      <c r="AM83" s="198">
        <v>1.6085482018130547E-2</v>
      </c>
      <c r="AN83" s="198">
        <v>4.1107342935222582E-3</v>
      </c>
      <c r="AO83" s="198">
        <v>0</v>
      </c>
      <c r="AP83" s="198">
        <v>5.8773867403684639E-4</v>
      </c>
      <c r="AQ83" s="198">
        <v>7.3480882871732858E-4</v>
      </c>
      <c r="AS83" s="258">
        <f t="shared" si="9"/>
        <v>29583.855811927544</v>
      </c>
      <c r="AT83" s="3">
        <f t="shared" si="10"/>
        <v>3.2850095458868287</v>
      </c>
      <c r="AU83" s="3">
        <f t="shared" si="11"/>
        <v>1.1027188960503655</v>
      </c>
      <c r="AV83" s="95">
        <f t="shared" si="12"/>
        <v>0</v>
      </c>
      <c r="AW83" s="95">
        <f t="shared" si="13"/>
        <v>0</v>
      </c>
      <c r="AX83" s="95">
        <f t="shared" si="16"/>
        <v>1.1027188960503655</v>
      </c>
      <c r="AY83" s="102">
        <f t="shared" si="14"/>
        <v>1</v>
      </c>
      <c r="AZ83" s="102">
        <f t="shared" si="15"/>
        <v>0</v>
      </c>
    </row>
    <row r="84" spans="1:52" x14ac:dyDescent="0.35">
      <c r="A84" t="s">
        <v>990</v>
      </c>
      <c r="B84">
        <v>2020</v>
      </c>
      <c r="C84" t="s">
        <v>837</v>
      </c>
      <c r="D84" t="s">
        <v>993</v>
      </c>
      <c r="E84" t="s">
        <v>989</v>
      </c>
      <c r="F84" t="s">
        <v>978</v>
      </c>
      <c r="G84" s="357">
        <v>1544.4</v>
      </c>
      <c r="H84" s="198">
        <v>10719.453</v>
      </c>
      <c r="I84" s="198">
        <v>0</v>
      </c>
      <c r="J84" s="198">
        <v>5618.0919999999996</v>
      </c>
      <c r="K84" s="198">
        <v>2860.2493999999997</v>
      </c>
      <c r="L84" s="198">
        <v>61.624000000000009</v>
      </c>
      <c r="M84" s="198">
        <v>890.03257200000007</v>
      </c>
      <c r="N84" s="198">
        <v>0</v>
      </c>
      <c r="O84" s="198">
        <v>0</v>
      </c>
      <c r="P84" s="198">
        <v>1014.327</v>
      </c>
      <c r="Q84" s="198">
        <v>0</v>
      </c>
      <c r="R84" s="198">
        <v>0</v>
      </c>
      <c r="S84" s="198">
        <v>0</v>
      </c>
      <c r="T84" s="198">
        <v>0</v>
      </c>
      <c r="U84" s="198">
        <v>297.73886559983873</v>
      </c>
      <c r="V84" s="198">
        <v>852.53031518358932</v>
      </c>
      <c r="W84" s="198">
        <v>13.026315789473685</v>
      </c>
      <c r="X84" s="198">
        <v>222.50814300000002</v>
      </c>
      <c r="Y84" s="198">
        <v>190</v>
      </c>
      <c r="Z84" s="271">
        <v>22739.581611572903</v>
      </c>
      <c r="AA84" s="272">
        <v>70.483777830476242</v>
      </c>
      <c r="AB84" s="198">
        <v>1.7479447582437786</v>
      </c>
      <c r="AC84" s="272">
        <v>0</v>
      </c>
      <c r="AD84" s="198">
        <v>0</v>
      </c>
      <c r="AE84" s="198">
        <v>1.7479447582437786</v>
      </c>
      <c r="AF84" s="198">
        <v>0</v>
      </c>
      <c r="AG84" s="198">
        <v>0</v>
      </c>
      <c r="AH84" s="198">
        <v>0</v>
      </c>
      <c r="AI84" s="198">
        <v>0</v>
      </c>
      <c r="AJ84" s="198">
        <v>0</v>
      </c>
      <c r="AK84" s="198">
        <v>0</v>
      </c>
      <c r="AL84" s="198">
        <v>0</v>
      </c>
      <c r="AM84" s="198">
        <v>1.6340807129529438E-2</v>
      </c>
      <c r="AN84" s="198">
        <v>4.1759840442130852E-3</v>
      </c>
      <c r="AO84" s="198">
        <v>0</v>
      </c>
      <c r="AP84" s="198">
        <v>5.970678593390183E-4</v>
      </c>
      <c r="AQ84" s="198">
        <v>7.464724609191906E-4</v>
      </c>
      <c r="AS84" s="258">
        <f t="shared" si="9"/>
        <v>30505.148731925048</v>
      </c>
      <c r="AT84" s="3">
        <f t="shared" si="10"/>
        <v>3.337152554551698</v>
      </c>
      <c r="AU84" s="3">
        <f t="shared" si="11"/>
        <v>1.1202223705908469</v>
      </c>
      <c r="AV84" s="95">
        <f t="shared" si="12"/>
        <v>0</v>
      </c>
      <c r="AW84" s="95">
        <f t="shared" si="13"/>
        <v>0</v>
      </c>
      <c r="AX84" s="95">
        <f t="shared" si="16"/>
        <v>1.1202223705908469</v>
      </c>
      <c r="AY84" s="102">
        <f t="shared" si="14"/>
        <v>1</v>
      </c>
      <c r="AZ84" s="102">
        <f t="shared" si="15"/>
        <v>0</v>
      </c>
    </row>
    <row r="85" spans="1:52" x14ac:dyDescent="0.35">
      <c r="A85" t="s">
        <v>991</v>
      </c>
      <c r="B85">
        <v>2020</v>
      </c>
      <c r="C85" t="s">
        <v>837</v>
      </c>
      <c r="D85" t="s">
        <v>993</v>
      </c>
      <c r="E85" t="s">
        <v>986</v>
      </c>
      <c r="F85" t="s">
        <v>978</v>
      </c>
      <c r="G85" s="357">
        <v>1684.8</v>
      </c>
      <c r="H85" s="198">
        <v>10719.453</v>
      </c>
      <c r="I85" s="198">
        <v>4578.2894132022802</v>
      </c>
      <c r="J85" s="198">
        <v>0</v>
      </c>
      <c r="K85" s="198">
        <v>0</v>
      </c>
      <c r="L85" s="198">
        <v>61.624000000000009</v>
      </c>
      <c r="M85" s="198">
        <v>970.94462399999998</v>
      </c>
      <c r="N85" s="198">
        <v>0</v>
      </c>
      <c r="O85" s="198">
        <v>0</v>
      </c>
      <c r="P85" s="198">
        <v>714.14100000000008</v>
      </c>
      <c r="Q85" s="198">
        <v>546.49800000000005</v>
      </c>
      <c r="R85" s="198">
        <v>0</v>
      </c>
      <c r="S85" s="198">
        <v>1067.93112469174</v>
      </c>
      <c r="T85" s="198">
        <v>0</v>
      </c>
      <c r="U85" s="198">
        <v>297.73886559983873</v>
      </c>
      <c r="V85" s="198">
        <v>885.18911249690882</v>
      </c>
      <c r="W85" s="198">
        <v>13.026315789473685</v>
      </c>
      <c r="X85" s="198">
        <v>242.73615599999999</v>
      </c>
      <c r="Y85" s="198">
        <v>190</v>
      </c>
      <c r="Z85" s="271">
        <v>20287.571611780237</v>
      </c>
      <c r="AA85" s="272">
        <v>47.514320335470487</v>
      </c>
      <c r="AB85" s="198">
        <v>2.5929393313456952</v>
      </c>
      <c r="AC85" s="272">
        <v>0</v>
      </c>
      <c r="AD85" s="198">
        <v>0</v>
      </c>
      <c r="AE85" s="198">
        <v>2.5929393313456952</v>
      </c>
      <c r="AF85" s="198">
        <v>194.0958611258288</v>
      </c>
      <c r="AG85" s="198">
        <v>8.5327962117681302E-2</v>
      </c>
      <c r="AH85" s="198">
        <v>4.5085821658292445E-4</v>
      </c>
      <c r="AI85" s="198">
        <v>196.77517739782525</v>
      </c>
      <c r="AJ85" s="198">
        <v>8.2797752730403129E-2</v>
      </c>
      <c r="AK85" s="198">
        <v>1.9321479520246931</v>
      </c>
      <c r="AL85" s="198">
        <v>9.0461281122244525E-2</v>
      </c>
      <c r="AM85" s="198">
        <v>1.6260044843066469E-2</v>
      </c>
      <c r="AN85" s="198">
        <v>6.6857037441279549E-3</v>
      </c>
      <c r="AO85" s="198">
        <v>1.3386718276419639E-3</v>
      </c>
      <c r="AP85" s="198">
        <v>1.1108919605527037E-3</v>
      </c>
      <c r="AQ85" s="198">
        <v>1.0551505065710327E-3</v>
      </c>
      <c r="AS85" s="258">
        <f t="shared" si="9"/>
        <v>27215.777317203185</v>
      </c>
      <c r="AT85" s="3">
        <f t="shared" si="10"/>
        <v>4.9504047954535269</v>
      </c>
      <c r="AU85" s="3">
        <f t="shared" si="11"/>
        <v>1.6617622672908396</v>
      </c>
      <c r="AV85" s="95">
        <f t="shared" si="12"/>
        <v>0</v>
      </c>
      <c r="AW85" s="95">
        <f t="shared" si="13"/>
        <v>0</v>
      </c>
      <c r="AX85" s="95">
        <f t="shared" si="16"/>
        <v>1.6617622672908396</v>
      </c>
      <c r="AY85" s="102">
        <f t="shared" si="14"/>
        <v>1</v>
      </c>
      <c r="AZ85" s="102">
        <f t="shared" si="15"/>
        <v>0</v>
      </c>
    </row>
    <row r="86" spans="1:52" x14ac:dyDescent="0.35">
      <c r="A86" t="s">
        <v>992</v>
      </c>
      <c r="B86">
        <v>2020</v>
      </c>
      <c r="C86" t="s">
        <v>837</v>
      </c>
      <c r="D86" t="s">
        <v>993</v>
      </c>
      <c r="E86" t="s">
        <v>986</v>
      </c>
      <c r="F86" t="s">
        <v>978</v>
      </c>
      <c r="G86" s="357">
        <v>7817.2776000000003</v>
      </c>
      <c r="H86" s="198">
        <v>10719.453</v>
      </c>
      <c r="I86" s="198">
        <v>4578.2894132022802</v>
      </c>
      <c r="J86" s="198">
        <v>0</v>
      </c>
      <c r="K86" s="198">
        <v>0</v>
      </c>
      <c r="L86" s="198">
        <v>61.624000000000009</v>
      </c>
      <c r="M86" s="198">
        <v>1314.0343200000002</v>
      </c>
      <c r="N86" s="198">
        <v>45</v>
      </c>
      <c r="O86" s="198">
        <v>0</v>
      </c>
      <c r="P86" s="198">
        <v>729.75600000000009</v>
      </c>
      <c r="Q86" s="198">
        <v>564.65099999999995</v>
      </c>
      <c r="R86" s="198">
        <v>0</v>
      </c>
      <c r="S86" s="198">
        <v>1079.55488317799</v>
      </c>
      <c r="T86" s="198">
        <v>0</v>
      </c>
      <c r="U86" s="198">
        <v>297.73886559983873</v>
      </c>
      <c r="V86" s="198">
        <v>886.27383658503709</v>
      </c>
      <c r="W86" s="198">
        <v>13.026315789473685</v>
      </c>
      <c r="X86" s="198">
        <v>243.30666000000002</v>
      </c>
      <c r="Y86" s="198">
        <v>190</v>
      </c>
      <c r="Z86" s="271">
        <v>20722.708294354619</v>
      </c>
      <c r="AA86" s="272">
        <v>97.36848315315936</v>
      </c>
      <c r="AB86" s="198">
        <v>1.2653144632663658</v>
      </c>
      <c r="AC86" s="272">
        <v>149.72934065365081</v>
      </c>
      <c r="AD86" s="198">
        <v>0.53902562635314288</v>
      </c>
      <c r="AE86" s="198">
        <v>1.8043400896195085</v>
      </c>
      <c r="AF86" s="198">
        <v>94.715791215675125</v>
      </c>
      <c r="AG86" s="198">
        <v>4.163873149030204E-2</v>
      </c>
      <c r="AH86" s="198">
        <v>2.2001186662118507E-4</v>
      </c>
      <c r="AI86" s="198">
        <v>96.023256295802</v>
      </c>
      <c r="AJ86" s="198">
        <v>4.0404028273719687E-2</v>
      </c>
      <c r="AK86" s="198">
        <v>0.9428584461320707</v>
      </c>
      <c r="AL86" s="198">
        <v>4.4143712113070027E-2</v>
      </c>
      <c r="AM86" s="198">
        <v>7.9346514839643643E-3</v>
      </c>
      <c r="AN86" s="198">
        <v>3.2625204694507206E-3</v>
      </c>
      <c r="AO86" s="198">
        <v>6.5325123677441364E-4</v>
      </c>
      <c r="AP86" s="198">
        <v>5.4209816937142376E-4</v>
      </c>
      <c r="AQ86" s="198">
        <v>5.1489719822880137E-4</v>
      </c>
      <c r="AS86" s="258">
        <f t="shared" si="9"/>
        <v>27799.513176876721</v>
      </c>
      <c r="AT86" s="3">
        <f t="shared" si="10"/>
        <v>2.415721305542347</v>
      </c>
      <c r="AU86" s="3">
        <f t="shared" si="11"/>
        <v>0.81091439583438474</v>
      </c>
      <c r="AV86" s="95">
        <f t="shared" si="12"/>
        <v>9.3037730158730163</v>
      </c>
      <c r="AW86" s="95">
        <f t="shared" si="13"/>
        <v>0.33493582857142862</v>
      </c>
      <c r="AX86" s="95">
        <f t="shared" si="16"/>
        <v>1.1458502244058133</v>
      </c>
      <c r="AY86" s="102">
        <f t="shared" si="14"/>
        <v>0.70769667672307579</v>
      </c>
      <c r="AZ86" s="102">
        <f t="shared" si="15"/>
        <v>0.29230332327692421</v>
      </c>
    </row>
    <row r="87" spans="1:52" x14ac:dyDescent="0.35">
      <c r="A87" t="s">
        <v>975</v>
      </c>
      <c r="B87">
        <v>2020</v>
      </c>
      <c r="C87" t="s">
        <v>837</v>
      </c>
      <c r="D87" t="s">
        <v>994</v>
      </c>
      <c r="E87" t="s">
        <v>977</v>
      </c>
      <c r="F87" t="s">
        <v>978</v>
      </c>
      <c r="G87" s="357">
        <v>59391.446400000001</v>
      </c>
      <c r="H87" s="198">
        <v>13827.990900000001</v>
      </c>
      <c r="I87" s="198">
        <v>0</v>
      </c>
      <c r="J87" s="198">
        <v>0</v>
      </c>
      <c r="K87" s="198">
        <v>0</v>
      </c>
      <c r="L87" s="198">
        <v>61.624000000000009</v>
      </c>
      <c r="M87" s="198">
        <v>7602.1051391999999</v>
      </c>
      <c r="N87" s="198">
        <v>45</v>
      </c>
      <c r="O87" s="198">
        <v>0</v>
      </c>
      <c r="P87" s="198">
        <v>1173.951</v>
      </c>
      <c r="Q87" s="198">
        <v>0</v>
      </c>
      <c r="R87" s="198">
        <v>0</v>
      </c>
      <c r="S87" s="198">
        <v>0</v>
      </c>
      <c r="T87" s="198">
        <v>0</v>
      </c>
      <c r="U87" s="198">
        <v>410.42689992982059</v>
      </c>
      <c r="V87" s="198">
        <v>852.53031518358932</v>
      </c>
      <c r="W87" s="198">
        <v>20.131578947368421</v>
      </c>
      <c r="X87" s="198">
        <v>0</v>
      </c>
      <c r="Y87" s="198">
        <v>190</v>
      </c>
      <c r="Z87" s="271">
        <v>24183.759833260785</v>
      </c>
      <c r="AA87" s="272">
        <v>0</v>
      </c>
      <c r="AB87" s="198">
        <v>0</v>
      </c>
      <c r="AC87" s="272">
        <v>289.34581878469152</v>
      </c>
      <c r="AD87" s="198">
        <v>1.0416449476248895</v>
      </c>
      <c r="AE87" s="198">
        <v>1.0416449476248895</v>
      </c>
      <c r="AF87" s="198">
        <v>0</v>
      </c>
      <c r="AG87" s="198">
        <v>0</v>
      </c>
      <c r="AH87" s="198">
        <v>0</v>
      </c>
      <c r="AI87" s="198">
        <v>0</v>
      </c>
      <c r="AJ87" s="198">
        <v>0</v>
      </c>
      <c r="AK87" s="198">
        <v>0</v>
      </c>
      <c r="AL87" s="198">
        <v>0</v>
      </c>
      <c r="AM87" s="198">
        <v>1.5400078699888183E-2</v>
      </c>
      <c r="AN87" s="198">
        <v>3.9355756677491921E-3</v>
      </c>
      <c r="AO87" s="198">
        <v>0</v>
      </c>
      <c r="AP87" s="198">
        <v>5.6269509517547123E-4</v>
      </c>
      <c r="AQ87" s="198">
        <v>7.034985820670225E-4</v>
      </c>
      <c r="AS87" s="258">
        <f t="shared" si="9"/>
        <v>32442.513816319341</v>
      </c>
      <c r="AT87" s="3">
        <f t="shared" si="10"/>
        <v>0</v>
      </c>
      <c r="AU87" s="3">
        <f t="shared" si="11"/>
        <v>0</v>
      </c>
      <c r="AV87" s="95">
        <f t="shared" si="12"/>
        <v>17.979160325642283</v>
      </c>
      <c r="AW87" s="95">
        <f t="shared" si="13"/>
        <v>0.64724977172312226</v>
      </c>
      <c r="AX87" s="95">
        <f t="shared" si="16"/>
        <v>0.64724977172312226</v>
      </c>
      <c r="AY87" s="102">
        <f t="shared" si="14"/>
        <v>0</v>
      </c>
      <c r="AZ87" s="102">
        <f t="shared" si="15"/>
        <v>1</v>
      </c>
    </row>
    <row r="88" spans="1:52" x14ac:dyDescent="0.35">
      <c r="A88" t="s">
        <v>979</v>
      </c>
      <c r="B88">
        <v>2020</v>
      </c>
      <c r="C88" t="s">
        <v>837</v>
      </c>
      <c r="D88" t="s">
        <v>994</v>
      </c>
      <c r="E88" t="s">
        <v>977</v>
      </c>
      <c r="F88" t="s">
        <v>978</v>
      </c>
      <c r="G88" s="357">
        <v>92841.240999999995</v>
      </c>
      <c r="H88" s="198">
        <v>13827.990900000001</v>
      </c>
      <c r="I88" s="198">
        <v>0</v>
      </c>
      <c r="J88" s="198">
        <v>0</v>
      </c>
      <c r="K88" s="198">
        <v>0</v>
      </c>
      <c r="L88" s="198">
        <v>61.624000000000009</v>
      </c>
      <c r="M88" s="198">
        <v>11883.678848</v>
      </c>
      <c r="N88" s="198">
        <v>45</v>
      </c>
      <c r="O88" s="198">
        <v>0</v>
      </c>
      <c r="P88" s="198">
        <v>1275.6690000000001</v>
      </c>
      <c r="Q88" s="198">
        <v>0</v>
      </c>
      <c r="R88" s="198">
        <v>0</v>
      </c>
      <c r="S88" s="198">
        <v>0</v>
      </c>
      <c r="T88" s="198">
        <v>0</v>
      </c>
      <c r="U88" s="198">
        <v>410.42689992982059</v>
      </c>
      <c r="V88" s="198">
        <v>852.53031518358932</v>
      </c>
      <c r="W88" s="198">
        <v>20.131578947368421</v>
      </c>
      <c r="X88" s="198">
        <v>0</v>
      </c>
      <c r="Y88" s="198">
        <v>190</v>
      </c>
      <c r="Z88" s="271">
        <v>28567.051542060784</v>
      </c>
      <c r="AA88" s="272">
        <v>0</v>
      </c>
      <c r="AB88" s="198">
        <v>0</v>
      </c>
      <c r="AC88" s="272">
        <v>302.36822621260842</v>
      </c>
      <c r="AD88" s="198">
        <v>1.0885256143653903</v>
      </c>
      <c r="AE88" s="198">
        <v>1.0885256143653903</v>
      </c>
      <c r="AF88" s="198">
        <v>0</v>
      </c>
      <c r="AG88" s="198">
        <v>0</v>
      </c>
      <c r="AH88" s="198">
        <v>0</v>
      </c>
      <c r="AI88" s="198">
        <v>0</v>
      </c>
      <c r="AJ88" s="198">
        <v>0</v>
      </c>
      <c r="AK88" s="198">
        <v>0</v>
      </c>
      <c r="AL88" s="198">
        <v>0</v>
      </c>
      <c r="AM88" s="198">
        <v>1.6093180470268902E-2</v>
      </c>
      <c r="AN88" s="198">
        <v>4.1127016757353755E-3</v>
      </c>
      <c r="AO88" s="198">
        <v>0</v>
      </c>
      <c r="AP88" s="198">
        <v>5.8801996359016952E-4</v>
      </c>
      <c r="AQ88" s="198">
        <v>7.3516050550216183E-4</v>
      </c>
      <c r="AS88" s="258">
        <f t="shared" si="9"/>
        <v>38322.699643674539</v>
      </c>
      <c r="AT88" s="3">
        <f t="shared" si="10"/>
        <v>0</v>
      </c>
      <c r="AU88" s="3">
        <f t="shared" si="11"/>
        <v>0</v>
      </c>
      <c r="AV88" s="95">
        <f t="shared" si="12"/>
        <v>18.788337219767634</v>
      </c>
      <c r="AW88" s="95">
        <f t="shared" si="13"/>
        <v>0.67638013991163493</v>
      </c>
      <c r="AX88" s="95">
        <f t="shared" si="16"/>
        <v>0.67638013991163493</v>
      </c>
      <c r="AY88" s="102">
        <f t="shared" si="14"/>
        <v>0</v>
      </c>
      <c r="AZ88" s="102">
        <f t="shared" si="15"/>
        <v>1</v>
      </c>
    </row>
    <row r="89" spans="1:52" x14ac:dyDescent="0.35">
      <c r="A89" t="s">
        <v>980</v>
      </c>
      <c r="B89">
        <v>2020</v>
      </c>
      <c r="C89" t="s">
        <v>837</v>
      </c>
      <c r="D89" t="s">
        <v>994</v>
      </c>
      <c r="E89" t="s">
        <v>977</v>
      </c>
      <c r="F89" t="s">
        <v>978</v>
      </c>
      <c r="G89" s="357">
        <v>139380.69820000001</v>
      </c>
      <c r="H89" s="198">
        <v>13827.990900000001</v>
      </c>
      <c r="I89" s="198">
        <v>0</v>
      </c>
      <c r="J89" s="198">
        <v>0</v>
      </c>
      <c r="K89" s="198">
        <v>0</v>
      </c>
      <c r="L89" s="198">
        <v>61.624000000000009</v>
      </c>
      <c r="M89" s="198">
        <v>17840.729369600002</v>
      </c>
      <c r="N89" s="198">
        <v>45</v>
      </c>
      <c r="O89" s="198">
        <v>0</v>
      </c>
      <c r="P89" s="198">
        <v>1413.2069999999999</v>
      </c>
      <c r="Q89" s="198">
        <v>0</v>
      </c>
      <c r="R89" s="198">
        <v>0</v>
      </c>
      <c r="S89" s="198">
        <v>0</v>
      </c>
      <c r="T89" s="198">
        <v>0</v>
      </c>
      <c r="U89" s="198">
        <v>410.42689992982059</v>
      </c>
      <c r="V89" s="198">
        <v>852.53031518358932</v>
      </c>
      <c r="W89" s="198">
        <v>20.131578947368421</v>
      </c>
      <c r="X89" s="198">
        <v>0</v>
      </c>
      <c r="Y89" s="198">
        <v>190</v>
      </c>
      <c r="Z89" s="271">
        <v>34661.64006366078</v>
      </c>
      <c r="AA89" s="272">
        <v>0</v>
      </c>
      <c r="AB89" s="198">
        <v>0</v>
      </c>
      <c r="AC89" s="272">
        <v>336.08160147222219</v>
      </c>
      <c r="AD89" s="198">
        <v>1.2098937652999999</v>
      </c>
      <c r="AE89" s="198">
        <v>1.2098937652999999</v>
      </c>
      <c r="AF89" s="198">
        <v>0</v>
      </c>
      <c r="AG89" s="198">
        <v>0</v>
      </c>
      <c r="AH89" s="198">
        <v>0</v>
      </c>
      <c r="AI89" s="198">
        <v>0</v>
      </c>
      <c r="AJ89" s="198">
        <v>0</v>
      </c>
      <c r="AK89" s="198">
        <v>0</v>
      </c>
      <c r="AL89" s="198">
        <v>0</v>
      </c>
      <c r="AM89" s="198">
        <v>1.7887533796049133E-2</v>
      </c>
      <c r="AN89" s="198">
        <v>4.5712586367681008E-3</v>
      </c>
      <c r="AO89" s="198">
        <v>0</v>
      </c>
      <c r="AP89" s="198">
        <v>6.5358286330675745E-4</v>
      </c>
      <c r="AQ89" s="198">
        <v>8.1712924378028534E-4</v>
      </c>
      <c r="AS89" s="258">
        <f t="shared" si="9"/>
        <v>46498.590145400936</v>
      </c>
      <c r="AT89" s="3">
        <f t="shared" si="10"/>
        <v>0</v>
      </c>
      <c r="AU89" s="3">
        <f t="shared" si="11"/>
        <v>0</v>
      </c>
      <c r="AV89" s="95">
        <f t="shared" si="12"/>
        <v>20.883194444444442</v>
      </c>
      <c r="AW89" s="95">
        <f t="shared" si="13"/>
        <v>0.75179499999999988</v>
      </c>
      <c r="AX89" s="95">
        <f t="shared" si="16"/>
        <v>0.75179499999999988</v>
      </c>
      <c r="AY89" s="102">
        <f t="shared" si="14"/>
        <v>0</v>
      </c>
      <c r="AZ89" s="102">
        <f t="shared" si="15"/>
        <v>1</v>
      </c>
    </row>
    <row r="90" spans="1:52" x14ac:dyDescent="0.35">
      <c r="A90" t="s">
        <v>981</v>
      </c>
      <c r="B90">
        <v>2020</v>
      </c>
      <c r="C90" t="s">
        <v>837</v>
      </c>
      <c r="D90" t="s">
        <v>994</v>
      </c>
      <c r="E90" t="s">
        <v>977</v>
      </c>
      <c r="F90" t="s">
        <v>978</v>
      </c>
      <c r="G90" s="357">
        <v>194643.02590000001</v>
      </c>
      <c r="H90" s="198">
        <v>13827.990900000001</v>
      </c>
      <c r="I90" s="198">
        <v>0</v>
      </c>
      <c r="J90" s="198">
        <v>0</v>
      </c>
      <c r="K90" s="198">
        <v>0</v>
      </c>
      <c r="L90" s="198">
        <v>61.624000000000009</v>
      </c>
      <c r="M90" s="198">
        <v>24914.3073152</v>
      </c>
      <c r="N90" s="198">
        <v>45</v>
      </c>
      <c r="O90" s="198">
        <v>0</v>
      </c>
      <c r="P90" s="198">
        <v>1583.9549999999999</v>
      </c>
      <c r="Q90" s="198">
        <v>0</v>
      </c>
      <c r="R90" s="198">
        <v>0</v>
      </c>
      <c r="S90" s="198">
        <v>0</v>
      </c>
      <c r="T90" s="198">
        <v>0</v>
      </c>
      <c r="U90" s="198">
        <v>410.42689992982059</v>
      </c>
      <c r="V90" s="198">
        <v>852.53031518358932</v>
      </c>
      <c r="W90" s="198">
        <v>20.131578947368421</v>
      </c>
      <c r="X90" s="198">
        <v>0</v>
      </c>
      <c r="Y90" s="198">
        <v>190</v>
      </c>
      <c r="Z90" s="271">
        <v>41905.966009260781</v>
      </c>
      <c r="AA90" s="272">
        <v>0</v>
      </c>
      <c r="AB90" s="198">
        <v>0</v>
      </c>
      <c r="AC90" s="272">
        <v>371.88652289944366</v>
      </c>
      <c r="AD90" s="198">
        <v>1.3387914824379972</v>
      </c>
      <c r="AE90" s="198">
        <v>1.3387914824379972</v>
      </c>
      <c r="AF90" s="198">
        <v>0</v>
      </c>
      <c r="AG90" s="198">
        <v>0</v>
      </c>
      <c r="AH90" s="198">
        <v>0</v>
      </c>
      <c r="AI90" s="198">
        <v>0</v>
      </c>
      <c r="AJ90" s="198">
        <v>0</v>
      </c>
      <c r="AK90" s="198">
        <v>0</v>
      </c>
      <c r="AL90" s="198">
        <v>0</v>
      </c>
      <c r="AM90" s="198">
        <v>1.979320711850634E-2</v>
      </c>
      <c r="AN90" s="198">
        <v>5.0582640413960513E-3</v>
      </c>
      <c r="AO90" s="198">
        <v>0</v>
      </c>
      <c r="AP90" s="198">
        <v>7.2321322380362939E-4</v>
      </c>
      <c r="AQ90" s="198">
        <v>9.0418324566933603E-4</v>
      </c>
      <c r="AS90" s="258">
        <f t="shared" si="9"/>
        <v>56216.853401423337</v>
      </c>
      <c r="AT90" s="3">
        <f t="shared" si="10"/>
        <v>0</v>
      </c>
      <c r="AU90" s="3">
        <f t="shared" si="11"/>
        <v>0</v>
      </c>
      <c r="AV90" s="95">
        <f t="shared" si="12"/>
        <v>23.108014645720836</v>
      </c>
      <c r="AW90" s="95">
        <f t="shared" si="13"/>
        <v>0.83188852724595008</v>
      </c>
      <c r="AX90" s="95">
        <f t="shared" si="16"/>
        <v>0.83188852724595008</v>
      </c>
      <c r="AY90" s="102">
        <f t="shared" si="14"/>
        <v>0</v>
      </c>
      <c r="AZ90" s="102">
        <f t="shared" si="15"/>
        <v>1</v>
      </c>
    </row>
    <row r="91" spans="1:52" x14ac:dyDescent="0.35">
      <c r="A91" t="s">
        <v>982</v>
      </c>
      <c r="B91">
        <v>2020</v>
      </c>
      <c r="C91" t="s">
        <v>837</v>
      </c>
      <c r="D91" t="s">
        <v>994</v>
      </c>
      <c r="E91" t="s">
        <v>983</v>
      </c>
      <c r="F91" t="s">
        <v>978</v>
      </c>
      <c r="G91" s="357"/>
      <c r="H91" s="198">
        <v>13827.990900000001</v>
      </c>
      <c r="I91" s="198">
        <v>7651.3626622066504</v>
      </c>
      <c r="J91" s="198">
        <v>0</v>
      </c>
      <c r="K91" s="198">
        <v>0</v>
      </c>
      <c r="L91" s="198">
        <v>61.624000000000009</v>
      </c>
      <c r="M91" s="198">
        <v>0</v>
      </c>
      <c r="N91" s="198">
        <v>0</v>
      </c>
      <c r="O91" s="198">
        <v>46.056124891040987</v>
      </c>
      <c r="P91" s="198">
        <v>0</v>
      </c>
      <c r="Q91" s="198">
        <v>0</v>
      </c>
      <c r="R91" s="198">
        <v>9.470738986137663</v>
      </c>
      <c r="S91" s="198">
        <v>2276.5300000000002</v>
      </c>
      <c r="T91" s="198">
        <v>111.1</v>
      </c>
      <c r="U91" s="198">
        <v>410.42689992982059</v>
      </c>
      <c r="V91" s="198">
        <v>350.64289270459227</v>
      </c>
      <c r="W91" s="198">
        <v>0</v>
      </c>
      <c r="X91" s="198">
        <v>0</v>
      </c>
      <c r="Y91" s="198">
        <v>190</v>
      </c>
      <c r="Z91" s="271">
        <v>24935.204218718241</v>
      </c>
      <c r="AA91" s="272">
        <v>28.59129758131348</v>
      </c>
      <c r="AB91" s="198">
        <v>4.3090646603084375</v>
      </c>
      <c r="AC91" s="272">
        <v>0</v>
      </c>
      <c r="AD91" s="198">
        <v>0</v>
      </c>
      <c r="AE91" s="198">
        <v>4.3090646603084375</v>
      </c>
      <c r="AF91" s="198">
        <v>322.55734092142421</v>
      </c>
      <c r="AG91" s="198">
        <v>0.14180189318452566</v>
      </c>
      <c r="AH91" s="198">
        <v>7.4925671588270285E-4</v>
      </c>
      <c r="AI91" s="198">
        <v>327.00995071521271</v>
      </c>
      <c r="AJ91" s="198">
        <v>0.13759707600191817</v>
      </c>
      <c r="AK91" s="198">
        <v>3.2109314544725551</v>
      </c>
      <c r="AL91" s="198">
        <v>0.15033267647175869</v>
      </c>
      <c r="AM91" s="198">
        <v>2.7021682983969092E-2</v>
      </c>
      <c r="AN91" s="198">
        <v>1.1110606941259241E-2</v>
      </c>
      <c r="AO91" s="198">
        <v>2.2246658047524667E-3</v>
      </c>
      <c r="AP91" s="198">
        <v>1.8461308487900798E-3</v>
      </c>
      <c r="AQ91" s="198">
        <v>1.7534971621615651E-3</v>
      </c>
      <c r="AS91" s="258">
        <f t="shared" si="9"/>
        <v>33450.57645941052</v>
      </c>
      <c r="AT91" s="3">
        <f t="shared" si="10"/>
        <v>8.2268081248316118</v>
      </c>
      <c r="AU91" s="3">
        <f t="shared" si="11"/>
        <v>2.7615922105283968</v>
      </c>
      <c r="AV91" s="95">
        <f t="shared" si="12"/>
        <v>0</v>
      </c>
      <c r="AW91" s="95">
        <f t="shared" si="13"/>
        <v>0</v>
      </c>
      <c r="AX91" s="95">
        <f t="shared" si="16"/>
        <v>2.7615922105283968</v>
      </c>
      <c r="AY91" s="102">
        <f t="shared" si="14"/>
        <v>1</v>
      </c>
      <c r="AZ91" s="102">
        <f t="shared" si="15"/>
        <v>0</v>
      </c>
    </row>
    <row r="92" spans="1:52" x14ac:dyDescent="0.35">
      <c r="A92" t="s">
        <v>984</v>
      </c>
      <c r="B92">
        <v>2020</v>
      </c>
      <c r="C92" t="s">
        <v>837</v>
      </c>
      <c r="D92" t="s">
        <v>994</v>
      </c>
      <c r="E92" t="s">
        <v>240</v>
      </c>
      <c r="F92" t="s">
        <v>978</v>
      </c>
      <c r="G92" s="357"/>
      <c r="H92" s="198">
        <v>13827.990900000001</v>
      </c>
      <c r="I92" s="198">
        <v>9972.2148880000004</v>
      </c>
      <c r="J92" s="198">
        <v>0</v>
      </c>
      <c r="K92" s="198">
        <v>0</v>
      </c>
      <c r="L92" s="198">
        <v>61.624000000000009</v>
      </c>
      <c r="M92" s="198">
        <v>0</v>
      </c>
      <c r="N92" s="198">
        <v>0</v>
      </c>
      <c r="O92" s="198">
        <v>46.056124891040987</v>
      </c>
      <c r="P92" s="198">
        <v>0</v>
      </c>
      <c r="Q92" s="198">
        <v>0</v>
      </c>
      <c r="R92" s="198">
        <v>9.470738986137663</v>
      </c>
      <c r="S92" s="198">
        <v>2276.5300000000002</v>
      </c>
      <c r="T92" s="198">
        <v>111.1</v>
      </c>
      <c r="U92" s="198">
        <v>410.42689992982059</v>
      </c>
      <c r="V92" s="198">
        <v>331.45827528939566</v>
      </c>
      <c r="W92" s="198">
        <v>0</v>
      </c>
      <c r="X92" s="198">
        <v>0</v>
      </c>
      <c r="Y92" s="198">
        <v>190</v>
      </c>
      <c r="Z92" s="271">
        <v>27236.871827096391</v>
      </c>
      <c r="AA92" s="272">
        <v>25.374327551896851</v>
      </c>
      <c r="AB92" s="198">
        <v>4.85537004864549</v>
      </c>
      <c r="AC92" s="272">
        <v>0</v>
      </c>
      <c r="AD92" s="198">
        <v>0</v>
      </c>
      <c r="AE92" s="198">
        <v>4.85537004864549</v>
      </c>
      <c r="AF92" s="198">
        <v>0</v>
      </c>
      <c r="AG92" s="198">
        <v>0</v>
      </c>
      <c r="AH92" s="198">
        <v>0</v>
      </c>
      <c r="AI92" s="198">
        <v>0</v>
      </c>
      <c r="AJ92" s="198">
        <v>0</v>
      </c>
      <c r="AK92" s="198">
        <v>0</v>
      </c>
      <c r="AL92" s="198">
        <v>0</v>
      </c>
      <c r="AM92" s="198">
        <v>0</v>
      </c>
      <c r="AN92" s="198">
        <v>0</v>
      </c>
      <c r="AO92" s="198">
        <v>0</v>
      </c>
      <c r="AP92" s="198">
        <v>0</v>
      </c>
      <c r="AQ92" s="198">
        <v>0</v>
      </c>
      <c r="AS92" s="258">
        <f t="shared" si="9"/>
        <v>36538.263556049809</v>
      </c>
      <c r="AT92" s="3">
        <f t="shared" si="10"/>
        <v>9.269807003174936</v>
      </c>
      <c r="AU92" s="3">
        <f t="shared" si="11"/>
        <v>3.1117082621388423</v>
      </c>
      <c r="AV92" s="95">
        <f t="shared" si="12"/>
        <v>0</v>
      </c>
      <c r="AW92" s="95">
        <f t="shared" si="13"/>
        <v>0</v>
      </c>
      <c r="AX92" s="95">
        <f t="shared" si="16"/>
        <v>3.1117082621388423</v>
      </c>
      <c r="AY92" s="102">
        <f t="shared" si="14"/>
        <v>1</v>
      </c>
      <c r="AZ92" s="102">
        <f t="shared" si="15"/>
        <v>0</v>
      </c>
    </row>
    <row r="93" spans="1:52" x14ac:dyDescent="0.35">
      <c r="A93" t="s">
        <v>985</v>
      </c>
      <c r="B93">
        <v>2020</v>
      </c>
      <c r="C93" t="s">
        <v>837</v>
      </c>
      <c r="D93" t="s">
        <v>994</v>
      </c>
      <c r="E93" t="s">
        <v>986</v>
      </c>
      <c r="F93" t="s">
        <v>978</v>
      </c>
      <c r="G93" s="357"/>
      <c r="H93" s="198">
        <v>13827.990900000001</v>
      </c>
      <c r="I93" s="198">
        <v>4766.5322109999997</v>
      </c>
      <c r="J93" s="198">
        <v>0</v>
      </c>
      <c r="K93" s="198">
        <v>0</v>
      </c>
      <c r="L93" s="198">
        <v>61.624000000000009</v>
      </c>
      <c r="M93" s="198">
        <v>0</v>
      </c>
      <c r="N93" s="198">
        <v>0</v>
      </c>
      <c r="O93" s="198">
        <v>46.056124891040987</v>
      </c>
      <c r="P93" s="198">
        <v>0</v>
      </c>
      <c r="Q93" s="198">
        <v>0</v>
      </c>
      <c r="R93" s="198">
        <v>9.470738986137663</v>
      </c>
      <c r="S93" s="198">
        <v>2276.5300000000002</v>
      </c>
      <c r="T93" s="198">
        <v>111.1</v>
      </c>
      <c r="U93" s="198">
        <v>410.42689992982059</v>
      </c>
      <c r="V93" s="198">
        <v>331.49646093427754</v>
      </c>
      <c r="W93" s="198">
        <v>0</v>
      </c>
      <c r="X93" s="198">
        <v>0</v>
      </c>
      <c r="Y93" s="198">
        <v>190</v>
      </c>
      <c r="Z93" s="271">
        <v>22031.227335741278</v>
      </c>
      <c r="AA93" s="272">
        <v>23.508356085522728</v>
      </c>
      <c r="AB93" s="198">
        <v>5.2407641585738949</v>
      </c>
      <c r="AC93" s="272">
        <v>0</v>
      </c>
      <c r="AD93" s="198">
        <v>0</v>
      </c>
      <c r="AE93" s="198">
        <v>5.2407641585738949</v>
      </c>
      <c r="AF93" s="198">
        <v>392.30020541508901</v>
      </c>
      <c r="AG93" s="198">
        <v>0.17246208585929923</v>
      </c>
      <c r="AH93" s="198">
        <v>9.1125987928150198E-4</v>
      </c>
      <c r="AI93" s="198">
        <v>397.71555182061996</v>
      </c>
      <c r="AJ93" s="198">
        <v>0.16734810941170805</v>
      </c>
      <c r="AK93" s="198">
        <v>3.9051942379144537</v>
      </c>
      <c r="AL93" s="198">
        <v>0.18283738231472349</v>
      </c>
      <c r="AM93" s="198">
        <v>3.286427075257551E-2</v>
      </c>
      <c r="AN93" s="198">
        <v>1.3512925710793549E-2</v>
      </c>
      <c r="AO93" s="198">
        <v>2.7056797085790647E-3</v>
      </c>
      <c r="AP93" s="198">
        <v>2.2452984921521504E-3</v>
      </c>
      <c r="AQ93" s="198">
        <v>2.132635688729624E-3</v>
      </c>
      <c r="AS93" s="258">
        <f t="shared" si="9"/>
        <v>29554.891470896921</v>
      </c>
      <c r="AT93" s="3">
        <f t="shared" si="10"/>
        <v>10.005596239299859</v>
      </c>
      <c r="AU93" s="3">
        <f t="shared" si="11"/>
        <v>3.3586995365481771</v>
      </c>
      <c r="AV93" s="95">
        <f t="shared" si="12"/>
        <v>0</v>
      </c>
      <c r="AW93" s="95">
        <f t="shared" si="13"/>
        <v>0</v>
      </c>
      <c r="AX93" s="95">
        <f t="shared" si="16"/>
        <v>3.3586995365481771</v>
      </c>
      <c r="AY93" s="102">
        <f t="shared" si="14"/>
        <v>1</v>
      </c>
      <c r="AZ93" s="102">
        <f t="shared" si="15"/>
        <v>0</v>
      </c>
    </row>
    <row r="94" spans="1:52" x14ac:dyDescent="0.35">
      <c r="A94" t="s">
        <v>987</v>
      </c>
      <c r="B94">
        <v>2020</v>
      </c>
      <c r="C94" t="s">
        <v>837</v>
      </c>
      <c r="D94" t="s">
        <v>994</v>
      </c>
      <c r="E94" t="s">
        <v>986</v>
      </c>
      <c r="F94" t="s">
        <v>978</v>
      </c>
      <c r="G94" s="357">
        <v>23042.232</v>
      </c>
      <c r="H94" s="198">
        <v>13827.990900000001</v>
      </c>
      <c r="I94" s="198">
        <v>4578.2894130000004</v>
      </c>
      <c r="J94" s="198">
        <v>0</v>
      </c>
      <c r="K94" s="198">
        <v>0</v>
      </c>
      <c r="L94" s="198">
        <v>61.624000000000009</v>
      </c>
      <c r="M94" s="198">
        <v>3456.3347999999996</v>
      </c>
      <c r="N94" s="198">
        <v>45</v>
      </c>
      <c r="O94" s="198">
        <v>0</v>
      </c>
      <c r="P94" s="198">
        <v>1056.1590000000001</v>
      </c>
      <c r="Q94" s="198">
        <v>678.35700000000008</v>
      </c>
      <c r="R94" s="198">
        <v>0</v>
      </c>
      <c r="S94" s="198">
        <v>1204.011162</v>
      </c>
      <c r="T94" s="198">
        <v>0</v>
      </c>
      <c r="U94" s="198">
        <v>410.42689992982059</v>
      </c>
      <c r="V94" s="198">
        <v>884.15851970756921</v>
      </c>
      <c r="W94" s="198">
        <v>20.131578947368421</v>
      </c>
      <c r="X94" s="198">
        <v>0</v>
      </c>
      <c r="Y94" s="198">
        <v>190</v>
      </c>
      <c r="Z94" s="271">
        <v>26412.483273584763</v>
      </c>
      <c r="AA94" s="272">
        <v>177.85878789501581</v>
      </c>
      <c r="AB94" s="198">
        <v>0.69269419553630351</v>
      </c>
      <c r="AC94" s="272">
        <v>279.58656695297623</v>
      </c>
      <c r="AD94" s="198">
        <v>1.0065116410307144</v>
      </c>
      <c r="AE94" s="198">
        <v>1.699205836567018</v>
      </c>
      <c r="AF94" s="198">
        <v>51.851994666494988</v>
      </c>
      <c r="AG94" s="198">
        <v>2.2795050914355269E-2</v>
      </c>
      <c r="AH94" s="198">
        <v>1.2044511256449603E-4</v>
      </c>
      <c r="AI94" s="198">
        <v>52.567764143698568</v>
      </c>
      <c r="AJ94" s="198">
        <v>2.2119114792413897E-2</v>
      </c>
      <c r="AK94" s="198">
        <v>0.5161662114902853</v>
      </c>
      <c r="AL94" s="198">
        <v>2.4166398186276101E-2</v>
      </c>
      <c r="AM94" s="198">
        <v>1.9224465523329983E-2</v>
      </c>
      <c r="AN94" s="198">
        <v>5.5888950443854397E-3</v>
      </c>
      <c r="AO94" s="198">
        <v>3.5762124995586153E-4</v>
      </c>
      <c r="AP94" s="198">
        <v>8.4048683084882452E-4</v>
      </c>
      <c r="AQ94" s="198">
        <v>9.6165007812935703E-4</v>
      </c>
      <c r="AS94" s="258">
        <f t="shared" si="9"/>
        <v>35432.34631151396</v>
      </c>
      <c r="AT94" s="3">
        <f t="shared" si="10"/>
        <v>1.3224824144211973</v>
      </c>
      <c r="AU94" s="3">
        <f t="shared" si="11"/>
        <v>0.44393367133515327</v>
      </c>
      <c r="AV94" s="95">
        <f t="shared" si="12"/>
        <v>17.372747023809527</v>
      </c>
      <c r="AW94" s="95">
        <f t="shared" si="13"/>
        <v>0.62541889285714303</v>
      </c>
      <c r="AX94" s="95">
        <f t="shared" si="16"/>
        <v>1.0693525641922963</v>
      </c>
      <c r="AY94" s="102">
        <f t="shared" si="14"/>
        <v>0.41514247611166988</v>
      </c>
      <c r="AZ94" s="102">
        <f t="shared" si="15"/>
        <v>0.58485752388833012</v>
      </c>
    </row>
    <row r="95" spans="1:52" x14ac:dyDescent="0.35">
      <c r="A95" t="s">
        <v>988</v>
      </c>
      <c r="B95">
        <v>2020</v>
      </c>
      <c r="C95" t="s">
        <v>837</v>
      </c>
      <c r="D95" t="s">
        <v>994</v>
      </c>
      <c r="E95" t="s">
        <v>989</v>
      </c>
      <c r="F95" t="s">
        <v>978</v>
      </c>
      <c r="G95" s="357">
        <v>1684.8</v>
      </c>
      <c r="H95" s="198">
        <v>13827.990900000001</v>
      </c>
      <c r="I95" s="198">
        <v>0</v>
      </c>
      <c r="J95" s="198">
        <v>6269.94</v>
      </c>
      <c r="K95" s="198">
        <v>2763.4462000000003</v>
      </c>
      <c r="L95" s="198">
        <v>61.624000000000009</v>
      </c>
      <c r="M95" s="198">
        <v>970.94462399999998</v>
      </c>
      <c r="N95" s="198">
        <v>0</v>
      </c>
      <c r="O95" s="198">
        <v>0</v>
      </c>
      <c r="P95" s="198">
        <v>1132.5239999999999</v>
      </c>
      <c r="Q95" s="198">
        <v>0</v>
      </c>
      <c r="R95" s="198">
        <v>0</v>
      </c>
      <c r="S95" s="198">
        <v>0</v>
      </c>
      <c r="T95" s="198">
        <v>0</v>
      </c>
      <c r="U95" s="198">
        <v>410.42689992982059</v>
      </c>
      <c r="V95" s="198">
        <v>852.53031518358932</v>
      </c>
      <c r="W95" s="198">
        <v>15.394736842105264</v>
      </c>
      <c r="X95" s="198">
        <v>242.73615599999999</v>
      </c>
      <c r="Y95" s="198">
        <v>190</v>
      </c>
      <c r="Z95" s="271">
        <v>26737.557831955517</v>
      </c>
      <c r="AA95" s="272">
        <v>55.719155672417095</v>
      </c>
      <c r="AB95" s="198">
        <v>2.2111201886174512</v>
      </c>
      <c r="AC95" s="272">
        <v>0</v>
      </c>
      <c r="AD95" s="198">
        <v>0</v>
      </c>
      <c r="AE95" s="198">
        <v>2.2111201886174512</v>
      </c>
      <c r="AF95" s="198">
        <v>0</v>
      </c>
      <c r="AG95" s="198">
        <v>0</v>
      </c>
      <c r="AH95" s="198">
        <v>0</v>
      </c>
      <c r="AI95" s="198">
        <v>0</v>
      </c>
      <c r="AJ95" s="198">
        <v>0</v>
      </c>
      <c r="AK95" s="198">
        <v>0</v>
      </c>
      <c r="AL95" s="198">
        <v>0</v>
      </c>
      <c r="AM95" s="198">
        <v>2.067084121051348E-2</v>
      </c>
      <c r="AN95" s="198">
        <v>5.2825483093534541E-3</v>
      </c>
      <c r="AO95" s="198">
        <v>0</v>
      </c>
      <c r="AP95" s="198">
        <v>7.5528061829914354E-4</v>
      </c>
      <c r="AQ95" s="198">
        <v>9.4427488100008912E-4</v>
      </c>
      <c r="AS95" s="258">
        <f t="shared" si="9"/>
        <v>35868.433831568327</v>
      </c>
      <c r="AT95" s="3">
        <f t="shared" si="10"/>
        <v>4.2214408384847033</v>
      </c>
      <c r="AU95" s="3">
        <f t="shared" si="11"/>
        <v>1.4170621169075139</v>
      </c>
      <c r="AV95" s="95">
        <f t="shared" si="12"/>
        <v>0</v>
      </c>
      <c r="AW95" s="95">
        <f t="shared" si="13"/>
        <v>0</v>
      </c>
      <c r="AX95" s="95">
        <f t="shared" si="16"/>
        <v>1.4170621169075139</v>
      </c>
      <c r="AY95" s="102">
        <f t="shared" si="14"/>
        <v>1</v>
      </c>
      <c r="AZ95" s="102">
        <f t="shared" si="15"/>
        <v>0</v>
      </c>
    </row>
    <row r="96" spans="1:52" x14ac:dyDescent="0.35">
      <c r="A96" t="s">
        <v>990</v>
      </c>
      <c r="B96">
        <v>2020</v>
      </c>
      <c r="C96" t="s">
        <v>837</v>
      </c>
      <c r="D96" t="s">
        <v>994</v>
      </c>
      <c r="E96" t="s">
        <v>989</v>
      </c>
      <c r="F96" t="s">
        <v>978</v>
      </c>
      <c r="G96" s="357">
        <v>1684.8</v>
      </c>
      <c r="H96" s="198">
        <v>13827.990900000001</v>
      </c>
      <c r="I96" s="198">
        <v>0</v>
      </c>
      <c r="J96" s="198">
        <v>6461.36</v>
      </c>
      <c r="K96" s="198">
        <v>3345.2793999999999</v>
      </c>
      <c r="L96" s="198">
        <v>61.624000000000009</v>
      </c>
      <c r="M96" s="198">
        <v>970.94462399999998</v>
      </c>
      <c r="N96" s="198">
        <v>0</v>
      </c>
      <c r="O96" s="198">
        <v>0</v>
      </c>
      <c r="P96" s="198">
        <v>1157.5440000000001</v>
      </c>
      <c r="Q96" s="198">
        <v>0</v>
      </c>
      <c r="R96" s="198">
        <v>0</v>
      </c>
      <c r="S96" s="198">
        <v>0</v>
      </c>
      <c r="T96" s="198">
        <v>0</v>
      </c>
      <c r="U96" s="198">
        <v>410.42689992982059</v>
      </c>
      <c r="V96" s="198">
        <v>852.53031518358932</v>
      </c>
      <c r="W96" s="198">
        <v>15.394736842105264</v>
      </c>
      <c r="X96" s="198">
        <v>242.73615599999999</v>
      </c>
      <c r="Y96" s="198">
        <v>190</v>
      </c>
      <c r="Z96" s="271">
        <v>27535.83103195552</v>
      </c>
      <c r="AA96" s="272">
        <v>54.938306643974798</v>
      </c>
      <c r="AB96" s="198">
        <v>2.2425472775927253</v>
      </c>
      <c r="AC96" s="272">
        <v>0</v>
      </c>
      <c r="AD96" s="198">
        <v>0</v>
      </c>
      <c r="AE96" s="198">
        <v>2.2425472775927253</v>
      </c>
      <c r="AF96" s="198">
        <v>0</v>
      </c>
      <c r="AG96" s="198">
        <v>0</v>
      </c>
      <c r="AH96" s="198">
        <v>0</v>
      </c>
      <c r="AI96" s="198">
        <v>0</v>
      </c>
      <c r="AJ96" s="198">
        <v>0</v>
      </c>
      <c r="AK96" s="198">
        <v>0</v>
      </c>
      <c r="AL96" s="198">
        <v>0</v>
      </c>
      <c r="AM96" s="198">
        <v>2.0964639968835509E-2</v>
      </c>
      <c r="AN96" s="198">
        <v>5.357630214257972E-3</v>
      </c>
      <c r="AO96" s="198">
        <v>0</v>
      </c>
      <c r="AP96" s="198">
        <v>7.6601557124958842E-4</v>
      </c>
      <c r="AQ96" s="198">
        <v>9.5769604682141053E-4</v>
      </c>
      <c r="AS96" s="258">
        <f t="shared" si="9"/>
        <v>36939.317329368329</v>
      </c>
      <c r="AT96" s="3">
        <f t="shared" si="10"/>
        <v>4.2814410128388021</v>
      </c>
      <c r="AU96" s="3">
        <f t="shared" si="11"/>
        <v>1.4372031013102609</v>
      </c>
      <c r="AV96" s="95">
        <f t="shared" si="12"/>
        <v>0</v>
      </c>
      <c r="AW96" s="95">
        <f t="shared" si="13"/>
        <v>0</v>
      </c>
      <c r="AX96" s="95">
        <f t="shared" si="16"/>
        <v>1.4372031013102609</v>
      </c>
      <c r="AY96" s="102">
        <f t="shared" si="14"/>
        <v>1</v>
      </c>
      <c r="AZ96" s="102">
        <f t="shared" si="15"/>
        <v>0</v>
      </c>
    </row>
    <row r="97" spans="1:52" x14ac:dyDescent="0.35">
      <c r="A97" t="s">
        <v>991</v>
      </c>
      <c r="B97">
        <v>2020</v>
      </c>
      <c r="C97" t="s">
        <v>837</v>
      </c>
      <c r="D97" t="s">
        <v>994</v>
      </c>
      <c r="E97" t="s">
        <v>986</v>
      </c>
      <c r="F97" t="s">
        <v>978</v>
      </c>
      <c r="G97" s="357">
        <v>1965.6</v>
      </c>
      <c r="H97" s="198">
        <v>13827.990900000001</v>
      </c>
      <c r="I97" s="198">
        <v>4578.2894132022802</v>
      </c>
      <c r="J97" s="198">
        <v>0</v>
      </c>
      <c r="K97" s="198">
        <v>0</v>
      </c>
      <c r="L97" s="198">
        <v>61.624000000000009</v>
      </c>
      <c r="M97" s="198">
        <v>1132.768728</v>
      </c>
      <c r="N97" s="198">
        <v>0</v>
      </c>
      <c r="O97" s="198">
        <v>0</v>
      </c>
      <c r="P97" s="198">
        <v>803.92500000000007</v>
      </c>
      <c r="Q97" s="198">
        <v>593.96399999999994</v>
      </c>
      <c r="R97" s="198">
        <v>0</v>
      </c>
      <c r="S97" s="198">
        <v>1098.32376825403</v>
      </c>
      <c r="T97" s="198">
        <v>0</v>
      </c>
      <c r="U97" s="198">
        <v>410.42689992982059</v>
      </c>
      <c r="V97" s="198">
        <v>888.02534077994892</v>
      </c>
      <c r="W97" s="198">
        <v>15.394736842105264</v>
      </c>
      <c r="X97" s="198">
        <v>283.192182</v>
      </c>
      <c r="Y97" s="198">
        <v>190</v>
      </c>
      <c r="Z97" s="271">
        <v>23883.924969008189</v>
      </c>
      <c r="AA97" s="272">
        <v>39.068182590189195</v>
      </c>
      <c r="AB97" s="198">
        <v>3.1535060458875415</v>
      </c>
      <c r="AC97" s="272">
        <v>0</v>
      </c>
      <c r="AD97" s="198">
        <v>0</v>
      </c>
      <c r="AE97" s="198">
        <v>3.1535060458875415</v>
      </c>
      <c r="AF97" s="198">
        <v>236.0573825012668</v>
      </c>
      <c r="AG97" s="198">
        <v>0.10377498662173541</v>
      </c>
      <c r="AH97" s="198">
        <v>5.4832910845408899E-4</v>
      </c>
      <c r="AI97" s="198">
        <v>239.3159392906386</v>
      </c>
      <c r="AJ97" s="198">
        <v>0.10069777208621361</v>
      </c>
      <c r="AK97" s="198">
        <v>2.3498583922119414</v>
      </c>
      <c r="AL97" s="198">
        <v>0.11001807619990855</v>
      </c>
      <c r="AM97" s="198">
        <v>1.9775298673263258E-2</v>
      </c>
      <c r="AN97" s="198">
        <v>8.1310838719772585E-3</v>
      </c>
      <c r="AO97" s="198">
        <v>1.6280788566454272E-3</v>
      </c>
      <c r="AP97" s="198">
        <v>1.3510553338371811E-3</v>
      </c>
      <c r="AQ97" s="198">
        <v>1.2832631529663182E-3</v>
      </c>
      <c r="AS97" s="258">
        <f t="shared" si="9"/>
        <v>32040.285345924483</v>
      </c>
      <c r="AT97" s="3">
        <f t="shared" si="10"/>
        <v>6.0206312054171516</v>
      </c>
      <c r="AU97" s="3">
        <f t="shared" si="11"/>
        <v>2.0210181138367695</v>
      </c>
      <c r="AV97" s="95">
        <f t="shared" si="12"/>
        <v>0</v>
      </c>
      <c r="AW97" s="95">
        <f t="shared" si="13"/>
        <v>0</v>
      </c>
      <c r="AX97" s="95">
        <f t="shared" si="16"/>
        <v>2.0210181138367695</v>
      </c>
      <c r="AY97" s="102">
        <f t="shared" si="14"/>
        <v>1</v>
      </c>
      <c r="AZ97" s="102">
        <f t="shared" si="15"/>
        <v>0</v>
      </c>
    </row>
    <row r="98" spans="1:52" x14ac:dyDescent="0.35">
      <c r="A98" t="s">
        <v>992</v>
      </c>
      <c r="B98">
        <v>2020</v>
      </c>
      <c r="C98" t="s">
        <v>837</v>
      </c>
      <c r="D98" t="s">
        <v>994</v>
      </c>
      <c r="E98" t="s">
        <v>986</v>
      </c>
      <c r="F98" t="s">
        <v>978</v>
      </c>
      <c r="G98" s="357">
        <v>10214.1648</v>
      </c>
      <c r="H98" s="198">
        <v>13827.990900000001</v>
      </c>
      <c r="I98" s="198">
        <v>4578.2894132022802</v>
      </c>
      <c r="J98" s="198">
        <v>0</v>
      </c>
      <c r="K98" s="198">
        <v>0</v>
      </c>
      <c r="L98" s="198">
        <v>61.624000000000009</v>
      </c>
      <c r="M98" s="198">
        <v>1532.12472</v>
      </c>
      <c r="N98" s="198">
        <v>45</v>
      </c>
      <c r="O98" s="198">
        <v>0</v>
      </c>
      <c r="P98" s="198">
        <v>833.553</v>
      </c>
      <c r="Q98" s="198">
        <v>616.45500000000004</v>
      </c>
      <c r="R98" s="198">
        <v>0</v>
      </c>
      <c r="S98" s="198">
        <v>1112.72643689289</v>
      </c>
      <c r="T98" s="198">
        <v>0</v>
      </c>
      <c r="U98" s="198">
        <v>410.42689992982059</v>
      </c>
      <c r="V98" s="198">
        <v>889.36939155529694</v>
      </c>
      <c r="W98" s="198">
        <v>15.394736842105264</v>
      </c>
      <c r="X98" s="198">
        <v>284.42162999999999</v>
      </c>
      <c r="Y98" s="198">
        <v>190</v>
      </c>
      <c r="Z98" s="271">
        <v>24397.376128422402</v>
      </c>
      <c r="AA98" s="272">
        <v>76.156385296943782</v>
      </c>
      <c r="AB98" s="198">
        <v>1.6177468182033607</v>
      </c>
      <c r="AC98" s="272">
        <v>195.8028385521032</v>
      </c>
      <c r="AD98" s="198">
        <v>0.70489021878757152</v>
      </c>
      <c r="AE98" s="198">
        <v>2.3226370369909324</v>
      </c>
      <c r="AF98" s="198">
        <v>121.09730373050837</v>
      </c>
      <c r="AG98" s="198">
        <v>5.3236509451231824E-2</v>
      </c>
      <c r="AH98" s="198">
        <v>2.8129252255174584E-4</v>
      </c>
      <c r="AI98" s="198">
        <v>122.76894152071198</v>
      </c>
      <c r="AJ98" s="198">
        <v>5.1657900134702534E-2</v>
      </c>
      <c r="AK98" s="198">
        <v>1.2054760263379876</v>
      </c>
      <c r="AL98" s="198">
        <v>5.6439210874309524E-2</v>
      </c>
      <c r="AM98" s="198">
        <v>1.0144717036269046E-2</v>
      </c>
      <c r="AN98" s="198">
        <v>4.1712414281209103E-3</v>
      </c>
      <c r="AO98" s="198">
        <v>8.352035327653947E-4</v>
      </c>
      <c r="AP98" s="198">
        <v>6.9309062222413858E-4</v>
      </c>
      <c r="AQ98" s="198">
        <v>6.5831327177449364E-4</v>
      </c>
      <c r="AS98" s="258">
        <f t="shared" si="9"/>
        <v>32729.080076278649</v>
      </c>
      <c r="AT98" s="3">
        <f t="shared" si="10"/>
        <v>3.0885804036561528</v>
      </c>
      <c r="AU98" s="3">
        <f t="shared" si="11"/>
        <v>1.0367811494937551</v>
      </c>
      <c r="AV98" s="95">
        <f t="shared" si="12"/>
        <v>12.166654563492065</v>
      </c>
      <c r="AW98" s="95">
        <f t="shared" si="13"/>
        <v>0.43799956428571435</v>
      </c>
      <c r="AX98" s="95">
        <f t="shared" si="16"/>
        <v>1.4747807137794695</v>
      </c>
      <c r="AY98" s="102">
        <f t="shared" si="14"/>
        <v>0.70300698931488037</v>
      </c>
      <c r="AZ98" s="102">
        <f t="shared" si="15"/>
        <v>0.29699301068511963</v>
      </c>
    </row>
    <row r="99" spans="1:52" x14ac:dyDescent="0.35">
      <c r="A99" t="s">
        <v>975</v>
      </c>
      <c r="B99">
        <v>2020</v>
      </c>
      <c r="C99" t="s">
        <v>837</v>
      </c>
      <c r="D99" t="s">
        <v>995</v>
      </c>
      <c r="E99" t="s">
        <v>977</v>
      </c>
      <c r="F99" t="s">
        <v>978</v>
      </c>
      <c r="G99" s="357">
        <v>71885.581900000005</v>
      </c>
      <c r="H99" s="198">
        <v>14779.099</v>
      </c>
      <c r="I99" s="198">
        <v>0</v>
      </c>
      <c r="J99" s="198">
        <v>0</v>
      </c>
      <c r="K99" s="198">
        <v>0</v>
      </c>
      <c r="L99" s="198">
        <v>61.624000000000009</v>
      </c>
      <c r="M99" s="198">
        <v>9201.3544832000007</v>
      </c>
      <c r="N99" s="198">
        <v>45</v>
      </c>
      <c r="O99" s="198">
        <v>0</v>
      </c>
      <c r="P99" s="198">
        <v>1830.0240000000001</v>
      </c>
      <c r="Q99" s="198">
        <v>0</v>
      </c>
      <c r="R99" s="198">
        <v>0</v>
      </c>
      <c r="S99" s="198">
        <v>0</v>
      </c>
      <c r="T99" s="198">
        <v>0</v>
      </c>
      <c r="U99" s="198">
        <v>498.33878600730674</v>
      </c>
      <c r="V99" s="198">
        <v>852.53031518358932</v>
      </c>
      <c r="W99" s="198">
        <v>20.131578947368421</v>
      </c>
      <c r="X99" s="198">
        <v>0</v>
      </c>
      <c r="Y99" s="198">
        <v>190</v>
      </c>
      <c r="Z99" s="271">
        <v>27478.10216333827</v>
      </c>
      <c r="AA99" s="272">
        <v>0</v>
      </c>
      <c r="AB99" s="198">
        <v>0</v>
      </c>
      <c r="AC99" s="272">
        <v>352.19206334675175</v>
      </c>
      <c r="AD99" s="198">
        <v>1.2678914280483062</v>
      </c>
      <c r="AE99" s="198">
        <v>1.2678914280483062</v>
      </c>
      <c r="AF99" s="198">
        <v>0</v>
      </c>
      <c r="AG99" s="198">
        <v>0</v>
      </c>
      <c r="AH99" s="198">
        <v>0</v>
      </c>
      <c r="AI99" s="198">
        <v>0</v>
      </c>
      <c r="AJ99" s="198">
        <v>0</v>
      </c>
      <c r="AK99" s="198">
        <v>0</v>
      </c>
      <c r="AL99" s="198">
        <v>0</v>
      </c>
      <c r="AM99" s="198">
        <v>1.874499350222834E-2</v>
      </c>
      <c r="AN99" s="198">
        <v>4.7903872283472301E-3</v>
      </c>
      <c r="AO99" s="198">
        <v>0</v>
      </c>
      <c r="AP99" s="198">
        <v>6.8491311689702927E-4</v>
      </c>
      <c r="AQ99" s="198">
        <v>8.5629928305294548E-4</v>
      </c>
      <c r="AS99" s="258">
        <f t="shared" si="9"/>
        <v>36861.874052118284</v>
      </c>
      <c r="AT99" s="3">
        <f t="shared" si="10"/>
        <v>0</v>
      </c>
      <c r="AU99" s="3">
        <f t="shared" si="11"/>
        <v>0</v>
      </c>
      <c r="AV99" s="95">
        <f t="shared" si="12"/>
        <v>21.884254622811323</v>
      </c>
      <c r="AW99" s="95">
        <f t="shared" si="13"/>
        <v>0.78783316642120771</v>
      </c>
      <c r="AX99" s="95">
        <f t="shared" si="16"/>
        <v>0.78783316642120771</v>
      </c>
      <c r="AY99" s="102">
        <f t="shared" si="14"/>
        <v>0</v>
      </c>
      <c r="AZ99" s="102">
        <f t="shared" si="15"/>
        <v>1</v>
      </c>
    </row>
    <row r="100" spans="1:52" x14ac:dyDescent="0.35">
      <c r="A100" t="s">
        <v>979</v>
      </c>
      <c r="B100">
        <v>2020</v>
      </c>
      <c r="C100" t="s">
        <v>837</v>
      </c>
      <c r="D100" t="s">
        <v>995</v>
      </c>
      <c r="E100" t="s">
        <v>977</v>
      </c>
      <c r="F100" t="s">
        <v>978</v>
      </c>
      <c r="G100" s="357">
        <v>112273.3505</v>
      </c>
      <c r="H100" s="198">
        <v>14779.099</v>
      </c>
      <c r="I100" s="198">
        <v>0</v>
      </c>
      <c r="J100" s="198">
        <v>0</v>
      </c>
      <c r="K100" s="198">
        <v>0</v>
      </c>
      <c r="L100" s="198">
        <v>61.624000000000009</v>
      </c>
      <c r="M100" s="198">
        <v>14370.988864000001</v>
      </c>
      <c r="N100" s="198">
        <v>45</v>
      </c>
      <c r="O100" s="198">
        <v>0</v>
      </c>
      <c r="P100" s="198">
        <v>1989.3509999999999</v>
      </c>
      <c r="Q100" s="198">
        <v>0</v>
      </c>
      <c r="R100" s="198">
        <v>0</v>
      </c>
      <c r="S100" s="198">
        <v>0</v>
      </c>
      <c r="T100" s="198">
        <v>0</v>
      </c>
      <c r="U100" s="198">
        <v>498.33878600730674</v>
      </c>
      <c r="V100" s="198">
        <v>852.53031518358932</v>
      </c>
      <c r="W100" s="198">
        <v>20.131578947368421</v>
      </c>
      <c r="X100" s="198">
        <v>0</v>
      </c>
      <c r="Y100" s="198">
        <v>190</v>
      </c>
      <c r="Z100" s="271">
        <v>32807.063544138262</v>
      </c>
      <c r="AA100" s="272">
        <v>0</v>
      </c>
      <c r="AB100" s="198">
        <v>0</v>
      </c>
      <c r="AC100" s="272">
        <v>367.68853475441836</v>
      </c>
      <c r="AD100" s="198">
        <v>1.3236787251159061</v>
      </c>
      <c r="AE100" s="198">
        <v>1.3236787251159061</v>
      </c>
      <c r="AF100" s="198">
        <v>0</v>
      </c>
      <c r="AG100" s="198">
        <v>0</v>
      </c>
      <c r="AH100" s="198">
        <v>0</v>
      </c>
      <c r="AI100" s="198">
        <v>0</v>
      </c>
      <c r="AJ100" s="198">
        <v>0</v>
      </c>
      <c r="AK100" s="198">
        <v>0</v>
      </c>
      <c r="AL100" s="198">
        <v>0</v>
      </c>
      <c r="AM100" s="198">
        <v>1.9569774313822563E-2</v>
      </c>
      <c r="AN100" s="198">
        <v>5.001164546865753E-3</v>
      </c>
      <c r="AO100" s="198">
        <v>0</v>
      </c>
      <c r="AP100" s="198">
        <v>7.1504933414131406E-4</v>
      </c>
      <c r="AQ100" s="198">
        <v>8.9397650164253859E-4</v>
      </c>
      <c r="AS100" s="258">
        <f t="shared" si="9"/>
        <v>44010.675744461478</v>
      </c>
      <c r="AT100" s="3">
        <f t="shared" si="10"/>
        <v>0</v>
      </c>
      <c r="AU100" s="3">
        <f t="shared" si="11"/>
        <v>0</v>
      </c>
      <c r="AV100" s="95">
        <f t="shared" si="12"/>
        <v>22.847163107511051</v>
      </c>
      <c r="AW100" s="95">
        <f t="shared" si="13"/>
        <v>0.82249787187039791</v>
      </c>
      <c r="AX100" s="95">
        <f t="shared" si="16"/>
        <v>0.82249787187039791</v>
      </c>
      <c r="AY100" s="102">
        <f t="shared" si="14"/>
        <v>0</v>
      </c>
      <c r="AZ100" s="102">
        <f t="shared" si="15"/>
        <v>1</v>
      </c>
    </row>
    <row r="101" spans="1:52" x14ac:dyDescent="0.35">
      <c r="A101" t="s">
        <v>980</v>
      </c>
      <c r="B101">
        <v>2020</v>
      </c>
      <c r="C101" t="s">
        <v>837</v>
      </c>
      <c r="D101" t="s">
        <v>995</v>
      </c>
      <c r="E101" t="s">
        <v>977</v>
      </c>
      <c r="F101" t="s">
        <v>978</v>
      </c>
      <c r="G101" s="357">
        <v>169028.84299999999</v>
      </c>
      <c r="H101" s="198">
        <v>14779.099</v>
      </c>
      <c r="I101" s="198">
        <v>0</v>
      </c>
      <c r="J101" s="198">
        <v>0</v>
      </c>
      <c r="K101" s="198">
        <v>0</v>
      </c>
      <c r="L101" s="198">
        <v>61.624000000000009</v>
      </c>
      <c r="M101" s="198">
        <v>21635.691903999999</v>
      </c>
      <c r="N101" s="198">
        <v>45</v>
      </c>
      <c r="O101" s="198">
        <v>0</v>
      </c>
      <c r="P101" s="198">
        <v>2209.5630000000001</v>
      </c>
      <c r="Q101" s="198">
        <v>0</v>
      </c>
      <c r="R101" s="198">
        <v>0</v>
      </c>
      <c r="S101" s="198">
        <v>0</v>
      </c>
      <c r="T101" s="198">
        <v>0</v>
      </c>
      <c r="U101" s="198">
        <v>498.33878600730674</v>
      </c>
      <c r="V101" s="198">
        <v>852.53031518358932</v>
      </c>
      <c r="W101" s="198">
        <v>20.131578947368421</v>
      </c>
      <c r="X101" s="198">
        <v>0</v>
      </c>
      <c r="Y101" s="198">
        <v>190</v>
      </c>
      <c r="Z101" s="271">
        <v>40291.978584138262</v>
      </c>
      <c r="AA101" s="272">
        <v>0</v>
      </c>
      <c r="AB101" s="198">
        <v>0</v>
      </c>
      <c r="AC101" s="272">
        <v>408.87238083652437</v>
      </c>
      <c r="AD101" s="198">
        <v>1.4719405710114877</v>
      </c>
      <c r="AE101" s="198">
        <v>1.4719405710114877</v>
      </c>
      <c r="AF101" s="198">
        <v>0</v>
      </c>
      <c r="AG101" s="198">
        <v>0</v>
      </c>
      <c r="AH101" s="198">
        <v>0</v>
      </c>
      <c r="AI101" s="198">
        <v>0</v>
      </c>
      <c r="AJ101" s="198">
        <v>0</v>
      </c>
      <c r="AK101" s="198">
        <v>0</v>
      </c>
      <c r="AL101" s="198">
        <v>0</v>
      </c>
      <c r="AM101" s="198">
        <v>2.1761734347986599E-2</v>
      </c>
      <c r="AN101" s="198">
        <v>5.5613321111521166E-3</v>
      </c>
      <c r="AO101" s="198">
        <v>0</v>
      </c>
      <c r="AP101" s="198">
        <v>7.9514016900527609E-4</v>
      </c>
      <c r="AQ101" s="198">
        <v>9.941085078506095E-4</v>
      </c>
      <c r="AS101" s="258">
        <f t="shared" si="9"/>
        <v>54051.689270621471</v>
      </c>
      <c r="AT101" s="3">
        <f t="shared" si="10"/>
        <v>0</v>
      </c>
      <c r="AU101" s="3">
        <f t="shared" si="11"/>
        <v>0</v>
      </c>
      <c r="AV101" s="95">
        <f t="shared" si="12"/>
        <v>25.406215022091313</v>
      </c>
      <c r="AW101" s="95">
        <f t="shared" si="13"/>
        <v>0.9146237407952873</v>
      </c>
      <c r="AX101" s="95">
        <f t="shared" si="16"/>
        <v>0.9146237407952873</v>
      </c>
      <c r="AY101" s="102">
        <f t="shared" si="14"/>
        <v>0</v>
      </c>
      <c r="AZ101" s="102">
        <f t="shared" si="15"/>
        <v>1</v>
      </c>
    </row>
    <row r="102" spans="1:52" x14ac:dyDescent="0.35">
      <c r="A102" t="s">
        <v>981</v>
      </c>
      <c r="B102">
        <v>2020</v>
      </c>
      <c r="C102" t="s">
        <v>837</v>
      </c>
      <c r="D102" t="s">
        <v>995</v>
      </c>
      <c r="E102" t="s">
        <v>977</v>
      </c>
      <c r="F102" t="s">
        <v>978</v>
      </c>
      <c r="G102" s="357">
        <v>236489.2934</v>
      </c>
      <c r="H102" s="198">
        <v>14779.099</v>
      </c>
      <c r="I102" s="198">
        <v>0</v>
      </c>
      <c r="J102" s="198">
        <v>0</v>
      </c>
      <c r="K102" s="198">
        <v>0</v>
      </c>
      <c r="L102" s="198">
        <v>61.624000000000009</v>
      </c>
      <c r="M102" s="198">
        <v>30270.629555200001</v>
      </c>
      <c r="N102" s="198">
        <v>45</v>
      </c>
      <c r="O102" s="198">
        <v>0</v>
      </c>
      <c r="P102" s="198">
        <v>2480.1840000000002</v>
      </c>
      <c r="Q102" s="198">
        <v>0</v>
      </c>
      <c r="R102" s="198">
        <v>0</v>
      </c>
      <c r="S102" s="198">
        <v>0</v>
      </c>
      <c r="T102" s="198">
        <v>0</v>
      </c>
      <c r="U102" s="198">
        <v>498.33878600730674</v>
      </c>
      <c r="V102" s="198">
        <v>852.53031518358932</v>
      </c>
      <c r="W102" s="198">
        <v>20.131578947368421</v>
      </c>
      <c r="X102" s="198">
        <v>0</v>
      </c>
      <c r="Y102" s="198">
        <v>190</v>
      </c>
      <c r="Z102" s="271">
        <v>49197.537235338263</v>
      </c>
      <c r="AA102" s="272">
        <v>0</v>
      </c>
      <c r="AB102" s="198">
        <v>0</v>
      </c>
      <c r="AC102" s="272">
        <v>453.06950933783344</v>
      </c>
      <c r="AD102" s="198">
        <v>1.6310502336162003</v>
      </c>
      <c r="AE102" s="198">
        <v>1.6310502336162003</v>
      </c>
      <c r="AF102" s="198">
        <v>0</v>
      </c>
      <c r="AG102" s="198">
        <v>0</v>
      </c>
      <c r="AH102" s="198">
        <v>0</v>
      </c>
      <c r="AI102" s="198">
        <v>0</v>
      </c>
      <c r="AJ102" s="198">
        <v>0</v>
      </c>
      <c r="AK102" s="198">
        <v>0</v>
      </c>
      <c r="AL102" s="198">
        <v>0</v>
      </c>
      <c r="AM102" s="198">
        <v>2.4114072667883697E-2</v>
      </c>
      <c r="AN102" s="198">
        <v>6.1624852373480393E-3</v>
      </c>
      <c r="AO102" s="198">
        <v>0</v>
      </c>
      <c r="AP102" s="198">
        <v>8.8109097877672315E-4</v>
      </c>
      <c r="AQ102" s="198">
        <v>1.1015668335409544E-3</v>
      </c>
      <c r="AS102" s="258">
        <f t="shared" si="9"/>
        <v>65998.496201206275</v>
      </c>
      <c r="AT102" s="3">
        <f t="shared" si="10"/>
        <v>0</v>
      </c>
      <c r="AU102" s="3">
        <f t="shared" si="11"/>
        <v>0</v>
      </c>
      <c r="AV102" s="95">
        <f t="shared" si="12"/>
        <v>28.152504090983474</v>
      </c>
      <c r="AW102" s="95">
        <f t="shared" si="13"/>
        <v>1.013490147275405</v>
      </c>
      <c r="AX102" s="95">
        <f t="shared" si="16"/>
        <v>1.013490147275405</v>
      </c>
      <c r="AY102" s="102">
        <f t="shared" si="14"/>
        <v>0</v>
      </c>
      <c r="AZ102" s="102">
        <f t="shared" si="15"/>
        <v>1</v>
      </c>
    </row>
    <row r="103" spans="1:52" x14ac:dyDescent="0.35">
      <c r="A103" t="s">
        <v>982</v>
      </c>
      <c r="B103">
        <v>2020</v>
      </c>
      <c r="C103" t="s">
        <v>837</v>
      </c>
      <c r="D103" t="s">
        <v>995</v>
      </c>
      <c r="E103" t="s">
        <v>983</v>
      </c>
      <c r="F103" t="s">
        <v>978</v>
      </c>
      <c r="G103" s="357"/>
      <c r="H103" s="198">
        <v>14779.099</v>
      </c>
      <c r="I103" s="198">
        <v>8955.9974620696594</v>
      </c>
      <c r="J103" s="198">
        <v>0</v>
      </c>
      <c r="K103" s="198">
        <v>0</v>
      </c>
      <c r="L103" s="198">
        <v>61.624000000000009</v>
      </c>
      <c r="M103" s="198">
        <v>0</v>
      </c>
      <c r="N103" s="198">
        <v>0</v>
      </c>
      <c r="O103" s="198">
        <v>46.056124891040987</v>
      </c>
      <c r="P103" s="198">
        <v>0</v>
      </c>
      <c r="Q103" s="198">
        <v>0</v>
      </c>
      <c r="R103" s="198">
        <v>9.470738986137663</v>
      </c>
      <c r="S103" s="198">
        <v>2276.5300000000002</v>
      </c>
      <c r="T103" s="198">
        <v>111.1</v>
      </c>
      <c r="U103" s="198">
        <v>498.33878600730674</v>
      </c>
      <c r="V103" s="198">
        <v>383.21105156412619</v>
      </c>
      <c r="W103" s="198">
        <v>0</v>
      </c>
      <c r="X103" s="198">
        <v>0</v>
      </c>
      <c r="Y103" s="198">
        <v>190</v>
      </c>
      <c r="Z103" s="271">
        <v>27311.427163518267</v>
      </c>
      <c r="AA103" s="272">
        <v>22.738516537858061</v>
      </c>
      <c r="AB103" s="198">
        <v>5.4181964683086337</v>
      </c>
      <c r="AC103" s="272">
        <v>0</v>
      </c>
      <c r="AD103" s="198">
        <v>0</v>
      </c>
      <c r="AE103" s="198">
        <v>5.4181964683086337</v>
      </c>
      <c r="AF103" s="198">
        <v>405.58199590404564</v>
      </c>
      <c r="AG103" s="198">
        <v>0.17830099509272165</v>
      </c>
      <c r="AH103" s="198">
        <v>9.4211166735233066E-4</v>
      </c>
      <c r="AI103" s="198">
        <v>411.18068530912279</v>
      </c>
      <c r="AJ103" s="198">
        <v>0.1730138788842922</v>
      </c>
      <c r="AK103" s="198">
        <v>4.0374092379850746</v>
      </c>
      <c r="AL103" s="198">
        <v>0.18902755956146736</v>
      </c>
      <c r="AM103" s="198">
        <v>3.3976929763921686E-2</v>
      </c>
      <c r="AN103" s="198">
        <v>1.3970421897913039E-2</v>
      </c>
      <c r="AO103" s="198">
        <v>2.7972837162332145E-3</v>
      </c>
      <c r="AP103" s="198">
        <v>2.3213157456388805E-3</v>
      </c>
      <c r="AQ103" s="198">
        <v>2.2048386088810625E-3</v>
      </c>
      <c r="AS103" s="258">
        <f t="shared" si="9"/>
        <v>36638.279539859752</v>
      </c>
      <c r="AT103" s="3">
        <f t="shared" si="10"/>
        <v>10.344347611675159</v>
      </c>
      <c r="AU103" s="3">
        <f t="shared" si="11"/>
        <v>3.472412307900381</v>
      </c>
      <c r="AV103" s="95">
        <f t="shared" si="12"/>
        <v>0</v>
      </c>
      <c r="AW103" s="95">
        <f t="shared" si="13"/>
        <v>0</v>
      </c>
      <c r="AX103" s="95">
        <f t="shared" si="16"/>
        <v>3.472412307900381</v>
      </c>
      <c r="AY103" s="102">
        <f t="shared" si="14"/>
        <v>1</v>
      </c>
      <c r="AZ103" s="102">
        <f t="shared" si="15"/>
        <v>0</v>
      </c>
    </row>
    <row r="104" spans="1:52" x14ac:dyDescent="0.35">
      <c r="A104" t="s">
        <v>984</v>
      </c>
      <c r="B104">
        <v>2020</v>
      </c>
      <c r="C104" t="s">
        <v>837</v>
      </c>
      <c r="D104" t="s">
        <v>995</v>
      </c>
      <c r="E104" t="s">
        <v>240</v>
      </c>
      <c r="F104" t="s">
        <v>978</v>
      </c>
      <c r="G104" s="357"/>
      <c r="H104" s="198">
        <v>14779.099</v>
      </c>
      <c r="I104" s="198">
        <v>9972.2148880000004</v>
      </c>
      <c r="J104" s="198">
        <v>0</v>
      </c>
      <c r="K104" s="198">
        <v>0</v>
      </c>
      <c r="L104" s="198">
        <v>61.624000000000009</v>
      </c>
      <c r="M104" s="198">
        <v>0</v>
      </c>
      <c r="N104" s="198">
        <v>0</v>
      </c>
      <c r="O104" s="198">
        <v>46.056124891040987</v>
      </c>
      <c r="P104" s="198">
        <v>0</v>
      </c>
      <c r="Q104" s="198">
        <v>0</v>
      </c>
      <c r="R104" s="198">
        <v>9.470738986137663</v>
      </c>
      <c r="S104" s="198">
        <v>2276.5300000000002</v>
      </c>
      <c r="T104" s="198">
        <v>111.1</v>
      </c>
      <c r="U104" s="198">
        <v>498.33878600730674</v>
      </c>
      <c r="V104" s="198">
        <v>363.04367832131015</v>
      </c>
      <c r="W104" s="198">
        <v>0</v>
      </c>
      <c r="X104" s="198">
        <v>0</v>
      </c>
      <c r="Y104" s="198">
        <v>190</v>
      </c>
      <c r="Z104" s="271">
        <v>28307.477216205793</v>
      </c>
      <c r="AA104" s="272">
        <v>20.529903335486242</v>
      </c>
      <c r="AB104" s="198">
        <v>6.001087681062967</v>
      </c>
      <c r="AC104" s="272">
        <v>0</v>
      </c>
      <c r="AD104" s="198">
        <v>0</v>
      </c>
      <c r="AE104" s="198">
        <v>6.001087681062967</v>
      </c>
      <c r="AF104" s="198">
        <v>0</v>
      </c>
      <c r="AG104" s="198">
        <v>0</v>
      </c>
      <c r="AH104" s="198">
        <v>0</v>
      </c>
      <c r="AI104" s="198">
        <v>0</v>
      </c>
      <c r="AJ104" s="198">
        <v>0</v>
      </c>
      <c r="AK104" s="198">
        <v>0</v>
      </c>
      <c r="AL104" s="198">
        <v>0</v>
      </c>
      <c r="AM104" s="198">
        <v>0</v>
      </c>
      <c r="AN104" s="198">
        <v>0</v>
      </c>
      <c r="AO104" s="198">
        <v>0</v>
      </c>
      <c r="AP104" s="198">
        <v>0</v>
      </c>
      <c r="AQ104" s="198">
        <v>0</v>
      </c>
      <c r="AS104" s="258">
        <f t="shared" si="9"/>
        <v>37974.480685540067</v>
      </c>
      <c r="AT104" s="3">
        <f t="shared" si="10"/>
        <v>11.45719565249269</v>
      </c>
      <c r="AU104" s="3">
        <f t="shared" si="11"/>
        <v>3.8459754729081204</v>
      </c>
      <c r="AV104" s="95">
        <f t="shared" si="12"/>
        <v>0</v>
      </c>
      <c r="AW104" s="95">
        <f t="shared" si="13"/>
        <v>0</v>
      </c>
      <c r="AX104" s="95">
        <f t="shared" si="16"/>
        <v>3.8459754729081204</v>
      </c>
      <c r="AY104" s="102">
        <f t="shared" si="14"/>
        <v>1</v>
      </c>
      <c r="AZ104" s="102">
        <f t="shared" si="15"/>
        <v>0</v>
      </c>
    </row>
    <row r="105" spans="1:52" x14ac:dyDescent="0.35">
      <c r="A105" t="s">
        <v>985</v>
      </c>
      <c r="B105">
        <v>2020</v>
      </c>
      <c r="C105" t="s">
        <v>837</v>
      </c>
      <c r="D105" t="s">
        <v>995</v>
      </c>
      <c r="E105" t="s">
        <v>986</v>
      </c>
      <c r="F105" t="s">
        <v>978</v>
      </c>
      <c r="G105" s="357"/>
      <c r="H105" s="198">
        <v>14779.099</v>
      </c>
      <c r="I105" s="198">
        <v>4766.5322109999997</v>
      </c>
      <c r="J105" s="198">
        <v>0</v>
      </c>
      <c r="K105" s="198">
        <v>0</v>
      </c>
      <c r="L105" s="198">
        <v>61.624000000000009</v>
      </c>
      <c r="M105" s="198">
        <v>0</v>
      </c>
      <c r="N105" s="198">
        <v>0</v>
      </c>
      <c r="O105" s="198">
        <v>46.056124891040987</v>
      </c>
      <c r="P105" s="198">
        <v>0</v>
      </c>
      <c r="Q105" s="198">
        <v>0</v>
      </c>
      <c r="R105" s="198">
        <v>9.470738986137663</v>
      </c>
      <c r="S105" s="198">
        <v>2276.5300000000002</v>
      </c>
      <c r="T105" s="198">
        <v>111.1</v>
      </c>
      <c r="U105" s="198">
        <v>498.33878600730674</v>
      </c>
      <c r="V105" s="198">
        <v>365.39356416019535</v>
      </c>
      <c r="W105" s="198">
        <v>0</v>
      </c>
      <c r="X105" s="198">
        <v>0</v>
      </c>
      <c r="Y105" s="198">
        <v>190</v>
      </c>
      <c r="Z105" s="271">
        <v>23104.144425044677</v>
      </c>
      <c r="AA105" s="272">
        <v>18.545759090706266</v>
      </c>
      <c r="AB105" s="198">
        <v>6.6431225272272316</v>
      </c>
      <c r="AC105" s="272">
        <v>0</v>
      </c>
      <c r="AD105" s="198">
        <v>0</v>
      </c>
      <c r="AE105" s="198">
        <v>6.6431225272272316</v>
      </c>
      <c r="AF105" s="198">
        <v>497.27449150049404</v>
      </c>
      <c r="AG105" s="198">
        <v>0.21861063253345664</v>
      </c>
      <c r="AH105" s="198">
        <v>1.1551008305362492E-3</v>
      </c>
      <c r="AI105" s="198">
        <v>504.13891214809502</v>
      </c>
      <c r="AJ105" s="198">
        <v>0.2121282244122816</v>
      </c>
      <c r="AK105" s="198">
        <v>4.9501719654079901</v>
      </c>
      <c r="AL105" s="198">
        <v>0.23176221950134746</v>
      </c>
      <c r="AM105" s="198">
        <v>4.1658309889819306E-2</v>
      </c>
      <c r="AN105" s="198">
        <v>1.7128803831261918E-2</v>
      </c>
      <c r="AO105" s="198">
        <v>3.429683397242261E-3</v>
      </c>
      <c r="AP105" s="198">
        <v>2.8461103270909522E-3</v>
      </c>
      <c r="AQ105" s="198">
        <v>2.7033004648741371E-3</v>
      </c>
      <c r="AS105" s="258">
        <f t="shared" si="9"/>
        <v>30994.20974619743</v>
      </c>
      <c r="AT105" s="3">
        <f t="shared" si="10"/>
        <v>12.68295992043271</v>
      </c>
      <c r="AU105" s="3">
        <f t="shared" si="11"/>
        <v>4.2574425939255427</v>
      </c>
      <c r="AV105" s="95">
        <f t="shared" si="12"/>
        <v>0</v>
      </c>
      <c r="AW105" s="95">
        <f t="shared" si="13"/>
        <v>0</v>
      </c>
      <c r="AX105" s="95">
        <f t="shared" si="16"/>
        <v>4.2574425939255427</v>
      </c>
      <c r="AY105" s="102">
        <f t="shared" si="14"/>
        <v>1</v>
      </c>
      <c r="AZ105" s="102">
        <f t="shared" si="15"/>
        <v>0</v>
      </c>
    </row>
    <row r="106" spans="1:52" x14ac:dyDescent="0.35">
      <c r="A106" t="s">
        <v>987</v>
      </c>
      <c r="B106">
        <v>2020</v>
      </c>
      <c r="C106" t="s">
        <v>837</v>
      </c>
      <c r="D106" t="s">
        <v>995</v>
      </c>
      <c r="E106" t="s">
        <v>986</v>
      </c>
      <c r="F106" t="s">
        <v>978</v>
      </c>
      <c r="G106" s="357">
        <v>28578.623</v>
      </c>
      <c r="H106" s="198">
        <v>14779.099</v>
      </c>
      <c r="I106" s="198">
        <v>5470.1912679999996</v>
      </c>
      <c r="J106" s="198">
        <v>0</v>
      </c>
      <c r="K106" s="198">
        <v>0</v>
      </c>
      <c r="L106" s="198">
        <v>61.624000000000009</v>
      </c>
      <c r="M106" s="198">
        <v>4286.7934500000001</v>
      </c>
      <c r="N106" s="198">
        <v>45</v>
      </c>
      <c r="O106" s="198">
        <v>0</v>
      </c>
      <c r="P106" s="198">
        <v>1638.0450000000001</v>
      </c>
      <c r="Q106" s="198">
        <v>1027.827</v>
      </c>
      <c r="R106" s="198">
        <v>0</v>
      </c>
      <c r="S106" s="198">
        <v>1378.6148539999999</v>
      </c>
      <c r="T106" s="198">
        <v>0</v>
      </c>
      <c r="U106" s="198">
        <v>498.33878600730674</v>
      </c>
      <c r="V106" s="198">
        <v>900.4524602654102</v>
      </c>
      <c r="W106" s="198">
        <v>20.131578947368421</v>
      </c>
      <c r="X106" s="198">
        <v>0</v>
      </c>
      <c r="Y106" s="198">
        <v>190</v>
      </c>
      <c r="Z106" s="271">
        <v>30296.117397220089</v>
      </c>
      <c r="AA106" s="272">
        <v>138.93140177770695</v>
      </c>
      <c r="AB106" s="198">
        <v>0.88678116267138285</v>
      </c>
      <c r="AC106" s="272">
        <v>346.7113911594048</v>
      </c>
      <c r="AD106" s="198">
        <v>1.2481610081738572</v>
      </c>
      <c r="AE106" s="198">
        <v>2.1349421708452399</v>
      </c>
      <c r="AF106" s="198">
        <v>66.380478447036339</v>
      </c>
      <c r="AG106" s="198">
        <v>2.9182028495756213E-2</v>
      </c>
      <c r="AH106" s="198">
        <v>1.5419279914036992E-4</v>
      </c>
      <c r="AI106" s="198">
        <v>67.296800387207711</v>
      </c>
      <c r="AJ106" s="198">
        <v>2.8316700875040873E-2</v>
      </c>
      <c r="AK106" s="198">
        <v>0.66079155290546832</v>
      </c>
      <c r="AL106" s="198">
        <v>3.0937615500897284E-2</v>
      </c>
      <c r="AM106" s="198">
        <v>2.4014201098913144E-2</v>
      </c>
      <c r="AN106" s="198">
        <v>7.0023412742936837E-3</v>
      </c>
      <c r="AO106" s="198">
        <v>4.5782365418309831E-4</v>
      </c>
      <c r="AP106" s="198">
        <v>1.0541780714088597E-3</v>
      </c>
      <c r="AQ106" s="198">
        <v>1.203833705150259E-3</v>
      </c>
      <c r="AS106" s="258">
        <f t="shared" si="9"/>
        <v>40642.241488370746</v>
      </c>
      <c r="AT106" s="3">
        <f t="shared" si="10"/>
        <v>1.6930306340518833</v>
      </c>
      <c r="AU106" s="3">
        <f t="shared" si="11"/>
        <v>0.56832007508128579</v>
      </c>
      <c r="AV106" s="95">
        <f t="shared" si="12"/>
        <v>21.5437005952381</v>
      </c>
      <c r="AW106" s="95">
        <f t="shared" si="13"/>
        <v>0.77557322142857155</v>
      </c>
      <c r="AX106" s="95">
        <f t="shared" si="16"/>
        <v>1.3438932965098573</v>
      </c>
      <c r="AY106" s="102">
        <f t="shared" si="14"/>
        <v>0.42289077306750089</v>
      </c>
      <c r="AZ106" s="102">
        <f t="shared" si="15"/>
        <v>0.57710922693249911</v>
      </c>
    </row>
    <row r="107" spans="1:52" x14ac:dyDescent="0.35">
      <c r="A107" t="s">
        <v>988</v>
      </c>
      <c r="B107">
        <v>2020</v>
      </c>
      <c r="C107" t="s">
        <v>837</v>
      </c>
      <c r="D107" t="s">
        <v>995</v>
      </c>
      <c r="E107" t="s">
        <v>989</v>
      </c>
      <c r="F107" t="s">
        <v>978</v>
      </c>
      <c r="G107" s="357">
        <v>2106</v>
      </c>
      <c r="H107" s="198">
        <v>14779.099</v>
      </c>
      <c r="I107" s="198">
        <v>0</v>
      </c>
      <c r="J107" s="198">
        <v>11010.084000000001</v>
      </c>
      <c r="K107" s="198">
        <v>3285.3519999999999</v>
      </c>
      <c r="L107" s="198">
        <v>61.624000000000009</v>
      </c>
      <c r="M107" s="198">
        <v>1213.6807800000001</v>
      </c>
      <c r="N107" s="198">
        <v>0</v>
      </c>
      <c r="O107" s="198">
        <v>0</v>
      </c>
      <c r="P107" s="198">
        <v>1834.5329999999999</v>
      </c>
      <c r="Q107" s="198">
        <v>0</v>
      </c>
      <c r="R107" s="198">
        <v>0</v>
      </c>
      <c r="S107" s="198">
        <v>0</v>
      </c>
      <c r="T107" s="198">
        <v>0</v>
      </c>
      <c r="U107" s="198">
        <v>498.33878600730674</v>
      </c>
      <c r="V107" s="198">
        <v>852.53031518358932</v>
      </c>
      <c r="W107" s="198">
        <v>15.394736842105264</v>
      </c>
      <c r="X107" s="198">
        <v>303.42019500000004</v>
      </c>
      <c r="Y107" s="198">
        <v>190</v>
      </c>
      <c r="Z107" s="271">
        <v>34044.056813032999</v>
      </c>
      <c r="AA107" s="272">
        <v>42.737952601371489</v>
      </c>
      <c r="AB107" s="198">
        <v>2.8827246627637089</v>
      </c>
      <c r="AC107" s="272">
        <v>0</v>
      </c>
      <c r="AD107" s="198">
        <v>0</v>
      </c>
      <c r="AE107" s="198">
        <v>2.8827246627637089</v>
      </c>
      <c r="AF107" s="198">
        <v>0</v>
      </c>
      <c r="AG107" s="198">
        <v>0</v>
      </c>
      <c r="AH107" s="198">
        <v>0</v>
      </c>
      <c r="AI107" s="198">
        <v>0</v>
      </c>
      <c r="AJ107" s="198">
        <v>0</v>
      </c>
      <c r="AK107" s="198">
        <v>0</v>
      </c>
      <c r="AL107" s="198">
        <v>0</v>
      </c>
      <c r="AM107" s="198">
        <v>2.6949391563774967E-2</v>
      </c>
      <c r="AN107" s="198">
        <v>6.8870667329647252E-3</v>
      </c>
      <c r="AO107" s="198">
        <v>0</v>
      </c>
      <c r="AP107" s="198">
        <v>9.8468915298527697E-4</v>
      </c>
      <c r="AQ107" s="198">
        <v>1.2310884328677145E-3</v>
      </c>
      <c r="AS107" s="258">
        <f t="shared" si="9"/>
        <v>45670.102214683764</v>
      </c>
      <c r="AT107" s="3">
        <f t="shared" si="10"/>
        <v>5.5036590413055944</v>
      </c>
      <c r="AU107" s="3">
        <f t="shared" si="11"/>
        <v>1.8474798132215837</v>
      </c>
      <c r="AV107" s="95">
        <f t="shared" si="12"/>
        <v>0</v>
      </c>
      <c r="AW107" s="95">
        <f t="shared" si="13"/>
        <v>0</v>
      </c>
      <c r="AX107" s="95">
        <f t="shared" si="16"/>
        <v>1.8474798132215837</v>
      </c>
      <c r="AY107" s="102">
        <f t="shared" si="14"/>
        <v>1</v>
      </c>
      <c r="AZ107" s="102">
        <f t="shared" si="15"/>
        <v>0</v>
      </c>
    </row>
    <row r="108" spans="1:52" x14ac:dyDescent="0.35">
      <c r="A108" t="s">
        <v>990</v>
      </c>
      <c r="B108">
        <v>2020</v>
      </c>
      <c r="C108" t="s">
        <v>837</v>
      </c>
      <c r="D108" t="s">
        <v>995</v>
      </c>
      <c r="E108" t="s">
        <v>989</v>
      </c>
      <c r="F108" t="s">
        <v>978</v>
      </c>
      <c r="G108" s="357">
        <v>2106</v>
      </c>
      <c r="H108" s="198">
        <v>14779.099</v>
      </c>
      <c r="I108" s="198">
        <v>0</v>
      </c>
      <c r="J108" s="198">
        <v>11323.292000000001</v>
      </c>
      <c r="K108" s="198">
        <v>4056.5666000000001</v>
      </c>
      <c r="L108" s="198">
        <v>61.624000000000009</v>
      </c>
      <c r="M108" s="198">
        <v>1213.6807800000001</v>
      </c>
      <c r="N108" s="198">
        <v>0</v>
      </c>
      <c r="O108" s="198">
        <v>0</v>
      </c>
      <c r="P108" s="198">
        <v>1875.4019999999998</v>
      </c>
      <c r="Q108" s="198">
        <v>0</v>
      </c>
      <c r="R108" s="198">
        <v>0</v>
      </c>
      <c r="S108" s="198">
        <v>0</v>
      </c>
      <c r="T108" s="198">
        <v>0</v>
      </c>
      <c r="U108" s="198">
        <v>498.33878600730674</v>
      </c>
      <c r="V108" s="198">
        <v>852.53031518358932</v>
      </c>
      <c r="W108" s="198">
        <v>15.394736842105264</v>
      </c>
      <c r="X108" s="198">
        <v>303.42019500000004</v>
      </c>
      <c r="Y108" s="198">
        <v>190</v>
      </c>
      <c r="Z108" s="271">
        <v>35169.348413033003</v>
      </c>
      <c r="AA108" s="272">
        <v>42.150452793448601</v>
      </c>
      <c r="AB108" s="198">
        <v>2.9229045439613666</v>
      </c>
      <c r="AC108" s="272">
        <v>0</v>
      </c>
      <c r="AD108" s="198">
        <v>0</v>
      </c>
      <c r="AE108" s="198">
        <v>2.9229045439613666</v>
      </c>
      <c r="AF108" s="198">
        <v>0</v>
      </c>
      <c r="AG108" s="198">
        <v>0</v>
      </c>
      <c r="AH108" s="198">
        <v>0</v>
      </c>
      <c r="AI108" s="198">
        <v>0</v>
      </c>
      <c r="AJ108" s="198">
        <v>0</v>
      </c>
      <c r="AK108" s="198">
        <v>0</v>
      </c>
      <c r="AL108" s="198">
        <v>0</v>
      </c>
      <c r="AM108" s="198">
        <v>2.7325016529061632E-2</v>
      </c>
      <c r="AN108" s="198">
        <v>6.9830597796490959E-3</v>
      </c>
      <c r="AO108" s="198">
        <v>0</v>
      </c>
      <c r="AP108" s="198">
        <v>9.9841390918368523E-4</v>
      </c>
      <c r="AQ108" s="198">
        <v>1.2482475419617522E-3</v>
      </c>
      <c r="AS108" s="258">
        <f t="shared" si="9"/>
        <v>47179.680896083773</v>
      </c>
      <c r="AT108" s="3">
        <f t="shared" si="10"/>
        <v>5.5803699285049522</v>
      </c>
      <c r="AU108" s="3">
        <f t="shared" si="11"/>
        <v>1.8732302847699649</v>
      </c>
      <c r="AV108" s="95">
        <f t="shared" si="12"/>
        <v>0</v>
      </c>
      <c r="AW108" s="95">
        <f t="shared" si="13"/>
        <v>0</v>
      </c>
      <c r="AX108" s="95">
        <f t="shared" si="16"/>
        <v>1.8732302847699649</v>
      </c>
      <c r="AY108" s="102">
        <f t="shared" si="14"/>
        <v>1</v>
      </c>
      <c r="AZ108" s="102">
        <f t="shared" si="15"/>
        <v>0</v>
      </c>
    </row>
    <row r="109" spans="1:52" x14ac:dyDescent="0.35">
      <c r="A109" t="s">
        <v>991</v>
      </c>
      <c r="B109">
        <v>2020</v>
      </c>
      <c r="C109" t="s">
        <v>837</v>
      </c>
      <c r="D109" t="s">
        <v>995</v>
      </c>
      <c r="E109" t="s">
        <v>986</v>
      </c>
      <c r="F109" t="s">
        <v>978</v>
      </c>
      <c r="G109" s="357">
        <v>2948.4</v>
      </c>
      <c r="H109" s="198">
        <v>14779.099</v>
      </c>
      <c r="I109" s="198">
        <v>5470.1912677792498</v>
      </c>
      <c r="J109" s="198">
        <v>0</v>
      </c>
      <c r="K109" s="198">
        <v>0</v>
      </c>
      <c r="L109" s="198">
        <v>61.624000000000009</v>
      </c>
      <c r="M109" s="198">
        <v>1699.1530920000002</v>
      </c>
      <c r="N109" s="198">
        <v>0</v>
      </c>
      <c r="O109" s="198">
        <v>0</v>
      </c>
      <c r="P109" s="198">
        <v>1254.231</v>
      </c>
      <c r="Q109" s="198">
        <v>908.02800000000002</v>
      </c>
      <c r="R109" s="198">
        <v>0</v>
      </c>
      <c r="S109" s="198">
        <v>1299.4440180854499</v>
      </c>
      <c r="T109" s="198">
        <v>0</v>
      </c>
      <c r="U109" s="198">
        <v>498.33878600730674</v>
      </c>
      <c r="V109" s="198">
        <v>906.79379505063014</v>
      </c>
      <c r="W109" s="198">
        <v>15.394736842105264</v>
      </c>
      <c r="X109" s="198">
        <v>424.78827300000006</v>
      </c>
      <c r="Y109" s="198">
        <v>190</v>
      </c>
      <c r="Z109" s="271">
        <v>27507.085968764743</v>
      </c>
      <c r="AA109" s="272">
        <v>31.842427159400611</v>
      </c>
      <c r="AB109" s="198">
        <v>3.8691067544337003</v>
      </c>
      <c r="AC109" s="272">
        <v>0</v>
      </c>
      <c r="AD109" s="198">
        <v>0</v>
      </c>
      <c r="AE109" s="198">
        <v>3.8691067544337003</v>
      </c>
      <c r="AF109" s="198">
        <v>289.62405645635528</v>
      </c>
      <c r="AG109" s="198">
        <v>0.12732384077811978</v>
      </c>
      <c r="AH109" s="198">
        <v>6.7275718717552829E-4</v>
      </c>
      <c r="AI109" s="198">
        <v>293.62205230605588</v>
      </c>
      <c r="AJ109" s="198">
        <v>0.12354833777575339</v>
      </c>
      <c r="AK109" s="198">
        <v>2.8830935615698405</v>
      </c>
      <c r="AL109" s="198">
        <v>0.13498362633234279</v>
      </c>
      <c r="AM109" s="198">
        <v>2.4262754075720334E-2</v>
      </c>
      <c r="AN109" s="198">
        <v>9.9762077738715215E-3</v>
      </c>
      <c r="AO109" s="198">
        <v>1.9975261849306623E-3</v>
      </c>
      <c r="AP109" s="198">
        <v>1.6576398591593286E-3</v>
      </c>
      <c r="AQ109" s="198">
        <v>1.5744641236165654E-3</v>
      </c>
      <c r="AS109" s="258">
        <f t="shared" si="9"/>
        <v>36900.755827097899</v>
      </c>
      <c r="AT109" s="3">
        <f t="shared" si="10"/>
        <v>7.3868464254926396</v>
      </c>
      <c r="AU109" s="3">
        <f t="shared" si="11"/>
        <v>2.479632105121881</v>
      </c>
      <c r="AV109" s="95">
        <f t="shared" si="12"/>
        <v>0</v>
      </c>
      <c r="AW109" s="95">
        <f t="shared" si="13"/>
        <v>0</v>
      </c>
      <c r="AX109" s="95">
        <f t="shared" si="16"/>
        <v>2.479632105121881</v>
      </c>
      <c r="AY109" s="102">
        <f t="shared" si="14"/>
        <v>1</v>
      </c>
      <c r="AZ109" s="102">
        <f t="shared" si="15"/>
        <v>0</v>
      </c>
    </row>
    <row r="110" spans="1:52" x14ac:dyDescent="0.35">
      <c r="A110" t="s">
        <v>992</v>
      </c>
      <c r="B110">
        <v>2020</v>
      </c>
      <c r="C110" t="s">
        <v>837</v>
      </c>
      <c r="D110" t="s">
        <v>995</v>
      </c>
      <c r="E110" t="s">
        <v>986</v>
      </c>
      <c r="F110" t="s">
        <v>978</v>
      </c>
      <c r="G110" s="357">
        <v>12753.288</v>
      </c>
      <c r="H110" s="198">
        <v>14779.099</v>
      </c>
      <c r="I110" s="198">
        <v>5470.1912677792498</v>
      </c>
      <c r="J110" s="198">
        <v>0</v>
      </c>
      <c r="K110" s="198">
        <v>0</v>
      </c>
      <c r="L110" s="198">
        <v>61.624000000000009</v>
      </c>
      <c r="M110" s="198">
        <v>1912.9932000000001</v>
      </c>
      <c r="N110" s="198">
        <v>45</v>
      </c>
      <c r="O110" s="198">
        <v>0</v>
      </c>
      <c r="P110" s="198">
        <v>1364.193</v>
      </c>
      <c r="Q110" s="198">
        <v>943.07400000000007</v>
      </c>
      <c r="R110" s="198">
        <v>0</v>
      </c>
      <c r="S110" s="198">
        <v>1321.88664036973</v>
      </c>
      <c r="T110" s="198">
        <v>0</v>
      </c>
      <c r="U110" s="198">
        <v>498.33878600730674</v>
      </c>
      <c r="V110" s="198">
        <v>908.88813080453644</v>
      </c>
      <c r="W110" s="198">
        <v>15.394736842105264</v>
      </c>
      <c r="X110" s="198">
        <v>391.13400000000001</v>
      </c>
      <c r="Y110" s="198">
        <v>190</v>
      </c>
      <c r="Z110" s="271">
        <v>27901.816761802926</v>
      </c>
      <c r="AA110" s="272">
        <v>60.289309781029843</v>
      </c>
      <c r="AB110" s="198">
        <v>2.0435090474159932</v>
      </c>
      <c r="AC110" s="272">
        <v>244.88246223142858</v>
      </c>
      <c r="AD110" s="198">
        <v>0.88157686403314284</v>
      </c>
      <c r="AE110" s="198">
        <v>2.9250859114491359</v>
      </c>
      <c r="AF110" s="198">
        <v>152.96796322295017</v>
      </c>
      <c r="AG110" s="198">
        <v>6.7247413187471822E-2</v>
      </c>
      <c r="AH110" s="198">
        <v>3.5532371835745495E-4</v>
      </c>
      <c r="AI110" s="198">
        <v>155.07954638902143</v>
      </c>
      <c r="AJ110" s="198">
        <v>6.5253341937036344E-2</v>
      </c>
      <c r="AK110" s="198">
        <v>1.5227359056101033</v>
      </c>
      <c r="AL110" s="198">
        <v>7.1293008740859976E-2</v>
      </c>
      <c r="AM110" s="198">
        <v>1.2814626376526715E-2</v>
      </c>
      <c r="AN110" s="198">
        <v>5.269038085198058E-3</v>
      </c>
      <c r="AO110" s="198">
        <v>1.0550142682619298E-3</v>
      </c>
      <c r="AP110" s="198">
        <v>8.7549976378081503E-4</v>
      </c>
      <c r="AQ110" s="198">
        <v>8.3156963238489444E-4</v>
      </c>
      <c r="AS110" s="258">
        <f t="shared" si="9"/>
        <v>37430.287185958623</v>
      </c>
      <c r="AT110" s="3">
        <f t="shared" si="10"/>
        <v>3.9014399085961848</v>
      </c>
      <c r="AU110" s="3">
        <f t="shared" si="11"/>
        <v>1.3096435334262002</v>
      </c>
      <c r="AV110" s="95">
        <f t="shared" si="12"/>
        <v>15.216328571428571</v>
      </c>
      <c r="AW110" s="95">
        <f t="shared" si="13"/>
        <v>0.5477878285714286</v>
      </c>
      <c r="AX110" s="95">
        <f t="shared" si="16"/>
        <v>1.8574313619976288</v>
      </c>
      <c r="AY110" s="102">
        <f t="shared" si="14"/>
        <v>0.7050831380480761</v>
      </c>
      <c r="AZ110" s="102">
        <f t="shared" si="15"/>
        <v>0.29491686195192385</v>
      </c>
    </row>
    <row r="111" spans="1:52" x14ac:dyDescent="0.35">
      <c r="A111" t="s">
        <v>975</v>
      </c>
      <c r="B111">
        <v>2020</v>
      </c>
      <c r="C111" t="s">
        <v>837</v>
      </c>
      <c r="D111" t="s">
        <v>996</v>
      </c>
      <c r="E111" t="s">
        <v>977</v>
      </c>
      <c r="F111" t="s">
        <v>978</v>
      </c>
      <c r="G111" s="357">
        <v>54332.3894</v>
      </c>
      <c r="H111" s="198">
        <v>12670.2425</v>
      </c>
      <c r="I111" s="198">
        <v>0</v>
      </c>
      <c r="J111" s="198">
        <v>0</v>
      </c>
      <c r="K111" s="198">
        <v>0</v>
      </c>
      <c r="L111" s="198">
        <v>61.624000000000009</v>
      </c>
      <c r="M111" s="198">
        <v>6954.5458431999996</v>
      </c>
      <c r="N111" s="198">
        <v>45</v>
      </c>
      <c r="O111" s="198">
        <v>0</v>
      </c>
      <c r="P111" s="198">
        <v>1206.5040000000001</v>
      </c>
      <c r="Q111" s="198">
        <v>0</v>
      </c>
      <c r="R111" s="198">
        <v>0</v>
      </c>
      <c r="S111" s="198">
        <v>0</v>
      </c>
      <c r="T111" s="198">
        <v>0</v>
      </c>
      <c r="U111" s="198">
        <v>365.41885286194434</v>
      </c>
      <c r="V111" s="198">
        <v>852.53031518358932</v>
      </c>
      <c r="W111" s="198">
        <v>20.131578947368421</v>
      </c>
      <c r="X111" s="198">
        <v>0</v>
      </c>
      <c r="Y111" s="198">
        <v>190</v>
      </c>
      <c r="Z111" s="271">
        <v>22365.997090192905</v>
      </c>
      <c r="AA111" s="272">
        <v>0</v>
      </c>
      <c r="AB111" s="198">
        <v>0</v>
      </c>
      <c r="AC111" s="272">
        <v>264.16115547107677</v>
      </c>
      <c r="AD111" s="198">
        <v>0.95098015969587635</v>
      </c>
      <c r="AE111" s="198">
        <v>0.95098015969587635</v>
      </c>
      <c r="AF111" s="198">
        <v>0</v>
      </c>
      <c r="AG111" s="198">
        <v>0</v>
      </c>
      <c r="AH111" s="198">
        <v>0</v>
      </c>
      <c r="AI111" s="198">
        <v>0</v>
      </c>
      <c r="AJ111" s="198">
        <v>0</v>
      </c>
      <c r="AK111" s="198">
        <v>0</v>
      </c>
      <c r="AL111" s="198">
        <v>0</v>
      </c>
      <c r="AM111" s="198">
        <v>1.4059655677053841E-2</v>
      </c>
      <c r="AN111" s="198">
        <v>3.5930231174693059E-3</v>
      </c>
      <c r="AO111" s="198">
        <v>0</v>
      </c>
      <c r="AP111" s="198">
        <v>5.1371810777769652E-4</v>
      </c>
      <c r="AQ111" s="198">
        <v>6.4226605759032623E-4</v>
      </c>
      <c r="AS111" s="258">
        <f t="shared" si="9"/>
        <v>30003.98509649378</v>
      </c>
      <c r="AT111" s="3">
        <f t="shared" si="10"/>
        <v>0</v>
      </c>
      <c r="AU111" s="3">
        <f t="shared" si="11"/>
        <v>0</v>
      </c>
      <c r="AV111" s="95">
        <f t="shared" si="12"/>
        <v>16.414254009163805</v>
      </c>
      <c r="AW111" s="95">
        <f t="shared" si="13"/>
        <v>0.59091314432989694</v>
      </c>
      <c r="AX111" s="95">
        <f t="shared" si="16"/>
        <v>0.59091314432989694</v>
      </c>
      <c r="AY111" s="102">
        <f t="shared" si="14"/>
        <v>0</v>
      </c>
      <c r="AZ111" s="102">
        <f t="shared" si="15"/>
        <v>1</v>
      </c>
    </row>
    <row r="112" spans="1:52" x14ac:dyDescent="0.35">
      <c r="A112" t="s">
        <v>979</v>
      </c>
      <c r="B112">
        <v>2020</v>
      </c>
      <c r="C112" t="s">
        <v>837</v>
      </c>
      <c r="D112" t="s">
        <v>996</v>
      </c>
      <c r="E112" t="s">
        <v>977</v>
      </c>
      <c r="F112" t="s">
        <v>978</v>
      </c>
      <c r="G112" s="357">
        <v>84861.550799999997</v>
      </c>
      <c r="H112" s="198">
        <v>12670.2425</v>
      </c>
      <c r="I112" s="198">
        <v>0</v>
      </c>
      <c r="J112" s="198">
        <v>0</v>
      </c>
      <c r="K112" s="198">
        <v>0</v>
      </c>
      <c r="L112" s="198">
        <v>61.624000000000009</v>
      </c>
      <c r="M112" s="198">
        <v>10862.2785024</v>
      </c>
      <c r="N112" s="198">
        <v>45</v>
      </c>
      <c r="O112" s="198">
        <v>0</v>
      </c>
      <c r="P112" s="198">
        <v>1304.7840000000001</v>
      </c>
      <c r="Q112" s="198">
        <v>0</v>
      </c>
      <c r="R112" s="198">
        <v>0</v>
      </c>
      <c r="S112" s="198">
        <v>0</v>
      </c>
      <c r="T112" s="198">
        <v>0</v>
      </c>
      <c r="U112" s="198">
        <v>365.41885286194434</v>
      </c>
      <c r="V112" s="198">
        <v>852.53031518358932</v>
      </c>
      <c r="W112" s="198">
        <v>20.131578947368421</v>
      </c>
      <c r="X112" s="198">
        <v>0</v>
      </c>
      <c r="Y112" s="198">
        <v>190</v>
      </c>
      <c r="Z112" s="271">
        <v>26372.009749392906</v>
      </c>
      <c r="AA112" s="272">
        <v>0</v>
      </c>
      <c r="AB112" s="198">
        <v>0</v>
      </c>
      <c r="AC112" s="272">
        <v>276.09239298310422</v>
      </c>
      <c r="AD112" s="198">
        <v>0.99393261473917516</v>
      </c>
      <c r="AE112" s="198">
        <v>0.99393261473917516</v>
      </c>
      <c r="AF112" s="198">
        <v>0</v>
      </c>
      <c r="AG112" s="198">
        <v>0</v>
      </c>
      <c r="AH112" s="198">
        <v>0</v>
      </c>
      <c r="AI112" s="198">
        <v>0</v>
      </c>
      <c r="AJ112" s="198">
        <v>0</v>
      </c>
      <c r="AK112" s="198">
        <v>0</v>
      </c>
      <c r="AL112" s="198">
        <v>0</v>
      </c>
      <c r="AM112" s="198">
        <v>1.4694681258014481E-2</v>
      </c>
      <c r="AN112" s="198">
        <v>3.755307432603691E-3</v>
      </c>
      <c r="AO112" s="198">
        <v>0</v>
      </c>
      <c r="AP112" s="198">
        <v>5.3692096191116918E-4</v>
      </c>
      <c r="AQ112" s="198">
        <v>6.7127497400484696E-4</v>
      </c>
      <c r="AS112" s="258">
        <f t="shared" si="9"/>
        <v>35378.051078810582</v>
      </c>
      <c r="AT112" s="3">
        <f t="shared" si="10"/>
        <v>0</v>
      </c>
      <c r="AU112" s="3">
        <f t="shared" si="11"/>
        <v>0</v>
      </c>
      <c r="AV112" s="95">
        <f t="shared" si="12"/>
        <v>17.155628579610539</v>
      </c>
      <c r="AW112" s="95">
        <f t="shared" si="13"/>
        <v>0.61760262886597939</v>
      </c>
      <c r="AX112" s="95">
        <f t="shared" si="16"/>
        <v>0.61760262886597939</v>
      </c>
      <c r="AY112" s="102">
        <f t="shared" si="14"/>
        <v>0</v>
      </c>
      <c r="AZ112" s="102">
        <f t="shared" si="15"/>
        <v>1</v>
      </c>
    </row>
    <row r="113" spans="1:52" x14ac:dyDescent="0.35">
      <c r="A113" t="s">
        <v>980</v>
      </c>
      <c r="B113">
        <v>2020</v>
      </c>
      <c r="C113" t="s">
        <v>837</v>
      </c>
      <c r="D113" t="s">
        <v>996</v>
      </c>
      <c r="E113" t="s">
        <v>977</v>
      </c>
      <c r="F113" t="s">
        <v>978</v>
      </c>
      <c r="G113" s="357">
        <v>127802.11320000001</v>
      </c>
      <c r="H113" s="198">
        <v>12670.2425</v>
      </c>
      <c r="I113" s="198">
        <v>0</v>
      </c>
      <c r="J113" s="198">
        <v>0</v>
      </c>
      <c r="K113" s="198">
        <v>0</v>
      </c>
      <c r="L113" s="198">
        <v>61.624000000000009</v>
      </c>
      <c r="M113" s="198">
        <v>16358.670489600001</v>
      </c>
      <c r="N113" s="198">
        <v>45</v>
      </c>
      <c r="O113" s="198">
        <v>0</v>
      </c>
      <c r="P113" s="198">
        <v>1450.8</v>
      </c>
      <c r="Q113" s="198">
        <v>0</v>
      </c>
      <c r="R113" s="198">
        <v>0</v>
      </c>
      <c r="S113" s="198">
        <v>0</v>
      </c>
      <c r="T113" s="198">
        <v>0</v>
      </c>
      <c r="U113" s="198">
        <v>365.41885286194434</v>
      </c>
      <c r="V113" s="198">
        <v>852.53031518358932</v>
      </c>
      <c r="W113" s="198">
        <v>20.131578947368421</v>
      </c>
      <c r="X113" s="198">
        <v>0</v>
      </c>
      <c r="Y113" s="198">
        <v>190</v>
      </c>
      <c r="Z113" s="271">
        <v>32014.417736592906</v>
      </c>
      <c r="AA113" s="272">
        <v>0</v>
      </c>
      <c r="AB113" s="198">
        <v>0</v>
      </c>
      <c r="AC113" s="272">
        <v>307.71922904234168</v>
      </c>
      <c r="AD113" s="198">
        <v>1.1077892245524301</v>
      </c>
      <c r="AE113" s="198">
        <v>1.1077892245524301</v>
      </c>
      <c r="AF113" s="198">
        <v>0</v>
      </c>
      <c r="AG113" s="198">
        <v>0</v>
      </c>
      <c r="AH113" s="198">
        <v>0</v>
      </c>
      <c r="AI113" s="198">
        <v>0</v>
      </c>
      <c r="AJ113" s="198">
        <v>0</v>
      </c>
      <c r="AK113" s="198">
        <v>0</v>
      </c>
      <c r="AL113" s="198">
        <v>0</v>
      </c>
      <c r="AM113" s="198">
        <v>1.6377981076848732E-2</v>
      </c>
      <c r="AN113" s="198">
        <v>4.1854840529724421E-3</v>
      </c>
      <c r="AO113" s="198">
        <v>0</v>
      </c>
      <c r="AP113" s="198">
        <v>5.9842613797073498E-4</v>
      </c>
      <c r="AQ113" s="198">
        <v>7.4817062232073307E-4</v>
      </c>
      <c r="AS113" s="258">
        <f t="shared" si="9"/>
        <v>42947.341393639384</v>
      </c>
      <c r="AT113" s="3">
        <f t="shared" si="10"/>
        <v>0</v>
      </c>
      <c r="AU113" s="3">
        <f t="shared" si="11"/>
        <v>0</v>
      </c>
      <c r="AV113" s="95">
        <f t="shared" si="12"/>
        <v>19.120833946980856</v>
      </c>
      <c r="AW113" s="95">
        <f t="shared" si="13"/>
        <v>0.6883500220913108</v>
      </c>
      <c r="AX113" s="95">
        <f t="shared" si="16"/>
        <v>0.6883500220913108</v>
      </c>
      <c r="AY113" s="102">
        <f t="shared" si="14"/>
        <v>0</v>
      </c>
      <c r="AZ113" s="102">
        <f t="shared" si="15"/>
        <v>1</v>
      </c>
    </row>
    <row r="114" spans="1:52" x14ac:dyDescent="0.35">
      <c r="A114" t="s">
        <v>981</v>
      </c>
      <c r="B114">
        <v>2020</v>
      </c>
      <c r="C114" t="s">
        <v>837</v>
      </c>
      <c r="D114" t="s">
        <v>996</v>
      </c>
      <c r="E114" t="s">
        <v>977</v>
      </c>
      <c r="F114" t="s">
        <v>978</v>
      </c>
      <c r="G114" s="357">
        <v>178531.53839999999</v>
      </c>
      <c r="H114" s="198">
        <v>12670.2425</v>
      </c>
      <c r="I114" s="198">
        <v>0</v>
      </c>
      <c r="J114" s="198">
        <v>0</v>
      </c>
      <c r="K114" s="198">
        <v>0</v>
      </c>
      <c r="L114" s="198">
        <v>61.624000000000009</v>
      </c>
      <c r="M114" s="198">
        <v>22852.036915199998</v>
      </c>
      <c r="N114" s="198">
        <v>45</v>
      </c>
      <c r="O114" s="198">
        <v>0</v>
      </c>
      <c r="P114" s="198">
        <v>1623.3390000000002</v>
      </c>
      <c r="Q114" s="198">
        <v>0</v>
      </c>
      <c r="R114" s="198">
        <v>0</v>
      </c>
      <c r="S114" s="198">
        <v>0</v>
      </c>
      <c r="T114" s="198">
        <v>0</v>
      </c>
      <c r="U114" s="198">
        <v>365.41885286194434</v>
      </c>
      <c r="V114" s="198">
        <v>852.53031518358932</v>
      </c>
      <c r="W114" s="198">
        <v>20.131578947368421</v>
      </c>
      <c r="X114" s="198">
        <v>0</v>
      </c>
      <c r="Y114" s="198">
        <v>190</v>
      </c>
      <c r="Z114" s="271">
        <v>38680.323162192894</v>
      </c>
      <c r="AA114" s="272">
        <v>0</v>
      </c>
      <c r="AB114" s="198">
        <v>0</v>
      </c>
      <c r="AC114" s="272">
        <v>341.25159963843896</v>
      </c>
      <c r="AD114" s="198">
        <v>1.2285057586983803</v>
      </c>
      <c r="AE114" s="198">
        <v>1.2285057586983803</v>
      </c>
      <c r="AF114" s="198">
        <v>0</v>
      </c>
      <c r="AG114" s="198">
        <v>0</v>
      </c>
      <c r="AH114" s="198">
        <v>0</v>
      </c>
      <c r="AI114" s="198">
        <v>0</v>
      </c>
      <c r="AJ114" s="198">
        <v>0</v>
      </c>
      <c r="AK114" s="198">
        <v>0</v>
      </c>
      <c r="AL114" s="198">
        <v>0</v>
      </c>
      <c r="AM114" s="198">
        <v>1.8162700649928098E-2</v>
      </c>
      <c r="AN114" s="198">
        <v>4.6415790549816129E-3</v>
      </c>
      <c r="AO114" s="198">
        <v>0</v>
      </c>
      <c r="AP114" s="198">
        <v>6.6363703523989717E-4</v>
      </c>
      <c r="AQ114" s="198">
        <v>8.2969927639557964E-4</v>
      </c>
      <c r="AS114" s="258">
        <f t="shared" si="9"/>
        <v>51889.65352208176</v>
      </c>
      <c r="AT114" s="3">
        <f t="shared" si="10"/>
        <v>0</v>
      </c>
      <c r="AU114" s="3">
        <f t="shared" si="11"/>
        <v>0</v>
      </c>
      <c r="AV114" s="95">
        <f t="shared" si="12"/>
        <v>21.204444035346103</v>
      </c>
      <c r="AW114" s="95">
        <f t="shared" si="13"/>
        <v>0.76335998527245974</v>
      </c>
      <c r="AX114" s="95">
        <f t="shared" si="16"/>
        <v>0.76335998527245974</v>
      </c>
      <c r="AY114" s="102">
        <f t="shared" si="14"/>
        <v>0</v>
      </c>
      <c r="AZ114" s="102">
        <f t="shared" si="15"/>
        <v>1</v>
      </c>
    </row>
    <row r="115" spans="1:52" x14ac:dyDescent="0.35">
      <c r="A115" t="s">
        <v>982</v>
      </c>
      <c r="B115">
        <v>2020</v>
      </c>
      <c r="C115" t="s">
        <v>837</v>
      </c>
      <c r="D115" t="s">
        <v>996</v>
      </c>
      <c r="E115" t="s">
        <v>983</v>
      </c>
      <c r="F115" t="s">
        <v>978</v>
      </c>
      <c r="G115" s="357"/>
      <c r="H115" s="198">
        <v>12670.2425</v>
      </c>
      <c r="I115" s="198">
        <v>7651.3626622066504</v>
      </c>
      <c r="J115" s="198">
        <v>0</v>
      </c>
      <c r="K115" s="198">
        <v>0</v>
      </c>
      <c r="L115" s="198">
        <v>61.624000000000009</v>
      </c>
      <c r="M115" s="198">
        <v>0</v>
      </c>
      <c r="N115" s="198">
        <v>0</v>
      </c>
      <c r="O115" s="198">
        <v>46.056124891040987</v>
      </c>
      <c r="P115" s="198">
        <v>0</v>
      </c>
      <c r="Q115" s="198">
        <v>0</v>
      </c>
      <c r="R115" s="198">
        <v>9.470738986137663</v>
      </c>
      <c r="S115" s="198">
        <v>2276.5300000000002</v>
      </c>
      <c r="T115" s="198">
        <v>111.1</v>
      </c>
      <c r="U115" s="198">
        <v>365.41885286194434</v>
      </c>
      <c r="V115" s="198">
        <v>354.91381021676597</v>
      </c>
      <c r="W115" s="198">
        <v>0</v>
      </c>
      <c r="X115" s="198">
        <v>0</v>
      </c>
      <c r="Y115" s="198">
        <v>190</v>
      </c>
      <c r="Z115" s="271">
        <v>23736.718689162539</v>
      </c>
      <c r="AA115" s="272">
        <v>29.382656908744252</v>
      </c>
      <c r="AB115" s="198">
        <v>4.1930091748556375</v>
      </c>
      <c r="AC115" s="272">
        <v>0</v>
      </c>
      <c r="AD115" s="198">
        <v>0</v>
      </c>
      <c r="AE115" s="198">
        <v>4.1930091748556375</v>
      </c>
      <c r="AF115" s="198">
        <v>313.86994545673872</v>
      </c>
      <c r="AG115" s="198">
        <v>0.13798276099483178</v>
      </c>
      <c r="AH115" s="198">
        <v>7.2907708091655835E-4</v>
      </c>
      <c r="AI115" s="198">
        <v>318.20263368241757</v>
      </c>
      <c r="AJ115" s="198">
        <v>0.13389119161373975</v>
      </c>
      <c r="AK115" s="198">
        <v>3.1244518497135485</v>
      </c>
      <c r="AL115" s="198">
        <v>0.14628378579066598</v>
      </c>
      <c r="AM115" s="198">
        <v>2.6293911464237076E-2</v>
      </c>
      <c r="AN115" s="198">
        <v>1.0811366390491827E-2</v>
      </c>
      <c r="AO115" s="198">
        <v>2.1647491661559342E-3</v>
      </c>
      <c r="AP115" s="198">
        <v>1.7964092435797309E-3</v>
      </c>
      <c r="AQ115" s="198">
        <v>1.7062704481441893E-3</v>
      </c>
      <c r="AS115" s="258">
        <f t="shared" si="9"/>
        <v>31842.808121511545</v>
      </c>
      <c r="AT115" s="3">
        <f t="shared" si="10"/>
        <v>8.0052365574683044</v>
      </c>
      <c r="AU115" s="3">
        <f t="shared" si="11"/>
        <v>2.6872146019564691</v>
      </c>
      <c r="AV115" s="95">
        <f t="shared" si="12"/>
        <v>0</v>
      </c>
      <c r="AW115" s="95">
        <f t="shared" si="13"/>
        <v>0</v>
      </c>
      <c r="AX115" s="95">
        <f t="shared" si="16"/>
        <v>2.6872146019564691</v>
      </c>
      <c r="AY115" s="102">
        <f t="shared" si="14"/>
        <v>1</v>
      </c>
      <c r="AZ115" s="102">
        <f t="shared" si="15"/>
        <v>0</v>
      </c>
    </row>
    <row r="116" spans="1:52" x14ac:dyDescent="0.35">
      <c r="A116" t="s">
        <v>984</v>
      </c>
      <c r="B116">
        <v>2020</v>
      </c>
      <c r="C116" t="s">
        <v>837</v>
      </c>
      <c r="D116" t="s">
        <v>996</v>
      </c>
      <c r="E116" t="s">
        <v>240</v>
      </c>
      <c r="F116" t="s">
        <v>978</v>
      </c>
      <c r="G116" s="357"/>
      <c r="H116" s="198">
        <v>12670.2425</v>
      </c>
      <c r="I116" s="198">
        <v>9972.2148880000004</v>
      </c>
      <c r="J116" s="198">
        <v>0</v>
      </c>
      <c r="K116" s="198">
        <v>0</v>
      </c>
      <c r="L116" s="198">
        <v>61.624000000000009</v>
      </c>
      <c r="M116" s="198">
        <v>0</v>
      </c>
      <c r="N116" s="198">
        <v>0</v>
      </c>
      <c r="O116" s="198">
        <v>46.056124891040987</v>
      </c>
      <c r="P116" s="198">
        <v>0</v>
      </c>
      <c r="Q116" s="198">
        <v>0</v>
      </c>
      <c r="R116" s="198">
        <v>9.470738986137663</v>
      </c>
      <c r="S116" s="198">
        <v>2276.5300000000002</v>
      </c>
      <c r="T116" s="198">
        <v>111.1</v>
      </c>
      <c r="U116" s="198">
        <v>365.41885286194434</v>
      </c>
      <c r="V116" s="198">
        <v>333.0578761497224</v>
      </c>
      <c r="W116" s="198">
        <v>0</v>
      </c>
      <c r="X116" s="198">
        <v>0</v>
      </c>
      <c r="Y116" s="198">
        <v>190</v>
      </c>
      <c r="Z116" s="271">
        <v>26035.714980888846</v>
      </c>
      <c r="AA116" s="272">
        <v>26.390909093620465</v>
      </c>
      <c r="AB116" s="198">
        <v>4.6683405093378108</v>
      </c>
      <c r="AC116" s="272">
        <v>0</v>
      </c>
      <c r="AD116" s="198">
        <v>0</v>
      </c>
      <c r="AE116" s="198">
        <v>4.6683405093378108</v>
      </c>
      <c r="AF116" s="198">
        <v>0</v>
      </c>
      <c r="AG116" s="198">
        <v>0</v>
      </c>
      <c r="AH116" s="198">
        <v>0</v>
      </c>
      <c r="AI116" s="198">
        <v>0</v>
      </c>
      <c r="AJ116" s="198">
        <v>0</v>
      </c>
      <c r="AK116" s="198">
        <v>0</v>
      </c>
      <c r="AL116" s="198">
        <v>0</v>
      </c>
      <c r="AM116" s="198">
        <v>0</v>
      </c>
      <c r="AN116" s="198">
        <v>0</v>
      </c>
      <c r="AO116" s="198">
        <v>0</v>
      </c>
      <c r="AP116" s="198">
        <v>0</v>
      </c>
      <c r="AQ116" s="198">
        <v>0</v>
      </c>
      <c r="AS116" s="258">
        <f t="shared" si="9"/>
        <v>34926.911646862383</v>
      </c>
      <c r="AT116" s="3">
        <f t="shared" si="10"/>
        <v>8.9127327295552412</v>
      </c>
      <c r="AU116" s="3">
        <f t="shared" si="11"/>
        <v>2.9918448208569397</v>
      </c>
      <c r="AV116" s="95">
        <f t="shared" si="12"/>
        <v>0</v>
      </c>
      <c r="AW116" s="95">
        <f t="shared" si="13"/>
        <v>0</v>
      </c>
      <c r="AX116" s="95">
        <f t="shared" si="16"/>
        <v>2.9918448208569397</v>
      </c>
      <c r="AY116" s="102">
        <f t="shared" si="14"/>
        <v>1</v>
      </c>
      <c r="AZ116" s="102">
        <f t="shared" si="15"/>
        <v>0</v>
      </c>
    </row>
    <row r="117" spans="1:52" x14ac:dyDescent="0.35">
      <c r="A117" t="s">
        <v>985</v>
      </c>
      <c r="B117">
        <v>2020</v>
      </c>
      <c r="C117" t="s">
        <v>837</v>
      </c>
      <c r="D117" t="s">
        <v>996</v>
      </c>
      <c r="E117" t="s">
        <v>986</v>
      </c>
      <c r="F117" t="s">
        <v>978</v>
      </c>
      <c r="G117" s="357"/>
      <c r="H117" s="198">
        <v>12670.2425</v>
      </c>
      <c r="I117" s="198">
        <v>4766.5322109999997</v>
      </c>
      <c r="J117" s="198">
        <v>0</v>
      </c>
      <c r="K117" s="198">
        <v>0</v>
      </c>
      <c r="L117" s="198">
        <v>61.624000000000009</v>
      </c>
      <c r="M117" s="198">
        <v>0</v>
      </c>
      <c r="N117" s="198">
        <v>0</v>
      </c>
      <c r="O117" s="198">
        <v>46.056124891040987</v>
      </c>
      <c r="P117" s="198">
        <v>0</v>
      </c>
      <c r="Q117" s="198">
        <v>0</v>
      </c>
      <c r="R117" s="198">
        <v>9.470738986137663</v>
      </c>
      <c r="S117" s="198">
        <v>2276.5300000000002</v>
      </c>
      <c r="T117" s="198">
        <v>111.1</v>
      </c>
      <c r="U117" s="198">
        <v>365.41885286194434</v>
      </c>
      <c r="V117" s="198">
        <v>333.18334326862009</v>
      </c>
      <c r="W117" s="198">
        <v>0</v>
      </c>
      <c r="X117" s="198">
        <v>0</v>
      </c>
      <c r="Y117" s="198">
        <v>190</v>
      </c>
      <c r="Z117" s="271">
        <v>20830.15777100774</v>
      </c>
      <c r="AA117" s="272">
        <v>24.271245779416581</v>
      </c>
      <c r="AB117" s="198">
        <v>5.0760373455771362</v>
      </c>
      <c r="AC117" s="272">
        <v>0</v>
      </c>
      <c r="AD117" s="198">
        <v>0</v>
      </c>
      <c r="AE117" s="198">
        <v>5.0760373455771362</v>
      </c>
      <c r="AF117" s="198">
        <v>379.96949168314609</v>
      </c>
      <c r="AG117" s="198">
        <v>0.1670412867340613</v>
      </c>
      <c r="AH117" s="198">
        <v>8.8261731281907602E-4</v>
      </c>
      <c r="AI117" s="198">
        <v>385.21462383600988</v>
      </c>
      <c r="AJ117" s="198">
        <v>0.16208805192957076</v>
      </c>
      <c r="AK117" s="198">
        <v>3.7824468328642702</v>
      </c>
      <c r="AL117" s="198">
        <v>0.17709046862540953</v>
      </c>
      <c r="AM117" s="198">
        <v>3.1831286550514509E-2</v>
      </c>
      <c r="AN117" s="198">
        <v>1.3088189714429481E-2</v>
      </c>
      <c r="AO117" s="198">
        <v>2.6206352414177127E-3</v>
      </c>
      <c r="AP117" s="198">
        <v>2.1747246495506744E-3</v>
      </c>
      <c r="AQ117" s="198">
        <v>2.0656030443178641E-3</v>
      </c>
      <c r="AS117" s="258">
        <f t="shared" si="9"/>
        <v>27943.656649806882</v>
      </c>
      <c r="AT117" s="3">
        <f t="shared" si="10"/>
        <v>9.6911020299132797</v>
      </c>
      <c r="AU117" s="3">
        <f t="shared" si="11"/>
        <v>3.2531294605576129</v>
      </c>
      <c r="AV117" s="95">
        <f t="shared" si="12"/>
        <v>0</v>
      </c>
      <c r="AW117" s="95">
        <f t="shared" si="13"/>
        <v>0</v>
      </c>
      <c r="AX117" s="95">
        <f t="shared" si="16"/>
        <v>3.2531294605576129</v>
      </c>
      <c r="AY117" s="102">
        <f t="shared" si="14"/>
        <v>1</v>
      </c>
      <c r="AZ117" s="102">
        <f t="shared" si="15"/>
        <v>0</v>
      </c>
    </row>
    <row r="118" spans="1:52" x14ac:dyDescent="0.35">
      <c r="A118" t="s">
        <v>987</v>
      </c>
      <c r="B118">
        <v>2020</v>
      </c>
      <c r="C118" t="s">
        <v>837</v>
      </c>
      <c r="D118" t="s">
        <v>996</v>
      </c>
      <c r="E118" t="s">
        <v>986</v>
      </c>
      <c r="F118" t="s">
        <v>978</v>
      </c>
      <c r="G118" s="357">
        <v>21284.156200000001</v>
      </c>
      <c r="H118" s="198">
        <v>12670.2425</v>
      </c>
      <c r="I118" s="198">
        <v>4578.2894130000004</v>
      </c>
      <c r="J118" s="198">
        <v>0</v>
      </c>
      <c r="K118" s="198">
        <v>0</v>
      </c>
      <c r="L118" s="198">
        <v>61.624000000000009</v>
      </c>
      <c r="M118" s="198">
        <v>3192.6234300000001</v>
      </c>
      <c r="N118" s="198">
        <v>45</v>
      </c>
      <c r="O118" s="198">
        <v>0</v>
      </c>
      <c r="P118" s="198">
        <v>1108.152</v>
      </c>
      <c r="Q118" s="198">
        <v>701.25300000000004</v>
      </c>
      <c r="R118" s="198">
        <v>0</v>
      </c>
      <c r="S118" s="198">
        <v>1215.4505590000001</v>
      </c>
      <c r="T118" s="198">
        <v>0</v>
      </c>
      <c r="U118" s="198">
        <v>365.41885286194434</v>
      </c>
      <c r="V118" s="198">
        <v>885.22603927437706</v>
      </c>
      <c r="W118" s="198">
        <v>20.131578947368421</v>
      </c>
      <c r="X118" s="198">
        <v>0</v>
      </c>
      <c r="Y118" s="198">
        <v>190</v>
      </c>
      <c r="Z118" s="271">
        <v>25033.411373083691</v>
      </c>
      <c r="AA118" s="272">
        <v>191.70103856371884</v>
      </c>
      <c r="AB118" s="198">
        <v>0.64267648690410928</v>
      </c>
      <c r="AC118" s="272">
        <v>258.56645353884926</v>
      </c>
      <c r="AD118" s="198">
        <v>0.93083923273985736</v>
      </c>
      <c r="AE118" s="198">
        <v>1.5735157196439666</v>
      </c>
      <c r="AF118" s="198">
        <v>48.107892322431226</v>
      </c>
      <c r="AG118" s="198">
        <v>2.1149077522002079E-2</v>
      </c>
      <c r="AH118" s="198">
        <v>1.1174807340169701E-4</v>
      </c>
      <c r="AI118" s="198">
        <v>48.771977882851196</v>
      </c>
      <c r="AJ118" s="198">
        <v>2.0521949050275046E-2</v>
      </c>
      <c r="AK118" s="198">
        <v>0.47889514535681493</v>
      </c>
      <c r="AL118" s="198">
        <v>2.2421403250617807E-2</v>
      </c>
      <c r="AM118" s="198">
        <v>1.7792039901362015E-2</v>
      </c>
      <c r="AN118" s="198">
        <v>5.1740201834800555E-3</v>
      </c>
      <c r="AO118" s="198">
        <v>3.3179831741760854E-4</v>
      </c>
      <c r="AP118" s="198">
        <v>7.7817963836028265E-4</v>
      </c>
      <c r="AQ118" s="198">
        <v>8.901891816629142E-4</v>
      </c>
      <c r="AS118" s="258">
        <f t="shared" si="9"/>
        <v>33582.321356991772</v>
      </c>
      <c r="AT118" s="3">
        <f t="shared" si="10"/>
        <v>1.2269892797854918</v>
      </c>
      <c r="AU118" s="3">
        <f t="shared" si="11"/>
        <v>0.41187833556368703</v>
      </c>
      <c r="AV118" s="95">
        <f t="shared" si="12"/>
        <v>16.066614484126987</v>
      </c>
      <c r="AW118" s="95">
        <f t="shared" si="13"/>
        <v>0.57839812142857161</v>
      </c>
      <c r="AX118" s="95">
        <f t="shared" si="16"/>
        <v>0.99027645699225864</v>
      </c>
      <c r="AY118" s="102">
        <f t="shared" si="14"/>
        <v>0.41592257662539467</v>
      </c>
      <c r="AZ118" s="102">
        <f t="shared" si="15"/>
        <v>0.58407742337460533</v>
      </c>
    </row>
    <row r="119" spans="1:52" x14ac:dyDescent="0.35">
      <c r="A119" t="s">
        <v>988</v>
      </c>
      <c r="B119">
        <v>2020</v>
      </c>
      <c r="C119" t="s">
        <v>837</v>
      </c>
      <c r="D119" t="s">
        <v>996</v>
      </c>
      <c r="E119" t="s">
        <v>989</v>
      </c>
      <c r="F119" t="s">
        <v>978</v>
      </c>
      <c r="G119" s="357">
        <v>1544.4</v>
      </c>
      <c r="H119" s="198">
        <v>12670.2425</v>
      </c>
      <c r="I119" s="198">
        <v>0</v>
      </c>
      <c r="J119" s="198">
        <v>6659.58</v>
      </c>
      <c r="K119" s="198">
        <v>2665.1558</v>
      </c>
      <c r="L119" s="198">
        <v>61.624000000000009</v>
      </c>
      <c r="M119" s="198">
        <v>890.03257200000007</v>
      </c>
      <c r="N119" s="198">
        <v>0</v>
      </c>
      <c r="O119" s="198">
        <v>0</v>
      </c>
      <c r="P119" s="198">
        <v>1181.502</v>
      </c>
      <c r="Q119" s="198">
        <v>0</v>
      </c>
      <c r="R119" s="198">
        <v>0</v>
      </c>
      <c r="S119" s="198">
        <v>0</v>
      </c>
      <c r="T119" s="198">
        <v>0</v>
      </c>
      <c r="U119" s="198">
        <v>365.41885286194434</v>
      </c>
      <c r="V119" s="198">
        <v>852.53031518358932</v>
      </c>
      <c r="W119" s="198">
        <v>15.394736842105264</v>
      </c>
      <c r="X119" s="198">
        <v>222.50814300000002</v>
      </c>
      <c r="Y119" s="198">
        <v>190</v>
      </c>
      <c r="Z119" s="271">
        <v>25773.988919887644</v>
      </c>
      <c r="AA119" s="272">
        <v>59.162811718286918</v>
      </c>
      <c r="AB119" s="198">
        <v>2.0824187766234745</v>
      </c>
      <c r="AC119" s="272">
        <v>0</v>
      </c>
      <c r="AD119" s="198">
        <v>0</v>
      </c>
      <c r="AE119" s="198">
        <v>2.0824187766234745</v>
      </c>
      <c r="AF119" s="198">
        <v>0</v>
      </c>
      <c r="AG119" s="198">
        <v>0</v>
      </c>
      <c r="AH119" s="198">
        <v>0</v>
      </c>
      <c r="AI119" s="198">
        <v>0</v>
      </c>
      <c r="AJ119" s="198">
        <v>0</v>
      </c>
      <c r="AK119" s="198">
        <v>0</v>
      </c>
      <c r="AL119" s="198">
        <v>0</v>
      </c>
      <c r="AM119" s="198">
        <v>1.9467665343099499E-2</v>
      </c>
      <c r="AN119" s="198">
        <v>4.9750700321254358E-3</v>
      </c>
      <c r="AO119" s="198">
        <v>0</v>
      </c>
      <c r="AP119" s="198">
        <v>7.1131843002589397E-4</v>
      </c>
      <c r="AQ119" s="198">
        <v>8.8931201144610769E-4</v>
      </c>
      <c r="AS119" s="258">
        <f t="shared" si="9"/>
        <v>34575.80613602927</v>
      </c>
      <c r="AT119" s="3">
        <f t="shared" si="10"/>
        <v>3.9757258387488768</v>
      </c>
      <c r="AU119" s="3">
        <f t="shared" si="11"/>
        <v>1.3345799903057909</v>
      </c>
      <c r="AV119" s="95">
        <f t="shared" si="12"/>
        <v>0</v>
      </c>
      <c r="AW119" s="95">
        <f t="shared" si="13"/>
        <v>0</v>
      </c>
      <c r="AX119" s="95">
        <f t="shared" si="16"/>
        <v>1.3345799903057909</v>
      </c>
      <c r="AY119" s="102">
        <f t="shared" si="14"/>
        <v>1</v>
      </c>
      <c r="AZ119" s="102">
        <f t="shared" si="15"/>
        <v>0</v>
      </c>
    </row>
    <row r="120" spans="1:52" x14ac:dyDescent="0.35">
      <c r="A120" t="s">
        <v>990</v>
      </c>
      <c r="B120">
        <v>2020</v>
      </c>
      <c r="C120" t="s">
        <v>837</v>
      </c>
      <c r="D120" t="s">
        <v>996</v>
      </c>
      <c r="E120" t="s">
        <v>989</v>
      </c>
      <c r="F120" t="s">
        <v>978</v>
      </c>
      <c r="G120" s="357">
        <v>1544.4</v>
      </c>
      <c r="H120" s="198">
        <v>12670.2425</v>
      </c>
      <c r="I120" s="198">
        <v>0</v>
      </c>
      <c r="J120" s="198">
        <v>6862.2879999999996</v>
      </c>
      <c r="K120" s="198">
        <v>3217.3464000000004</v>
      </c>
      <c r="L120" s="198">
        <v>61.624000000000009</v>
      </c>
      <c r="M120" s="198">
        <v>890.03257200000007</v>
      </c>
      <c r="N120" s="198">
        <v>0</v>
      </c>
      <c r="O120" s="198">
        <v>0</v>
      </c>
      <c r="P120" s="198">
        <v>1207.9530000000002</v>
      </c>
      <c r="Q120" s="198">
        <v>0</v>
      </c>
      <c r="R120" s="198">
        <v>0</v>
      </c>
      <c r="S120" s="198">
        <v>0</v>
      </c>
      <c r="T120" s="198">
        <v>0</v>
      </c>
      <c r="U120" s="198">
        <v>365.41885286194434</v>
      </c>
      <c r="V120" s="198">
        <v>852.53031518358932</v>
      </c>
      <c r="W120" s="198">
        <v>15.394736842105264</v>
      </c>
      <c r="X120" s="198">
        <v>222.50814300000002</v>
      </c>
      <c r="Y120" s="198">
        <v>190</v>
      </c>
      <c r="Z120" s="271">
        <v>26555.338519887646</v>
      </c>
      <c r="AA120" s="272">
        <v>58.283223013094684</v>
      </c>
      <c r="AB120" s="198">
        <v>2.1138458655987482</v>
      </c>
      <c r="AC120" s="272">
        <v>0</v>
      </c>
      <c r="AD120" s="198">
        <v>0</v>
      </c>
      <c r="AE120" s="198">
        <v>2.1138458655987482</v>
      </c>
      <c r="AF120" s="198">
        <v>0</v>
      </c>
      <c r="AG120" s="198">
        <v>0</v>
      </c>
      <c r="AH120" s="198">
        <v>0</v>
      </c>
      <c r="AI120" s="198">
        <v>0</v>
      </c>
      <c r="AJ120" s="198">
        <v>0</v>
      </c>
      <c r="AK120" s="198">
        <v>0</v>
      </c>
      <c r="AL120" s="198">
        <v>0</v>
      </c>
      <c r="AM120" s="198">
        <v>1.9761464101421523E-2</v>
      </c>
      <c r="AN120" s="198">
        <v>5.0501519370299529E-3</v>
      </c>
      <c r="AO120" s="198">
        <v>0</v>
      </c>
      <c r="AP120" s="198">
        <v>7.2205338297633875E-4</v>
      </c>
      <c r="AQ120" s="198">
        <v>9.0273317726742889E-4</v>
      </c>
      <c r="AS120" s="258">
        <f t="shared" si="9"/>
        <v>35623.986624429272</v>
      </c>
      <c r="AT120" s="3">
        <f t="shared" si="10"/>
        <v>4.0357260131029742</v>
      </c>
      <c r="AU120" s="3">
        <f t="shared" si="11"/>
        <v>1.3547209747085374</v>
      </c>
      <c r="AV120" s="95">
        <f t="shared" si="12"/>
        <v>0</v>
      </c>
      <c r="AW120" s="95">
        <f t="shared" si="13"/>
        <v>0</v>
      </c>
      <c r="AX120" s="95">
        <f t="shared" si="16"/>
        <v>1.3547209747085374</v>
      </c>
      <c r="AY120" s="102">
        <f t="shared" si="14"/>
        <v>1</v>
      </c>
      <c r="AZ120" s="102">
        <f t="shared" si="15"/>
        <v>0</v>
      </c>
    </row>
    <row r="121" spans="1:52" x14ac:dyDescent="0.35">
      <c r="A121" t="s">
        <v>991</v>
      </c>
      <c r="B121">
        <v>2020</v>
      </c>
      <c r="C121" t="s">
        <v>837</v>
      </c>
      <c r="D121" t="s">
        <v>996</v>
      </c>
      <c r="E121" t="s">
        <v>986</v>
      </c>
      <c r="F121" t="s">
        <v>978</v>
      </c>
      <c r="G121" s="357">
        <v>1965.6</v>
      </c>
      <c r="H121" s="198">
        <v>12670.2425</v>
      </c>
      <c r="I121" s="198">
        <v>4578.2894132022802</v>
      </c>
      <c r="J121" s="198">
        <v>0</v>
      </c>
      <c r="K121" s="198">
        <v>0</v>
      </c>
      <c r="L121" s="198">
        <v>61.624000000000009</v>
      </c>
      <c r="M121" s="198">
        <v>1132.768728</v>
      </c>
      <c r="N121" s="198">
        <v>0</v>
      </c>
      <c r="O121" s="198">
        <v>0</v>
      </c>
      <c r="P121" s="198">
        <v>831.62700000000007</v>
      </c>
      <c r="Q121" s="198">
        <v>615.16800000000001</v>
      </c>
      <c r="R121" s="198">
        <v>0</v>
      </c>
      <c r="S121" s="198">
        <v>1111.90355573119</v>
      </c>
      <c r="T121" s="198">
        <v>0</v>
      </c>
      <c r="U121" s="198">
        <v>365.41885286194434</v>
      </c>
      <c r="V121" s="198">
        <v>889.29260064306197</v>
      </c>
      <c r="W121" s="198">
        <v>15.394736842105264</v>
      </c>
      <c r="X121" s="198">
        <v>283.192182</v>
      </c>
      <c r="Y121" s="198">
        <v>190</v>
      </c>
      <c r="Z121" s="271">
        <v>22744.921569280585</v>
      </c>
      <c r="AA121" s="272">
        <v>41.368842889826439</v>
      </c>
      <c r="AB121" s="198">
        <v>2.9781289829186446</v>
      </c>
      <c r="AC121" s="272">
        <v>0</v>
      </c>
      <c r="AD121" s="198">
        <v>0</v>
      </c>
      <c r="AE121" s="198">
        <v>2.9781289829186446</v>
      </c>
      <c r="AF121" s="198">
        <v>222.92943860872671</v>
      </c>
      <c r="AG121" s="198">
        <v>9.8003711064141144E-2</v>
      </c>
      <c r="AH121" s="198">
        <v>5.1783468504670762E-4</v>
      </c>
      <c r="AI121" s="198">
        <v>226.00677611044796</v>
      </c>
      <c r="AJ121" s="198">
        <v>9.5097630764454655E-2</v>
      </c>
      <c r="AK121" s="198">
        <v>2.2191748744947724</v>
      </c>
      <c r="AL121" s="198">
        <v>0.10389960146205598</v>
      </c>
      <c r="AM121" s="198">
        <v>1.867552789426875E-2</v>
      </c>
      <c r="AN121" s="198">
        <v>7.6788869877883791E-3</v>
      </c>
      <c r="AO121" s="198">
        <v>1.5375359231595096E-3</v>
      </c>
      <c r="AP121" s="198">
        <v>1.2759186089002419E-3</v>
      </c>
      <c r="AQ121" s="198">
        <v>1.2118965789028465E-3</v>
      </c>
      <c r="AS121" s="258">
        <f t="shared" si="9"/>
        <v>30512.312285189902</v>
      </c>
      <c r="AT121" s="3">
        <f t="shared" si="10"/>
        <v>5.6858036824441376</v>
      </c>
      <c r="AU121" s="3">
        <f t="shared" si="11"/>
        <v>1.9086225084838468</v>
      </c>
      <c r="AV121" s="95">
        <f t="shared" si="12"/>
        <v>0</v>
      </c>
      <c r="AW121" s="95">
        <f t="shared" si="13"/>
        <v>0</v>
      </c>
      <c r="AX121" s="95">
        <f t="shared" si="16"/>
        <v>1.9086225084838468</v>
      </c>
      <c r="AY121" s="102">
        <f t="shared" si="14"/>
        <v>1</v>
      </c>
      <c r="AZ121" s="102">
        <f t="shared" si="15"/>
        <v>0</v>
      </c>
    </row>
    <row r="122" spans="1:52" x14ac:dyDescent="0.35">
      <c r="A122" t="s">
        <v>992</v>
      </c>
      <c r="B122">
        <v>2020</v>
      </c>
      <c r="C122" t="s">
        <v>837</v>
      </c>
      <c r="D122" t="s">
        <v>996</v>
      </c>
      <c r="E122" t="s">
        <v>986</v>
      </c>
      <c r="F122" t="s">
        <v>978</v>
      </c>
      <c r="G122" s="357">
        <v>9473.3711999999996</v>
      </c>
      <c r="H122" s="198">
        <v>12670.2425</v>
      </c>
      <c r="I122" s="198">
        <v>4578.2894132022802</v>
      </c>
      <c r="J122" s="198">
        <v>0</v>
      </c>
      <c r="K122" s="198">
        <v>0</v>
      </c>
      <c r="L122" s="198">
        <v>61.624000000000009</v>
      </c>
      <c r="M122" s="198">
        <v>1421.0056799999998</v>
      </c>
      <c r="N122" s="198">
        <v>45</v>
      </c>
      <c r="O122" s="198">
        <v>0</v>
      </c>
      <c r="P122" s="198">
        <v>882.65699999999993</v>
      </c>
      <c r="Q122" s="198">
        <v>637.875</v>
      </c>
      <c r="R122" s="198">
        <v>0</v>
      </c>
      <c r="S122" s="198">
        <v>1126.4456195395201</v>
      </c>
      <c r="T122" s="198">
        <v>0</v>
      </c>
      <c r="U122" s="198">
        <v>365.41885286194434</v>
      </c>
      <c r="V122" s="198">
        <v>890.64965971501817</v>
      </c>
      <c r="W122" s="198">
        <v>15.394736842105264</v>
      </c>
      <c r="X122" s="198">
        <v>269.07524999999998</v>
      </c>
      <c r="Y122" s="198">
        <v>190</v>
      </c>
      <c r="Z122" s="271">
        <v>23153.677712160872</v>
      </c>
      <c r="AA122" s="272">
        <v>81.712210924065744</v>
      </c>
      <c r="AB122" s="198">
        <v>1.5077520067899035</v>
      </c>
      <c r="AC122" s="272">
        <v>181.1451103300397</v>
      </c>
      <c r="AD122" s="198">
        <v>0.65212239718814291</v>
      </c>
      <c r="AE122" s="198">
        <v>2.1598744039780464</v>
      </c>
      <c r="AF122" s="198">
        <v>112.86358326409542</v>
      </c>
      <c r="AG122" s="198">
        <v>4.9616820788266472E-2</v>
      </c>
      <c r="AH122" s="198">
        <v>2.62166712739023E-4</v>
      </c>
      <c r="AI122" s="198">
        <v>114.42156205561267</v>
      </c>
      <c r="AJ122" s="198">
        <v>4.8145545222676035E-2</v>
      </c>
      <c r="AK122" s="198">
        <v>1.1235125777386885</v>
      </c>
      <c r="AL122" s="198">
        <v>5.2601762216343051E-2</v>
      </c>
      <c r="AM122" s="198">
        <v>9.4549513543395573E-3</v>
      </c>
      <c r="AN122" s="198">
        <v>3.8876278805104682E-3</v>
      </c>
      <c r="AO122" s="198">
        <v>7.7841587350706287E-4</v>
      </c>
      <c r="AP122" s="198">
        <v>6.4596558916819565E-4</v>
      </c>
      <c r="AQ122" s="198">
        <v>6.135528411774304E-4</v>
      </c>
      <c r="AS122" s="258">
        <f t="shared" si="9"/>
        <v>31060.658650863807</v>
      </c>
      <c r="AT122" s="3">
        <f t="shared" si="10"/>
        <v>2.878579793416812</v>
      </c>
      <c r="AU122" s="3">
        <f t="shared" si="11"/>
        <v>0.96628770408414266</v>
      </c>
      <c r="AV122" s="95">
        <f t="shared" si="12"/>
        <v>11.255863293650794</v>
      </c>
      <c r="AW122" s="95">
        <f t="shared" si="13"/>
        <v>0.40521107857142857</v>
      </c>
      <c r="AX122" s="95">
        <f t="shared" si="16"/>
        <v>1.3714987826555713</v>
      </c>
      <c r="AY122" s="102">
        <f t="shared" si="14"/>
        <v>0.70454871437301847</v>
      </c>
      <c r="AZ122" s="102">
        <f t="shared" si="15"/>
        <v>0.29545128562698147</v>
      </c>
    </row>
    <row r="123" spans="1:52" x14ac:dyDescent="0.35">
      <c r="A123" t="s">
        <v>975</v>
      </c>
      <c r="B123">
        <v>2025</v>
      </c>
      <c r="C123" t="s">
        <v>837</v>
      </c>
      <c r="D123" t="s">
        <v>976</v>
      </c>
      <c r="E123" t="s">
        <v>977</v>
      </c>
      <c r="F123" t="s">
        <v>978</v>
      </c>
      <c r="G123" s="357">
        <v>41687.2526</v>
      </c>
      <c r="H123" s="198">
        <v>8036.2512999999999</v>
      </c>
      <c r="I123" s="198">
        <v>0</v>
      </c>
      <c r="J123" s="198">
        <v>0</v>
      </c>
      <c r="K123" s="198">
        <v>0</v>
      </c>
      <c r="L123" s="198">
        <v>61.624000000000009</v>
      </c>
      <c r="M123" s="198">
        <v>4168.7252600000002</v>
      </c>
      <c r="N123" s="198">
        <v>30</v>
      </c>
      <c r="O123" s="198">
        <v>0</v>
      </c>
      <c r="P123" s="198">
        <v>508.476</v>
      </c>
      <c r="Q123" s="198">
        <v>0</v>
      </c>
      <c r="R123" s="198">
        <v>0</v>
      </c>
      <c r="S123" s="198">
        <v>0</v>
      </c>
      <c r="T123" s="198">
        <v>0</v>
      </c>
      <c r="U123" s="198">
        <v>283.14669865396002</v>
      </c>
      <c r="V123" s="198">
        <v>770.61988179690513</v>
      </c>
      <c r="W123" s="198">
        <v>11.842105263157896</v>
      </c>
      <c r="X123" s="198">
        <v>0</v>
      </c>
      <c r="Y123" s="198">
        <v>181</v>
      </c>
      <c r="Z123" s="271">
        <v>14051.685245714023</v>
      </c>
      <c r="AA123" s="272">
        <v>0</v>
      </c>
      <c r="AB123" s="198">
        <v>0</v>
      </c>
      <c r="AC123" s="272">
        <v>202.1007644562265</v>
      </c>
      <c r="AD123" s="198">
        <v>0.72756275204241538</v>
      </c>
      <c r="AE123" s="198">
        <v>0.72756275204241538</v>
      </c>
      <c r="AF123" s="198">
        <v>0</v>
      </c>
      <c r="AG123" s="198">
        <v>0</v>
      </c>
      <c r="AH123" s="198">
        <v>0</v>
      </c>
      <c r="AI123" s="198">
        <v>0</v>
      </c>
      <c r="AJ123" s="198">
        <v>0</v>
      </c>
      <c r="AK123" s="198">
        <v>0</v>
      </c>
      <c r="AL123" s="198">
        <v>0</v>
      </c>
      <c r="AM123" s="198">
        <v>1.0756566972372365E-2</v>
      </c>
      <c r="AN123" s="198">
        <v>2.7489004484951532E-3</v>
      </c>
      <c r="AO123" s="198">
        <v>0</v>
      </c>
      <c r="AP123" s="198">
        <v>3.9302834707749551E-4</v>
      </c>
      <c r="AQ123" s="198">
        <v>4.9137603517752601E-4</v>
      </c>
      <c r="AS123" s="258">
        <f t="shared" si="9"/>
        <v>18850.335757125362</v>
      </c>
      <c r="AT123" s="3">
        <f t="shared" si="10"/>
        <v>0</v>
      </c>
      <c r="AU123" s="3">
        <f t="shared" si="11"/>
        <v>0</v>
      </c>
      <c r="AV123" s="95">
        <f t="shared" si="12"/>
        <v>12.557990508918346</v>
      </c>
      <c r="AW123" s="95">
        <f t="shared" si="13"/>
        <v>0.45208765832106046</v>
      </c>
      <c r="AX123" s="95">
        <f t="shared" si="16"/>
        <v>0.45208765832106046</v>
      </c>
      <c r="AY123" s="102">
        <f t="shared" si="14"/>
        <v>0</v>
      </c>
      <c r="AZ123" s="102">
        <f t="shared" si="15"/>
        <v>1</v>
      </c>
    </row>
    <row r="124" spans="1:52" x14ac:dyDescent="0.35">
      <c r="A124" t="s">
        <v>979</v>
      </c>
      <c r="B124">
        <v>2025</v>
      </c>
      <c r="C124" t="s">
        <v>837</v>
      </c>
      <c r="D124" t="s">
        <v>976</v>
      </c>
      <c r="E124" t="s">
        <v>977</v>
      </c>
      <c r="F124" t="s">
        <v>978</v>
      </c>
      <c r="G124" s="357">
        <v>64444.917600000001</v>
      </c>
      <c r="H124" s="198">
        <v>8036.2512999999999</v>
      </c>
      <c r="I124" s="198">
        <v>0</v>
      </c>
      <c r="J124" s="198">
        <v>0</v>
      </c>
      <c r="K124" s="198">
        <v>0</v>
      </c>
      <c r="L124" s="198">
        <v>61.624000000000009</v>
      </c>
      <c r="M124" s="198">
        <v>6444.4917599999999</v>
      </c>
      <c r="N124" s="198">
        <v>30</v>
      </c>
      <c r="O124" s="198">
        <v>0</v>
      </c>
      <c r="P124" s="198">
        <v>556.05600000000004</v>
      </c>
      <c r="Q124" s="198">
        <v>0</v>
      </c>
      <c r="R124" s="198">
        <v>0</v>
      </c>
      <c r="S124" s="198">
        <v>0</v>
      </c>
      <c r="T124" s="198">
        <v>0</v>
      </c>
      <c r="U124" s="198">
        <v>283.14669865396002</v>
      </c>
      <c r="V124" s="198">
        <v>770.61988179690513</v>
      </c>
      <c r="W124" s="198">
        <v>11.842105263157896</v>
      </c>
      <c r="X124" s="198">
        <v>0</v>
      </c>
      <c r="Y124" s="198">
        <v>181</v>
      </c>
      <c r="Z124" s="271">
        <v>16375.031745714025</v>
      </c>
      <c r="AA124" s="272">
        <v>0</v>
      </c>
      <c r="AB124" s="198">
        <v>0</v>
      </c>
      <c r="AC124" s="272">
        <v>209.90934876411393</v>
      </c>
      <c r="AD124" s="198">
        <v>0.75567365555081012</v>
      </c>
      <c r="AE124" s="198">
        <v>0.75567365555081012</v>
      </c>
      <c r="AF124" s="198">
        <v>0</v>
      </c>
      <c r="AG124" s="198">
        <v>0</v>
      </c>
      <c r="AH124" s="198">
        <v>0</v>
      </c>
      <c r="AI124" s="198">
        <v>0</v>
      </c>
      <c r="AJ124" s="198">
        <v>0</v>
      </c>
      <c r="AK124" s="198">
        <v>0</v>
      </c>
      <c r="AL124" s="198">
        <v>0</v>
      </c>
      <c r="AM124" s="198">
        <v>1.1172169359098615E-2</v>
      </c>
      <c r="AN124" s="198">
        <v>2.8551099473251938E-3</v>
      </c>
      <c r="AO124" s="198">
        <v>0</v>
      </c>
      <c r="AP124" s="198">
        <v>4.0821381652290668E-4</v>
      </c>
      <c r="AQ124" s="198">
        <v>5.1036137255555572E-4</v>
      </c>
      <c r="AS124" s="258">
        <f t="shared" si="9"/>
        <v>21967.105086875363</v>
      </c>
      <c r="AT124" s="3">
        <f t="shared" si="10"/>
        <v>0</v>
      </c>
      <c r="AU124" s="3">
        <f t="shared" si="11"/>
        <v>0</v>
      </c>
      <c r="AV124" s="95">
        <f t="shared" si="12"/>
        <v>13.043194648993619</v>
      </c>
      <c r="AW124" s="95">
        <f t="shared" si="13"/>
        <v>0.46955500736377032</v>
      </c>
      <c r="AX124" s="95">
        <f t="shared" si="16"/>
        <v>0.46955500736377032</v>
      </c>
      <c r="AY124" s="102">
        <f t="shared" si="14"/>
        <v>0</v>
      </c>
      <c r="AZ124" s="102">
        <f t="shared" si="15"/>
        <v>1</v>
      </c>
    </row>
    <row r="125" spans="1:52" x14ac:dyDescent="0.35">
      <c r="A125" t="s">
        <v>980</v>
      </c>
      <c r="B125">
        <v>2025</v>
      </c>
      <c r="C125" t="s">
        <v>837</v>
      </c>
      <c r="D125" t="s">
        <v>976</v>
      </c>
      <c r="E125" t="s">
        <v>977</v>
      </c>
      <c r="F125" t="s">
        <v>978</v>
      </c>
      <c r="G125" s="357">
        <v>95593.469800000006</v>
      </c>
      <c r="H125" s="198">
        <v>8036.2512999999999</v>
      </c>
      <c r="I125" s="198">
        <v>0</v>
      </c>
      <c r="J125" s="198">
        <v>0</v>
      </c>
      <c r="K125" s="198">
        <v>0</v>
      </c>
      <c r="L125" s="198">
        <v>61.624000000000009</v>
      </c>
      <c r="M125" s="198">
        <v>9559.3469800000003</v>
      </c>
      <c r="N125" s="198">
        <v>30</v>
      </c>
      <c r="O125" s="198">
        <v>0</v>
      </c>
      <c r="P125" s="198">
        <v>599.65199999999993</v>
      </c>
      <c r="Q125" s="198">
        <v>0</v>
      </c>
      <c r="R125" s="198">
        <v>0</v>
      </c>
      <c r="S125" s="198">
        <v>0</v>
      </c>
      <c r="T125" s="198">
        <v>0</v>
      </c>
      <c r="U125" s="198">
        <v>283.14669865396002</v>
      </c>
      <c r="V125" s="198">
        <v>770.61988179690513</v>
      </c>
      <c r="W125" s="198">
        <v>11.842105263157896</v>
      </c>
      <c r="X125" s="198">
        <v>0</v>
      </c>
      <c r="Y125" s="198">
        <v>181</v>
      </c>
      <c r="Z125" s="271">
        <v>19533.482965714022</v>
      </c>
      <c r="AA125" s="272">
        <v>0</v>
      </c>
      <c r="AB125" s="198">
        <v>0</v>
      </c>
      <c r="AC125" s="272">
        <v>230.26822398028148</v>
      </c>
      <c r="AD125" s="198">
        <v>0.82896560632901328</v>
      </c>
      <c r="AE125" s="198">
        <v>0.82896560632901328</v>
      </c>
      <c r="AF125" s="198">
        <v>0</v>
      </c>
      <c r="AG125" s="198">
        <v>0</v>
      </c>
      <c r="AH125" s="198">
        <v>0</v>
      </c>
      <c r="AI125" s="198">
        <v>0</v>
      </c>
      <c r="AJ125" s="198">
        <v>0</v>
      </c>
      <c r="AK125" s="198">
        <v>0</v>
      </c>
      <c r="AL125" s="198">
        <v>0</v>
      </c>
      <c r="AM125" s="198">
        <v>1.2255745689619174E-2</v>
      </c>
      <c r="AN125" s="198">
        <v>3.1320238984582256E-3</v>
      </c>
      <c r="AO125" s="198">
        <v>0</v>
      </c>
      <c r="AP125" s="198">
        <v>4.4780602240147675E-4</v>
      </c>
      <c r="AQ125" s="198">
        <v>5.5986075674299728E-4</v>
      </c>
      <c r="AS125" s="258">
        <f t="shared" si="9"/>
        <v>26204.167398505357</v>
      </c>
      <c r="AT125" s="3">
        <f t="shared" si="10"/>
        <v>0</v>
      </c>
      <c r="AU125" s="3">
        <f t="shared" si="11"/>
        <v>0</v>
      </c>
      <c r="AV125" s="95">
        <f t="shared" si="12"/>
        <v>14.308239649811815</v>
      </c>
      <c r="AW125" s="95">
        <f t="shared" si="13"/>
        <v>0.51509662739322537</v>
      </c>
      <c r="AX125" s="95">
        <f t="shared" si="16"/>
        <v>0.51509662739322537</v>
      </c>
      <c r="AY125" s="102">
        <f t="shared" si="14"/>
        <v>0</v>
      </c>
      <c r="AZ125" s="102">
        <f t="shared" si="15"/>
        <v>1</v>
      </c>
    </row>
    <row r="126" spans="1:52" x14ac:dyDescent="0.35">
      <c r="A126" t="s">
        <v>981</v>
      </c>
      <c r="B126">
        <v>2025</v>
      </c>
      <c r="C126" t="s">
        <v>837</v>
      </c>
      <c r="D126" t="s">
        <v>976</v>
      </c>
      <c r="E126" t="s">
        <v>977</v>
      </c>
      <c r="F126" t="s">
        <v>978</v>
      </c>
      <c r="G126" s="357">
        <v>130961.0722</v>
      </c>
      <c r="H126" s="198">
        <v>8036.2512999999999</v>
      </c>
      <c r="I126" s="198">
        <v>0</v>
      </c>
      <c r="J126" s="198">
        <v>0</v>
      </c>
      <c r="K126" s="198">
        <v>0</v>
      </c>
      <c r="L126" s="198">
        <v>61.624000000000009</v>
      </c>
      <c r="M126" s="198">
        <v>13096.107219999998</v>
      </c>
      <c r="N126" s="198">
        <v>30</v>
      </c>
      <c r="O126" s="198">
        <v>0</v>
      </c>
      <c r="P126" s="198">
        <v>651.49800000000005</v>
      </c>
      <c r="Q126" s="198">
        <v>0</v>
      </c>
      <c r="R126" s="198">
        <v>0</v>
      </c>
      <c r="S126" s="198">
        <v>0</v>
      </c>
      <c r="T126" s="198">
        <v>0</v>
      </c>
      <c r="U126" s="198">
        <v>283.14669865396002</v>
      </c>
      <c r="V126" s="198">
        <v>770.61988179690513</v>
      </c>
      <c r="W126" s="198">
        <v>11.842105263157896</v>
      </c>
      <c r="X126" s="198">
        <v>0</v>
      </c>
      <c r="Y126" s="198">
        <v>181</v>
      </c>
      <c r="Z126" s="271">
        <v>23122.089205714019</v>
      </c>
      <c r="AA126" s="272">
        <v>0</v>
      </c>
      <c r="AB126" s="198">
        <v>0</v>
      </c>
      <c r="AC126" s="272">
        <v>250.11689549018166</v>
      </c>
      <c r="AD126" s="198">
        <v>0.90042082376465393</v>
      </c>
      <c r="AE126" s="198">
        <v>0.90042082376465393</v>
      </c>
      <c r="AF126" s="198">
        <v>0</v>
      </c>
      <c r="AG126" s="198">
        <v>0</v>
      </c>
      <c r="AH126" s="198">
        <v>0</v>
      </c>
      <c r="AI126" s="198">
        <v>0</v>
      </c>
      <c r="AJ126" s="198">
        <v>0</v>
      </c>
      <c r="AK126" s="198">
        <v>0</v>
      </c>
      <c r="AL126" s="198">
        <v>0</v>
      </c>
      <c r="AM126" s="198">
        <v>1.3312167049445866E-2</v>
      </c>
      <c r="AN126" s="198">
        <v>3.4019982459694903E-3</v>
      </c>
      <c r="AO126" s="198">
        <v>0</v>
      </c>
      <c r="AP126" s="198">
        <v>4.8640602758309942E-4</v>
      </c>
      <c r="AQ126" s="198">
        <v>6.0811966133604914E-4</v>
      </c>
      <c r="AS126" s="258">
        <f t="shared" si="9"/>
        <v>31018.282669465356</v>
      </c>
      <c r="AT126" s="3">
        <f t="shared" si="10"/>
        <v>0</v>
      </c>
      <c r="AU126" s="3">
        <f t="shared" si="11"/>
        <v>0</v>
      </c>
      <c r="AV126" s="95">
        <f t="shared" si="12"/>
        <v>15.541581983308788</v>
      </c>
      <c r="AW126" s="95">
        <f t="shared" si="13"/>
        <v>0.55949695139911637</v>
      </c>
      <c r="AX126" s="95">
        <f t="shared" si="16"/>
        <v>0.55949695139911637</v>
      </c>
      <c r="AY126" s="102">
        <f t="shared" si="14"/>
        <v>0</v>
      </c>
      <c r="AZ126" s="102">
        <f t="shared" si="15"/>
        <v>1</v>
      </c>
    </row>
    <row r="127" spans="1:52" x14ac:dyDescent="0.35">
      <c r="A127" t="s">
        <v>982</v>
      </c>
      <c r="B127">
        <v>2025</v>
      </c>
      <c r="C127" t="s">
        <v>837</v>
      </c>
      <c r="D127" t="s">
        <v>976</v>
      </c>
      <c r="E127" t="s">
        <v>983</v>
      </c>
      <c r="F127" t="s">
        <v>978</v>
      </c>
      <c r="G127" s="357"/>
      <c r="H127" s="198">
        <v>8036.2512999999999</v>
      </c>
      <c r="I127" s="198">
        <v>7441.7941868365797</v>
      </c>
      <c r="J127" s="198">
        <v>0</v>
      </c>
      <c r="K127" s="198">
        <v>0</v>
      </c>
      <c r="L127" s="198">
        <v>61.624000000000009</v>
      </c>
      <c r="M127" s="198">
        <v>0</v>
      </c>
      <c r="N127" s="198">
        <v>0</v>
      </c>
      <c r="O127" s="198">
        <v>43.7989165083317</v>
      </c>
      <c r="P127" s="198">
        <v>0</v>
      </c>
      <c r="Q127" s="198">
        <v>0</v>
      </c>
      <c r="R127" s="198">
        <v>13.573345568952313</v>
      </c>
      <c r="S127" s="198">
        <v>2393.61</v>
      </c>
      <c r="T127" s="198">
        <v>105.7</v>
      </c>
      <c r="U127" s="198">
        <v>283.14669865396002</v>
      </c>
      <c r="V127" s="198">
        <v>319.71997281058742</v>
      </c>
      <c r="W127" s="198">
        <v>0</v>
      </c>
      <c r="X127" s="198">
        <v>0</v>
      </c>
      <c r="Y127" s="198">
        <v>181</v>
      </c>
      <c r="Z127" s="271">
        <v>18880.218420378409</v>
      </c>
      <c r="AA127" s="272">
        <v>40.9652013762122</v>
      </c>
      <c r="AB127" s="198">
        <v>3.0074733154257403</v>
      </c>
      <c r="AC127" s="272">
        <v>0</v>
      </c>
      <c r="AD127" s="198">
        <v>0</v>
      </c>
      <c r="AE127" s="198">
        <v>3.0074733154257403</v>
      </c>
      <c r="AF127" s="198">
        <v>225.12602432065367</v>
      </c>
      <c r="AG127" s="198">
        <v>9.8969368865025609E-2</v>
      </c>
      <c r="AH127" s="198">
        <v>5.2293705410757542E-4</v>
      </c>
      <c r="AI127" s="198">
        <v>228.23368368398837</v>
      </c>
      <c r="AJ127" s="198">
        <v>9.6034654148530629E-2</v>
      </c>
      <c r="AK127" s="198">
        <v>2.2410410212540528</v>
      </c>
      <c r="AL127" s="198">
        <v>0.10492335310953142</v>
      </c>
      <c r="AM127" s="198">
        <v>1.8859543060642733E-2</v>
      </c>
      <c r="AN127" s="198">
        <v>7.7545491952839196E-3</v>
      </c>
      <c r="AO127" s="198">
        <v>1.5526856919000763E-3</v>
      </c>
      <c r="AP127" s="198">
        <v>1.2884905895385237E-3</v>
      </c>
      <c r="AQ127" s="198">
        <v>1.2238377326874905E-3</v>
      </c>
      <c r="AS127" s="258">
        <f t="shared" si="9"/>
        <v>25327.813010937632</v>
      </c>
      <c r="AT127" s="3">
        <f t="shared" si="10"/>
        <v>5.7418274862433263</v>
      </c>
      <c r="AU127" s="3">
        <f t="shared" si="11"/>
        <v>1.9274286964766143</v>
      </c>
      <c r="AV127" s="95">
        <f t="shared" si="12"/>
        <v>0</v>
      </c>
      <c r="AW127" s="95">
        <f t="shared" si="13"/>
        <v>0</v>
      </c>
      <c r="AX127" s="95">
        <f t="shared" si="16"/>
        <v>1.9274286964766143</v>
      </c>
      <c r="AY127" s="102">
        <f t="shared" si="14"/>
        <v>1</v>
      </c>
      <c r="AZ127" s="102">
        <f t="shared" si="15"/>
        <v>0</v>
      </c>
    </row>
    <row r="128" spans="1:52" x14ac:dyDescent="0.35">
      <c r="A128" t="s">
        <v>984</v>
      </c>
      <c r="B128">
        <v>2025</v>
      </c>
      <c r="C128" t="s">
        <v>837</v>
      </c>
      <c r="D128" t="s">
        <v>976</v>
      </c>
      <c r="E128" t="s">
        <v>240</v>
      </c>
      <c r="F128" t="s">
        <v>978</v>
      </c>
      <c r="G128" s="357"/>
      <c r="H128" s="198">
        <v>8036.2512999999999</v>
      </c>
      <c r="I128" s="198">
        <v>9135.0162419999997</v>
      </c>
      <c r="J128" s="198">
        <v>0</v>
      </c>
      <c r="K128" s="198">
        <v>0</v>
      </c>
      <c r="L128" s="198">
        <v>61.624000000000009</v>
      </c>
      <c r="M128" s="198">
        <v>0</v>
      </c>
      <c r="N128" s="198">
        <v>0</v>
      </c>
      <c r="O128" s="198">
        <v>43.7989165083317</v>
      </c>
      <c r="P128" s="198">
        <v>0</v>
      </c>
      <c r="Q128" s="198">
        <v>0</v>
      </c>
      <c r="R128" s="198">
        <v>13.573345568952313</v>
      </c>
      <c r="S128" s="198">
        <v>2393.61</v>
      </c>
      <c r="T128" s="198">
        <v>105.7</v>
      </c>
      <c r="U128" s="198">
        <v>283.14669865396002</v>
      </c>
      <c r="V128" s="198">
        <v>297.06761118164337</v>
      </c>
      <c r="W128" s="198">
        <v>0</v>
      </c>
      <c r="X128" s="198">
        <v>0</v>
      </c>
      <c r="Y128" s="198">
        <v>181</v>
      </c>
      <c r="Z128" s="271">
        <v>20550.788113912888</v>
      </c>
      <c r="AA128" s="272">
        <v>35.822046710424637</v>
      </c>
      <c r="AB128" s="198">
        <v>3.4392716584825083</v>
      </c>
      <c r="AC128" s="272">
        <v>0</v>
      </c>
      <c r="AD128" s="198">
        <v>0</v>
      </c>
      <c r="AE128" s="198">
        <v>3.4392716584825083</v>
      </c>
      <c r="AF128" s="198">
        <v>0</v>
      </c>
      <c r="AG128" s="198">
        <v>0</v>
      </c>
      <c r="AH128" s="198">
        <v>0</v>
      </c>
      <c r="AI128" s="198">
        <v>0</v>
      </c>
      <c r="AJ128" s="198">
        <v>0</v>
      </c>
      <c r="AK128" s="198">
        <v>0</v>
      </c>
      <c r="AL128" s="198">
        <v>0</v>
      </c>
      <c r="AM128" s="198">
        <v>0</v>
      </c>
      <c r="AN128" s="198">
        <v>0</v>
      </c>
      <c r="AO128" s="198">
        <v>0</v>
      </c>
      <c r="AP128" s="198">
        <v>0</v>
      </c>
      <c r="AQ128" s="198">
        <v>0</v>
      </c>
      <c r="AS128" s="258">
        <f t="shared" si="9"/>
        <v>27568.882254814136</v>
      </c>
      <c r="AT128" s="3">
        <f t="shared" si="10"/>
        <v>6.5662110583139235</v>
      </c>
      <c r="AU128" s="3">
        <f t="shared" si="11"/>
        <v>2.2041595034400179</v>
      </c>
      <c r="AV128" s="95">
        <f t="shared" si="12"/>
        <v>0</v>
      </c>
      <c r="AW128" s="95">
        <f t="shared" si="13"/>
        <v>0</v>
      </c>
      <c r="AX128" s="95">
        <f t="shared" si="16"/>
        <v>2.2041595034400179</v>
      </c>
      <c r="AY128" s="102">
        <f t="shared" si="14"/>
        <v>1</v>
      </c>
      <c r="AZ128" s="102">
        <f t="shared" si="15"/>
        <v>0</v>
      </c>
    </row>
    <row r="129" spans="1:52" x14ac:dyDescent="0.35">
      <c r="A129" t="s">
        <v>985</v>
      </c>
      <c r="B129">
        <v>2025</v>
      </c>
      <c r="C129" t="s">
        <v>837</v>
      </c>
      <c r="D129" t="s">
        <v>976</v>
      </c>
      <c r="E129" t="s">
        <v>986</v>
      </c>
      <c r="F129" t="s">
        <v>978</v>
      </c>
      <c r="G129" s="357"/>
      <c r="H129" s="198">
        <v>8036.2512999999999</v>
      </c>
      <c r="I129" s="198">
        <v>4355.1074330000001</v>
      </c>
      <c r="J129" s="198">
        <v>0</v>
      </c>
      <c r="K129" s="198">
        <v>0</v>
      </c>
      <c r="L129" s="198">
        <v>61.624000000000009</v>
      </c>
      <c r="M129" s="198">
        <v>0</v>
      </c>
      <c r="N129" s="198">
        <v>0</v>
      </c>
      <c r="O129" s="198">
        <v>43.7989165083317</v>
      </c>
      <c r="P129" s="198">
        <v>0</v>
      </c>
      <c r="Q129" s="198">
        <v>0</v>
      </c>
      <c r="R129" s="198">
        <v>13.573345568952313</v>
      </c>
      <c r="S129" s="198">
        <v>2393.61</v>
      </c>
      <c r="T129" s="198">
        <v>105.7</v>
      </c>
      <c r="U129" s="198">
        <v>283.14669865396002</v>
      </c>
      <c r="V129" s="198">
        <v>296.71723931576184</v>
      </c>
      <c r="W129" s="198">
        <v>0</v>
      </c>
      <c r="X129" s="198">
        <v>0</v>
      </c>
      <c r="Y129" s="198">
        <v>181</v>
      </c>
      <c r="Z129" s="271">
        <v>15770.528933047006</v>
      </c>
      <c r="AA129" s="272">
        <v>34.177340932609063</v>
      </c>
      <c r="AB129" s="198">
        <v>3.6047786819615197</v>
      </c>
      <c r="AC129" s="272">
        <v>0</v>
      </c>
      <c r="AD129" s="198">
        <v>0</v>
      </c>
      <c r="AE129" s="198">
        <v>3.6047786819615197</v>
      </c>
      <c r="AF129" s="198">
        <v>269.8376371498951</v>
      </c>
      <c r="AG129" s="198">
        <v>0.11862538205142042</v>
      </c>
      <c r="AH129" s="198">
        <v>6.267960333965235E-4</v>
      </c>
      <c r="AI129" s="198">
        <v>273.56249953397287</v>
      </c>
      <c r="AJ129" s="198">
        <v>0.11510781233820012</v>
      </c>
      <c r="AK129" s="198">
        <v>2.6861275401455358</v>
      </c>
      <c r="AL129" s="198">
        <v>0.12576186947002652</v>
      </c>
      <c r="AM129" s="198">
        <v>2.2605181042783851E-2</v>
      </c>
      <c r="AN129" s="198">
        <v>9.2946572406825238E-3</v>
      </c>
      <c r="AO129" s="198">
        <v>1.8610599978526293E-3</v>
      </c>
      <c r="AP129" s="198">
        <v>1.5443938888013012E-3</v>
      </c>
      <c r="AQ129" s="198">
        <v>1.4669005195637015E-3</v>
      </c>
      <c r="AS129" s="258">
        <f t="shared" si="9"/>
        <v>21156.164563682556</v>
      </c>
      <c r="AT129" s="3">
        <f t="shared" si="10"/>
        <v>6.8821948350290238</v>
      </c>
      <c r="AU129" s="3">
        <f t="shared" si="11"/>
        <v>2.3102296005164131</v>
      </c>
      <c r="AV129" s="95">
        <f t="shared" si="12"/>
        <v>0</v>
      </c>
      <c r="AW129" s="95">
        <f t="shared" si="13"/>
        <v>0</v>
      </c>
      <c r="AX129" s="95">
        <f t="shared" si="16"/>
        <v>2.3102296005164131</v>
      </c>
      <c r="AY129" s="102">
        <f t="shared" si="14"/>
        <v>1</v>
      </c>
      <c r="AZ129" s="102">
        <f t="shared" si="15"/>
        <v>0</v>
      </c>
    </row>
    <row r="130" spans="1:52" x14ac:dyDescent="0.35">
      <c r="A130" t="s">
        <v>987</v>
      </c>
      <c r="B130">
        <v>2025</v>
      </c>
      <c r="C130" t="s">
        <v>837</v>
      </c>
      <c r="D130" t="s">
        <v>976</v>
      </c>
      <c r="E130" t="s">
        <v>986</v>
      </c>
      <c r="F130" t="s">
        <v>978</v>
      </c>
      <c r="G130" s="357">
        <v>15613.1453</v>
      </c>
      <c r="H130" s="198">
        <v>8036.2512999999999</v>
      </c>
      <c r="I130" s="198">
        <v>4565.6027519999998</v>
      </c>
      <c r="J130" s="198">
        <v>0</v>
      </c>
      <c r="K130" s="198">
        <v>0</v>
      </c>
      <c r="L130" s="198">
        <v>61.624000000000009</v>
      </c>
      <c r="M130" s="198">
        <v>1717.4459829999998</v>
      </c>
      <c r="N130" s="198">
        <v>30</v>
      </c>
      <c r="O130" s="198">
        <v>0</v>
      </c>
      <c r="P130" s="198">
        <v>561.42599999999993</v>
      </c>
      <c r="Q130" s="198">
        <v>336.27</v>
      </c>
      <c r="R130" s="198">
        <v>0</v>
      </c>
      <c r="S130" s="198">
        <v>1062.351482</v>
      </c>
      <c r="T130" s="198">
        <v>0</v>
      </c>
      <c r="U130" s="198">
        <v>283.14669865396002</v>
      </c>
      <c r="V130" s="198">
        <v>792.98501986448014</v>
      </c>
      <c r="W130" s="198">
        <v>11.842105263157896</v>
      </c>
      <c r="X130" s="198">
        <v>0</v>
      </c>
      <c r="Y130" s="198">
        <v>181</v>
      </c>
      <c r="Z130" s="271">
        <v>17639.945340781596</v>
      </c>
      <c r="AA130" s="272">
        <v>258.91902752810324</v>
      </c>
      <c r="AB130" s="198">
        <v>0.47583119393041756</v>
      </c>
      <c r="AC130" s="272">
        <v>202.56254232920639</v>
      </c>
      <c r="AD130" s="198">
        <v>0.72922515238514296</v>
      </c>
      <c r="AE130" s="198">
        <v>1.2050563463155606</v>
      </c>
      <c r="AF130" s="198">
        <v>35.618598638219531</v>
      </c>
      <c r="AG130" s="198">
        <v>1.5658563854262678E-2</v>
      </c>
      <c r="AH130" s="198">
        <v>8.2737147335665862E-5</v>
      </c>
      <c r="AI130" s="198">
        <v>36.110280894417791</v>
      </c>
      <c r="AJ130" s="198">
        <v>1.519424425407454E-2</v>
      </c>
      <c r="AK130" s="198">
        <v>0.35456913925748462</v>
      </c>
      <c r="AL130" s="198">
        <v>1.6600581001073186E-2</v>
      </c>
      <c r="AM130" s="198">
        <v>1.3765030992702629E-2</v>
      </c>
      <c r="AN130" s="198">
        <v>3.9820771892396575E-3</v>
      </c>
      <c r="AO130" s="198">
        <v>2.4566013031138145E-4</v>
      </c>
      <c r="AP130" s="198">
        <v>5.977865414230339E-4</v>
      </c>
      <c r="AQ130" s="198">
        <v>6.8612980959427677E-4</v>
      </c>
      <c r="AS130" s="258">
        <f t="shared" si="9"/>
        <v>23663.98667465851</v>
      </c>
      <c r="AT130" s="3">
        <f t="shared" si="10"/>
        <v>0.90845049700295877</v>
      </c>
      <c r="AU130" s="3">
        <f t="shared" si="11"/>
        <v>0.3049505686903779</v>
      </c>
      <c r="AV130" s="95">
        <f t="shared" si="12"/>
        <v>12.58668412698413</v>
      </c>
      <c r="AW130" s="95">
        <f t="shared" si="13"/>
        <v>0.45312062857142871</v>
      </c>
      <c r="AX130" s="95">
        <f t="shared" si="16"/>
        <v>0.75807119726180661</v>
      </c>
      <c r="AY130" s="102">
        <f t="shared" si="14"/>
        <v>0.402271672887554</v>
      </c>
      <c r="AZ130" s="102">
        <f t="shared" si="15"/>
        <v>0.59772832711244595</v>
      </c>
    </row>
    <row r="131" spans="1:52" x14ac:dyDescent="0.35">
      <c r="A131" t="s">
        <v>988</v>
      </c>
      <c r="B131">
        <v>2025</v>
      </c>
      <c r="C131" t="s">
        <v>837</v>
      </c>
      <c r="D131" t="s">
        <v>976</v>
      </c>
      <c r="E131" t="s">
        <v>989</v>
      </c>
      <c r="F131" t="s">
        <v>978</v>
      </c>
      <c r="G131" s="357">
        <v>1263.5999999999999</v>
      </c>
      <c r="H131" s="198">
        <v>8036.2512999999999</v>
      </c>
      <c r="I131" s="198">
        <v>0</v>
      </c>
      <c r="J131" s="198">
        <v>3870.36</v>
      </c>
      <c r="K131" s="198">
        <v>2274.6981999999998</v>
      </c>
      <c r="L131" s="198">
        <v>61.624000000000009</v>
      </c>
      <c r="M131" s="198">
        <v>691.79804460000003</v>
      </c>
      <c r="N131" s="198">
        <v>0</v>
      </c>
      <c r="O131" s="198">
        <v>0</v>
      </c>
      <c r="P131" s="198">
        <v>516.73800000000006</v>
      </c>
      <c r="Q131" s="198">
        <v>0</v>
      </c>
      <c r="R131" s="198">
        <v>0</v>
      </c>
      <c r="S131" s="198">
        <v>0</v>
      </c>
      <c r="T131" s="198">
        <v>0</v>
      </c>
      <c r="U131" s="198">
        <v>283.14669865396002</v>
      </c>
      <c r="V131" s="198">
        <v>770.61988179690513</v>
      </c>
      <c r="W131" s="198">
        <v>8.6842105263157894</v>
      </c>
      <c r="X131" s="198">
        <v>174.77003231999998</v>
      </c>
      <c r="Y131" s="198">
        <v>181</v>
      </c>
      <c r="Z131" s="271">
        <v>16869.690367897179</v>
      </c>
      <c r="AA131" s="272">
        <v>79.772337699608769</v>
      </c>
      <c r="AB131" s="198">
        <v>1.5444169439277224</v>
      </c>
      <c r="AC131" s="272">
        <v>0</v>
      </c>
      <c r="AD131" s="198">
        <v>0</v>
      </c>
      <c r="AE131" s="198">
        <v>1.5444169439277224</v>
      </c>
      <c r="AF131" s="198">
        <v>0</v>
      </c>
      <c r="AG131" s="198">
        <v>0</v>
      </c>
      <c r="AH131" s="198">
        <v>0</v>
      </c>
      <c r="AI131" s="198">
        <v>0</v>
      </c>
      <c r="AJ131" s="198">
        <v>0</v>
      </c>
      <c r="AK131" s="198">
        <v>0</v>
      </c>
      <c r="AL131" s="198">
        <v>0</v>
      </c>
      <c r="AM131" s="198">
        <v>1.4438110408967794E-2</v>
      </c>
      <c r="AN131" s="198">
        <v>3.6897393267362202E-3</v>
      </c>
      <c r="AO131" s="198">
        <v>0</v>
      </c>
      <c r="AP131" s="198">
        <v>5.2754625927899567E-4</v>
      </c>
      <c r="AQ131" s="198">
        <v>6.5955443464777808E-4</v>
      </c>
      <c r="AS131" s="258">
        <f t="shared" ref="AS131:AS194" si="17">Z131*USD_CAD_2020</f>
        <v>22630.689628534066</v>
      </c>
      <c r="AT131" s="3">
        <f t="shared" ref="AT131:AT194" si="18">IFERROR(L_100km_to_mpg/AA131, 0)</f>
        <v>2.9485799968299253</v>
      </c>
      <c r="AU131" s="3">
        <f t="shared" ref="AU131:AU194" si="19">AT131 * GSL_PJ_ML * 10</f>
        <v>0.98978551922068003</v>
      </c>
      <c r="AV131" s="95">
        <f t="shared" ref="AV131:AV194" si="20">AC131/km_mile / 10</f>
        <v>0</v>
      </c>
      <c r="AW131" s="95">
        <f t="shared" si="13"/>
        <v>0</v>
      </c>
      <c r="AX131" s="95">
        <f t="shared" si="16"/>
        <v>0.98978551922068003</v>
      </c>
      <c r="AY131" s="102">
        <f t="shared" si="14"/>
        <v>1</v>
      </c>
      <c r="AZ131" s="102">
        <f t="shared" si="15"/>
        <v>0</v>
      </c>
    </row>
    <row r="132" spans="1:52" x14ac:dyDescent="0.35">
      <c r="A132" t="s">
        <v>990</v>
      </c>
      <c r="B132">
        <v>2025</v>
      </c>
      <c r="C132" t="s">
        <v>837</v>
      </c>
      <c r="D132" t="s">
        <v>976</v>
      </c>
      <c r="E132" t="s">
        <v>989</v>
      </c>
      <c r="F132" t="s">
        <v>978</v>
      </c>
      <c r="G132" s="357">
        <v>1263.5999999999999</v>
      </c>
      <c r="H132" s="198">
        <v>8036.2512999999999</v>
      </c>
      <c r="I132" s="198">
        <v>0</v>
      </c>
      <c r="J132" s="198">
        <v>3939.06</v>
      </c>
      <c r="K132" s="198">
        <v>2686.1455999999998</v>
      </c>
      <c r="L132" s="198">
        <v>61.624000000000009</v>
      </c>
      <c r="M132" s="198">
        <v>691.79804460000003</v>
      </c>
      <c r="N132" s="198">
        <v>0</v>
      </c>
      <c r="O132" s="198">
        <v>0</v>
      </c>
      <c r="P132" s="198">
        <v>527.56799999999998</v>
      </c>
      <c r="Q132" s="198">
        <v>0</v>
      </c>
      <c r="R132" s="198">
        <v>0</v>
      </c>
      <c r="S132" s="198">
        <v>0</v>
      </c>
      <c r="T132" s="198">
        <v>0</v>
      </c>
      <c r="U132" s="198">
        <v>283.14669865396002</v>
      </c>
      <c r="V132" s="198">
        <v>770.61988179690513</v>
      </c>
      <c r="W132" s="198">
        <v>8.6842105263157894</v>
      </c>
      <c r="X132" s="198">
        <v>174.77003231999998</v>
      </c>
      <c r="Y132" s="198">
        <v>181</v>
      </c>
      <c r="Z132" s="271">
        <v>17360.667767897179</v>
      </c>
      <c r="AA132" s="272">
        <v>78.798805940173466</v>
      </c>
      <c r="AB132" s="198">
        <v>1.5634976765198532</v>
      </c>
      <c r="AC132" s="272">
        <v>0</v>
      </c>
      <c r="AD132" s="198">
        <v>0</v>
      </c>
      <c r="AE132" s="198">
        <v>1.5634976765198532</v>
      </c>
      <c r="AF132" s="198">
        <v>0</v>
      </c>
      <c r="AG132" s="198">
        <v>0</v>
      </c>
      <c r="AH132" s="198">
        <v>0</v>
      </c>
      <c r="AI132" s="198">
        <v>0</v>
      </c>
      <c r="AJ132" s="198">
        <v>0</v>
      </c>
      <c r="AK132" s="198">
        <v>0</v>
      </c>
      <c r="AL132" s="198">
        <v>0</v>
      </c>
      <c r="AM132" s="198">
        <v>1.4616488226520452E-2</v>
      </c>
      <c r="AN132" s="198">
        <v>3.7353247689996772E-3</v>
      </c>
      <c r="AO132" s="198">
        <v>0</v>
      </c>
      <c r="AP132" s="198">
        <v>5.3406390928462295E-4</v>
      </c>
      <c r="AQ132" s="198">
        <v>6.6770299961072324E-4</v>
      </c>
      <c r="AS132" s="258">
        <f t="shared" si="17"/>
        <v>23289.335810634064</v>
      </c>
      <c r="AT132" s="3">
        <f t="shared" si="18"/>
        <v>2.985008674116342</v>
      </c>
      <c r="AU132" s="3">
        <f t="shared" si="19"/>
        <v>1.0020139740366334</v>
      </c>
      <c r="AV132" s="95">
        <f t="shared" si="20"/>
        <v>0</v>
      </c>
      <c r="AW132" s="95">
        <f t="shared" ref="AW132:AW195" si="21">AV132*3.6/100</f>
        <v>0</v>
      </c>
      <c r="AX132" s="95">
        <f t="shared" si="16"/>
        <v>1.0020139740366334</v>
      </c>
      <c r="AY132" s="102">
        <f t="shared" ref="AY132:AY195" si="22">AU132/AX132</f>
        <v>1</v>
      </c>
      <c r="AZ132" s="102">
        <f t="shared" ref="AZ132:AZ195" si="23">AW132/AX132</f>
        <v>0</v>
      </c>
    </row>
    <row r="133" spans="1:52" x14ac:dyDescent="0.35">
      <c r="A133" t="s">
        <v>991</v>
      </c>
      <c r="B133">
        <v>2025</v>
      </c>
      <c r="C133" t="s">
        <v>837</v>
      </c>
      <c r="D133" t="s">
        <v>976</v>
      </c>
      <c r="E133" t="s">
        <v>986</v>
      </c>
      <c r="F133" t="s">
        <v>978</v>
      </c>
      <c r="G133" s="357">
        <v>1263.5999999999999</v>
      </c>
      <c r="H133" s="198">
        <v>8036.2512999999999</v>
      </c>
      <c r="I133" s="198">
        <v>4565.6027524324099</v>
      </c>
      <c r="J133" s="198">
        <v>0</v>
      </c>
      <c r="K133" s="198">
        <v>0</v>
      </c>
      <c r="L133" s="198">
        <v>61.624000000000009</v>
      </c>
      <c r="M133" s="198">
        <v>691.79804460000003</v>
      </c>
      <c r="N133" s="198">
        <v>0</v>
      </c>
      <c r="O133" s="198">
        <v>0</v>
      </c>
      <c r="P133" s="198">
        <v>376.98</v>
      </c>
      <c r="Q133" s="198">
        <v>290.64</v>
      </c>
      <c r="R133" s="198">
        <v>0</v>
      </c>
      <c r="S133" s="198">
        <v>948.27103781979304</v>
      </c>
      <c r="T133" s="198">
        <v>0</v>
      </c>
      <c r="U133" s="198">
        <v>283.14669865396002</v>
      </c>
      <c r="V133" s="198">
        <v>795.39572196219126</v>
      </c>
      <c r="W133" s="198">
        <v>8.6842105263157894</v>
      </c>
      <c r="X133" s="198">
        <v>174.77003231999998</v>
      </c>
      <c r="Y133" s="198">
        <v>181</v>
      </c>
      <c r="Z133" s="271">
        <v>16414.163798314668</v>
      </c>
      <c r="AA133" s="272">
        <v>52.075380465990861</v>
      </c>
      <c r="AB133" s="198">
        <v>2.3658348512779472</v>
      </c>
      <c r="AC133" s="272">
        <v>0</v>
      </c>
      <c r="AD133" s="198">
        <v>0</v>
      </c>
      <c r="AE133" s="198">
        <v>2.3658348512779472</v>
      </c>
      <c r="AF133" s="198">
        <v>177.09583374709089</v>
      </c>
      <c r="AG133" s="198">
        <v>7.7854450401570519E-2</v>
      </c>
      <c r="AH133" s="198">
        <v>4.1136947127232848E-4</v>
      </c>
      <c r="AI133" s="198">
        <v>179.54048015175459</v>
      </c>
      <c r="AJ133" s="198">
        <v>7.5545851246515597E-2</v>
      </c>
      <c r="AK133" s="198">
        <v>1.7629193662440912</v>
      </c>
      <c r="AL133" s="198">
        <v>8.2538163921940563E-2</v>
      </c>
      <c r="AM133" s="198">
        <v>1.4835896971451436E-2</v>
      </c>
      <c r="AN133" s="198">
        <v>6.1001315117421035E-3</v>
      </c>
      <c r="AO133" s="198">
        <v>1.2214232805114033E-3</v>
      </c>
      <c r="AP133" s="198">
        <v>1.0135936789990704E-3</v>
      </c>
      <c r="AQ133" s="198">
        <v>9.6273438086720792E-4</v>
      </c>
      <c r="AS133" s="258">
        <f t="shared" si="17"/>
        <v>22019.600735439126</v>
      </c>
      <c r="AT133" s="3">
        <f t="shared" si="18"/>
        <v>4.5168199855023872</v>
      </c>
      <c r="AU133" s="3">
        <f t="shared" si="19"/>
        <v>1.5162156086602165</v>
      </c>
      <c r="AV133" s="95">
        <f t="shared" si="20"/>
        <v>0</v>
      </c>
      <c r="AW133" s="95">
        <f t="shared" si="21"/>
        <v>0</v>
      </c>
      <c r="AX133" s="95">
        <f t="shared" si="16"/>
        <v>1.5162156086602165</v>
      </c>
      <c r="AY133" s="102">
        <f t="shared" si="22"/>
        <v>1</v>
      </c>
      <c r="AZ133" s="102">
        <f t="shared" si="23"/>
        <v>0</v>
      </c>
    </row>
    <row r="134" spans="1:52" x14ac:dyDescent="0.35">
      <c r="A134" t="s">
        <v>992</v>
      </c>
      <c r="B134">
        <v>2025</v>
      </c>
      <c r="C134" t="s">
        <v>837</v>
      </c>
      <c r="D134" t="s">
        <v>976</v>
      </c>
      <c r="E134" t="s">
        <v>986</v>
      </c>
      <c r="F134" t="s">
        <v>978</v>
      </c>
      <c r="G134" s="357">
        <v>6861.0240000000003</v>
      </c>
      <c r="H134" s="198">
        <v>8036.2512999999999</v>
      </c>
      <c r="I134" s="198">
        <v>4565.6027524324099</v>
      </c>
      <c r="J134" s="198">
        <v>0</v>
      </c>
      <c r="K134" s="198">
        <v>0</v>
      </c>
      <c r="L134" s="198">
        <v>61.624000000000009</v>
      </c>
      <c r="M134" s="198">
        <v>1248.3326040000002</v>
      </c>
      <c r="N134" s="198">
        <v>30</v>
      </c>
      <c r="O134" s="198">
        <v>0</v>
      </c>
      <c r="P134" s="198">
        <v>392.44200000000001</v>
      </c>
      <c r="Q134" s="198">
        <v>298.44</v>
      </c>
      <c r="R134" s="198">
        <v>0</v>
      </c>
      <c r="S134" s="198">
        <v>955.399528779555</v>
      </c>
      <c r="T134" s="198">
        <v>0</v>
      </c>
      <c r="U134" s="198">
        <v>283.14669865396002</v>
      </c>
      <c r="V134" s="198">
        <v>796.06094963921237</v>
      </c>
      <c r="W134" s="198">
        <v>8.6842105263157894</v>
      </c>
      <c r="X134" s="198">
        <v>204.67946879999997</v>
      </c>
      <c r="Y134" s="198">
        <v>181</v>
      </c>
      <c r="Z134" s="271">
        <v>17061.663512831452</v>
      </c>
      <c r="AA134" s="272">
        <v>109.43842141043035</v>
      </c>
      <c r="AB134" s="198">
        <v>1.1257632229356873</v>
      </c>
      <c r="AC134" s="272">
        <v>139.43515902603178</v>
      </c>
      <c r="AD134" s="198">
        <v>0.50196657249371446</v>
      </c>
      <c r="AE134" s="198">
        <v>1.6277297954294019</v>
      </c>
      <c r="AF134" s="198">
        <v>84.269608447062822</v>
      </c>
      <c r="AG134" s="198">
        <v>3.7046405397492266E-2</v>
      </c>
      <c r="AH134" s="198">
        <v>1.9574680859347896E-4</v>
      </c>
      <c r="AI134" s="198">
        <v>85.432873505046786</v>
      </c>
      <c r="AJ134" s="198">
        <v>3.5947877313903767E-2</v>
      </c>
      <c r="AK134" s="198">
        <v>0.83887080556221183</v>
      </c>
      <c r="AL134" s="198">
        <v>3.9275112285105766E-2</v>
      </c>
      <c r="AM134" s="198">
        <v>7.0595406017885188E-3</v>
      </c>
      <c r="AN134" s="198">
        <v>2.9026978393191065E-3</v>
      </c>
      <c r="AO134" s="198">
        <v>5.8120430853170028E-4</v>
      </c>
      <c r="AP134" s="198">
        <v>4.8231028729704738E-4</v>
      </c>
      <c r="AQ134" s="198">
        <v>4.5810930498830967E-4</v>
      </c>
      <c r="AS134" s="258">
        <f t="shared" si="17"/>
        <v>22888.221602463393</v>
      </c>
      <c r="AT134" s="3">
        <f t="shared" si="18"/>
        <v>2.1492919598985578</v>
      </c>
      <c r="AU134" s="3">
        <f t="shared" si="19"/>
        <v>0.72147883414123715</v>
      </c>
      <c r="AV134" s="95">
        <f t="shared" si="20"/>
        <v>8.6641206349206374</v>
      </c>
      <c r="AW134" s="95">
        <f t="shared" si="21"/>
        <v>0.31190834285714297</v>
      </c>
      <c r="AX134" s="95">
        <f t="shared" si="16"/>
        <v>1.0333871769983802</v>
      </c>
      <c r="AY134" s="102">
        <f t="shared" si="22"/>
        <v>0.69816894403206631</v>
      </c>
      <c r="AZ134" s="102">
        <f t="shared" si="23"/>
        <v>0.30183105596793358</v>
      </c>
    </row>
    <row r="135" spans="1:52" x14ac:dyDescent="0.35">
      <c r="A135" t="s">
        <v>975</v>
      </c>
      <c r="B135">
        <v>2025</v>
      </c>
      <c r="C135" t="s">
        <v>837</v>
      </c>
      <c r="D135" t="s">
        <v>993</v>
      </c>
      <c r="E135" t="s">
        <v>977</v>
      </c>
      <c r="F135" t="s">
        <v>978</v>
      </c>
      <c r="G135" s="357">
        <v>43713.386599999998</v>
      </c>
      <c r="H135" s="198">
        <v>10773.637000000001</v>
      </c>
      <c r="I135" s="198">
        <v>0</v>
      </c>
      <c r="J135" s="198">
        <v>0</v>
      </c>
      <c r="K135" s="198">
        <v>0</v>
      </c>
      <c r="L135" s="198">
        <v>61.624000000000009</v>
      </c>
      <c r="M135" s="198">
        <v>4371.3386600000003</v>
      </c>
      <c r="N135" s="198">
        <v>30</v>
      </c>
      <c r="O135" s="198">
        <v>0</v>
      </c>
      <c r="P135" s="198">
        <v>651.42599999999993</v>
      </c>
      <c r="Q135" s="198">
        <v>0</v>
      </c>
      <c r="R135" s="198">
        <v>0</v>
      </c>
      <c r="S135" s="198">
        <v>0</v>
      </c>
      <c r="T135" s="198">
        <v>0</v>
      </c>
      <c r="U135" s="198">
        <v>283.14669865396002</v>
      </c>
      <c r="V135" s="198">
        <v>770.61988179690513</v>
      </c>
      <c r="W135" s="198">
        <v>11.842105263157896</v>
      </c>
      <c r="X135" s="198">
        <v>0</v>
      </c>
      <c r="Y135" s="198">
        <v>181</v>
      </c>
      <c r="Z135" s="271">
        <v>17134.634345714021</v>
      </c>
      <c r="AA135" s="272">
        <v>0</v>
      </c>
      <c r="AB135" s="198">
        <v>0</v>
      </c>
      <c r="AC135" s="272">
        <v>211.78211251939129</v>
      </c>
      <c r="AD135" s="198">
        <v>0.76241560506980866</v>
      </c>
      <c r="AE135" s="198">
        <v>0.76241560506980866</v>
      </c>
      <c r="AF135" s="198">
        <v>0</v>
      </c>
      <c r="AG135" s="198">
        <v>0</v>
      </c>
      <c r="AH135" s="198">
        <v>0</v>
      </c>
      <c r="AI135" s="198">
        <v>0</v>
      </c>
      <c r="AJ135" s="198">
        <v>0</v>
      </c>
      <c r="AK135" s="198">
        <v>0</v>
      </c>
      <c r="AL135" s="198">
        <v>0</v>
      </c>
      <c r="AM135" s="198">
        <v>1.1271844928418075E-2</v>
      </c>
      <c r="AN135" s="198">
        <v>2.8805825928179449E-3</v>
      </c>
      <c r="AO135" s="198">
        <v>0</v>
      </c>
      <c r="AP135" s="198">
        <v>4.1185580790865787E-4</v>
      </c>
      <c r="AQ135" s="198">
        <v>5.1491470134363995E-4</v>
      </c>
      <c r="AS135" s="258">
        <f t="shared" si="17"/>
        <v>22986.111974775358</v>
      </c>
      <c r="AT135" s="3">
        <f t="shared" si="18"/>
        <v>0</v>
      </c>
      <c r="AU135" s="3">
        <f t="shared" si="19"/>
        <v>0</v>
      </c>
      <c r="AV135" s="95">
        <f t="shared" si="20"/>
        <v>13.159563082965146</v>
      </c>
      <c r="AW135" s="95">
        <f t="shared" si="21"/>
        <v>0.47374427098674532</v>
      </c>
      <c r="AX135" s="95">
        <f t="shared" si="16"/>
        <v>0.47374427098674532</v>
      </c>
      <c r="AY135" s="102">
        <f t="shared" si="22"/>
        <v>0</v>
      </c>
      <c r="AZ135" s="102">
        <f t="shared" si="23"/>
        <v>1</v>
      </c>
    </row>
    <row r="136" spans="1:52" x14ac:dyDescent="0.35">
      <c r="A136" t="s">
        <v>979</v>
      </c>
      <c r="B136">
        <v>2025</v>
      </c>
      <c r="C136" t="s">
        <v>837</v>
      </c>
      <c r="D136" t="s">
        <v>993</v>
      </c>
      <c r="E136" t="s">
        <v>977</v>
      </c>
      <c r="F136" t="s">
        <v>978</v>
      </c>
      <c r="G136" s="357">
        <v>67638.680600000007</v>
      </c>
      <c r="H136" s="198">
        <v>10773.637000000001</v>
      </c>
      <c r="I136" s="198">
        <v>0</v>
      </c>
      <c r="J136" s="198">
        <v>0</v>
      </c>
      <c r="K136" s="198">
        <v>0</v>
      </c>
      <c r="L136" s="198">
        <v>61.624000000000009</v>
      </c>
      <c r="M136" s="198">
        <v>6763.8680599999998</v>
      </c>
      <c r="N136" s="198">
        <v>30</v>
      </c>
      <c r="O136" s="198">
        <v>0</v>
      </c>
      <c r="P136" s="198">
        <v>687.58799999999997</v>
      </c>
      <c r="Q136" s="198">
        <v>0</v>
      </c>
      <c r="R136" s="198">
        <v>0</v>
      </c>
      <c r="S136" s="198">
        <v>0</v>
      </c>
      <c r="T136" s="198">
        <v>0</v>
      </c>
      <c r="U136" s="198">
        <v>283.14669865396002</v>
      </c>
      <c r="V136" s="198">
        <v>770.61988179690513</v>
      </c>
      <c r="W136" s="198">
        <v>11.842105263157896</v>
      </c>
      <c r="X136" s="198">
        <v>0</v>
      </c>
      <c r="Y136" s="198">
        <v>181</v>
      </c>
      <c r="Z136" s="271">
        <v>19563.325745714021</v>
      </c>
      <c r="AA136" s="272">
        <v>0</v>
      </c>
      <c r="AB136" s="198">
        <v>0</v>
      </c>
      <c r="AC136" s="272">
        <v>219.35820039424812</v>
      </c>
      <c r="AD136" s="198">
        <v>0.78968952141929316</v>
      </c>
      <c r="AE136" s="198">
        <v>0.78968952141929316</v>
      </c>
      <c r="AF136" s="198">
        <v>0</v>
      </c>
      <c r="AG136" s="198">
        <v>0</v>
      </c>
      <c r="AH136" s="198">
        <v>0</v>
      </c>
      <c r="AI136" s="198">
        <v>0</v>
      </c>
      <c r="AJ136" s="198">
        <v>0</v>
      </c>
      <c r="AK136" s="198">
        <v>0</v>
      </c>
      <c r="AL136" s="198">
        <v>0</v>
      </c>
      <c r="AM136" s="198">
        <v>1.1675072975742587E-2</v>
      </c>
      <c r="AN136" s="198">
        <v>2.9836297604675425E-3</v>
      </c>
      <c r="AO136" s="198">
        <v>0</v>
      </c>
      <c r="AP136" s="198">
        <v>4.2658913810055704E-4</v>
      </c>
      <c r="AQ136" s="198">
        <v>5.3333476042713727E-4</v>
      </c>
      <c r="AS136" s="258">
        <f t="shared" si="17"/>
        <v>26244.201487875358</v>
      </c>
      <c r="AT136" s="3">
        <f t="shared" si="18"/>
        <v>0</v>
      </c>
      <c r="AU136" s="3">
        <f t="shared" si="19"/>
        <v>0</v>
      </c>
      <c r="AV136" s="95">
        <f t="shared" si="20"/>
        <v>13.630320528555066</v>
      </c>
      <c r="AW136" s="95">
        <f t="shared" si="21"/>
        <v>0.49069153902798235</v>
      </c>
      <c r="AX136" s="95">
        <f t="shared" si="16"/>
        <v>0.49069153902798235</v>
      </c>
      <c r="AY136" s="102">
        <f t="shared" si="22"/>
        <v>0</v>
      </c>
      <c r="AZ136" s="102">
        <f t="shared" si="23"/>
        <v>1</v>
      </c>
    </row>
    <row r="137" spans="1:52" x14ac:dyDescent="0.35">
      <c r="A137" t="s">
        <v>980</v>
      </c>
      <c r="B137">
        <v>2025</v>
      </c>
      <c r="C137" t="s">
        <v>837</v>
      </c>
      <c r="D137" t="s">
        <v>993</v>
      </c>
      <c r="E137" t="s">
        <v>977</v>
      </c>
      <c r="F137" t="s">
        <v>978</v>
      </c>
      <c r="G137" s="357">
        <v>99950.457599999994</v>
      </c>
      <c r="H137" s="198">
        <v>10773.637000000001</v>
      </c>
      <c r="I137" s="198">
        <v>0</v>
      </c>
      <c r="J137" s="198">
        <v>0</v>
      </c>
      <c r="K137" s="198">
        <v>0</v>
      </c>
      <c r="L137" s="198">
        <v>61.624000000000009</v>
      </c>
      <c r="M137" s="198">
        <v>9995.0457599999991</v>
      </c>
      <c r="N137" s="198">
        <v>30</v>
      </c>
      <c r="O137" s="198">
        <v>0</v>
      </c>
      <c r="P137" s="198">
        <v>737.77200000000005</v>
      </c>
      <c r="Q137" s="198">
        <v>0</v>
      </c>
      <c r="R137" s="198">
        <v>0</v>
      </c>
      <c r="S137" s="198">
        <v>0</v>
      </c>
      <c r="T137" s="198">
        <v>0</v>
      </c>
      <c r="U137" s="198">
        <v>283.14669865396002</v>
      </c>
      <c r="V137" s="198">
        <v>770.61988179690513</v>
      </c>
      <c r="W137" s="198">
        <v>11.842105263157896</v>
      </c>
      <c r="X137" s="198">
        <v>0</v>
      </c>
      <c r="Y137" s="198">
        <v>181</v>
      </c>
      <c r="Z137" s="271">
        <v>22844.687445714022</v>
      </c>
      <c r="AA137" s="272">
        <v>0</v>
      </c>
      <c r="AB137" s="198">
        <v>0</v>
      </c>
      <c r="AC137" s="272">
        <v>241.08914922635415</v>
      </c>
      <c r="AD137" s="198">
        <v>0.86792093721487495</v>
      </c>
      <c r="AE137" s="198">
        <v>0.86792093721487495</v>
      </c>
      <c r="AF137" s="198">
        <v>0</v>
      </c>
      <c r="AG137" s="198">
        <v>0</v>
      </c>
      <c r="AH137" s="198">
        <v>0</v>
      </c>
      <c r="AI137" s="198">
        <v>0</v>
      </c>
      <c r="AJ137" s="198">
        <v>0</v>
      </c>
      <c r="AK137" s="198">
        <v>0</v>
      </c>
      <c r="AL137" s="198">
        <v>0</v>
      </c>
      <c r="AM137" s="198">
        <v>1.2831676252898298E-2</v>
      </c>
      <c r="AN137" s="198">
        <v>3.2792061535184451E-3</v>
      </c>
      <c r="AO137" s="198">
        <v>0</v>
      </c>
      <c r="AP137" s="198">
        <v>4.6884963584230689E-4</v>
      </c>
      <c r="AQ137" s="198">
        <v>5.8617012454115452E-4</v>
      </c>
      <c r="AS137" s="258">
        <f t="shared" si="17"/>
        <v>30646.148208425358</v>
      </c>
      <c r="AT137" s="3">
        <f t="shared" si="18"/>
        <v>0</v>
      </c>
      <c r="AU137" s="3">
        <f t="shared" si="19"/>
        <v>0</v>
      </c>
      <c r="AV137" s="95">
        <f t="shared" si="20"/>
        <v>14.980622443135331</v>
      </c>
      <c r="AW137" s="95">
        <f t="shared" si="21"/>
        <v>0.53930240795287199</v>
      </c>
      <c r="AX137" s="95">
        <f t="shared" si="16"/>
        <v>0.53930240795287199</v>
      </c>
      <c r="AY137" s="102">
        <f t="shared" si="22"/>
        <v>0</v>
      </c>
      <c r="AZ137" s="102">
        <f t="shared" si="23"/>
        <v>1</v>
      </c>
    </row>
    <row r="138" spans="1:52" x14ac:dyDescent="0.35">
      <c r="A138" t="s">
        <v>981</v>
      </c>
      <c r="B138">
        <v>2025</v>
      </c>
      <c r="C138" t="s">
        <v>837</v>
      </c>
      <c r="D138" t="s">
        <v>993</v>
      </c>
      <c r="E138" t="s">
        <v>977</v>
      </c>
      <c r="F138" t="s">
        <v>978</v>
      </c>
      <c r="G138" s="357">
        <v>137473.2648</v>
      </c>
      <c r="H138" s="198">
        <v>10773.637000000001</v>
      </c>
      <c r="I138" s="198">
        <v>0</v>
      </c>
      <c r="J138" s="198">
        <v>0</v>
      </c>
      <c r="K138" s="198">
        <v>0</v>
      </c>
      <c r="L138" s="198">
        <v>61.624000000000009</v>
      </c>
      <c r="M138" s="198">
        <v>13747.326480000002</v>
      </c>
      <c r="N138" s="198">
        <v>30</v>
      </c>
      <c r="O138" s="198">
        <v>0</v>
      </c>
      <c r="P138" s="198">
        <v>797.13599999999997</v>
      </c>
      <c r="Q138" s="198">
        <v>0</v>
      </c>
      <c r="R138" s="198">
        <v>0</v>
      </c>
      <c r="S138" s="198">
        <v>0</v>
      </c>
      <c r="T138" s="198">
        <v>0</v>
      </c>
      <c r="U138" s="198">
        <v>283.14669865396002</v>
      </c>
      <c r="V138" s="198">
        <v>770.61988179690513</v>
      </c>
      <c r="W138" s="198">
        <v>11.842105263157896</v>
      </c>
      <c r="X138" s="198">
        <v>0</v>
      </c>
      <c r="Y138" s="198">
        <v>181</v>
      </c>
      <c r="Z138" s="271">
        <v>26656.332165714022</v>
      </c>
      <c r="AA138" s="272">
        <v>0</v>
      </c>
      <c r="AB138" s="198">
        <v>0</v>
      </c>
      <c r="AC138" s="272">
        <v>263.15616398723614</v>
      </c>
      <c r="AD138" s="198">
        <v>0.94736219035405012</v>
      </c>
      <c r="AE138" s="198">
        <v>0.94736219035405012</v>
      </c>
      <c r="AF138" s="198">
        <v>0</v>
      </c>
      <c r="AG138" s="198">
        <v>0</v>
      </c>
      <c r="AH138" s="198">
        <v>0</v>
      </c>
      <c r="AI138" s="198">
        <v>0</v>
      </c>
      <c r="AJ138" s="198">
        <v>0</v>
      </c>
      <c r="AK138" s="198">
        <v>0</v>
      </c>
      <c r="AL138" s="198">
        <v>0</v>
      </c>
      <c r="AM138" s="198">
        <v>1.4006166229689891E-2</v>
      </c>
      <c r="AN138" s="198">
        <v>3.5793535920318515E-3</v>
      </c>
      <c r="AO138" s="198">
        <v>0</v>
      </c>
      <c r="AP138" s="198">
        <v>5.117636859684391E-4</v>
      </c>
      <c r="AQ138" s="198">
        <v>6.3982257979327054E-4</v>
      </c>
      <c r="AS138" s="258">
        <f t="shared" si="17"/>
        <v>35759.469600305361</v>
      </c>
      <c r="AT138" s="3">
        <f t="shared" si="18"/>
        <v>0</v>
      </c>
      <c r="AU138" s="3">
        <f t="shared" si="19"/>
        <v>0</v>
      </c>
      <c r="AV138" s="95">
        <f t="shared" si="20"/>
        <v>16.351806578301424</v>
      </c>
      <c r="AW138" s="95">
        <f t="shared" si="21"/>
        <v>0.58866503681885129</v>
      </c>
      <c r="AX138" s="95">
        <f t="shared" si="16"/>
        <v>0.58866503681885129</v>
      </c>
      <c r="AY138" s="102">
        <f t="shared" si="22"/>
        <v>0</v>
      </c>
      <c r="AZ138" s="102">
        <f t="shared" si="23"/>
        <v>1</v>
      </c>
    </row>
    <row r="139" spans="1:52" x14ac:dyDescent="0.35">
      <c r="A139" t="s">
        <v>982</v>
      </c>
      <c r="B139">
        <v>2025</v>
      </c>
      <c r="C139" t="s">
        <v>837</v>
      </c>
      <c r="D139" t="s">
        <v>993</v>
      </c>
      <c r="E139" t="s">
        <v>983</v>
      </c>
      <c r="F139" t="s">
        <v>978</v>
      </c>
      <c r="G139" s="357"/>
      <c r="H139" s="198">
        <v>10773.637000000001</v>
      </c>
      <c r="I139" s="198">
        <v>7441.7941868365797</v>
      </c>
      <c r="J139" s="198">
        <v>0</v>
      </c>
      <c r="K139" s="198">
        <v>0</v>
      </c>
      <c r="L139" s="198">
        <v>61.624000000000009</v>
      </c>
      <c r="M139" s="198">
        <v>0</v>
      </c>
      <c r="N139" s="198">
        <v>0</v>
      </c>
      <c r="O139" s="198">
        <v>43.7989165083317</v>
      </c>
      <c r="P139" s="198">
        <v>0</v>
      </c>
      <c r="Q139" s="198">
        <v>0</v>
      </c>
      <c r="R139" s="198">
        <v>13.573345568952313</v>
      </c>
      <c r="S139" s="198">
        <v>2393.61</v>
      </c>
      <c r="T139" s="198">
        <v>105.7</v>
      </c>
      <c r="U139" s="198">
        <v>283.14669865396002</v>
      </c>
      <c r="V139" s="198">
        <v>330.38476565305228</v>
      </c>
      <c r="W139" s="198">
        <v>0</v>
      </c>
      <c r="X139" s="198">
        <v>0</v>
      </c>
      <c r="Y139" s="198">
        <v>181</v>
      </c>
      <c r="Z139" s="271">
        <v>21628.268913220876</v>
      </c>
      <c r="AA139" s="272">
        <v>37.178206779647532</v>
      </c>
      <c r="AB139" s="198">
        <v>3.3138163637156475</v>
      </c>
      <c r="AC139" s="272">
        <v>0</v>
      </c>
      <c r="AD139" s="198">
        <v>0</v>
      </c>
      <c r="AE139" s="198">
        <v>3.3138163637156475</v>
      </c>
      <c r="AF139" s="198">
        <v>248.05749712410028</v>
      </c>
      <c r="AG139" s="198">
        <v>0.10905044855073123</v>
      </c>
      <c r="AH139" s="198">
        <v>5.7620373826978587E-4</v>
      </c>
      <c r="AI139" s="198">
        <v>251.48170454707284</v>
      </c>
      <c r="AJ139" s="198">
        <v>0.10581680202077641</v>
      </c>
      <c r="AK139" s="198">
        <v>2.4693148131684821</v>
      </c>
      <c r="AL139" s="198">
        <v>0.11561090922632511</v>
      </c>
      <c r="AM139" s="198">
        <v>2.0780587507128273E-2</v>
      </c>
      <c r="AN139" s="198">
        <v>8.5444322597197017E-3</v>
      </c>
      <c r="AO139" s="198">
        <v>1.7108431942303869E-3</v>
      </c>
      <c r="AP139" s="198">
        <v>1.4197370191801493E-3</v>
      </c>
      <c r="AQ139" s="198">
        <v>1.3484985832828086E-3</v>
      </c>
      <c r="AS139" s="258">
        <f t="shared" si="17"/>
        <v>29014.322747085804</v>
      </c>
      <c r="AT139" s="3">
        <f t="shared" si="18"/>
        <v>6.3266935018014898</v>
      </c>
      <c r="AU139" s="3">
        <f t="shared" si="19"/>
        <v>2.123757747581263</v>
      </c>
      <c r="AV139" s="95">
        <f t="shared" si="20"/>
        <v>0</v>
      </c>
      <c r="AW139" s="95">
        <f t="shared" si="21"/>
        <v>0</v>
      </c>
      <c r="AX139" s="95">
        <f t="shared" si="16"/>
        <v>2.123757747581263</v>
      </c>
      <c r="AY139" s="102">
        <f t="shared" si="22"/>
        <v>1</v>
      </c>
      <c r="AZ139" s="102">
        <f t="shared" si="23"/>
        <v>0</v>
      </c>
    </row>
    <row r="140" spans="1:52" x14ac:dyDescent="0.35">
      <c r="A140" t="s">
        <v>984</v>
      </c>
      <c r="B140">
        <v>2025</v>
      </c>
      <c r="C140" t="s">
        <v>837</v>
      </c>
      <c r="D140" t="s">
        <v>993</v>
      </c>
      <c r="E140" t="s">
        <v>240</v>
      </c>
      <c r="F140" t="s">
        <v>978</v>
      </c>
      <c r="G140" s="357"/>
      <c r="H140" s="198">
        <v>10773.637000000001</v>
      </c>
      <c r="I140" s="198">
        <v>9135.0162419999997</v>
      </c>
      <c r="J140" s="198">
        <v>0</v>
      </c>
      <c r="K140" s="198">
        <v>0</v>
      </c>
      <c r="L140" s="198">
        <v>61.624000000000009</v>
      </c>
      <c r="M140" s="198">
        <v>0</v>
      </c>
      <c r="N140" s="198">
        <v>0</v>
      </c>
      <c r="O140" s="198">
        <v>43.7989165083317</v>
      </c>
      <c r="P140" s="198">
        <v>0</v>
      </c>
      <c r="Q140" s="198">
        <v>0</v>
      </c>
      <c r="R140" s="198">
        <v>13.573345568952313</v>
      </c>
      <c r="S140" s="198">
        <v>2393.61</v>
      </c>
      <c r="T140" s="198">
        <v>105.7</v>
      </c>
      <c r="U140" s="198">
        <v>283.14669865396002</v>
      </c>
      <c r="V140" s="198">
        <v>307.50254731027246</v>
      </c>
      <c r="W140" s="198">
        <v>0</v>
      </c>
      <c r="X140" s="198">
        <v>0</v>
      </c>
      <c r="Y140" s="198">
        <v>181</v>
      </c>
      <c r="Z140" s="271">
        <v>23298.608750041516</v>
      </c>
      <c r="AA140" s="272">
        <v>32.657099835020198</v>
      </c>
      <c r="AB140" s="198">
        <v>3.7725869909575764</v>
      </c>
      <c r="AC140" s="272">
        <v>0</v>
      </c>
      <c r="AD140" s="198">
        <v>0</v>
      </c>
      <c r="AE140" s="198">
        <v>3.7725869909575764</v>
      </c>
      <c r="AF140" s="198">
        <v>0</v>
      </c>
      <c r="AG140" s="198">
        <v>0</v>
      </c>
      <c r="AH140" s="198">
        <v>0</v>
      </c>
      <c r="AI140" s="198">
        <v>0</v>
      </c>
      <c r="AJ140" s="198">
        <v>0</v>
      </c>
      <c r="AK140" s="198">
        <v>0</v>
      </c>
      <c r="AL140" s="198">
        <v>0</v>
      </c>
      <c r="AM140" s="198">
        <v>0</v>
      </c>
      <c r="AN140" s="198">
        <v>0</v>
      </c>
      <c r="AO140" s="198">
        <v>0</v>
      </c>
      <c r="AP140" s="198">
        <v>0</v>
      </c>
      <c r="AQ140" s="198">
        <v>0</v>
      </c>
      <c r="AS140" s="258">
        <f t="shared" si="17"/>
        <v>31255.083638180691</v>
      </c>
      <c r="AT140" s="3">
        <f t="shared" si="18"/>
        <v>7.2025721950114088</v>
      </c>
      <c r="AU140" s="3">
        <f t="shared" si="19"/>
        <v>2.4177745448413561</v>
      </c>
      <c r="AV140" s="95">
        <f t="shared" si="20"/>
        <v>0</v>
      </c>
      <c r="AW140" s="95">
        <f t="shared" si="21"/>
        <v>0</v>
      </c>
      <c r="AX140" s="95">
        <f t="shared" si="16"/>
        <v>2.4177745448413561</v>
      </c>
      <c r="AY140" s="102">
        <f t="shared" si="22"/>
        <v>1</v>
      </c>
      <c r="AZ140" s="102">
        <f t="shared" si="23"/>
        <v>0</v>
      </c>
    </row>
    <row r="141" spans="1:52" x14ac:dyDescent="0.35">
      <c r="A141" t="s">
        <v>985</v>
      </c>
      <c r="B141">
        <v>2025</v>
      </c>
      <c r="C141" t="s">
        <v>837</v>
      </c>
      <c r="D141" t="s">
        <v>993</v>
      </c>
      <c r="E141" t="s">
        <v>986</v>
      </c>
      <c r="F141" t="s">
        <v>978</v>
      </c>
      <c r="G141" s="357"/>
      <c r="H141" s="198">
        <v>10773.637000000001</v>
      </c>
      <c r="I141" s="198">
        <v>4355.1074330000001</v>
      </c>
      <c r="J141" s="198">
        <v>0</v>
      </c>
      <c r="K141" s="198">
        <v>0</v>
      </c>
      <c r="L141" s="198">
        <v>61.624000000000009</v>
      </c>
      <c r="M141" s="198">
        <v>0</v>
      </c>
      <c r="N141" s="198">
        <v>0</v>
      </c>
      <c r="O141" s="198">
        <v>43.7989165083317</v>
      </c>
      <c r="P141" s="198">
        <v>0</v>
      </c>
      <c r="Q141" s="198">
        <v>0</v>
      </c>
      <c r="R141" s="198">
        <v>13.573345568952313</v>
      </c>
      <c r="S141" s="198">
        <v>2393.61</v>
      </c>
      <c r="T141" s="198">
        <v>105.7</v>
      </c>
      <c r="U141" s="198">
        <v>283.14669865396002</v>
      </c>
      <c r="V141" s="198">
        <v>307.04881973452382</v>
      </c>
      <c r="W141" s="198">
        <v>0</v>
      </c>
      <c r="X141" s="198">
        <v>0</v>
      </c>
      <c r="Y141" s="198">
        <v>181</v>
      </c>
      <c r="Z141" s="271">
        <v>18518.246213465765</v>
      </c>
      <c r="AA141" s="272">
        <v>30.61806265272358</v>
      </c>
      <c r="AB141" s="198">
        <v>4.0238257853666264</v>
      </c>
      <c r="AC141" s="272">
        <v>0</v>
      </c>
      <c r="AD141" s="198">
        <v>0</v>
      </c>
      <c r="AE141" s="198">
        <v>4.0238257853666264</v>
      </c>
      <c r="AF141" s="198">
        <v>301.20563230676083</v>
      </c>
      <c r="AG141" s="198">
        <v>0.13241530568465792</v>
      </c>
      <c r="AH141" s="198">
        <v>6.9965960849892078E-4</v>
      </c>
      <c r="AI141" s="198">
        <v>305.36350124417885</v>
      </c>
      <c r="AJ141" s="198">
        <v>0.12848882670698636</v>
      </c>
      <c r="AK141" s="198">
        <v>2.9983835936745074</v>
      </c>
      <c r="AL141" s="198">
        <v>0.14038139309957406</v>
      </c>
      <c r="AM141" s="198">
        <v>2.52329805482925E-2</v>
      </c>
      <c r="AN141" s="198">
        <v>1.0375139438755201E-2</v>
      </c>
      <c r="AO141" s="198">
        <v>2.0774038764007833E-3</v>
      </c>
      <c r="AP141" s="198">
        <v>1.7239260716943098E-3</v>
      </c>
      <c r="AQ141" s="198">
        <v>1.637424279255969E-3</v>
      </c>
      <c r="AS141" s="258">
        <f t="shared" si="17"/>
        <v>24842.227295364322</v>
      </c>
      <c r="AT141" s="3">
        <f t="shared" si="18"/>
        <v>7.6822339123571215</v>
      </c>
      <c r="AU141" s="3">
        <f t="shared" si="19"/>
        <v>2.578788396411853</v>
      </c>
      <c r="AV141" s="95">
        <f t="shared" si="20"/>
        <v>0</v>
      </c>
      <c r="AW141" s="95">
        <f t="shared" si="21"/>
        <v>0</v>
      </c>
      <c r="AX141" s="95">
        <f t="shared" si="16"/>
        <v>2.578788396411853</v>
      </c>
      <c r="AY141" s="102">
        <f t="shared" si="22"/>
        <v>1</v>
      </c>
      <c r="AZ141" s="102">
        <f t="shared" si="23"/>
        <v>0</v>
      </c>
    </row>
    <row r="142" spans="1:52" x14ac:dyDescent="0.35">
      <c r="A142" t="s">
        <v>987</v>
      </c>
      <c r="B142">
        <v>2025</v>
      </c>
      <c r="C142" t="s">
        <v>837</v>
      </c>
      <c r="D142" t="s">
        <v>993</v>
      </c>
      <c r="E142" t="s">
        <v>986</v>
      </c>
      <c r="F142" t="s">
        <v>978</v>
      </c>
      <c r="G142" s="357">
        <v>16451.4499</v>
      </c>
      <c r="H142" s="198">
        <v>10773.637000000001</v>
      </c>
      <c r="I142" s="198">
        <v>4565.6027519999998</v>
      </c>
      <c r="J142" s="198">
        <v>0</v>
      </c>
      <c r="K142" s="198">
        <v>0</v>
      </c>
      <c r="L142" s="198">
        <v>61.624000000000009</v>
      </c>
      <c r="M142" s="198">
        <v>1809.6594890000001</v>
      </c>
      <c r="N142" s="198">
        <v>30</v>
      </c>
      <c r="O142" s="198">
        <v>0</v>
      </c>
      <c r="P142" s="198">
        <v>647.59199999999998</v>
      </c>
      <c r="Q142" s="198">
        <v>413.44200000000001</v>
      </c>
      <c r="R142" s="198">
        <v>0</v>
      </c>
      <c r="S142" s="198">
        <v>1117.352472</v>
      </c>
      <c r="T142" s="198">
        <v>0</v>
      </c>
      <c r="U142" s="198">
        <v>283.14669865396002</v>
      </c>
      <c r="V142" s="198">
        <v>798.11768835988823</v>
      </c>
      <c r="W142" s="198">
        <v>11.842105263157896</v>
      </c>
      <c r="X142" s="198">
        <v>0</v>
      </c>
      <c r="Y142" s="198">
        <v>181</v>
      </c>
      <c r="Z142" s="271">
        <v>20693.016205277007</v>
      </c>
      <c r="AA142" s="272">
        <v>240.83800310389373</v>
      </c>
      <c r="AB142" s="198">
        <v>0.51155444079501322</v>
      </c>
      <c r="AC142" s="272">
        <v>213.77486200623014</v>
      </c>
      <c r="AD142" s="198">
        <v>0.76958950322242847</v>
      </c>
      <c r="AE142" s="198">
        <v>1.2811439440174417</v>
      </c>
      <c r="AF142" s="198">
        <v>38.29268139772465</v>
      </c>
      <c r="AG142" s="198">
        <v>1.6834137774690977E-2</v>
      </c>
      <c r="AH142" s="198">
        <v>8.8948676921884272E-5</v>
      </c>
      <c r="AI142" s="198">
        <v>38.821276926615333</v>
      </c>
      <c r="AJ142" s="198">
        <v>1.6334959165860342E-2</v>
      </c>
      <c r="AK142" s="198">
        <v>0.38118858130716782</v>
      </c>
      <c r="AL142" s="198">
        <v>1.7846877294299759E-2</v>
      </c>
      <c r="AM142" s="198">
        <v>1.4585809702868303E-2</v>
      </c>
      <c r="AN142" s="198">
        <v>4.2266928177032894E-3</v>
      </c>
      <c r="AO142" s="198">
        <v>2.6410317816499807E-4</v>
      </c>
      <c r="AP142" s="198">
        <v>6.3489620177000969E-4</v>
      </c>
      <c r="AQ142" s="198">
        <v>7.2792773046801145E-4</v>
      </c>
      <c r="AS142" s="258">
        <f t="shared" si="17"/>
        <v>27759.681239379104</v>
      </c>
      <c r="AT142" s="3">
        <f t="shared" si="18"/>
        <v>0.97665283804881919</v>
      </c>
      <c r="AU142" s="3">
        <f t="shared" si="19"/>
        <v>0.32784487361570447</v>
      </c>
      <c r="AV142" s="95">
        <f t="shared" si="20"/>
        <v>13.283387103174601</v>
      </c>
      <c r="AW142" s="95">
        <f t="shared" si="21"/>
        <v>0.4782019357142856</v>
      </c>
      <c r="AX142" s="95">
        <f t="shared" si="16"/>
        <v>0.80604680932999007</v>
      </c>
      <c r="AY142" s="102">
        <f t="shared" si="22"/>
        <v>0.40673180492857336</v>
      </c>
      <c r="AZ142" s="102">
        <f t="shared" si="23"/>
        <v>0.5932681950714267</v>
      </c>
    </row>
    <row r="143" spans="1:52" x14ac:dyDescent="0.35">
      <c r="A143" t="s">
        <v>988</v>
      </c>
      <c r="B143">
        <v>2025</v>
      </c>
      <c r="C143" t="s">
        <v>837</v>
      </c>
      <c r="D143" t="s">
        <v>993</v>
      </c>
      <c r="E143" t="s">
        <v>989</v>
      </c>
      <c r="F143" t="s">
        <v>978</v>
      </c>
      <c r="G143" s="357">
        <v>1404</v>
      </c>
      <c r="H143" s="198">
        <v>10773.637000000001</v>
      </c>
      <c r="I143" s="198">
        <v>0</v>
      </c>
      <c r="J143" s="198">
        <v>4810.8599999999997</v>
      </c>
      <c r="K143" s="198">
        <v>2376.2672000000002</v>
      </c>
      <c r="L143" s="198">
        <v>61.624000000000009</v>
      </c>
      <c r="M143" s="198">
        <v>768.66449399999999</v>
      </c>
      <c r="N143" s="198">
        <v>0</v>
      </c>
      <c r="O143" s="198">
        <v>0</v>
      </c>
      <c r="P143" s="198">
        <v>655.30799999999999</v>
      </c>
      <c r="Q143" s="198">
        <v>0</v>
      </c>
      <c r="R143" s="198">
        <v>0</v>
      </c>
      <c r="S143" s="198">
        <v>0</v>
      </c>
      <c r="T143" s="198">
        <v>0</v>
      </c>
      <c r="U143" s="198">
        <v>283.14669865396002</v>
      </c>
      <c r="V143" s="198">
        <v>770.61988179690513</v>
      </c>
      <c r="W143" s="198">
        <v>8.6842105263157894</v>
      </c>
      <c r="X143" s="198">
        <v>194.1889248</v>
      </c>
      <c r="Y143" s="198">
        <v>181</v>
      </c>
      <c r="Z143" s="271">
        <v>20884.000409777182</v>
      </c>
      <c r="AA143" s="272">
        <v>73.047961407272624</v>
      </c>
      <c r="AB143" s="198">
        <v>1.6865871083396735</v>
      </c>
      <c r="AC143" s="272">
        <v>0</v>
      </c>
      <c r="AD143" s="198">
        <v>0</v>
      </c>
      <c r="AE143" s="198">
        <v>1.6865871083396735</v>
      </c>
      <c r="AF143" s="198">
        <v>0</v>
      </c>
      <c r="AG143" s="198">
        <v>0</v>
      </c>
      <c r="AH143" s="198">
        <v>0</v>
      </c>
      <c r="AI143" s="198">
        <v>0</v>
      </c>
      <c r="AJ143" s="198">
        <v>0</v>
      </c>
      <c r="AK143" s="198">
        <v>0</v>
      </c>
      <c r="AL143" s="198">
        <v>0</v>
      </c>
      <c r="AM143" s="198">
        <v>1.5767200029948355E-2</v>
      </c>
      <c r="AN143" s="198">
        <v>4.0293955632090305E-3</v>
      </c>
      <c r="AO143" s="198">
        <v>0</v>
      </c>
      <c r="AP143" s="198">
        <v>5.7610914167386448E-4</v>
      </c>
      <c r="AQ143" s="198">
        <v>7.2026923241089711E-4</v>
      </c>
      <c r="AS143" s="258">
        <f t="shared" si="17"/>
        <v>28015.886549716088</v>
      </c>
      <c r="AT143" s="3">
        <f t="shared" si="18"/>
        <v>3.2200093570032227</v>
      </c>
      <c r="AU143" s="3">
        <f t="shared" si="19"/>
        <v>1.0808994962807232</v>
      </c>
      <c r="AV143" s="95">
        <f t="shared" si="20"/>
        <v>0</v>
      </c>
      <c r="AW143" s="95">
        <f t="shared" si="21"/>
        <v>0</v>
      </c>
      <c r="AX143" s="95">
        <f t="shared" ref="AX143:AX206" si="24">AU143+AW143</f>
        <v>1.0808994962807232</v>
      </c>
      <c r="AY143" s="102">
        <f t="shared" si="22"/>
        <v>1</v>
      </c>
      <c r="AZ143" s="102">
        <f t="shared" si="23"/>
        <v>0</v>
      </c>
    </row>
    <row r="144" spans="1:52" x14ac:dyDescent="0.35">
      <c r="A144" t="s">
        <v>990</v>
      </c>
      <c r="B144">
        <v>2025</v>
      </c>
      <c r="C144" t="s">
        <v>837</v>
      </c>
      <c r="D144" t="s">
        <v>993</v>
      </c>
      <c r="E144" t="s">
        <v>989</v>
      </c>
      <c r="F144" t="s">
        <v>978</v>
      </c>
      <c r="G144" s="357">
        <v>1404</v>
      </c>
      <c r="H144" s="198">
        <v>10773.637000000001</v>
      </c>
      <c r="I144" s="198">
        <v>0</v>
      </c>
      <c r="J144" s="198">
        <v>4903.6799999999994</v>
      </c>
      <c r="K144" s="198">
        <v>2824.0495999999998</v>
      </c>
      <c r="L144" s="198">
        <v>61.624000000000009</v>
      </c>
      <c r="M144" s="198">
        <v>768.66449399999999</v>
      </c>
      <c r="N144" s="198">
        <v>0</v>
      </c>
      <c r="O144" s="198">
        <v>0</v>
      </c>
      <c r="P144" s="198">
        <v>668.97</v>
      </c>
      <c r="Q144" s="198">
        <v>0</v>
      </c>
      <c r="R144" s="198">
        <v>0</v>
      </c>
      <c r="S144" s="198">
        <v>0</v>
      </c>
      <c r="T144" s="198">
        <v>0</v>
      </c>
      <c r="U144" s="198">
        <v>283.14669865396002</v>
      </c>
      <c r="V144" s="198">
        <v>770.61988179690513</v>
      </c>
      <c r="W144" s="198">
        <v>8.6842105263157894</v>
      </c>
      <c r="X144" s="198">
        <v>194.1889248</v>
      </c>
      <c r="Y144" s="198">
        <v>181</v>
      </c>
      <c r="Z144" s="271">
        <v>21438.264809777182</v>
      </c>
      <c r="AA144" s="272">
        <v>72.056938736101742</v>
      </c>
      <c r="AB144" s="198">
        <v>1.7097832930595185</v>
      </c>
      <c r="AC144" s="272">
        <v>0</v>
      </c>
      <c r="AD144" s="198">
        <v>0</v>
      </c>
      <c r="AE144" s="198">
        <v>1.7097832930595185</v>
      </c>
      <c r="AF144" s="198">
        <v>0</v>
      </c>
      <c r="AG144" s="198">
        <v>0</v>
      </c>
      <c r="AH144" s="198">
        <v>0</v>
      </c>
      <c r="AI144" s="198">
        <v>0</v>
      </c>
      <c r="AJ144" s="198">
        <v>0</v>
      </c>
      <c r="AK144" s="198">
        <v>0</v>
      </c>
      <c r="AL144" s="198">
        <v>0</v>
      </c>
      <c r="AM144" s="198">
        <v>1.5984051494424133E-2</v>
      </c>
      <c r="AN144" s="198">
        <v>4.0848131596861745E-3</v>
      </c>
      <c r="AO144" s="198">
        <v>0</v>
      </c>
      <c r="AP144" s="198">
        <v>5.8403255932776418E-4</v>
      </c>
      <c r="AQ144" s="198">
        <v>7.3017533099330092E-4</v>
      </c>
      <c r="AS144" s="258">
        <f t="shared" si="17"/>
        <v>28759.432242316088</v>
      </c>
      <c r="AT144" s="3">
        <f t="shared" si="18"/>
        <v>3.2642951999788661</v>
      </c>
      <c r="AU144" s="3">
        <f t="shared" si="19"/>
        <v>1.0957654609589409</v>
      </c>
      <c r="AV144" s="95">
        <f t="shared" si="20"/>
        <v>0</v>
      </c>
      <c r="AW144" s="95">
        <f t="shared" si="21"/>
        <v>0</v>
      </c>
      <c r="AX144" s="95">
        <f t="shared" si="24"/>
        <v>1.0957654609589409</v>
      </c>
      <c r="AY144" s="102">
        <f t="shared" si="22"/>
        <v>1</v>
      </c>
      <c r="AZ144" s="102">
        <f t="shared" si="23"/>
        <v>0</v>
      </c>
    </row>
    <row r="145" spans="1:52" x14ac:dyDescent="0.35">
      <c r="A145" t="s">
        <v>991</v>
      </c>
      <c r="B145">
        <v>2025</v>
      </c>
      <c r="C145" t="s">
        <v>837</v>
      </c>
      <c r="D145" t="s">
        <v>993</v>
      </c>
      <c r="E145" t="s">
        <v>986</v>
      </c>
      <c r="F145" t="s">
        <v>978</v>
      </c>
      <c r="G145" s="357">
        <v>1684.8</v>
      </c>
      <c r="H145" s="198">
        <v>10773.637000000001</v>
      </c>
      <c r="I145" s="198">
        <v>4565.6027524324099</v>
      </c>
      <c r="J145" s="198">
        <v>0</v>
      </c>
      <c r="K145" s="198">
        <v>0</v>
      </c>
      <c r="L145" s="198">
        <v>61.624000000000009</v>
      </c>
      <c r="M145" s="198">
        <v>922.39739280000003</v>
      </c>
      <c r="N145" s="198">
        <v>0</v>
      </c>
      <c r="O145" s="198">
        <v>0</v>
      </c>
      <c r="P145" s="198">
        <v>471.59400000000005</v>
      </c>
      <c r="Q145" s="198">
        <v>361.20600000000002</v>
      </c>
      <c r="R145" s="198">
        <v>0</v>
      </c>
      <c r="S145" s="198">
        <v>1012.73534568927</v>
      </c>
      <c r="T145" s="198">
        <v>0</v>
      </c>
      <c r="U145" s="198">
        <v>283.14669865396002</v>
      </c>
      <c r="V145" s="198">
        <v>801.41150314461061</v>
      </c>
      <c r="W145" s="198">
        <v>8.6842105263157894</v>
      </c>
      <c r="X145" s="198">
        <v>233.02670975999999</v>
      </c>
      <c r="Y145" s="198">
        <v>181</v>
      </c>
      <c r="Z145" s="271">
        <v>19676.065613006565</v>
      </c>
      <c r="AA145" s="272">
        <v>48.779922022333686</v>
      </c>
      <c r="AB145" s="198">
        <v>2.5256651690339438</v>
      </c>
      <c r="AC145" s="272">
        <v>0</v>
      </c>
      <c r="AD145" s="198">
        <v>0</v>
      </c>
      <c r="AE145" s="198">
        <v>2.5256651690339438</v>
      </c>
      <c r="AF145" s="198">
        <v>189.06001770767932</v>
      </c>
      <c r="AG145" s="198">
        <v>8.3114116578049374E-2</v>
      </c>
      <c r="AH145" s="198">
        <v>4.3916063905948693E-4</v>
      </c>
      <c r="AI145" s="198">
        <v>191.66981875593419</v>
      </c>
      <c r="AJ145" s="198">
        <v>8.06495538161838E-2</v>
      </c>
      <c r="AK145" s="198">
        <v>1.8820181115909149</v>
      </c>
      <c r="AL145" s="198">
        <v>8.8114250925441395E-2</v>
      </c>
      <c r="AM145" s="198">
        <v>1.5838175776272258E-2</v>
      </c>
      <c r="AN145" s="198">
        <v>6.5122422545306176E-3</v>
      </c>
      <c r="AO145" s="198">
        <v>1.3039398056751345E-3</v>
      </c>
      <c r="AP145" s="198">
        <v>1.082069718103145E-3</v>
      </c>
      <c r="AQ145" s="198">
        <v>1.0277744836983546E-3</v>
      </c>
      <c r="AS145" s="258">
        <f t="shared" si="17"/>
        <v>26395.442019848306</v>
      </c>
      <c r="AT145" s="3">
        <f t="shared" si="18"/>
        <v>4.8219658722237373</v>
      </c>
      <c r="AU145" s="3">
        <f t="shared" si="19"/>
        <v>1.6186476200864841</v>
      </c>
      <c r="AV145" s="95">
        <f t="shared" si="20"/>
        <v>0</v>
      </c>
      <c r="AW145" s="95">
        <f t="shared" si="21"/>
        <v>0</v>
      </c>
      <c r="AX145" s="95">
        <f t="shared" si="24"/>
        <v>1.6186476200864841</v>
      </c>
      <c r="AY145" s="102">
        <f t="shared" si="22"/>
        <v>1</v>
      </c>
      <c r="AZ145" s="102">
        <f t="shared" si="23"/>
        <v>0</v>
      </c>
    </row>
    <row r="146" spans="1:52" x14ac:dyDescent="0.35">
      <c r="A146" t="s">
        <v>992</v>
      </c>
      <c r="B146">
        <v>2025</v>
      </c>
      <c r="C146" t="s">
        <v>837</v>
      </c>
      <c r="D146" t="s">
        <v>993</v>
      </c>
      <c r="E146" t="s">
        <v>986</v>
      </c>
      <c r="F146" t="s">
        <v>978</v>
      </c>
      <c r="G146" s="357">
        <v>7310.5847999999996</v>
      </c>
      <c r="H146" s="198">
        <v>10773.637000000001</v>
      </c>
      <c r="I146" s="198">
        <v>4565.6027524324099</v>
      </c>
      <c r="J146" s="198">
        <v>0</v>
      </c>
      <c r="K146" s="198">
        <v>0</v>
      </c>
      <c r="L146" s="198">
        <v>61.624000000000009</v>
      </c>
      <c r="M146" s="198">
        <v>1248.3326040000002</v>
      </c>
      <c r="N146" s="198">
        <v>30</v>
      </c>
      <c r="O146" s="198">
        <v>0</v>
      </c>
      <c r="P146" s="198">
        <v>483.41399999999999</v>
      </c>
      <c r="Q146" s="198">
        <v>370.596</v>
      </c>
      <c r="R146" s="198">
        <v>0</v>
      </c>
      <c r="S146" s="198">
        <v>1021.30920554189</v>
      </c>
      <c r="T146" s="198">
        <v>0</v>
      </c>
      <c r="U146" s="198">
        <v>283.14669865396002</v>
      </c>
      <c r="V146" s="198">
        <v>802.21161201829227</v>
      </c>
      <c r="W146" s="198">
        <v>8.6842105263157894</v>
      </c>
      <c r="X146" s="198">
        <v>229.59604799999997</v>
      </c>
      <c r="Y146" s="198">
        <v>181</v>
      </c>
      <c r="Z146" s="271">
        <v>20059.154131172869</v>
      </c>
      <c r="AA146" s="272">
        <v>99.939365712893746</v>
      </c>
      <c r="AB146" s="198">
        <v>1.2327649782562613</v>
      </c>
      <c r="AC146" s="272">
        <v>148.65624615281746</v>
      </c>
      <c r="AD146" s="198">
        <v>0.53516248615014284</v>
      </c>
      <c r="AE146" s="198">
        <v>1.7679274644064042</v>
      </c>
      <c r="AF146" s="198">
        <v>92.279282098063149</v>
      </c>
      <c r="AG146" s="198">
        <v>4.0567599130853116E-2</v>
      </c>
      <c r="AH146" s="198">
        <v>2.1435218820721613E-4</v>
      </c>
      <c r="AI146" s="198">
        <v>93.553113392864475</v>
      </c>
      <c r="AJ146" s="198">
        <v>3.9364657942609814E-2</v>
      </c>
      <c r="AK146" s="198">
        <v>0.91860395624044155</v>
      </c>
      <c r="AL146" s="198">
        <v>4.3008140571426892E-2</v>
      </c>
      <c r="AM146" s="198">
        <v>7.7305371495158433E-3</v>
      </c>
      <c r="AN146" s="198">
        <v>3.1785940114843658E-3</v>
      </c>
      <c r="AO146" s="198">
        <v>6.364467253612339E-4</v>
      </c>
      <c r="AP146" s="198">
        <v>5.281530065283387E-4</v>
      </c>
      <c r="AQ146" s="198">
        <v>5.0165176468477263E-4</v>
      </c>
      <c r="AS146" s="258">
        <f t="shared" si="17"/>
        <v>26909.355266968403</v>
      </c>
      <c r="AT146" s="3">
        <f t="shared" si="18"/>
        <v>2.3535782678184609</v>
      </c>
      <c r="AU146" s="3">
        <f t="shared" si="19"/>
        <v>0.79005409056011178</v>
      </c>
      <c r="AV146" s="95">
        <f t="shared" si="20"/>
        <v>9.2370938492063495</v>
      </c>
      <c r="AW146" s="95">
        <f t="shared" si="21"/>
        <v>0.33253537857142862</v>
      </c>
      <c r="AX146" s="95">
        <f t="shared" si="24"/>
        <v>1.1225894691315403</v>
      </c>
      <c r="AY146" s="102">
        <f t="shared" si="22"/>
        <v>0.70377828430130818</v>
      </c>
      <c r="AZ146" s="102">
        <f t="shared" si="23"/>
        <v>0.29622171569869193</v>
      </c>
    </row>
    <row r="147" spans="1:52" x14ac:dyDescent="0.35">
      <c r="A147" t="s">
        <v>975</v>
      </c>
      <c r="B147">
        <v>2025</v>
      </c>
      <c r="C147" t="s">
        <v>837</v>
      </c>
      <c r="D147" t="s">
        <v>994</v>
      </c>
      <c r="E147" t="s">
        <v>977</v>
      </c>
      <c r="F147" t="s">
        <v>978</v>
      </c>
      <c r="G147" s="357">
        <v>58147.081200000001</v>
      </c>
      <c r="H147" s="198">
        <v>13889.4861</v>
      </c>
      <c r="I147" s="198">
        <v>0</v>
      </c>
      <c r="J147" s="198">
        <v>0</v>
      </c>
      <c r="K147" s="198">
        <v>0</v>
      </c>
      <c r="L147" s="198">
        <v>61.624000000000009</v>
      </c>
      <c r="M147" s="198">
        <v>5814.7081200000002</v>
      </c>
      <c r="N147" s="198">
        <v>30</v>
      </c>
      <c r="O147" s="198">
        <v>0</v>
      </c>
      <c r="P147" s="198">
        <v>743.66399999999999</v>
      </c>
      <c r="Q147" s="198">
        <v>0</v>
      </c>
      <c r="R147" s="198">
        <v>0</v>
      </c>
      <c r="S147" s="198">
        <v>0</v>
      </c>
      <c r="T147" s="198">
        <v>0</v>
      </c>
      <c r="U147" s="198">
        <v>390.31189804456238</v>
      </c>
      <c r="V147" s="198">
        <v>770.61988179690513</v>
      </c>
      <c r="W147" s="198">
        <v>13.421052631578949</v>
      </c>
      <c r="X147" s="198">
        <v>0</v>
      </c>
      <c r="Y147" s="198">
        <v>181</v>
      </c>
      <c r="Z147" s="271">
        <v>21894.835052473049</v>
      </c>
      <c r="AA147" s="272">
        <v>0</v>
      </c>
      <c r="AB147" s="198">
        <v>0</v>
      </c>
      <c r="AC147" s="272">
        <v>283.66542927438229</v>
      </c>
      <c r="AD147" s="198">
        <v>1.0211955453877761</v>
      </c>
      <c r="AE147" s="198">
        <v>1.0211955453877761</v>
      </c>
      <c r="AF147" s="198">
        <v>0</v>
      </c>
      <c r="AG147" s="198">
        <v>0</v>
      </c>
      <c r="AH147" s="198">
        <v>0</v>
      </c>
      <c r="AI147" s="198">
        <v>0</v>
      </c>
      <c r="AJ147" s="198">
        <v>0</v>
      </c>
      <c r="AK147" s="198">
        <v>0</v>
      </c>
      <c r="AL147" s="198">
        <v>0</v>
      </c>
      <c r="AM147" s="198">
        <v>1.5097746888520705E-2</v>
      </c>
      <c r="AN147" s="198">
        <v>3.858313093733059E-3</v>
      </c>
      <c r="AO147" s="198">
        <v>0</v>
      </c>
      <c r="AP147" s="198">
        <v>5.5164835764332919E-4</v>
      </c>
      <c r="AQ147" s="198">
        <v>6.8968761364565211E-4</v>
      </c>
      <c r="AS147" s="258">
        <f t="shared" si="17"/>
        <v>29371.921222892594</v>
      </c>
      <c r="AT147" s="3">
        <f t="shared" si="18"/>
        <v>0</v>
      </c>
      <c r="AU147" s="3">
        <f t="shared" si="19"/>
        <v>0</v>
      </c>
      <c r="AV147" s="95">
        <f t="shared" si="20"/>
        <v>17.626196408116513</v>
      </c>
      <c r="AW147" s="95">
        <f t="shared" si="21"/>
        <v>0.63454307069219451</v>
      </c>
      <c r="AX147" s="95">
        <f t="shared" si="24"/>
        <v>0.63454307069219451</v>
      </c>
      <c r="AY147" s="102">
        <f t="shared" si="22"/>
        <v>0</v>
      </c>
      <c r="AZ147" s="102">
        <f t="shared" si="23"/>
        <v>1</v>
      </c>
    </row>
    <row r="148" spans="1:52" x14ac:dyDescent="0.35">
      <c r="A148" t="s">
        <v>979</v>
      </c>
      <c r="B148">
        <v>2025</v>
      </c>
      <c r="C148" t="s">
        <v>837</v>
      </c>
      <c r="D148" t="s">
        <v>994</v>
      </c>
      <c r="E148" t="s">
        <v>977</v>
      </c>
      <c r="F148" t="s">
        <v>978</v>
      </c>
      <c r="G148" s="357">
        <v>89880.2114</v>
      </c>
      <c r="H148" s="198">
        <v>13889.4861</v>
      </c>
      <c r="I148" s="198">
        <v>0</v>
      </c>
      <c r="J148" s="198">
        <v>0</v>
      </c>
      <c r="K148" s="198">
        <v>0</v>
      </c>
      <c r="L148" s="198">
        <v>61.624000000000009</v>
      </c>
      <c r="M148" s="198">
        <v>8988.0211399999989</v>
      </c>
      <c r="N148" s="198">
        <v>30</v>
      </c>
      <c r="O148" s="198">
        <v>0</v>
      </c>
      <c r="P148" s="198">
        <v>792.096</v>
      </c>
      <c r="Q148" s="198">
        <v>0</v>
      </c>
      <c r="R148" s="198">
        <v>0</v>
      </c>
      <c r="S148" s="198">
        <v>0</v>
      </c>
      <c r="T148" s="198">
        <v>0</v>
      </c>
      <c r="U148" s="198">
        <v>390.31189804456238</v>
      </c>
      <c r="V148" s="198">
        <v>770.61988179690513</v>
      </c>
      <c r="W148" s="198">
        <v>13.421052631578949</v>
      </c>
      <c r="X148" s="198">
        <v>0</v>
      </c>
      <c r="Y148" s="198">
        <v>181</v>
      </c>
      <c r="Z148" s="271">
        <v>25116.580072473047</v>
      </c>
      <c r="AA148" s="272">
        <v>0</v>
      </c>
      <c r="AB148" s="198">
        <v>0</v>
      </c>
      <c r="AC148" s="272">
        <v>293.20188801755029</v>
      </c>
      <c r="AD148" s="198">
        <v>1.055526796863181</v>
      </c>
      <c r="AE148" s="198">
        <v>1.055526796863181</v>
      </c>
      <c r="AF148" s="198">
        <v>0</v>
      </c>
      <c r="AG148" s="198">
        <v>0</v>
      </c>
      <c r="AH148" s="198">
        <v>0</v>
      </c>
      <c r="AI148" s="198">
        <v>0</v>
      </c>
      <c r="AJ148" s="198">
        <v>0</v>
      </c>
      <c r="AK148" s="198">
        <v>0</v>
      </c>
      <c r="AL148" s="198">
        <v>0</v>
      </c>
      <c r="AM148" s="198">
        <v>1.5605313287025697E-2</v>
      </c>
      <c r="AN148" s="198">
        <v>3.9880245066843348E-3</v>
      </c>
      <c r="AO148" s="198">
        <v>0</v>
      </c>
      <c r="AP148" s="198">
        <v>5.7019405006999914E-4</v>
      </c>
      <c r="AQ148" s="198">
        <v>7.128740043525853E-4</v>
      </c>
      <c r="AS148" s="258">
        <f t="shared" si="17"/>
        <v>33693.892167222592</v>
      </c>
      <c r="AT148" s="3">
        <f t="shared" si="18"/>
        <v>0</v>
      </c>
      <c r="AU148" s="3">
        <f t="shared" si="19"/>
        <v>0</v>
      </c>
      <c r="AV148" s="95">
        <f t="shared" si="20"/>
        <v>18.21876595483554</v>
      </c>
      <c r="AW148" s="95">
        <f t="shared" si="21"/>
        <v>0.65587557437407951</v>
      </c>
      <c r="AX148" s="95">
        <f t="shared" si="24"/>
        <v>0.65587557437407951</v>
      </c>
      <c r="AY148" s="102">
        <f t="shared" si="22"/>
        <v>0</v>
      </c>
      <c r="AZ148" s="102">
        <f t="shared" si="23"/>
        <v>1</v>
      </c>
    </row>
    <row r="149" spans="1:52" x14ac:dyDescent="0.35">
      <c r="A149" t="s">
        <v>980</v>
      </c>
      <c r="B149">
        <v>2025</v>
      </c>
      <c r="C149" t="s">
        <v>837</v>
      </c>
      <c r="D149" t="s">
        <v>994</v>
      </c>
      <c r="E149" t="s">
        <v>977</v>
      </c>
      <c r="F149" t="s">
        <v>978</v>
      </c>
      <c r="G149" s="357">
        <v>133005.71520000001</v>
      </c>
      <c r="H149" s="198">
        <v>13889.4861</v>
      </c>
      <c r="I149" s="198">
        <v>0</v>
      </c>
      <c r="J149" s="198">
        <v>0</v>
      </c>
      <c r="K149" s="198">
        <v>0</v>
      </c>
      <c r="L149" s="198">
        <v>61.624000000000009</v>
      </c>
      <c r="M149" s="198">
        <v>13300.57152</v>
      </c>
      <c r="N149" s="198">
        <v>30</v>
      </c>
      <c r="O149" s="198">
        <v>0</v>
      </c>
      <c r="P149" s="198">
        <v>853.71</v>
      </c>
      <c r="Q149" s="198">
        <v>0</v>
      </c>
      <c r="R149" s="198">
        <v>0</v>
      </c>
      <c r="S149" s="198">
        <v>0</v>
      </c>
      <c r="T149" s="198">
        <v>0</v>
      </c>
      <c r="U149" s="198">
        <v>390.31189804456238</v>
      </c>
      <c r="V149" s="198">
        <v>770.61988179690513</v>
      </c>
      <c r="W149" s="198">
        <v>13.421052631578949</v>
      </c>
      <c r="X149" s="198">
        <v>0</v>
      </c>
      <c r="Y149" s="198">
        <v>181</v>
      </c>
      <c r="Z149" s="271">
        <v>29490.744452473045</v>
      </c>
      <c r="AA149" s="272">
        <v>0</v>
      </c>
      <c r="AB149" s="198">
        <v>0</v>
      </c>
      <c r="AC149" s="272">
        <v>320.702828359352</v>
      </c>
      <c r="AD149" s="198">
        <v>1.1545301820936671</v>
      </c>
      <c r="AE149" s="198">
        <v>1.1545301820936671</v>
      </c>
      <c r="AF149" s="198">
        <v>0</v>
      </c>
      <c r="AG149" s="198">
        <v>0</v>
      </c>
      <c r="AH149" s="198">
        <v>0</v>
      </c>
      <c r="AI149" s="198">
        <v>0</v>
      </c>
      <c r="AJ149" s="198">
        <v>0</v>
      </c>
      <c r="AK149" s="198">
        <v>0</v>
      </c>
      <c r="AL149" s="198">
        <v>0</v>
      </c>
      <c r="AM149" s="198">
        <v>1.7069017332805685E-2</v>
      </c>
      <c r="AN149" s="198">
        <v>4.3620822072725531E-3</v>
      </c>
      <c r="AO149" s="198">
        <v>0</v>
      </c>
      <c r="AP149" s="198">
        <v>6.2367553567791833E-4</v>
      </c>
      <c r="AQ149" s="198">
        <v>7.7973818997388751E-4</v>
      </c>
      <c r="AS149" s="258">
        <f t="shared" si="17"/>
        <v>39561.83368299259</v>
      </c>
      <c r="AT149" s="3">
        <f t="shared" si="18"/>
        <v>0</v>
      </c>
      <c r="AU149" s="3">
        <f t="shared" si="19"/>
        <v>0</v>
      </c>
      <c r="AV149" s="95">
        <f t="shared" si="20"/>
        <v>19.927599410898381</v>
      </c>
      <c r="AW149" s="95">
        <f t="shared" si="21"/>
        <v>0.71739357879234178</v>
      </c>
      <c r="AX149" s="95">
        <f t="shared" si="24"/>
        <v>0.71739357879234178</v>
      </c>
      <c r="AY149" s="102">
        <f t="shared" si="22"/>
        <v>0</v>
      </c>
      <c r="AZ149" s="102">
        <f t="shared" si="23"/>
        <v>1</v>
      </c>
    </row>
    <row r="150" spans="1:52" x14ac:dyDescent="0.35">
      <c r="A150" t="s">
        <v>981</v>
      </c>
      <c r="B150">
        <v>2025</v>
      </c>
      <c r="C150" t="s">
        <v>837</v>
      </c>
      <c r="D150" t="s">
        <v>994</v>
      </c>
      <c r="E150" t="s">
        <v>977</v>
      </c>
      <c r="F150" t="s">
        <v>978</v>
      </c>
      <c r="G150" s="357">
        <v>181349.98420000001</v>
      </c>
      <c r="H150" s="198">
        <v>13889.4861</v>
      </c>
      <c r="I150" s="198">
        <v>0</v>
      </c>
      <c r="J150" s="198">
        <v>0</v>
      </c>
      <c r="K150" s="198">
        <v>0</v>
      </c>
      <c r="L150" s="198">
        <v>61.624000000000009</v>
      </c>
      <c r="M150" s="198">
        <v>18134.99842</v>
      </c>
      <c r="N150" s="198">
        <v>30</v>
      </c>
      <c r="O150" s="198">
        <v>0</v>
      </c>
      <c r="P150" s="198">
        <v>931.47600000000011</v>
      </c>
      <c r="Q150" s="198">
        <v>0</v>
      </c>
      <c r="R150" s="198">
        <v>0</v>
      </c>
      <c r="S150" s="198">
        <v>0</v>
      </c>
      <c r="T150" s="198">
        <v>0</v>
      </c>
      <c r="U150" s="198">
        <v>390.31189804456238</v>
      </c>
      <c r="V150" s="198">
        <v>770.61988179690513</v>
      </c>
      <c r="W150" s="198">
        <v>13.421052631578949</v>
      </c>
      <c r="X150" s="198">
        <v>0</v>
      </c>
      <c r="Y150" s="198">
        <v>181</v>
      </c>
      <c r="Z150" s="271">
        <v>34402.937352473054</v>
      </c>
      <c r="AA150" s="272">
        <v>0</v>
      </c>
      <c r="AB150" s="198">
        <v>0</v>
      </c>
      <c r="AC150" s="272">
        <v>346.90708928015056</v>
      </c>
      <c r="AD150" s="198">
        <v>1.248865521408542</v>
      </c>
      <c r="AE150" s="198">
        <v>1.248865521408542</v>
      </c>
      <c r="AF150" s="198">
        <v>0</v>
      </c>
      <c r="AG150" s="198">
        <v>0</v>
      </c>
      <c r="AH150" s="198">
        <v>0</v>
      </c>
      <c r="AI150" s="198">
        <v>0</v>
      </c>
      <c r="AJ150" s="198">
        <v>0</v>
      </c>
      <c r="AK150" s="198">
        <v>0</v>
      </c>
      <c r="AL150" s="198">
        <v>0</v>
      </c>
      <c r="AM150" s="198">
        <v>1.8463707196124536E-2</v>
      </c>
      <c r="AN150" s="198">
        <v>4.7185029501207029E-3</v>
      </c>
      <c r="AO150" s="198">
        <v>0</v>
      </c>
      <c r="AP150" s="198">
        <v>6.7463534962913959E-4</v>
      </c>
      <c r="AQ150" s="198">
        <v>8.4344970472576897E-4</v>
      </c>
      <c r="AS150" s="258">
        <f t="shared" si="17"/>
        <v>46151.540458342599</v>
      </c>
      <c r="AT150" s="3">
        <f t="shared" si="18"/>
        <v>0</v>
      </c>
      <c r="AU150" s="3">
        <f t="shared" si="19"/>
        <v>0</v>
      </c>
      <c r="AV150" s="95">
        <f t="shared" si="20"/>
        <v>21.555860742922597</v>
      </c>
      <c r="AW150" s="95">
        <f t="shared" si="21"/>
        <v>0.77601098674521352</v>
      </c>
      <c r="AX150" s="95">
        <f t="shared" si="24"/>
        <v>0.77601098674521352</v>
      </c>
      <c r="AY150" s="102">
        <f t="shared" si="22"/>
        <v>0</v>
      </c>
      <c r="AZ150" s="102">
        <f t="shared" si="23"/>
        <v>1</v>
      </c>
    </row>
    <row r="151" spans="1:52" x14ac:dyDescent="0.35">
      <c r="A151" t="s">
        <v>982</v>
      </c>
      <c r="B151">
        <v>2025</v>
      </c>
      <c r="C151" t="s">
        <v>837</v>
      </c>
      <c r="D151" t="s">
        <v>994</v>
      </c>
      <c r="E151" t="s">
        <v>983</v>
      </c>
      <c r="F151" t="s">
        <v>978</v>
      </c>
      <c r="G151" s="357"/>
      <c r="H151" s="198">
        <v>13889.4861</v>
      </c>
      <c r="I151" s="198">
        <v>7441.7941868365797</v>
      </c>
      <c r="J151" s="198">
        <v>0</v>
      </c>
      <c r="K151" s="198">
        <v>0</v>
      </c>
      <c r="L151" s="198">
        <v>61.624000000000009</v>
      </c>
      <c r="M151" s="198">
        <v>0</v>
      </c>
      <c r="N151" s="198">
        <v>0</v>
      </c>
      <c r="O151" s="198">
        <v>43.7989165083317</v>
      </c>
      <c r="P151" s="198">
        <v>0</v>
      </c>
      <c r="Q151" s="198">
        <v>0</v>
      </c>
      <c r="R151" s="198">
        <v>13.573345568952313</v>
      </c>
      <c r="S151" s="198">
        <v>2393.61</v>
      </c>
      <c r="T151" s="198">
        <v>105.7</v>
      </c>
      <c r="U151" s="198">
        <v>390.31189804456238</v>
      </c>
      <c r="V151" s="198">
        <v>330.93067534841208</v>
      </c>
      <c r="W151" s="198">
        <v>0</v>
      </c>
      <c r="X151" s="198">
        <v>0</v>
      </c>
      <c r="Y151" s="198">
        <v>181</v>
      </c>
      <c r="Z151" s="271">
        <v>24851.829122306837</v>
      </c>
      <c r="AA151" s="272">
        <v>32.461875104311375</v>
      </c>
      <c r="AB151" s="198">
        <v>3.795275214512706</v>
      </c>
      <c r="AC151" s="272">
        <v>0</v>
      </c>
      <c r="AD151" s="198">
        <v>0</v>
      </c>
      <c r="AE151" s="198">
        <v>3.795275214512706</v>
      </c>
      <c r="AF151" s="198">
        <v>284.09735702842295</v>
      </c>
      <c r="AG151" s="198">
        <v>0.12489420628366396</v>
      </c>
      <c r="AH151" s="198">
        <v>6.5991941807929777E-4</v>
      </c>
      <c r="AI151" s="198">
        <v>288.01906183501836</v>
      </c>
      <c r="AJ151" s="198">
        <v>0.12119074864430587</v>
      </c>
      <c r="AK151" s="198">
        <v>2.8280774426315145</v>
      </c>
      <c r="AL151" s="198">
        <v>0.13240782534550866</v>
      </c>
      <c r="AM151" s="198">
        <v>2.3799764396233707E-2</v>
      </c>
      <c r="AN151" s="198">
        <v>9.7858385674202686E-3</v>
      </c>
      <c r="AO151" s="198">
        <v>1.9594087475927188E-3</v>
      </c>
      <c r="AP151" s="198">
        <v>1.6260082420435928E-3</v>
      </c>
      <c r="AQ151" s="198">
        <v>1.5444196926471274E-3</v>
      </c>
      <c r="AS151" s="258">
        <f t="shared" si="17"/>
        <v>33338.728767574619</v>
      </c>
      <c r="AT151" s="3">
        <f t="shared" si="18"/>
        <v>7.2458882453832247</v>
      </c>
      <c r="AU151" s="3">
        <f t="shared" si="19"/>
        <v>2.4323149675037739</v>
      </c>
      <c r="AV151" s="95">
        <f t="shared" si="20"/>
        <v>0</v>
      </c>
      <c r="AW151" s="95">
        <f t="shared" si="21"/>
        <v>0</v>
      </c>
      <c r="AX151" s="95">
        <f t="shared" si="24"/>
        <v>2.4323149675037739</v>
      </c>
      <c r="AY151" s="102">
        <f t="shared" si="22"/>
        <v>1</v>
      </c>
      <c r="AZ151" s="102">
        <f t="shared" si="23"/>
        <v>0</v>
      </c>
    </row>
    <row r="152" spans="1:52" x14ac:dyDescent="0.35">
      <c r="A152" t="s">
        <v>984</v>
      </c>
      <c r="B152">
        <v>2025</v>
      </c>
      <c r="C152" t="s">
        <v>837</v>
      </c>
      <c r="D152" t="s">
        <v>994</v>
      </c>
      <c r="E152" t="s">
        <v>240</v>
      </c>
      <c r="F152" t="s">
        <v>978</v>
      </c>
      <c r="G152" s="357"/>
      <c r="H152" s="198">
        <v>13889.4861</v>
      </c>
      <c r="I152" s="198">
        <v>9135.0162419999997</v>
      </c>
      <c r="J152" s="198">
        <v>0</v>
      </c>
      <c r="K152" s="198">
        <v>0</v>
      </c>
      <c r="L152" s="198">
        <v>61.624000000000009</v>
      </c>
      <c r="M152" s="198">
        <v>0</v>
      </c>
      <c r="N152" s="198">
        <v>0</v>
      </c>
      <c r="O152" s="198">
        <v>43.7989165083317</v>
      </c>
      <c r="P152" s="198">
        <v>0</v>
      </c>
      <c r="Q152" s="198">
        <v>0</v>
      </c>
      <c r="R152" s="198">
        <v>13.573345568952313</v>
      </c>
      <c r="S152" s="198">
        <v>2393.61</v>
      </c>
      <c r="T152" s="198">
        <v>105.7</v>
      </c>
      <c r="U152" s="198">
        <v>390.31189804456238</v>
      </c>
      <c r="V152" s="198">
        <v>310.80753568525074</v>
      </c>
      <c r="W152" s="198">
        <v>0</v>
      </c>
      <c r="X152" s="198">
        <v>0</v>
      </c>
      <c r="Y152" s="198">
        <v>181</v>
      </c>
      <c r="Z152" s="271">
        <v>26524.928037807094</v>
      </c>
      <c r="AA152" s="272">
        <v>28.314588143139385</v>
      </c>
      <c r="AB152" s="198">
        <v>4.3511757747340489</v>
      </c>
      <c r="AC152" s="272">
        <v>0</v>
      </c>
      <c r="AD152" s="198">
        <v>0</v>
      </c>
      <c r="AE152" s="198">
        <v>4.3511757747340489</v>
      </c>
      <c r="AF152" s="198">
        <v>0</v>
      </c>
      <c r="AG152" s="198">
        <v>0</v>
      </c>
      <c r="AH152" s="198">
        <v>0</v>
      </c>
      <c r="AI152" s="198">
        <v>0</v>
      </c>
      <c r="AJ152" s="198">
        <v>0</v>
      </c>
      <c r="AK152" s="198">
        <v>0</v>
      </c>
      <c r="AL152" s="198">
        <v>0</v>
      </c>
      <c r="AM152" s="198">
        <v>0</v>
      </c>
      <c r="AN152" s="198">
        <v>0</v>
      </c>
      <c r="AO152" s="198">
        <v>0</v>
      </c>
      <c r="AP152" s="198">
        <v>0</v>
      </c>
      <c r="AQ152" s="198">
        <v>0</v>
      </c>
      <c r="AS152" s="258">
        <f t="shared" si="17"/>
        <v>35583.190962718218</v>
      </c>
      <c r="AT152" s="3">
        <f t="shared" si="18"/>
        <v>8.3072060964595273</v>
      </c>
      <c r="AU152" s="3">
        <f t="shared" si="19"/>
        <v>2.7885803703129639</v>
      </c>
      <c r="AV152" s="95">
        <f t="shared" si="20"/>
        <v>0</v>
      </c>
      <c r="AW152" s="95">
        <f t="shared" si="21"/>
        <v>0</v>
      </c>
      <c r="AX152" s="95">
        <f t="shared" si="24"/>
        <v>2.7885803703129639</v>
      </c>
      <c r="AY152" s="102">
        <f t="shared" si="22"/>
        <v>1</v>
      </c>
      <c r="AZ152" s="102">
        <f t="shared" si="23"/>
        <v>0</v>
      </c>
    </row>
    <row r="153" spans="1:52" x14ac:dyDescent="0.35">
      <c r="A153" t="s">
        <v>985</v>
      </c>
      <c r="B153">
        <v>2025</v>
      </c>
      <c r="C153" t="s">
        <v>837</v>
      </c>
      <c r="D153" t="s">
        <v>994</v>
      </c>
      <c r="E153" t="s">
        <v>986</v>
      </c>
      <c r="F153" t="s">
        <v>978</v>
      </c>
      <c r="G153" s="357"/>
      <c r="H153" s="198">
        <v>13889.4861</v>
      </c>
      <c r="I153" s="198">
        <v>5155.7920960000001</v>
      </c>
      <c r="J153" s="198">
        <v>0</v>
      </c>
      <c r="K153" s="198">
        <v>0</v>
      </c>
      <c r="L153" s="198">
        <v>61.624000000000009</v>
      </c>
      <c r="M153" s="198">
        <v>0</v>
      </c>
      <c r="N153" s="198">
        <v>0</v>
      </c>
      <c r="O153" s="198">
        <v>43.7989165083317</v>
      </c>
      <c r="P153" s="198">
        <v>0</v>
      </c>
      <c r="Q153" s="198">
        <v>0</v>
      </c>
      <c r="R153" s="198">
        <v>13.573345568952313</v>
      </c>
      <c r="S153" s="198">
        <v>2393.61</v>
      </c>
      <c r="T153" s="198">
        <v>105.7</v>
      </c>
      <c r="U153" s="198">
        <v>390.31189804456238</v>
      </c>
      <c r="V153" s="198">
        <v>310.31749394117043</v>
      </c>
      <c r="W153" s="198">
        <v>0</v>
      </c>
      <c r="X153" s="198">
        <v>0</v>
      </c>
      <c r="Y153" s="198">
        <v>181</v>
      </c>
      <c r="Z153" s="271">
        <v>22545.213850063014</v>
      </c>
      <c r="AA153" s="272">
        <v>27.23577125639758</v>
      </c>
      <c r="AB153" s="198">
        <v>4.5235271232152225</v>
      </c>
      <c r="AC153" s="272">
        <v>0</v>
      </c>
      <c r="AD153" s="198">
        <v>0</v>
      </c>
      <c r="AE153" s="198">
        <v>4.5235271232152225</v>
      </c>
      <c r="AF153" s="198">
        <v>338.61104334085383</v>
      </c>
      <c r="AG153" s="198">
        <v>0.14885938376648908</v>
      </c>
      <c r="AH153" s="198">
        <v>7.8654727736296437E-4</v>
      </c>
      <c r="AI153" s="198">
        <v>343.28525984932793</v>
      </c>
      <c r="AJ153" s="198">
        <v>0.14444529252555494</v>
      </c>
      <c r="AK153" s="198">
        <v>3.37073974750981</v>
      </c>
      <c r="AL153" s="198">
        <v>0.15781474476107382</v>
      </c>
      <c r="AM153" s="198">
        <v>2.8366554119927764E-2</v>
      </c>
      <c r="AN153" s="198">
        <v>1.1663582660319608E-2</v>
      </c>
      <c r="AO153" s="198">
        <v>2.3353875843596375E-3</v>
      </c>
      <c r="AP153" s="198">
        <v>1.9380129159882486E-3</v>
      </c>
      <c r="AQ153" s="198">
        <v>1.8407688440096415E-3</v>
      </c>
      <c r="AS153" s="258">
        <f t="shared" si="17"/>
        <v>30244.40437985953</v>
      </c>
      <c r="AT153" s="3">
        <f t="shared" si="18"/>
        <v>8.6362569661462043</v>
      </c>
      <c r="AU153" s="3">
        <f t="shared" si="19"/>
        <v>2.8990368565717732</v>
      </c>
      <c r="AV153" s="95">
        <f t="shared" si="20"/>
        <v>0</v>
      </c>
      <c r="AW153" s="95">
        <f t="shared" si="21"/>
        <v>0</v>
      </c>
      <c r="AX153" s="95">
        <f t="shared" si="24"/>
        <v>2.8990368565717732</v>
      </c>
      <c r="AY153" s="102">
        <f t="shared" si="22"/>
        <v>1</v>
      </c>
      <c r="AZ153" s="102">
        <f t="shared" si="23"/>
        <v>0</v>
      </c>
    </row>
    <row r="154" spans="1:52" x14ac:dyDescent="0.35">
      <c r="A154" t="s">
        <v>987</v>
      </c>
      <c r="B154">
        <v>2025</v>
      </c>
      <c r="C154" t="s">
        <v>837</v>
      </c>
      <c r="D154" t="s">
        <v>994</v>
      </c>
      <c r="E154" t="s">
        <v>986</v>
      </c>
      <c r="F154" t="s">
        <v>978</v>
      </c>
      <c r="G154" s="357">
        <v>21488.874500000002</v>
      </c>
      <c r="H154" s="198">
        <v>13889.4861</v>
      </c>
      <c r="I154" s="198">
        <v>4565.6027519999998</v>
      </c>
      <c r="J154" s="198">
        <v>0</v>
      </c>
      <c r="K154" s="198">
        <v>0</v>
      </c>
      <c r="L154" s="198">
        <v>61.624000000000009</v>
      </c>
      <c r="M154" s="198">
        <v>2363.7761950000004</v>
      </c>
      <c r="N154" s="198">
        <v>30</v>
      </c>
      <c r="O154" s="198">
        <v>0</v>
      </c>
      <c r="P154" s="198">
        <v>693.92399999999998</v>
      </c>
      <c r="Q154" s="198">
        <v>446.65199999999993</v>
      </c>
      <c r="R154" s="198">
        <v>0</v>
      </c>
      <c r="S154" s="198">
        <v>1141.0214559999999</v>
      </c>
      <c r="T154" s="198">
        <v>0</v>
      </c>
      <c r="U154" s="198">
        <v>390.31189804456238</v>
      </c>
      <c r="V154" s="198">
        <v>800.32646771940347</v>
      </c>
      <c r="W154" s="198">
        <v>13.421052631578949</v>
      </c>
      <c r="X154" s="198">
        <v>0</v>
      </c>
      <c r="Y154" s="198">
        <v>181</v>
      </c>
      <c r="Z154" s="271">
        <v>24577.145921395542</v>
      </c>
      <c r="AA154" s="272">
        <v>184.21781324363835</v>
      </c>
      <c r="AB154" s="198">
        <v>0.66878304454227133</v>
      </c>
      <c r="AC154" s="272">
        <v>277.62138719055554</v>
      </c>
      <c r="AD154" s="198">
        <v>0.99943699388599994</v>
      </c>
      <c r="AE154" s="198">
        <v>1.6682200384282713</v>
      </c>
      <c r="AF154" s="198">
        <v>50.062112664015679</v>
      </c>
      <c r="AG154" s="198">
        <v>2.2008187233611125E-2</v>
      </c>
      <c r="AH154" s="198">
        <v>1.1628746075857452E-4</v>
      </c>
      <c r="AI154" s="198">
        <v>50.753174453242913</v>
      </c>
      <c r="AJ154" s="198">
        <v>2.1355583789752247E-2</v>
      </c>
      <c r="AK154" s="198">
        <v>0.49834864018610237</v>
      </c>
      <c r="AL154" s="198">
        <v>2.3332196889747886E-2</v>
      </c>
      <c r="AM154" s="198">
        <v>1.8969926957619815E-2</v>
      </c>
      <c r="AN154" s="198">
        <v>5.5005122425108108E-3</v>
      </c>
      <c r="AO154" s="198">
        <v>3.4527650134749677E-4</v>
      </c>
      <c r="AP154" s="198">
        <v>8.2642087183061011E-4</v>
      </c>
      <c r="AQ154" s="198">
        <v>9.4714183716215696E-4</v>
      </c>
      <c r="AS154" s="258">
        <f t="shared" si="17"/>
        <v>32970.241253552114</v>
      </c>
      <c r="AT154" s="3">
        <f t="shared" si="18"/>
        <v>1.2768315674789985</v>
      </c>
      <c r="AU154" s="3">
        <f t="shared" si="19"/>
        <v>0.42860949926177333</v>
      </c>
      <c r="AV154" s="95">
        <f t="shared" si="20"/>
        <v>17.25063611111111</v>
      </c>
      <c r="AW154" s="95">
        <f t="shared" si="21"/>
        <v>0.62102289999999993</v>
      </c>
      <c r="AX154" s="95">
        <f t="shared" si="24"/>
        <v>1.0496323992617733</v>
      </c>
      <c r="AY154" s="102">
        <f t="shared" si="22"/>
        <v>0.40834248215205882</v>
      </c>
      <c r="AZ154" s="102">
        <f t="shared" si="23"/>
        <v>0.59165751784794118</v>
      </c>
    </row>
    <row r="155" spans="1:52" x14ac:dyDescent="0.35">
      <c r="A155" t="s">
        <v>988</v>
      </c>
      <c r="B155">
        <v>2025</v>
      </c>
      <c r="C155" t="s">
        <v>837</v>
      </c>
      <c r="D155" t="s">
        <v>994</v>
      </c>
      <c r="E155" t="s">
        <v>989</v>
      </c>
      <c r="F155" t="s">
        <v>978</v>
      </c>
      <c r="G155" s="357">
        <v>1544.4</v>
      </c>
      <c r="H155" s="198">
        <v>13889.4861</v>
      </c>
      <c r="I155" s="198">
        <v>0</v>
      </c>
      <c r="J155" s="198">
        <v>5453.1</v>
      </c>
      <c r="K155" s="198">
        <v>2729.3757999999998</v>
      </c>
      <c r="L155" s="198">
        <v>61.624000000000009</v>
      </c>
      <c r="M155" s="198">
        <v>845.53094340000007</v>
      </c>
      <c r="N155" s="198">
        <v>0</v>
      </c>
      <c r="O155" s="198">
        <v>0</v>
      </c>
      <c r="P155" s="198">
        <v>747.19200000000001</v>
      </c>
      <c r="Q155" s="198">
        <v>0</v>
      </c>
      <c r="R155" s="198">
        <v>0</v>
      </c>
      <c r="S155" s="198">
        <v>0</v>
      </c>
      <c r="T155" s="198">
        <v>0</v>
      </c>
      <c r="U155" s="198">
        <v>390.31189804456238</v>
      </c>
      <c r="V155" s="198">
        <v>770.61988179690513</v>
      </c>
      <c r="W155" s="198">
        <v>10.263157894736842</v>
      </c>
      <c r="X155" s="198">
        <v>213.60781728000001</v>
      </c>
      <c r="Y155" s="198">
        <v>181</v>
      </c>
      <c r="Z155" s="271">
        <v>25292.111598416206</v>
      </c>
      <c r="AA155" s="272">
        <v>56.893609195574456</v>
      </c>
      <c r="AB155" s="198">
        <v>2.1654760832009834</v>
      </c>
      <c r="AC155" s="272">
        <v>0</v>
      </c>
      <c r="AD155" s="198">
        <v>0</v>
      </c>
      <c r="AE155" s="198">
        <v>2.1654760832009834</v>
      </c>
      <c r="AF155" s="198">
        <v>0</v>
      </c>
      <c r="AG155" s="198">
        <v>0</v>
      </c>
      <c r="AH155" s="198">
        <v>0</v>
      </c>
      <c r="AI155" s="198">
        <v>0</v>
      </c>
      <c r="AJ155" s="198">
        <v>0</v>
      </c>
      <c r="AK155" s="198">
        <v>0</v>
      </c>
      <c r="AL155" s="198">
        <v>0</v>
      </c>
      <c r="AM155" s="198">
        <v>2.0244133490093411E-2</v>
      </c>
      <c r="AN155" s="198">
        <v>5.1735007808016587E-3</v>
      </c>
      <c r="AO155" s="198">
        <v>0</v>
      </c>
      <c r="AP155" s="198">
        <v>7.3968937710921221E-4</v>
      </c>
      <c r="AQ155" s="198">
        <v>9.247822354024565E-4</v>
      </c>
      <c r="AS155" s="258">
        <f t="shared" si="17"/>
        <v>33929.367709275335</v>
      </c>
      <c r="AT155" s="3">
        <f t="shared" si="18"/>
        <v>4.1342977281132773</v>
      </c>
      <c r="AU155" s="3">
        <f t="shared" si="19"/>
        <v>1.3878097347987637</v>
      </c>
      <c r="AV155" s="95">
        <f t="shared" si="20"/>
        <v>0</v>
      </c>
      <c r="AW155" s="95">
        <f t="shared" si="21"/>
        <v>0</v>
      </c>
      <c r="AX155" s="95">
        <f t="shared" si="24"/>
        <v>1.3878097347987637</v>
      </c>
      <c r="AY155" s="102">
        <f t="shared" si="22"/>
        <v>1</v>
      </c>
      <c r="AZ155" s="102">
        <f t="shared" si="23"/>
        <v>0</v>
      </c>
    </row>
    <row r="156" spans="1:52" x14ac:dyDescent="0.35">
      <c r="A156" t="s">
        <v>990</v>
      </c>
      <c r="B156">
        <v>2025</v>
      </c>
      <c r="C156" t="s">
        <v>837</v>
      </c>
      <c r="D156" t="s">
        <v>994</v>
      </c>
      <c r="E156" t="s">
        <v>989</v>
      </c>
      <c r="F156" t="s">
        <v>978</v>
      </c>
      <c r="G156" s="357">
        <v>1684.8</v>
      </c>
      <c r="H156" s="198">
        <v>13889.4861</v>
      </c>
      <c r="I156" s="198">
        <v>0</v>
      </c>
      <c r="J156" s="198">
        <v>5620.86</v>
      </c>
      <c r="K156" s="198">
        <v>3298.9733999999999</v>
      </c>
      <c r="L156" s="198">
        <v>61.624000000000009</v>
      </c>
      <c r="M156" s="198">
        <v>922.39739280000003</v>
      </c>
      <c r="N156" s="198">
        <v>0</v>
      </c>
      <c r="O156" s="198">
        <v>0</v>
      </c>
      <c r="P156" s="198">
        <v>763.75800000000004</v>
      </c>
      <c r="Q156" s="198">
        <v>0</v>
      </c>
      <c r="R156" s="198">
        <v>0</v>
      </c>
      <c r="S156" s="198">
        <v>0</v>
      </c>
      <c r="T156" s="198">
        <v>0</v>
      </c>
      <c r="U156" s="198">
        <v>390.31189804456238</v>
      </c>
      <c r="V156" s="198">
        <v>770.61988179690513</v>
      </c>
      <c r="W156" s="198">
        <v>10.263157894736842</v>
      </c>
      <c r="X156" s="198">
        <v>233.02670975999999</v>
      </c>
      <c r="Y156" s="198">
        <v>181</v>
      </c>
      <c r="Z156" s="271">
        <v>26142.320540296205</v>
      </c>
      <c r="AA156" s="272">
        <v>56.079736039506976</v>
      </c>
      <c r="AB156" s="198">
        <v>2.1969031721762566</v>
      </c>
      <c r="AC156" s="272">
        <v>0</v>
      </c>
      <c r="AD156" s="198">
        <v>0</v>
      </c>
      <c r="AE156" s="198">
        <v>2.1969031721762566</v>
      </c>
      <c r="AF156" s="198">
        <v>0</v>
      </c>
      <c r="AG156" s="198">
        <v>0</v>
      </c>
      <c r="AH156" s="198">
        <v>0</v>
      </c>
      <c r="AI156" s="198">
        <v>0</v>
      </c>
      <c r="AJ156" s="198">
        <v>0</v>
      </c>
      <c r="AK156" s="198">
        <v>0</v>
      </c>
      <c r="AL156" s="198">
        <v>0</v>
      </c>
      <c r="AM156" s="198">
        <v>2.0537932248415429E-2</v>
      </c>
      <c r="AN156" s="198">
        <v>5.248582685706174E-3</v>
      </c>
      <c r="AO156" s="198">
        <v>0</v>
      </c>
      <c r="AP156" s="198">
        <v>7.5042433005965677E-4</v>
      </c>
      <c r="AQ156" s="198">
        <v>9.3820340122377748E-4</v>
      </c>
      <c r="AS156" s="258">
        <f t="shared" si="17"/>
        <v>35069.923004807359</v>
      </c>
      <c r="AT156" s="3">
        <f t="shared" si="18"/>
        <v>4.1942979024673743</v>
      </c>
      <c r="AU156" s="3">
        <f t="shared" si="19"/>
        <v>1.4079507192015099</v>
      </c>
      <c r="AV156" s="95">
        <f t="shared" si="20"/>
        <v>0</v>
      </c>
      <c r="AW156" s="95">
        <f t="shared" si="21"/>
        <v>0</v>
      </c>
      <c r="AX156" s="95">
        <f t="shared" si="24"/>
        <v>1.4079507192015099</v>
      </c>
      <c r="AY156" s="102">
        <f t="shared" si="22"/>
        <v>1</v>
      </c>
      <c r="AZ156" s="102">
        <f t="shared" si="23"/>
        <v>0</v>
      </c>
    </row>
    <row r="157" spans="1:52" x14ac:dyDescent="0.35">
      <c r="A157" t="s">
        <v>991</v>
      </c>
      <c r="B157">
        <v>2025</v>
      </c>
      <c r="C157" t="s">
        <v>837</v>
      </c>
      <c r="D157" t="s">
        <v>994</v>
      </c>
      <c r="E157" t="s">
        <v>986</v>
      </c>
      <c r="F157" t="s">
        <v>978</v>
      </c>
      <c r="G157" s="357">
        <v>1825.2</v>
      </c>
      <c r="H157" s="198">
        <v>13889.4861</v>
      </c>
      <c r="I157" s="198">
        <v>4565.6027524324099</v>
      </c>
      <c r="J157" s="198">
        <v>0</v>
      </c>
      <c r="K157" s="198">
        <v>0</v>
      </c>
      <c r="L157" s="198">
        <v>61.624000000000009</v>
      </c>
      <c r="M157" s="198">
        <v>999.2638422</v>
      </c>
      <c r="N157" s="198">
        <v>0</v>
      </c>
      <c r="O157" s="198">
        <v>0</v>
      </c>
      <c r="P157" s="198">
        <v>531.11400000000003</v>
      </c>
      <c r="Q157" s="198">
        <v>393.19799999999998</v>
      </c>
      <c r="R157" s="198">
        <v>0</v>
      </c>
      <c r="S157" s="198">
        <v>1041.9591652567599</v>
      </c>
      <c r="T157" s="198">
        <v>0</v>
      </c>
      <c r="U157" s="198">
        <v>390.31189804456238</v>
      </c>
      <c r="V157" s="198">
        <v>804.1386572806407</v>
      </c>
      <c r="W157" s="198">
        <v>10.263157894736842</v>
      </c>
      <c r="X157" s="198">
        <v>252.44560224</v>
      </c>
      <c r="Y157" s="198">
        <v>181</v>
      </c>
      <c r="Z157" s="271">
        <v>23120.407175349112</v>
      </c>
      <c r="AA157" s="272">
        <v>39.998886039392573</v>
      </c>
      <c r="AB157" s="198">
        <v>3.0801295285740156</v>
      </c>
      <c r="AC157" s="272">
        <v>0</v>
      </c>
      <c r="AD157" s="198">
        <v>0</v>
      </c>
      <c r="AE157" s="198">
        <v>3.0801295285740156</v>
      </c>
      <c r="AF157" s="198">
        <v>230.56474403409848</v>
      </c>
      <c r="AG157" s="198">
        <v>0.10136032592606595</v>
      </c>
      <c r="AH157" s="198">
        <v>5.3557045832482695E-4</v>
      </c>
      <c r="AI157" s="198">
        <v>233.74747996085156</v>
      </c>
      <c r="AJ157" s="198">
        <v>9.8354712739124911E-2</v>
      </c>
      <c r="AK157" s="198">
        <v>2.2951813367405141</v>
      </c>
      <c r="AL157" s="198">
        <v>0.10745814983363093</v>
      </c>
      <c r="AM157" s="198">
        <v>1.931516239181514E-2</v>
      </c>
      <c r="AN157" s="198">
        <v>7.9418879079207021E-3</v>
      </c>
      <c r="AO157" s="198">
        <v>1.5901963364681729E-3</v>
      </c>
      <c r="AP157" s="198">
        <v>1.3196186618751541E-3</v>
      </c>
      <c r="AQ157" s="198">
        <v>1.2534038853475871E-3</v>
      </c>
      <c r="AS157" s="258">
        <f t="shared" si="17"/>
        <v>31016.026225730831</v>
      </c>
      <c r="AT157" s="3">
        <f t="shared" si="18"/>
        <v>5.8805417483321527</v>
      </c>
      <c r="AU157" s="3">
        <f t="shared" si="19"/>
        <v>1.9739925909860101</v>
      </c>
      <c r="AV157" s="95">
        <f t="shared" si="20"/>
        <v>0</v>
      </c>
      <c r="AW157" s="95">
        <f t="shared" si="21"/>
        <v>0</v>
      </c>
      <c r="AX157" s="95">
        <f t="shared" si="24"/>
        <v>1.9739925909860101</v>
      </c>
      <c r="AY157" s="102">
        <f t="shared" si="22"/>
        <v>1</v>
      </c>
      <c r="AZ157" s="102">
        <f t="shared" si="23"/>
        <v>0</v>
      </c>
    </row>
    <row r="158" spans="1:52" x14ac:dyDescent="0.35">
      <c r="A158" t="s">
        <v>992</v>
      </c>
      <c r="B158">
        <v>2025</v>
      </c>
      <c r="C158" t="s">
        <v>837</v>
      </c>
      <c r="D158" t="s">
        <v>994</v>
      </c>
      <c r="E158" t="s">
        <v>986</v>
      </c>
      <c r="F158" t="s">
        <v>978</v>
      </c>
      <c r="G158" s="357">
        <v>9542.9879999999994</v>
      </c>
      <c r="H158" s="198">
        <v>13889.4861</v>
      </c>
      <c r="I158" s="198">
        <v>4565.6027524324099</v>
      </c>
      <c r="J158" s="198">
        <v>0</v>
      </c>
      <c r="K158" s="198">
        <v>0</v>
      </c>
      <c r="L158" s="198">
        <v>61.624000000000009</v>
      </c>
      <c r="M158" s="198">
        <v>1248.3326040000002</v>
      </c>
      <c r="N158" s="198">
        <v>30</v>
      </c>
      <c r="O158" s="198">
        <v>0</v>
      </c>
      <c r="P158" s="198">
        <v>543.97799999999995</v>
      </c>
      <c r="Q158" s="198">
        <v>404.11799999999994</v>
      </c>
      <c r="R158" s="198">
        <v>0</v>
      </c>
      <c r="S158" s="198">
        <v>1051.93563160897</v>
      </c>
      <c r="T158" s="198">
        <v>0</v>
      </c>
      <c r="U158" s="198">
        <v>390.31189804456238</v>
      </c>
      <c r="V158" s="198">
        <v>805.06965678303436</v>
      </c>
      <c r="W158" s="198">
        <v>10.263157894736842</v>
      </c>
      <c r="X158" s="198">
        <v>266.20349759999999</v>
      </c>
      <c r="Y158" s="198">
        <v>181</v>
      </c>
      <c r="Z158" s="271">
        <v>23447.925298363709</v>
      </c>
      <c r="AA158" s="272">
        <v>78.498262222642424</v>
      </c>
      <c r="AB158" s="198">
        <v>1.569483788705619</v>
      </c>
      <c r="AC158" s="272">
        <v>194.403887825754</v>
      </c>
      <c r="AD158" s="198">
        <v>0.69985399617271438</v>
      </c>
      <c r="AE158" s="198">
        <v>2.2693377848783332</v>
      </c>
      <c r="AF158" s="198">
        <v>117.48454883198022</v>
      </c>
      <c r="AG158" s="198">
        <v>5.1648278711359262E-2</v>
      </c>
      <c r="AH158" s="198">
        <v>2.7290058559310208E-4</v>
      </c>
      <c r="AI158" s="198">
        <v>119.10631583704593</v>
      </c>
      <c r="AJ158" s="198">
        <v>5.0116764816160279E-2</v>
      </c>
      <c r="AK158" s="198">
        <v>1.169512472360744</v>
      </c>
      <c r="AL158" s="198">
        <v>5.4755432381528302E-2</v>
      </c>
      <c r="AM158" s="198">
        <v>9.8420647472591671E-3</v>
      </c>
      <c r="AN158" s="198">
        <v>4.046798749067348E-3</v>
      </c>
      <c r="AO158" s="198">
        <v>8.1028649860102441E-4</v>
      </c>
      <c r="AP158" s="198">
        <v>6.7241331180163287E-4</v>
      </c>
      <c r="AQ158" s="198">
        <v>6.3867349100231268E-4</v>
      </c>
      <c r="AS158" s="258">
        <f t="shared" si="17"/>
        <v>31455.391787754914</v>
      </c>
      <c r="AT158" s="3">
        <f t="shared" si="18"/>
        <v>2.9964372787552174</v>
      </c>
      <c r="AU158" s="3">
        <f t="shared" si="19"/>
        <v>1.0058503520181088</v>
      </c>
      <c r="AV158" s="95">
        <f t="shared" si="20"/>
        <v>12.07972757936508</v>
      </c>
      <c r="AW158" s="95">
        <f t="shared" si="21"/>
        <v>0.4348701928571429</v>
      </c>
      <c r="AX158" s="95">
        <f t="shared" si="24"/>
        <v>1.4407205448752518</v>
      </c>
      <c r="AY158" s="102">
        <f t="shared" si="22"/>
        <v>0.69815784580569218</v>
      </c>
      <c r="AZ158" s="102">
        <f t="shared" si="23"/>
        <v>0.30184215419430782</v>
      </c>
    </row>
    <row r="159" spans="1:52" x14ac:dyDescent="0.35">
      <c r="A159" t="s">
        <v>975</v>
      </c>
      <c r="B159">
        <v>2025</v>
      </c>
      <c r="C159" t="s">
        <v>837</v>
      </c>
      <c r="D159" t="s">
        <v>995</v>
      </c>
      <c r="E159" t="s">
        <v>977</v>
      </c>
      <c r="F159" t="s">
        <v>978</v>
      </c>
      <c r="G159" s="357">
        <v>70351.787500000006</v>
      </c>
      <c r="H159" s="198">
        <v>14856.370999999999</v>
      </c>
      <c r="I159" s="198">
        <v>0</v>
      </c>
      <c r="J159" s="198">
        <v>0</v>
      </c>
      <c r="K159" s="198">
        <v>0</v>
      </c>
      <c r="L159" s="198">
        <v>61.624000000000009</v>
      </c>
      <c r="M159" s="198">
        <v>7035.17875</v>
      </c>
      <c r="N159" s="198">
        <v>30</v>
      </c>
      <c r="O159" s="198">
        <v>0</v>
      </c>
      <c r="P159" s="198">
        <v>1160.1120000000001</v>
      </c>
      <c r="Q159" s="198">
        <v>0</v>
      </c>
      <c r="R159" s="198">
        <v>0</v>
      </c>
      <c r="S159" s="198">
        <v>0</v>
      </c>
      <c r="T159" s="198">
        <v>0</v>
      </c>
      <c r="U159" s="198">
        <v>473.91522697219403</v>
      </c>
      <c r="V159" s="198">
        <v>770.61988179690513</v>
      </c>
      <c r="W159" s="198">
        <v>13.421052631578949</v>
      </c>
      <c r="X159" s="198">
        <v>0</v>
      </c>
      <c r="Y159" s="198">
        <v>181</v>
      </c>
      <c r="Z159" s="271">
        <v>24582.241911400677</v>
      </c>
      <c r="AA159" s="272">
        <v>0</v>
      </c>
      <c r="AB159" s="198">
        <v>0</v>
      </c>
      <c r="AC159" s="272">
        <v>344.9852335443872</v>
      </c>
      <c r="AD159" s="198">
        <v>1.2419468407597938</v>
      </c>
      <c r="AE159" s="198">
        <v>1.2419468407597938</v>
      </c>
      <c r="AF159" s="198">
        <v>0</v>
      </c>
      <c r="AG159" s="198">
        <v>0</v>
      </c>
      <c r="AH159" s="198">
        <v>0</v>
      </c>
      <c r="AI159" s="198">
        <v>0</v>
      </c>
      <c r="AJ159" s="198">
        <v>0</v>
      </c>
      <c r="AK159" s="198">
        <v>0</v>
      </c>
      <c r="AL159" s="198">
        <v>0</v>
      </c>
      <c r="AM159" s="198">
        <v>1.8361418765951605E-2</v>
      </c>
      <c r="AN159" s="198">
        <v>4.6923625735209532E-3</v>
      </c>
      <c r="AO159" s="198">
        <v>0</v>
      </c>
      <c r="AP159" s="198">
        <v>6.7089788834253424E-4</v>
      </c>
      <c r="AQ159" s="198">
        <v>8.3877701655378956E-4</v>
      </c>
      <c r="AS159" s="258">
        <f t="shared" si="17"/>
        <v>32977.077524144006</v>
      </c>
      <c r="AT159" s="3">
        <f t="shared" si="18"/>
        <v>0</v>
      </c>
      <c r="AU159" s="3">
        <f t="shared" si="19"/>
        <v>0</v>
      </c>
      <c r="AV159" s="95">
        <f t="shared" si="20"/>
        <v>21.436441867124859</v>
      </c>
      <c r="AW159" s="95">
        <f t="shared" si="21"/>
        <v>0.77171190721649496</v>
      </c>
      <c r="AX159" s="95">
        <f t="shared" si="24"/>
        <v>0.77171190721649496</v>
      </c>
      <c r="AY159" s="102">
        <f t="shared" si="22"/>
        <v>0</v>
      </c>
      <c r="AZ159" s="102">
        <f t="shared" si="23"/>
        <v>1</v>
      </c>
    </row>
    <row r="160" spans="1:52" x14ac:dyDescent="0.35">
      <c r="A160" t="s">
        <v>979</v>
      </c>
      <c r="B160">
        <v>2025</v>
      </c>
      <c r="C160" t="s">
        <v>837</v>
      </c>
      <c r="D160" t="s">
        <v>995</v>
      </c>
      <c r="E160" t="s">
        <v>977</v>
      </c>
      <c r="F160" t="s">
        <v>978</v>
      </c>
      <c r="G160" s="357">
        <v>108730.52929999999</v>
      </c>
      <c r="H160" s="198">
        <v>14856.370999999999</v>
      </c>
      <c r="I160" s="198">
        <v>0</v>
      </c>
      <c r="J160" s="198">
        <v>0</v>
      </c>
      <c r="K160" s="198">
        <v>0</v>
      </c>
      <c r="L160" s="198">
        <v>61.624000000000009</v>
      </c>
      <c r="M160" s="198">
        <v>10873.05293</v>
      </c>
      <c r="N160" s="198">
        <v>30</v>
      </c>
      <c r="O160" s="198">
        <v>0</v>
      </c>
      <c r="P160" s="198">
        <v>1234.212</v>
      </c>
      <c r="Q160" s="198">
        <v>0</v>
      </c>
      <c r="R160" s="198">
        <v>0</v>
      </c>
      <c r="S160" s="198">
        <v>0</v>
      </c>
      <c r="T160" s="198">
        <v>0</v>
      </c>
      <c r="U160" s="198">
        <v>473.91522697219403</v>
      </c>
      <c r="V160" s="198">
        <v>770.61988179690513</v>
      </c>
      <c r="W160" s="198">
        <v>13.421052631578949</v>
      </c>
      <c r="X160" s="198">
        <v>0</v>
      </c>
      <c r="Y160" s="198">
        <v>181</v>
      </c>
      <c r="Z160" s="271">
        <v>28494.216091400678</v>
      </c>
      <c r="AA160" s="272">
        <v>0</v>
      </c>
      <c r="AB160" s="198">
        <v>0</v>
      </c>
      <c r="AC160" s="272">
        <v>356.44862741216662</v>
      </c>
      <c r="AD160" s="198">
        <v>1.2832150586837998</v>
      </c>
      <c r="AE160" s="198">
        <v>1.2832150586837998</v>
      </c>
      <c r="AF160" s="198">
        <v>0</v>
      </c>
      <c r="AG160" s="198">
        <v>0</v>
      </c>
      <c r="AH160" s="198">
        <v>0</v>
      </c>
      <c r="AI160" s="198">
        <v>0</v>
      </c>
      <c r="AJ160" s="198">
        <v>0</v>
      </c>
      <c r="AK160" s="198">
        <v>0</v>
      </c>
      <c r="AL160" s="198">
        <v>0</v>
      </c>
      <c r="AM160" s="198">
        <v>1.8971543938912837E-2</v>
      </c>
      <c r="AN160" s="198">
        <v>4.8482834510554899E-3</v>
      </c>
      <c r="AO160" s="198">
        <v>0</v>
      </c>
      <c r="AP160" s="198">
        <v>6.9319092001846093E-4</v>
      </c>
      <c r="AQ160" s="198">
        <v>8.6664844516309532E-4</v>
      </c>
      <c r="AS160" s="258">
        <f t="shared" si="17"/>
        <v>38224.99088661401</v>
      </c>
      <c r="AT160" s="3">
        <f t="shared" si="18"/>
        <v>0</v>
      </c>
      <c r="AU160" s="3">
        <f t="shared" si="19"/>
        <v>0</v>
      </c>
      <c r="AV160" s="95">
        <f t="shared" si="20"/>
        <v>22.14874590901653</v>
      </c>
      <c r="AW160" s="95">
        <f t="shared" si="21"/>
        <v>0.79735485272459516</v>
      </c>
      <c r="AX160" s="95">
        <f t="shared" si="24"/>
        <v>0.79735485272459516</v>
      </c>
      <c r="AY160" s="102">
        <f t="shared" si="22"/>
        <v>0</v>
      </c>
      <c r="AZ160" s="102">
        <f t="shared" si="23"/>
        <v>1</v>
      </c>
    </row>
    <row r="161" spans="1:52" x14ac:dyDescent="0.35">
      <c r="A161" t="s">
        <v>980</v>
      </c>
      <c r="B161">
        <v>2025</v>
      </c>
      <c r="C161" t="s">
        <v>837</v>
      </c>
      <c r="D161" t="s">
        <v>995</v>
      </c>
      <c r="E161" t="s">
        <v>977</v>
      </c>
      <c r="F161" t="s">
        <v>978</v>
      </c>
      <c r="G161" s="357">
        <v>161520.0048</v>
      </c>
      <c r="H161" s="198">
        <v>14856.370999999999</v>
      </c>
      <c r="I161" s="198">
        <v>0</v>
      </c>
      <c r="J161" s="198">
        <v>0</v>
      </c>
      <c r="K161" s="198">
        <v>0</v>
      </c>
      <c r="L161" s="198">
        <v>61.624000000000009</v>
      </c>
      <c r="M161" s="198">
        <v>16152.000479999999</v>
      </c>
      <c r="N161" s="198">
        <v>30</v>
      </c>
      <c r="O161" s="198">
        <v>0</v>
      </c>
      <c r="P161" s="198">
        <v>1334.568</v>
      </c>
      <c r="Q161" s="198">
        <v>0</v>
      </c>
      <c r="R161" s="198">
        <v>0</v>
      </c>
      <c r="S161" s="198">
        <v>0</v>
      </c>
      <c r="T161" s="198">
        <v>0</v>
      </c>
      <c r="U161" s="198">
        <v>473.91522697219403</v>
      </c>
      <c r="V161" s="198">
        <v>770.61988179690513</v>
      </c>
      <c r="W161" s="198">
        <v>13.421052631578949</v>
      </c>
      <c r="X161" s="198">
        <v>0</v>
      </c>
      <c r="Y161" s="198">
        <v>181</v>
      </c>
      <c r="Z161" s="271">
        <v>33873.519641400679</v>
      </c>
      <c r="AA161" s="272">
        <v>0</v>
      </c>
      <c r="AB161" s="198">
        <v>0</v>
      </c>
      <c r="AC161" s="272">
        <v>390.05628686266573</v>
      </c>
      <c r="AD161" s="198">
        <v>1.4042026327055965</v>
      </c>
      <c r="AE161" s="198">
        <v>1.4042026327055965</v>
      </c>
      <c r="AF161" s="198">
        <v>0</v>
      </c>
      <c r="AG161" s="198">
        <v>0</v>
      </c>
      <c r="AH161" s="198">
        <v>0</v>
      </c>
      <c r="AI161" s="198">
        <v>0</v>
      </c>
      <c r="AJ161" s="198">
        <v>0</v>
      </c>
      <c r="AK161" s="198">
        <v>0</v>
      </c>
      <c r="AL161" s="198">
        <v>0</v>
      </c>
      <c r="AM161" s="198">
        <v>2.076027066954465E-2</v>
      </c>
      <c r="AN161" s="198">
        <v>5.3054025044391752E-3</v>
      </c>
      <c r="AO161" s="198">
        <v>0</v>
      </c>
      <c r="AP161" s="198">
        <v>7.5854823263681048E-4</v>
      </c>
      <c r="AQ161" s="198">
        <v>9.4836015217625487E-4</v>
      </c>
      <c r="AS161" s="258">
        <f t="shared" si="17"/>
        <v>45441.326598939006</v>
      </c>
      <c r="AT161" s="3">
        <f t="shared" si="18"/>
        <v>0</v>
      </c>
      <c r="AU161" s="3">
        <f t="shared" si="19"/>
        <v>0</v>
      </c>
      <c r="AV161" s="95">
        <f t="shared" si="20"/>
        <v>24.237034241531667</v>
      </c>
      <c r="AW161" s="95">
        <f t="shared" si="21"/>
        <v>0.87253323269513994</v>
      </c>
      <c r="AX161" s="95">
        <f t="shared" si="24"/>
        <v>0.87253323269513994</v>
      </c>
      <c r="AY161" s="102">
        <f t="shared" si="22"/>
        <v>0</v>
      </c>
      <c r="AZ161" s="102">
        <f t="shared" si="23"/>
        <v>1</v>
      </c>
    </row>
    <row r="162" spans="1:52" x14ac:dyDescent="0.35">
      <c r="A162" t="s">
        <v>981</v>
      </c>
      <c r="B162">
        <v>2025</v>
      </c>
      <c r="C162" t="s">
        <v>837</v>
      </c>
      <c r="D162" t="s">
        <v>995</v>
      </c>
      <c r="E162" t="s">
        <v>977</v>
      </c>
      <c r="F162" t="s">
        <v>978</v>
      </c>
      <c r="G162" s="357">
        <v>220038.9516</v>
      </c>
      <c r="H162" s="198">
        <v>14856.370999999999</v>
      </c>
      <c r="I162" s="198">
        <v>0</v>
      </c>
      <c r="J162" s="198">
        <v>0</v>
      </c>
      <c r="K162" s="198">
        <v>0</v>
      </c>
      <c r="L162" s="198">
        <v>61.624000000000009</v>
      </c>
      <c r="M162" s="198">
        <v>22003.89516</v>
      </c>
      <c r="N162" s="198">
        <v>30</v>
      </c>
      <c r="O162" s="198">
        <v>0</v>
      </c>
      <c r="P162" s="198">
        <v>1455.1079999999999</v>
      </c>
      <c r="Q162" s="198">
        <v>0</v>
      </c>
      <c r="R162" s="198">
        <v>0</v>
      </c>
      <c r="S162" s="198">
        <v>0</v>
      </c>
      <c r="T162" s="198">
        <v>0</v>
      </c>
      <c r="U162" s="198">
        <v>473.91522697219403</v>
      </c>
      <c r="V162" s="198">
        <v>770.61988179690513</v>
      </c>
      <c r="W162" s="198">
        <v>13.421052631578949</v>
      </c>
      <c r="X162" s="198">
        <v>0</v>
      </c>
      <c r="Y162" s="198">
        <v>181</v>
      </c>
      <c r="Z162" s="271">
        <v>39845.954321400677</v>
      </c>
      <c r="AA162" s="272">
        <v>0</v>
      </c>
      <c r="AB162" s="198">
        <v>0</v>
      </c>
      <c r="AC162" s="272">
        <v>422.16682360832925</v>
      </c>
      <c r="AD162" s="198">
        <v>1.5198005649899853</v>
      </c>
      <c r="AE162" s="198">
        <v>1.5198005649899853</v>
      </c>
      <c r="AF162" s="198">
        <v>0</v>
      </c>
      <c r="AG162" s="198">
        <v>0</v>
      </c>
      <c r="AH162" s="198">
        <v>0</v>
      </c>
      <c r="AI162" s="198">
        <v>0</v>
      </c>
      <c r="AJ162" s="198">
        <v>0</v>
      </c>
      <c r="AK162" s="198">
        <v>0</v>
      </c>
      <c r="AL162" s="198">
        <v>0</v>
      </c>
      <c r="AM162" s="198">
        <v>2.2469314868129881E-2</v>
      </c>
      <c r="AN162" s="198">
        <v>5.7421582440776208E-3</v>
      </c>
      <c r="AO162" s="198">
        <v>0</v>
      </c>
      <c r="AP162" s="198">
        <v>8.2099406857847907E-4</v>
      </c>
      <c r="AQ162" s="198">
        <v>1.0264318421867292E-3</v>
      </c>
      <c r="AS162" s="258">
        <f t="shared" si="17"/>
        <v>53453.347722159007</v>
      </c>
      <c r="AT162" s="3">
        <f t="shared" si="18"/>
        <v>0</v>
      </c>
      <c r="AU162" s="3">
        <f t="shared" si="19"/>
        <v>0</v>
      </c>
      <c r="AV162" s="95">
        <f t="shared" si="20"/>
        <v>26.232295450826381</v>
      </c>
      <c r="AW162" s="95">
        <f t="shared" si="21"/>
        <v>0.94436263622974981</v>
      </c>
      <c r="AX162" s="95">
        <f t="shared" si="24"/>
        <v>0.94436263622974981</v>
      </c>
      <c r="AY162" s="102">
        <f t="shared" si="22"/>
        <v>0</v>
      </c>
      <c r="AZ162" s="102">
        <f t="shared" si="23"/>
        <v>1</v>
      </c>
    </row>
    <row r="163" spans="1:52" x14ac:dyDescent="0.35">
      <c r="A163" t="s">
        <v>982</v>
      </c>
      <c r="B163">
        <v>2025</v>
      </c>
      <c r="C163" t="s">
        <v>837</v>
      </c>
      <c r="D163" t="s">
        <v>995</v>
      </c>
      <c r="E163" t="s">
        <v>983</v>
      </c>
      <c r="F163" t="s">
        <v>978</v>
      </c>
      <c r="G163" s="357"/>
      <c r="H163" s="198">
        <v>14856.370999999999</v>
      </c>
      <c r="I163" s="198">
        <v>8704.8980535628107</v>
      </c>
      <c r="J163" s="198">
        <v>0</v>
      </c>
      <c r="K163" s="198">
        <v>0</v>
      </c>
      <c r="L163" s="198">
        <v>61.624000000000009</v>
      </c>
      <c r="M163" s="198">
        <v>0</v>
      </c>
      <c r="N163" s="198">
        <v>0</v>
      </c>
      <c r="O163" s="198">
        <v>43.7989165083317</v>
      </c>
      <c r="P163" s="198">
        <v>0</v>
      </c>
      <c r="Q163" s="198">
        <v>0</v>
      </c>
      <c r="R163" s="198">
        <v>13.573345568952313</v>
      </c>
      <c r="S163" s="198">
        <v>2393.61</v>
      </c>
      <c r="T163" s="198">
        <v>105.7</v>
      </c>
      <c r="U163" s="198">
        <v>473.91522697219403</v>
      </c>
      <c r="V163" s="198">
        <v>361.90267036739147</v>
      </c>
      <c r="W163" s="198">
        <v>0</v>
      </c>
      <c r="X163" s="198">
        <v>0</v>
      </c>
      <c r="Y163" s="198">
        <v>181</v>
      </c>
      <c r="Z163" s="271">
        <v>27196.393212979678</v>
      </c>
      <c r="AA163" s="272">
        <v>26.012693320117954</v>
      </c>
      <c r="AB163" s="198">
        <v>4.7362166033271542</v>
      </c>
      <c r="AC163" s="272">
        <v>0</v>
      </c>
      <c r="AD163" s="198">
        <v>0</v>
      </c>
      <c r="AE163" s="198">
        <v>4.7362166033271542</v>
      </c>
      <c r="AF163" s="198">
        <v>354.53202818445425</v>
      </c>
      <c r="AG163" s="198">
        <v>0.15585852936254185</v>
      </c>
      <c r="AH163" s="198">
        <v>8.2352955401324298E-4</v>
      </c>
      <c r="AI163" s="198">
        <v>359.4260193625696</v>
      </c>
      <c r="AJ163" s="198">
        <v>0.15123689415301234</v>
      </c>
      <c r="AK163" s="198">
        <v>3.5292268892826915</v>
      </c>
      <c r="AL163" s="198">
        <v>0.16523495803778174</v>
      </c>
      <c r="AM163" s="198">
        <v>2.9700307070666367E-2</v>
      </c>
      <c r="AN163" s="198">
        <v>1.2211986873380383E-2</v>
      </c>
      <c r="AO163" s="198">
        <v>2.4451940158560091E-3</v>
      </c>
      <c r="AP163" s="198">
        <v>2.0291353848768115E-3</v>
      </c>
      <c r="AQ163" s="198">
        <v>1.9273190420684462E-3</v>
      </c>
      <c r="AS163" s="258">
        <f t="shared" si="17"/>
        <v>36483.961495212236</v>
      </c>
      <c r="AT163" s="3">
        <f t="shared" si="18"/>
        <v>9.0423208526244814</v>
      </c>
      <c r="AU163" s="3">
        <f t="shared" si="19"/>
        <v>3.0353452338743314</v>
      </c>
      <c r="AV163" s="95">
        <f t="shared" si="20"/>
        <v>0</v>
      </c>
      <c r="AW163" s="95">
        <f t="shared" si="21"/>
        <v>0</v>
      </c>
      <c r="AX163" s="95">
        <f t="shared" si="24"/>
        <v>3.0353452338743314</v>
      </c>
      <c r="AY163" s="102">
        <f t="shared" si="22"/>
        <v>1</v>
      </c>
      <c r="AZ163" s="102">
        <f t="shared" si="23"/>
        <v>0</v>
      </c>
    </row>
    <row r="164" spans="1:52" x14ac:dyDescent="0.35">
      <c r="A164" t="s">
        <v>984</v>
      </c>
      <c r="B164">
        <v>2025</v>
      </c>
      <c r="C164" t="s">
        <v>837</v>
      </c>
      <c r="D164" t="s">
        <v>995</v>
      </c>
      <c r="E164" t="s">
        <v>240</v>
      </c>
      <c r="F164" t="s">
        <v>978</v>
      </c>
      <c r="G164" s="357"/>
      <c r="H164" s="198">
        <v>14856.370999999999</v>
      </c>
      <c r="I164" s="198">
        <v>9804.1527619999997</v>
      </c>
      <c r="J164" s="198">
        <v>0</v>
      </c>
      <c r="K164" s="198">
        <v>0</v>
      </c>
      <c r="L164" s="198">
        <v>61.624000000000009</v>
      </c>
      <c r="M164" s="198">
        <v>0</v>
      </c>
      <c r="N164" s="198">
        <v>0</v>
      </c>
      <c r="O164" s="198">
        <v>43.7989165083317</v>
      </c>
      <c r="P164" s="198">
        <v>0</v>
      </c>
      <c r="Q164" s="198">
        <v>0</v>
      </c>
      <c r="R164" s="198">
        <v>13.573345568952313</v>
      </c>
      <c r="S164" s="198">
        <v>2393.61</v>
      </c>
      <c r="T164" s="198">
        <v>105.7</v>
      </c>
      <c r="U164" s="198">
        <v>473.91522697219403</v>
      </c>
      <c r="V164" s="198">
        <v>340.20405447814773</v>
      </c>
      <c r="W164" s="198">
        <v>0</v>
      </c>
      <c r="X164" s="198">
        <v>0</v>
      </c>
      <c r="Y164" s="198">
        <v>181</v>
      </c>
      <c r="Z164" s="271">
        <v>28273.949305527622</v>
      </c>
      <c r="AA164" s="272">
        <v>22.786182939880337</v>
      </c>
      <c r="AB164" s="198">
        <v>5.4068621464621227</v>
      </c>
      <c r="AC164" s="272">
        <v>0</v>
      </c>
      <c r="AD164" s="198">
        <v>0</v>
      </c>
      <c r="AE164" s="198">
        <v>5.4068621464621227</v>
      </c>
      <c r="AF164" s="198">
        <v>0</v>
      </c>
      <c r="AG164" s="198">
        <v>0</v>
      </c>
      <c r="AH164" s="198">
        <v>0</v>
      </c>
      <c r="AI164" s="198">
        <v>0</v>
      </c>
      <c r="AJ164" s="198">
        <v>0</v>
      </c>
      <c r="AK164" s="198">
        <v>0</v>
      </c>
      <c r="AL164" s="198">
        <v>0</v>
      </c>
      <c r="AM164" s="198">
        <v>0</v>
      </c>
      <c r="AN164" s="198">
        <v>0</v>
      </c>
      <c r="AO164" s="198">
        <v>0</v>
      </c>
      <c r="AP164" s="198">
        <v>0</v>
      </c>
      <c r="AQ164" s="198">
        <v>0</v>
      </c>
      <c r="AS164" s="258">
        <f t="shared" si="17"/>
        <v>37929.502993365299</v>
      </c>
      <c r="AT164" s="3">
        <f t="shared" si="18"/>
        <v>10.322708277293563</v>
      </c>
      <c r="AU164" s="3">
        <f t="shared" si="19"/>
        <v>3.465148370737575</v>
      </c>
      <c r="AV164" s="95">
        <f t="shared" si="20"/>
        <v>0</v>
      </c>
      <c r="AW164" s="95">
        <f t="shared" si="21"/>
        <v>0</v>
      </c>
      <c r="AX164" s="95">
        <f t="shared" si="24"/>
        <v>3.465148370737575</v>
      </c>
      <c r="AY164" s="102">
        <f t="shared" si="22"/>
        <v>1</v>
      </c>
      <c r="AZ164" s="102">
        <f t="shared" si="23"/>
        <v>0</v>
      </c>
    </row>
    <row r="165" spans="1:52" x14ac:dyDescent="0.35">
      <c r="A165" t="s">
        <v>985</v>
      </c>
      <c r="B165">
        <v>2025</v>
      </c>
      <c r="C165" t="s">
        <v>837</v>
      </c>
      <c r="D165" t="s">
        <v>995</v>
      </c>
      <c r="E165" t="s">
        <v>986</v>
      </c>
      <c r="F165" t="s">
        <v>978</v>
      </c>
      <c r="G165" s="357"/>
      <c r="H165" s="198">
        <v>14856.370999999999</v>
      </c>
      <c r="I165" s="198">
        <v>5155.7920960000001</v>
      </c>
      <c r="J165" s="198">
        <v>0</v>
      </c>
      <c r="K165" s="198">
        <v>0</v>
      </c>
      <c r="L165" s="198">
        <v>61.624000000000009</v>
      </c>
      <c r="M165" s="198">
        <v>0</v>
      </c>
      <c r="N165" s="198">
        <v>0</v>
      </c>
      <c r="O165" s="198">
        <v>43.7989165083317</v>
      </c>
      <c r="P165" s="198">
        <v>0</v>
      </c>
      <c r="Q165" s="198">
        <v>0</v>
      </c>
      <c r="R165" s="198">
        <v>13.573345568952313</v>
      </c>
      <c r="S165" s="198">
        <v>2393.61</v>
      </c>
      <c r="T165" s="198">
        <v>105.7</v>
      </c>
      <c r="U165" s="198">
        <v>473.91522697219403</v>
      </c>
      <c r="V165" s="198">
        <v>342.63830092675522</v>
      </c>
      <c r="W165" s="198">
        <v>0</v>
      </c>
      <c r="X165" s="198">
        <v>0</v>
      </c>
      <c r="Y165" s="198">
        <v>181</v>
      </c>
      <c r="Z165" s="271">
        <v>23628.022885976232</v>
      </c>
      <c r="AA165" s="272">
        <v>21.279718936117888</v>
      </c>
      <c r="AB165" s="198">
        <v>5.7896323898757291</v>
      </c>
      <c r="AC165" s="272">
        <v>0</v>
      </c>
      <c r="AD165" s="198">
        <v>0</v>
      </c>
      <c r="AE165" s="198">
        <v>5.7896323898757291</v>
      </c>
      <c r="AF165" s="198">
        <v>433.38603056775509</v>
      </c>
      <c r="AG165" s="198">
        <v>0.1905241388668471</v>
      </c>
      <c r="AH165" s="198">
        <v>1.0066966482456799E-3</v>
      </c>
      <c r="AI165" s="198">
        <v>439.36852930328126</v>
      </c>
      <c r="AJ165" s="198">
        <v>0.18487457273752667</v>
      </c>
      <c r="AK165" s="198">
        <v>4.3141874666495337</v>
      </c>
      <c r="AL165" s="198">
        <v>0.20198604606116607</v>
      </c>
      <c r="AM165" s="198">
        <v>3.6306164647281744E-2</v>
      </c>
      <c r="AN165" s="198">
        <v>1.4928142158277152E-2</v>
      </c>
      <c r="AO165" s="198">
        <v>2.9890470937890042E-3</v>
      </c>
      <c r="AP165" s="198">
        <v>2.4804498889415029E-3</v>
      </c>
      <c r="AQ165" s="198">
        <v>2.355987845603388E-3</v>
      </c>
      <c r="AS165" s="258">
        <f t="shared" si="17"/>
        <v>31696.992701537114</v>
      </c>
      <c r="AT165" s="3">
        <f t="shared" si="18"/>
        <v>11.053488062861559</v>
      </c>
      <c r="AU165" s="3">
        <f t="shared" si="19"/>
        <v>3.710458062274534</v>
      </c>
      <c r="AV165" s="95">
        <f t="shared" si="20"/>
        <v>0</v>
      </c>
      <c r="AW165" s="95">
        <f t="shared" si="21"/>
        <v>0</v>
      </c>
      <c r="AX165" s="95">
        <f t="shared" si="24"/>
        <v>3.710458062274534</v>
      </c>
      <c r="AY165" s="102">
        <f t="shared" si="22"/>
        <v>1</v>
      </c>
      <c r="AZ165" s="102">
        <f t="shared" si="23"/>
        <v>0</v>
      </c>
    </row>
    <row r="166" spans="1:52" x14ac:dyDescent="0.35">
      <c r="A166" t="s">
        <v>987</v>
      </c>
      <c r="B166">
        <v>2025</v>
      </c>
      <c r="C166" t="s">
        <v>837</v>
      </c>
      <c r="D166" t="s">
        <v>995</v>
      </c>
      <c r="E166" t="s">
        <v>986</v>
      </c>
      <c r="F166" t="s">
        <v>978</v>
      </c>
      <c r="G166" s="357">
        <v>26613.2736</v>
      </c>
      <c r="H166" s="198">
        <v>14856.370999999999</v>
      </c>
      <c r="I166" s="198">
        <v>5450.6480700000002</v>
      </c>
      <c r="J166" s="198">
        <v>0</v>
      </c>
      <c r="K166" s="198">
        <v>0</v>
      </c>
      <c r="L166" s="198">
        <v>61.624000000000009</v>
      </c>
      <c r="M166" s="198">
        <v>2927.4600959999998</v>
      </c>
      <c r="N166" s="198">
        <v>30</v>
      </c>
      <c r="O166" s="198">
        <v>0</v>
      </c>
      <c r="P166" s="198">
        <v>1078.5239999999999</v>
      </c>
      <c r="Q166" s="198">
        <v>676.21199999999999</v>
      </c>
      <c r="R166" s="198">
        <v>0</v>
      </c>
      <c r="S166" s="198">
        <v>1304.630373</v>
      </c>
      <c r="T166" s="198">
        <v>0</v>
      </c>
      <c r="U166" s="198">
        <v>473.91522697219403</v>
      </c>
      <c r="V166" s="198">
        <v>815.59438069050555</v>
      </c>
      <c r="W166" s="198">
        <v>13.421052631578949</v>
      </c>
      <c r="X166" s="198">
        <v>0</v>
      </c>
      <c r="Y166" s="198">
        <v>181</v>
      </c>
      <c r="Z166" s="271">
        <v>27869.400199294276</v>
      </c>
      <c r="AA166" s="272">
        <v>144.35957304312893</v>
      </c>
      <c r="AB166" s="198">
        <v>0.85343664713660661</v>
      </c>
      <c r="AC166" s="272">
        <v>344.10919055972226</v>
      </c>
      <c r="AD166" s="198">
        <v>1.238793086015</v>
      </c>
      <c r="AE166" s="198">
        <v>2.0922297331516067</v>
      </c>
      <c r="AF166" s="198">
        <v>63.884456894080415</v>
      </c>
      <c r="AG166" s="198">
        <v>2.8084733420631103E-2</v>
      </c>
      <c r="AH166" s="198">
        <v>1.4839488145479545E-4</v>
      </c>
      <c r="AI166" s="198">
        <v>64.766323534054777</v>
      </c>
      <c r="AJ166" s="198">
        <v>2.7251943624924016E-2</v>
      </c>
      <c r="AK166" s="198">
        <v>0.63594464012855534</v>
      </c>
      <c r="AL166" s="198">
        <v>2.9774307298035867E-2</v>
      </c>
      <c r="AM166" s="198">
        <v>2.3666602256489339E-2</v>
      </c>
      <c r="AN166" s="198">
        <v>6.8809707106506461E-3</v>
      </c>
      <c r="AO166" s="198">
        <v>4.4060868774976929E-4</v>
      </c>
      <c r="AP166" s="198">
        <v>1.0348317559457231E-3</v>
      </c>
      <c r="AQ166" s="198">
        <v>1.1839379090119481E-3</v>
      </c>
      <c r="AS166" s="258">
        <f t="shared" si="17"/>
        <v>37386.800367353266</v>
      </c>
      <c r="AT166" s="3">
        <f t="shared" si="18"/>
        <v>1.6293697347743967</v>
      </c>
      <c r="AU166" s="3">
        <f t="shared" si="19"/>
        <v>0.54695025085634819</v>
      </c>
      <c r="AV166" s="95">
        <f t="shared" si="20"/>
        <v>21.382006944444448</v>
      </c>
      <c r="AW166" s="95">
        <f t="shared" si="21"/>
        <v>0.76975225000000025</v>
      </c>
      <c r="AX166" s="95">
        <f t="shared" si="24"/>
        <v>1.3167025008563484</v>
      </c>
      <c r="AY166" s="102">
        <f t="shared" si="22"/>
        <v>0.41539394851959821</v>
      </c>
      <c r="AZ166" s="102">
        <f t="shared" si="23"/>
        <v>0.58460605148040179</v>
      </c>
    </row>
    <row r="167" spans="1:52" x14ac:dyDescent="0.35">
      <c r="A167" t="s">
        <v>988</v>
      </c>
      <c r="B167">
        <v>2025</v>
      </c>
      <c r="C167" t="s">
        <v>837</v>
      </c>
      <c r="D167" t="s">
        <v>995</v>
      </c>
      <c r="E167" t="s">
        <v>989</v>
      </c>
      <c r="F167" t="s">
        <v>978</v>
      </c>
      <c r="G167" s="357">
        <v>1965.6</v>
      </c>
      <c r="H167" s="198">
        <v>14856.370999999999</v>
      </c>
      <c r="I167" s="198">
        <v>0</v>
      </c>
      <c r="J167" s="198">
        <v>9759.66</v>
      </c>
      <c r="K167" s="198">
        <v>3248.3409999999999</v>
      </c>
      <c r="L167" s="198">
        <v>61.624000000000009</v>
      </c>
      <c r="M167" s="198">
        <v>1076.1302916</v>
      </c>
      <c r="N167" s="198">
        <v>0</v>
      </c>
      <c r="O167" s="198">
        <v>0</v>
      </c>
      <c r="P167" s="198">
        <v>1208.4179999999999</v>
      </c>
      <c r="Q167" s="198">
        <v>0</v>
      </c>
      <c r="R167" s="198">
        <v>0</v>
      </c>
      <c r="S167" s="198">
        <v>0</v>
      </c>
      <c r="T167" s="198">
        <v>0</v>
      </c>
      <c r="U167" s="198">
        <v>473.91522697219403</v>
      </c>
      <c r="V167" s="198">
        <v>770.61988179690513</v>
      </c>
      <c r="W167" s="198">
        <v>10.263157894736842</v>
      </c>
      <c r="X167" s="198">
        <v>271.86449471999998</v>
      </c>
      <c r="Y167" s="198">
        <v>181</v>
      </c>
      <c r="Z167" s="271">
        <v>31918.207052983835</v>
      </c>
      <c r="AA167" s="272">
        <v>43.394232634442112</v>
      </c>
      <c r="AB167" s="198">
        <v>2.8391272876712756</v>
      </c>
      <c r="AC167" s="272">
        <v>0</v>
      </c>
      <c r="AD167" s="198">
        <v>0</v>
      </c>
      <c r="AE167" s="198">
        <v>2.8391272876712756</v>
      </c>
      <c r="AF167" s="198">
        <v>0</v>
      </c>
      <c r="AG167" s="198">
        <v>0</v>
      </c>
      <c r="AH167" s="198">
        <v>0</v>
      </c>
      <c r="AI167" s="198">
        <v>0</v>
      </c>
      <c r="AJ167" s="198">
        <v>0</v>
      </c>
      <c r="AK167" s="198">
        <v>0</v>
      </c>
      <c r="AL167" s="198">
        <v>0</v>
      </c>
      <c r="AM167" s="198">
        <v>2.6541817872227074E-2</v>
      </c>
      <c r="AN167" s="198">
        <v>6.7829090117913753E-3</v>
      </c>
      <c r="AO167" s="198">
        <v>0</v>
      </c>
      <c r="AP167" s="198">
        <v>9.6979703966391939E-4</v>
      </c>
      <c r="AQ167" s="198">
        <v>1.2124698582695311E-3</v>
      </c>
      <c r="AS167" s="258">
        <f t="shared" si="17"/>
        <v>42818.274761577813</v>
      </c>
      <c r="AT167" s="3">
        <f t="shared" si="18"/>
        <v>5.4204235208606342</v>
      </c>
      <c r="AU167" s="3">
        <f t="shared" si="19"/>
        <v>1.8195391390971603</v>
      </c>
      <c r="AV167" s="95">
        <f t="shared" si="20"/>
        <v>0</v>
      </c>
      <c r="AW167" s="95">
        <f t="shared" si="21"/>
        <v>0</v>
      </c>
      <c r="AX167" s="95">
        <f t="shared" si="24"/>
        <v>1.8195391390971603</v>
      </c>
      <c r="AY167" s="102">
        <f t="shared" si="22"/>
        <v>1</v>
      </c>
      <c r="AZ167" s="102">
        <f t="shared" si="23"/>
        <v>0</v>
      </c>
    </row>
    <row r="168" spans="1:52" x14ac:dyDescent="0.35">
      <c r="A168" t="s">
        <v>990</v>
      </c>
      <c r="B168">
        <v>2025</v>
      </c>
      <c r="C168" t="s">
        <v>837</v>
      </c>
      <c r="D168" t="s">
        <v>995</v>
      </c>
      <c r="E168" t="s">
        <v>989</v>
      </c>
      <c r="F168" t="s">
        <v>978</v>
      </c>
      <c r="G168" s="357">
        <v>2106</v>
      </c>
      <c r="H168" s="198">
        <v>14856.370999999999</v>
      </c>
      <c r="I168" s="198">
        <v>0</v>
      </c>
      <c r="J168" s="198">
        <v>10033.740000000002</v>
      </c>
      <c r="K168" s="198">
        <v>4005.4948000000004</v>
      </c>
      <c r="L168" s="198">
        <v>61.624000000000009</v>
      </c>
      <c r="M168" s="198">
        <v>1152.9967410000002</v>
      </c>
      <c r="N168" s="198">
        <v>0</v>
      </c>
      <c r="O168" s="198">
        <v>0</v>
      </c>
      <c r="P168" s="198">
        <v>1235.454</v>
      </c>
      <c r="Q168" s="198">
        <v>0</v>
      </c>
      <c r="R168" s="198">
        <v>0</v>
      </c>
      <c r="S168" s="198">
        <v>0</v>
      </c>
      <c r="T168" s="198">
        <v>0</v>
      </c>
      <c r="U168" s="198">
        <v>473.91522697219403</v>
      </c>
      <c r="V168" s="198">
        <v>770.61988179690513</v>
      </c>
      <c r="W168" s="198">
        <v>10.263157894736842</v>
      </c>
      <c r="X168" s="198">
        <v>291.28338719999999</v>
      </c>
      <c r="Y168" s="198">
        <v>181</v>
      </c>
      <c r="Z168" s="271">
        <v>33072.762194863833</v>
      </c>
      <c r="AA168" s="272">
        <v>42.788678933618883</v>
      </c>
      <c r="AB168" s="198">
        <v>2.8793071688689347</v>
      </c>
      <c r="AC168" s="272">
        <v>0</v>
      </c>
      <c r="AD168" s="198">
        <v>0</v>
      </c>
      <c r="AE168" s="198">
        <v>2.8793071688689347</v>
      </c>
      <c r="AF168" s="198">
        <v>0</v>
      </c>
      <c r="AG168" s="198">
        <v>0</v>
      </c>
      <c r="AH168" s="198">
        <v>0</v>
      </c>
      <c r="AI168" s="198">
        <v>0</v>
      </c>
      <c r="AJ168" s="198">
        <v>0</v>
      </c>
      <c r="AK168" s="198">
        <v>0</v>
      </c>
      <c r="AL168" s="198">
        <v>0</v>
      </c>
      <c r="AM168" s="198">
        <v>2.6917442837513756E-2</v>
      </c>
      <c r="AN168" s="198">
        <v>6.8789020584757487E-3</v>
      </c>
      <c r="AO168" s="198">
        <v>0</v>
      </c>
      <c r="AP168" s="198">
        <v>9.8352179586232808E-4</v>
      </c>
      <c r="AQ168" s="198">
        <v>1.2296289673635692E-3</v>
      </c>
      <c r="AS168" s="258">
        <f t="shared" si="17"/>
        <v>44367.11048440983</v>
      </c>
      <c r="AT168" s="3">
        <f t="shared" si="18"/>
        <v>5.4971344080599929</v>
      </c>
      <c r="AU168" s="3">
        <f t="shared" si="19"/>
        <v>1.8452896106455419</v>
      </c>
      <c r="AV168" s="95">
        <f t="shared" si="20"/>
        <v>0</v>
      </c>
      <c r="AW168" s="95">
        <f t="shared" si="21"/>
        <v>0</v>
      </c>
      <c r="AX168" s="95">
        <f t="shared" si="24"/>
        <v>1.8452896106455419</v>
      </c>
      <c r="AY168" s="102">
        <f t="shared" si="22"/>
        <v>1</v>
      </c>
      <c r="AZ168" s="102">
        <f t="shared" si="23"/>
        <v>0</v>
      </c>
    </row>
    <row r="169" spans="1:52" x14ac:dyDescent="0.35">
      <c r="A169" t="s">
        <v>991</v>
      </c>
      <c r="B169">
        <v>2025</v>
      </c>
      <c r="C169" t="s">
        <v>837</v>
      </c>
      <c r="D169" t="s">
        <v>995</v>
      </c>
      <c r="E169" t="s">
        <v>986</v>
      </c>
      <c r="F169" t="s">
        <v>978</v>
      </c>
      <c r="G169" s="357">
        <v>2948.4</v>
      </c>
      <c r="H169" s="198">
        <v>14856.370999999999</v>
      </c>
      <c r="I169" s="198">
        <v>5450.6480699346603</v>
      </c>
      <c r="J169" s="198">
        <v>0</v>
      </c>
      <c r="K169" s="198">
        <v>0</v>
      </c>
      <c r="L169" s="198">
        <v>61.624000000000009</v>
      </c>
      <c r="M169" s="198">
        <v>1614.1954374000002</v>
      </c>
      <c r="N169" s="198">
        <v>0</v>
      </c>
      <c r="O169" s="198">
        <v>0</v>
      </c>
      <c r="P169" s="198">
        <v>827.83800000000008</v>
      </c>
      <c r="Q169" s="198">
        <v>600.57600000000002</v>
      </c>
      <c r="R169" s="198">
        <v>0</v>
      </c>
      <c r="S169" s="198">
        <v>1231.39656748679</v>
      </c>
      <c r="T169" s="198">
        <v>0</v>
      </c>
      <c r="U169" s="198">
        <v>473.91522697219403</v>
      </c>
      <c r="V169" s="198">
        <v>821.81687329265912</v>
      </c>
      <c r="W169" s="198">
        <v>10.263157894736842</v>
      </c>
      <c r="X169" s="198">
        <v>407.79674208000006</v>
      </c>
      <c r="Y169" s="198">
        <v>181</v>
      </c>
      <c r="Z169" s="271">
        <v>26537.441075061044</v>
      </c>
      <c r="AA169" s="272">
        <v>32.678145068524145</v>
      </c>
      <c r="AB169" s="198">
        <v>3.770157386279215</v>
      </c>
      <c r="AC169" s="272">
        <v>0</v>
      </c>
      <c r="AD169" s="198">
        <v>0</v>
      </c>
      <c r="AE169" s="198">
        <v>3.770157386279215</v>
      </c>
      <c r="AF169" s="198">
        <v>282.21714855549283</v>
      </c>
      <c r="AG169" s="198">
        <v>0.12406763349421369</v>
      </c>
      <c r="AH169" s="198">
        <v>6.5555195020032086E-4</v>
      </c>
      <c r="AI169" s="198">
        <v>286.11289879960015</v>
      </c>
      <c r="AJ169" s="198">
        <v>0.12038868601751777</v>
      </c>
      <c r="AK169" s="198">
        <v>2.8093607068429218</v>
      </c>
      <c r="AL169" s="198">
        <v>0.13153152604550503</v>
      </c>
      <c r="AM169" s="198">
        <v>2.3642253185500887E-2</v>
      </c>
      <c r="AN169" s="198">
        <v>9.7210740909688034E-3</v>
      </c>
      <c r="AO169" s="198">
        <v>1.9464410207272109E-3</v>
      </c>
      <c r="AP169" s="198">
        <v>1.6152470209406496E-3</v>
      </c>
      <c r="AQ169" s="198">
        <v>1.5341984395448509E-3</v>
      </c>
      <c r="AS169" s="258">
        <f t="shared" si="17"/>
        <v>35599.977202194386</v>
      </c>
      <c r="AT169" s="3">
        <f t="shared" si="18"/>
        <v>7.1979336265322251</v>
      </c>
      <c r="AU169" s="3">
        <f t="shared" si="19"/>
        <v>2.416217460442919</v>
      </c>
      <c r="AV169" s="95">
        <f t="shared" si="20"/>
        <v>0</v>
      </c>
      <c r="AW169" s="95">
        <f t="shared" si="21"/>
        <v>0</v>
      </c>
      <c r="AX169" s="95">
        <f t="shared" si="24"/>
        <v>2.416217460442919</v>
      </c>
      <c r="AY169" s="102">
        <f t="shared" si="22"/>
        <v>1</v>
      </c>
      <c r="AZ169" s="102">
        <f t="shared" si="23"/>
        <v>0</v>
      </c>
    </row>
    <row r="170" spans="1:52" x14ac:dyDescent="0.35">
      <c r="A170" t="s">
        <v>992</v>
      </c>
      <c r="B170">
        <v>2025</v>
      </c>
      <c r="C170" t="s">
        <v>837</v>
      </c>
      <c r="D170" t="s">
        <v>995</v>
      </c>
      <c r="E170" t="s">
        <v>986</v>
      </c>
      <c r="F170" t="s">
        <v>978</v>
      </c>
      <c r="G170" s="357">
        <v>11900.4768</v>
      </c>
      <c r="H170" s="198">
        <v>14856.370999999999</v>
      </c>
      <c r="I170" s="198">
        <v>5450.6480699346603</v>
      </c>
      <c r="J170" s="198">
        <v>0</v>
      </c>
      <c r="K170" s="198">
        <v>0</v>
      </c>
      <c r="L170" s="198">
        <v>61.624000000000009</v>
      </c>
      <c r="M170" s="198">
        <v>1309.0524479999999</v>
      </c>
      <c r="N170" s="198">
        <v>30</v>
      </c>
      <c r="O170" s="198">
        <v>0</v>
      </c>
      <c r="P170" s="198">
        <v>899.27399999999989</v>
      </c>
      <c r="Q170" s="198">
        <v>618.42599999999993</v>
      </c>
      <c r="R170" s="198">
        <v>0</v>
      </c>
      <c r="S170" s="198">
        <v>1247.7018680444201</v>
      </c>
      <c r="T170" s="198">
        <v>0</v>
      </c>
      <c r="U170" s="198">
        <v>473.91522697219403</v>
      </c>
      <c r="V170" s="198">
        <v>823.33847685143621</v>
      </c>
      <c r="W170" s="198">
        <v>10.263157894736842</v>
      </c>
      <c r="X170" s="198">
        <v>373.1006304</v>
      </c>
      <c r="Y170" s="198">
        <v>181</v>
      </c>
      <c r="Z170" s="271">
        <v>26334.714878097446</v>
      </c>
      <c r="AA170" s="272">
        <v>62.450257922242557</v>
      </c>
      <c r="AB170" s="198">
        <v>1.9727980972216279</v>
      </c>
      <c r="AC170" s="272">
        <v>244.06724849992065</v>
      </c>
      <c r="AD170" s="198">
        <v>0.87864209459971432</v>
      </c>
      <c r="AE170" s="198">
        <v>2.8514401918213421</v>
      </c>
      <c r="AF170" s="198">
        <v>147.67485720882758</v>
      </c>
      <c r="AG170" s="198">
        <v>6.4920470475565525E-2</v>
      </c>
      <c r="AH170" s="198">
        <v>3.4302855490641888E-4</v>
      </c>
      <c r="AI170" s="198">
        <v>149.71337387574332</v>
      </c>
      <c r="AJ170" s="198">
        <v>6.2995399493590745E-2</v>
      </c>
      <c r="AK170" s="198">
        <v>1.4700451172248397</v>
      </c>
      <c r="AL170" s="198">
        <v>6.8826077460738683E-2</v>
      </c>
      <c r="AM170" s="198">
        <v>1.2371205581000615E-2</v>
      </c>
      <c r="AN170" s="198">
        <v>5.0867150903056322E-3</v>
      </c>
      <c r="AO170" s="198">
        <v>1.0185079158815738E-3</v>
      </c>
      <c r="AP170" s="198">
        <v>8.4520509967342318E-4</v>
      </c>
      <c r="AQ170" s="198">
        <v>8.0279506985821093E-4</v>
      </c>
      <c r="AS170" s="258">
        <f t="shared" si="17"/>
        <v>35328.020008967724</v>
      </c>
      <c r="AT170" s="3">
        <f t="shared" si="18"/>
        <v>3.7664395162994659</v>
      </c>
      <c r="AU170" s="3">
        <f t="shared" si="19"/>
        <v>1.2643263185200206</v>
      </c>
      <c r="AV170" s="95">
        <f t="shared" si="20"/>
        <v>15.165673412698414</v>
      </c>
      <c r="AW170" s="95">
        <f t="shared" si="21"/>
        <v>0.54596424285714296</v>
      </c>
      <c r="AX170" s="95">
        <f t="shared" si="24"/>
        <v>1.8102905613771636</v>
      </c>
      <c r="AY170" s="102">
        <f t="shared" si="22"/>
        <v>0.6984107112386394</v>
      </c>
      <c r="AZ170" s="102">
        <f t="shared" si="23"/>
        <v>0.3015892887613606</v>
      </c>
    </row>
    <row r="171" spans="1:52" x14ac:dyDescent="0.35">
      <c r="A171" t="s">
        <v>975</v>
      </c>
      <c r="B171">
        <v>2025</v>
      </c>
      <c r="C171" t="s">
        <v>837</v>
      </c>
      <c r="D171" t="s">
        <v>996</v>
      </c>
      <c r="E171" t="s">
        <v>977</v>
      </c>
      <c r="F171" t="s">
        <v>978</v>
      </c>
      <c r="G171" s="357">
        <v>53149.726799999997</v>
      </c>
      <c r="H171" s="198">
        <v>12729.782499999999</v>
      </c>
      <c r="I171" s="198">
        <v>0</v>
      </c>
      <c r="J171" s="198">
        <v>0</v>
      </c>
      <c r="K171" s="198">
        <v>0</v>
      </c>
      <c r="L171" s="198">
        <v>61.624000000000009</v>
      </c>
      <c r="M171" s="198">
        <v>5314.9726799999999</v>
      </c>
      <c r="N171" s="198">
        <v>30</v>
      </c>
      <c r="O171" s="198">
        <v>0</v>
      </c>
      <c r="P171" s="198">
        <v>765.85799999999995</v>
      </c>
      <c r="Q171" s="198">
        <v>0</v>
      </c>
      <c r="R171" s="198">
        <v>0</v>
      </c>
      <c r="S171" s="198">
        <v>0</v>
      </c>
      <c r="T171" s="198">
        <v>0</v>
      </c>
      <c r="U171" s="198">
        <v>347.50969311758121</v>
      </c>
      <c r="V171" s="198">
        <v>770.61988179690513</v>
      </c>
      <c r="W171" s="198">
        <v>13.421052631578949</v>
      </c>
      <c r="X171" s="198">
        <v>0</v>
      </c>
      <c r="Y171" s="198">
        <v>181</v>
      </c>
      <c r="Z171" s="271">
        <v>20214.787807546065</v>
      </c>
      <c r="AA171" s="272">
        <v>0</v>
      </c>
      <c r="AB171" s="198">
        <v>0</v>
      </c>
      <c r="AC171" s="272">
        <v>258.66066454868275</v>
      </c>
      <c r="AD171" s="198">
        <v>0.9311783923752579</v>
      </c>
      <c r="AE171" s="198">
        <v>0.9311783923752579</v>
      </c>
      <c r="AF171" s="198">
        <v>0</v>
      </c>
      <c r="AG171" s="198">
        <v>0</v>
      </c>
      <c r="AH171" s="198">
        <v>0</v>
      </c>
      <c r="AI171" s="198">
        <v>0</v>
      </c>
      <c r="AJ171" s="198">
        <v>0</v>
      </c>
      <c r="AK171" s="198">
        <v>0</v>
      </c>
      <c r="AL171" s="198">
        <v>0</v>
      </c>
      <c r="AM171" s="198">
        <v>1.3766898748860864E-2</v>
      </c>
      <c r="AN171" s="198">
        <v>3.5182074580422116E-3</v>
      </c>
      <c r="AO171" s="198">
        <v>0</v>
      </c>
      <c r="AP171" s="198">
        <v>5.0302122169139211E-4</v>
      </c>
      <c r="AQ171" s="198">
        <v>6.2889248412439632E-4</v>
      </c>
      <c r="AS171" s="258">
        <f t="shared" si="17"/>
        <v>27118.137843823046</v>
      </c>
      <c r="AT171" s="3">
        <f t="shared" si="18"/>
        <v>0</v>
      </c>
      <c r="AU171" s="3">
        <f t="shared" si="19"/>
        <v>0</v>
      </c>
      <c r="AV171" s="95">
        <f t="shared" si="20"/>
        <v>16.072468499427266</v>
      </c>
      <c r="AW171" s="95">
        <f t="shared" si="21"/>
        <v>0.57860886597938166</v>
      </c>
      <c r="AX171" s="95">
        <f t="shared" si="24"/>
        <v>0.57860886597938166</v>
      </c>
      <c r="AY171" s="102">
        <f t="shared" si="22"/>
        <v>0</v>
      </c>
      <c r="AZ171" s="102">
        <f t="shared" si="23"/>
        <v>1</v>
      </c>
    </row>
    <row r="172" spans="1:52" x14ac:dyDescent="0.35">
      <c r="A172" t="s">
        <v>979</v>
      </c>
      <c r="B172">
        <v>2025</v>
      </c>
      <c r="C172" t="s">
        <v>837</v>
      </c>
      <c r="D172" t="s">
        <v>996</v>
      </c>
      <c r="E172" t="s">
        <v>977</v>
      </c>
      <c r="F172" t="s">
        <v>978</v>
      </c>
      <c r="G172" s="357">
        <v>82370.993000000002</v>
      </c>
      <c r="H172" s="198">
        <v>12729.782499999999</v>
      </c>
      <c r="I172" s="198">
        <v>0</v>
      </c>
      <c r="J172" s="198">
        <v>0</v>
      </c>
      <c r="K172" s="198">
        <v>0</v>
      </c>
      <c r="L172" s="198">
        <v>61.624000000000009</v>
      </c>
      <c r="M172" s="198">
        <v>8237.0992999999999</v>
      </c>
      <c r="N172" s="198">
        <v>30</v>
      </c>
      <c r="O172" s="198">
        <v>0</v>
      </c>
      <c r="P172" s="198">
        <v>811.01400000000012</v>
      </c>
      <c r="Q172" s="198">
        <v>0</v>
      </c>
      <c r="R172" s="198">
        <v>0</v>
      </c>
      <c r="S172" s="198">
        <v>0</v>
      </c>
      <c r="T172" s="198">
        <v>0</v>
      </c>
      <c r="U172" s="198">
        <v>347.50969311758121</v>
      </c>
      <c r="V172" s="198">
        <v>770.61988179690513</v>
      </c>
      <c r="W172" s="198">
        <v>13.421052631578949</v>
      </c>
      <c r="X172" s="198">
        <v>0</v>
      </c>
      <c r="Y172" s="198">
        <v>181</v>
      </c>
      <c r="Z172" s="271">
        <v>23182.070427546063</v>
      </c>
      <c r="AA172" s="272">
        <v>0</v>
      </c>
      <c r="AB172" s="198">
        <v>0</v>
      </c>
      <c r="AC172" s="272">
        <v>267.70089037383406</v>
      </c>
      <c r="AD172" s="198">
        <v>0.96372320534580258</v>
      </c>
      <c r="AE172" s="198">
        <v>0.96372320534580258</v>
      </c>
      <c r="AF172" s="198">
        <v>0</v>
      </c>
      <c r="AG172" s="198">
        <v>0</v>
      </c>
      <c r="AH172" s="198">
        <v>0</v>
      </c>
      <c r="AI172" s="198">
        <v>0</v>
      </c>
      <c r="AJ172" s="198">
        <v>0</v>
      </c>
      <c r="AK172" s="198">
        <v>0</v>
      </c>
      <c r="AL172" s="198">
        <v>0</v>
      </c>
      <c r="AM172" s="198">
        <v>1.4248053754856261E-2</v>
      </c>
      <c r="AN172" s="198">
        <v>3.6411692929077017E-3</v>
      </c>
      <c r="AO172" s="198">
        <v>0</v>
      </c>
      <c r="AP172" s="198">
        <v>5.2060188261974832E-4</v>
      </c>
      <c r="AQ172" s="198">
        <v>6.5087236299830561E-4</v>
      </c>
      <c r="AS172" s="258">
        <f t="shared" si="17"/>
        <v>31098.747478553043</v>
      </c>
      <c r="AT172" s="3">
        <f t="shared" si="18"/>
        <v>0</v>
      </c>
      <c r="AU172" s="3">
        <f t="shared" si="19"/>
        <v>0</v>
      </c>
      <c r="AV172" s="95">
        <f t="shared" si="20"/>
        <v>16.634203485517919</v>
      </c>
      <c r="AW172" s="95">
        <f t="shared" si="21"/>
        <v>0.59883132547864504</v>
      </c>
      <c r="AX172" s="95">
        <f t="shared" si="24"/>
        <v>0.59883132547864504</v>
      </c>
      <c r="AY172" s="102">
        <f t="shared" si="22"/>
        <v>0</v>
      </c>
      <c r="AZ172" s="102">
        <f t="shared" si="23"/>
        <v>1</v>
      </c>
    </row>
    <row r="173" spans="1:52" x14ac:dyDescent="0.35">
      <c r="A173" t="s">
        <v>980</v>
      </c>
      <c r="B173">
        <v>2025</v>
      </c>
      <c r="C173" t="s">
        <v>837</v>
      </c>
      <c r="D173" t="s">
        <v>996</v>
      </c>
      <c r="E173" t="s">
        <v>977</v>
      </c>
      <c r="F173" t="s">
        <v>978</v>
      </c>
      <c r="G173" s="357">
        <v>121741.5312</v>
      </c>
      <c r="H173" s="198">
        <v>12729.782499999999</v>
      </c>
      <c r="I173" s="198">
        <v>0</v>
      </c>
      <c r="J173" s="198">
        <v>0</v>
      </c>
      <c r="K173" s="198">
        <v>0</v>
      </c>
      <c r="L173" s="198">
        <v>61.624000000000009</v>
      </c>
      <c r="M173" s="198">
        <v>12174.153119999999</v>
      </c>
      <c r="N173" s="198">
        <v>30</v>
      </c>
      <c r="O173" s="198">
        <v>0</v>
      </c>
      <c r="P173" s="198">
        <v>877.53600000000006</v>
      </c>
      <c r="Q173" s="198">
        <v>0</v>
      </c>
      <c r="R173" s="198">
        <v>0</v>
      </c>
      <c r="S173" s="198">
        <v>0</v>
      </c>
      <c r="T173" s="198">
        <v>0</v>
      </c>
      <c r="U173" s="198">
        <v>347.50969311758121</v>
      </c>
      <c r="V173" s="198">
        <v>770.61988179690513</v>
      </c>
      <c r="W173" s="198">
        <v>13.421052631578949</v>
      </c>
      <c r="X173" s="198">
        <v>0</v>
      </c>
      <c r="Y173" s="198">
        <v>181</v>
      </c>
      <c r="Z173" s="271">
        <v>27185.646247546065</v>
      </c>
      <c r="AA173" s="272">
        <v>0</v>
      </c>
      <c r="AB173" s="198">
        <v>0</v>
      </c>
      <c r="AC173" s="272">
        <v>293.22713353477343</v>
      </c>
      <c r="AD173" s="198">
        <v>1.0556176807251842</v>
      </c>
      <c r="AE173" s="198">
        <v>1.0556176807251842</v>
      </c>
      <c r="AF173" s="198">
        <v>0</v>
      </c>
      <c r="AG173" s="198">
        <v>0</v>
      </c>
      <c r="AH173" s="198">
        <v>0</v>
      </c>
      <c r="AI173" s="198">
        <v>0</v>
      </c>
      <c r="AJ173" s="198">
        <v>0</v>
      </c>
      <c r="AK173" s="198">
        <v>0</v>
      </c>
      <c r="AL173" s="198">
        <v>0</v>
      </c>
      <c r="AM173" s="198">
        <v>1.5606656948923728E-2</v>
      </c>
      <c r="AN173" s="198">
        <v>3.9883678869471646E-3</v>
      </c>
      <c r="AO173" s="198">
        <v>0</v>
      </c>
      <c r="AP173" s="198">
        <v>5.7024314540089522E-4</v>
      </c>
      <c r="AQ173" s="198">
        <v>7.129353848337155E-4</v>
      </c>
      <c r="AS173" s="258">
        <f t="shared" si="17"/>
        <v>36469.544441083046</v>
      </c>
      <c r="AT173" s="3">
        <f t="shared" si="18"/>
        <v>0</v>
      </c>
      <c r="AU173" s="3">
        <f t="shared" si="19"/>
        <v>0</v>
      </c>
      <c r="AV173" s="95">
        <f t="shared" si="20"/>
        <v>18.220334642448048</v>
      </c>
      <c r="AW173" s="95">
        <f t="shared" si="21"/>
        <v>0.6559320471281298</v>
      </c>
      <c r="AX173" s="95">
        <f t="shared" si="24"/>
        <v>0.6559320471281298</v>
      </c>
      <c r="AY173" s="102">
        <f t="shared" si="22"/>
        <v>0</v>
      </c>
      <c r="AZ173" s="102">
        <f t="shared" si="23"/>
        <v>1</v>
      </c>
    </row>
    <row r="174" spans="1:52" x14ac:dyDescent="0.35">
      <c r="A174" t="s">
        <v>981</v>
      </c>
      <c r="B174">
        <v>2025</v>
      </c>
      <c r="C174" t="s">
        <v>837</v>
      </c>
      <c r="D174" t="s">
        <v>996</v>
      </c>
      <c r="E174" t="s">
        <v>977</v>
      </c>
      <c r="F174" t="s">
        <v>978</v>
      </c>
      <c r="G174" s="357">
        <v>166420.5048</v>
      </c>
      <c r="H174" s="198">
        <v>12729.782499999999</v>
      </c>
      <c r="I174" s="198">
        <v>0</v>
      </c>
      <c r="J174" s="198">
        <v>0</v>
      </c>
      <c r="K174" s="198">
        <v>0</v>
      </c>
      <c r="L174" s="198">
        <v>61.624000000000009</v>
      </c>
      <c r="M174" s="198">
        <v>16642.050480000002</v>
      </c>
      <c r="N174" s="198">
        <v>30</v>
      </c>
      <c r="O174" s="198">
        <v>0</v>
      </c>
      <c r="P174" s="198">
        <v>956.40000000000009</v>
      </c>
      <c r="Q174" s="198">
        <v>0</v>
      </c>
      <c r="R174" s="198">
        <v>0</v>
      </c>
      <c r="S174" s="198">
        <v>0</v>
      </c>
      <c r="T174" s="198">
        <v>0</v>
      </c>
      <c r="U174" s="198">
        <v>347.50969311758121</v>
      </c>
      <c r="V174" s="198">
        <v>770.61988179690513</v>
      </c>
      <c r="W174" s="198">
        <v>13.421052631578949</v>
      </c>
      <c r="X174" s="198">
        <v>0</v>
      </c>
      <c r="Y174" s="198">
        <v>181</v>
      </c>
      <c r="Z174" s="271">
        <v>31732.407607546069</v>
      </c>
      <c r="AA174" s="272">
        <v>0</v>
      </c>
      <c r="AB174" s="198">
        <v>0</v>
      </c>
      <c r="AC174" s="272">
        <v>317.9553497331043</v>
      </c>
      <c r="AD174" s="198">
        <v>1.1446392590391754</v>
      </c>
      <c r="AE174" s="198">
        <v>1.1446392590391754</v>
      </c>
      <c r="AF174" s="198">
        <v>0</v>
      </c>
      <c r="AG174" s="198">
        <v>0</v>
      </c>
      <c r="AH174" s="198">
        <v>0</v>
      </c>
      <c r="AI174" s="198">
        <v>0</v>
      </c>
      <c r="AJ174" s="198">
        <v>0</v>
      </c>
      <c r="AK174" s="198">
        <v>0</v>
      </c>
      <c r="AL174" s="198">
        <v>0</v>
      </c>
      <c r="AM174" s="198">
        <v>1.6922786130128587E-2</v>
      </c>
      <c r="AN174" s="198">
        <v>4.3247120110328496E-3</v>
      </c>
      <c r="AO174" s="198">
        <v>0</v>
      </c>
      <c r="AP174" s="198">
        <v>6.1833247333963233E-4</v>
      </c>
      <c r="AQ174" s="198">
        <v>7.7305813036237126E-4</v>
      </c>
      <c r="AS174" s="258">
        <f t="shared" si="17"/>
        <v>42569.024805523048</v>
      </c>
      <c r="AT174" s="3">
        <f t="shared" si="18"/>
        <v>0</v>
      </c>
      <c r="AU174" s="3">
        <f t="shared" si="19"/>
        <v>0</v>
      </c>
      <c r="AV174" s="95">
        <f t="shared" si="20"/>
        <v>19.756878579610543</v>
      </c>
      <c r="AW174" s="95">
        <f t="shared" si="21"/>
        <v>0.71124762886597959</v>
      </c>
      <c r="AX174" s="95">
        <f t="shared" si="24"/>
        <v>0.71124762886597959</v>
      </c>
      <c r="AY174" s="102">
        <f t="shared" si="22"/>
        <v>0</v>
      </c>
      <c r="AZ174" s="102">
        <f t="shared" si="23"/>
        <v>1</v>
      </c>
    </row>
    <row r="175" spans="1:52" x14ac:dyDescent="0.35">
      <c r="A175" t="s">
        <v>982</v>
      </c>
      <c r="B175">
        <v>2025</v>
      </c>
      <c r="C175" t="s">
        <v>837</v>
      </c>
      <c r="D175" t="s">
        <v>996</v>
      </c>
      <c r="E175" t="s">
        <v>983</v>
      </c>
      <c r="F175" t="s">
        <v>978</v>
      </c>
      <c r="G175" s="357"/>
      <c r="H175" s="198">
        <v>12729.782499999999</v>
      </c>
      <c r="I175" s="198">
        <v>7441.7941868365797</v>
      </c>
      <c r="J175" s="198">
        <v>0</v>
      </c>
      <c r="K175" s="198">
        <v>0</v>
      </c>
      <c r="L175" s="198">
        <v>61.624000000000009</v>
      </c>
      <c r="M175" s="198">
        <v>0</v>
      </c>
      <c r="N175" s="198">
        <v>0</v>
      </c>
      <c r="O175" s="198">
        <v>43.7989165083317</v>
      </c>
      <c r="P175" s="198">
        <v>0</v>
      </c>
      <c r="Q175" s="198">
        <v>0</v>
      </c>
      <c r="R175" s="198">
        <v>13.573345568952313</v>
      </c>
      <c r="S175" s="198">
        <v>2393.61</v>
      </c>
      <c r="T175" s="198">
        <v>105.7</v>
      </c>
      <c r="U175" s="198">
        <v>347.50969311758121</v>
      </c>
      <c r="V175" s="198">
        <v>334.80072814490319</v>
      </c>
      <c r="W175" s="198">
        <v>0</v>
      </c>
      <c r="X175" s="198">
        <v>0</v>
      </c>
      <c r="Y175" s="198">
        <v>181</v>
      </c>
      <c r="Z175" s="271">
        <v>23653.193370176345</v>
      </c>
      <c r="AA175" s="272">
        <v>33.525815965906446</v>
      </c>
      <c r="AB175" s="198">
        <v>3.6748322583792774</v>
      </c>
      <c r="AC175" s="272">
        <v>0</v>
      </c>
      <c r="AD175" s="198">
        <v>0</v>
      </c>
      <c r="AE175" s="198">
        <v>3.6748322583792774</v>
      </c>
      <c r="AF175" s="198">
        <v>275.08153509821</v>
      </c>
      <c r="AG175" s="198">
        <v>0.12093069203014649</v>
      </c>
      <c r="AH175" s="198">
        <v>6.3897689322118211E-4</v>
      </c>
      <c r="AI175" s="198">
        <v>278.87878470899176</v>
      </c>
      <c r="AJ175" s="198">
        <v>0.11734476351866127</v>
      </c>
      <c r="AK175" s="198">
        <v>2.7383284815911382</v>
      </c>
      <c r="AL175" s="198">
        <v>0.12820586659457803</v>
      </c>
      <c r="AM175" s="198">
        <v>2.3044479517761576E-2</v>
      </c>
      <c r="AN175" s="198">
        <v>9.475285245543202E-3</v>
      </c>
      <c r="AO175" s="198">
        <v>1.8972269640605683E-3</v>
      </c>
      <c r="AP175" s="198">
        <v>1.5744069145245305E-3</v>
      </c>
      <c r="AQ175" s="198">
        <v>1.4954075755332478E-3</v>
      </c>
      <c r="AS175" s="258">
        <f t="shared" si="17"/>
        <v>31730.758906091563</v>
      </c>
      <c r="AT175" s="3">
        <f t="shared" si="18"/>
        <v>7.0159401781787052</v>
      </c>
      <c r="AU175" s="3">
        <f t="shared" si="19"/>
        <v>2.3551255178919224</v>
      </c>
      <c r="AV175" s="95">
        <f t="shared" si="20"/>
        <v>0</v>
      </c>
      <c r="AW175" s="95">
        <f t="shared" si="21"/>
        <v>0</v>
      </c>
      <c r="AX175" s="95">
        <f t="shared" si="24"/>
        <v>2.3551255178919224</v>
      </c>
      <c r="AY175" s="102">
        <f t="shared" si="22"/>
        <v>1</v>
      </c>
      <c r="AZ175" s="102">
        <f t="shared" si="23"/>
        <v>0</v>
      </c>
    </row>
    <row r="176" spans="1:52" x14ac:dyDescent="0.35">
      <c r="A176" t="s">
        <v>984</v>
      </c>
      <c r="B176">
        <v>2025</v>
      </c>
      <c r="C176" t="s">
        <v>837</v>
      </c>
      <c r="D176" t="s">
        <v>996</v>
      </c>
      <c r="E176" t="s">
        <v>240</v>
      </c>
      <c r="F176" t="s">
        <v>978</v>
      </c>
      <c r="G176" s="357"/>
      <c r="H176" s="198">
        <v>12729.782499999999</v>
      </c>
      <c r="I176" s="198">
        <v>9135.0162419999997</v>
      </c>
      <c r="J176" s="198">
        <v>0</v>
      </c>
      <c r="K176" s="198">
        <v>0</v>
      </c>
      <c r="L176" s="198">
        <v>61.624000000000009</v>
      </c>
      <c r="M176" s="198">
        <v>0</v>
      </c>
      <c r="N176" s="198">
        <v>0</v>
      </c>
      <c r="O176" s="198">
        <v>43.7989165083317</v>
      </c>
      <c r="P176" s="198">
        <v>0</v>
      </c>
      <c r="Q176" s="198">
        <v>0</v>
      </c>
      <c r="R176" s="198">
        <v>13.573345568952313</v>
      </c>
      <c r="S176" s="198">
        <v>2393.61</v>
      </c>
      <c r="T176" s="198">
        <v>105.7</v>
      </c>
      <c r="U176" s="198">
        <v>347.50969311758121</v>
      </c>
      <c r="V176" s="198">
        <v>312.62404221542465</v>
      </c>
      <c r="W176" s="198">
        <v>0</v>
      </c>
      <c r="X176" s="198">
        <v>0</v>
      </c>
      <c r="Y176" s="198">
        <v>181</v>
      </c>
      <c r="Z176" s="271">
        <v>25324.238739410288</v>
      </c>
      <c r="AA176" s="272">
        <v>29.529152930019016</v>
      </c>
      <c r="AB176" s="198">
        <v>4.1722073874579202</v>
      </c>
      <c r="AC176" s="272">
        <v>0</v>
      </c>
      <c r="AD176" s="198">
        <v>0</v>
      </c>
      <c r="AE176" s="198">
        <v>4.1722073874579202</v>
      </c>
      <c r="AF176" s="198">
        <v>0</v>
      </c>
      <c r="AG176" s="198">
        <v>0</v>
      </c>
      <c r="AH176" s="198">
        <v>0</v>
      </c>
      <c r="AI176" s="198">
        <v>0</v>
      </c>
      <c r="AJ176" s="198">
        <v>0</v>
      </c>
      <c r="AK176" s="198">
        <v>0</v>
      </c>
      <c r="AL176" s="198">
        <v>0</v>
      </c>
      <c r="AM176" s="198">
        <v>0</v>
      </c>
      <c r="AN176" s="198">
        <v>0</v>
      </c>
      <c r="AO176" s="198">
        <v>0</v>
      </c>
      <c r="AP176" s="198">
        <v>0</v>
      </c>
      <c r="AQ176" s="198">
        <v>0</v>
      </c>
      <c r="AS176" s="258">
        <f t="shared" si="17"/>
        <v>33972.466268918899</v>
      </c>
      <c r="AT176" s="3">
        <f t="shared" si="18"/>
        <v>7.965522065562233</v>
      </c>
      <c r="AU176" s="3">
        <f t="shared" si="19"/>
        <v>2.6738831579956139</v>
      </c>
      <c r="AV176" s="95">
        <f t="shared" si="20"/>
        <v>0</v>
      </c>
      <c r="AW176" s="95">
        <f t="shared" si="21"/>
        <v>0</v>
      </c>
      <c r="AX176" s="95">
        <f t="shared" si="24"/>
        <v>2.6738831579956139</v>
      </c>
      <c r="AY176" s="102">
        <f t="shared" si="22"/>
        <v>1</v>
      </c>
      <c r="AZ176" s="102">
        <f t="shared" si="23"/>
        <v>0</v>
      </c>
    </row>
    <row r="177" spans="1:52" x14ac:dyDescent="0.35">
      <c r="A177" t="s">
        <v>985</v>
      </c>
      <c r="B177">
        <v>2025</v>
      </c>
      <c r="C177" t="s">
        <v>837</v>
      </c>
      <c r="D177" t="s">
        <v>996</v>
      </c>
      <c r="E177" t="s">
        <v>986</v>
      </c>
      <c r="F177" t="s">
        <v>978</v>
      </c>
      <c r="G177" s="357"/>
      <c r="H177" s="198">
        <v>12729.782499999999</v>
      </c>
      <c r="I177" s="198">
        <v>5155.7920960000001</v>
      </c>
      <c r="J177" s="198">
        <v>0</v>
      </c>
      <c r="K177" s="198">
        <v>0</v>
      </c>
      <c r="L177" s="198">
        <v>61.624000000000009</v>
      </c>
      <c r="M177" s="198">
        <v>0</v>
      </c>
      <c r="N177" s="198">
        <v>0</v>
      </c>
      <c r="O177" s="198">
        <v>43.7989165083317</v>
      </c>
      <c r="P177" s="198">
        <v>0</v>
      </c>
      <c r="Q177" s="198">
        <v>0</v>
      </c>
      <c r="R177" s="198">
        <v>13.573345568952313</v>
      </c>
      <c r="S177" s="198">
        <v>2393.61</v>
      </c>
      <c r="T177" s="198">
        <v>105.7</v>
      </c>
      <c r="U177" s="198">
        <v>347.50969311758121</v>
      </c>
      <c r="V177" s="198">
        <v>312.43648552184345</v>
      </c>
      <c r="W177" s="198">
        <v>0</v>
      </c>
      <c r="X177" s="198">
        <v>0</v>
      </c>
      <c r="Y177" s="198">
        <v>181</v>
      </c>
      <c r="Z177" s="271">
        <v>21344.827036716706</v>
      </c>
      <c r="AA177" s="272">
        <v>28.047453305791393</v>
      </c>
      <c r="AB177" s="198">
        <v>4.3926180625661519</v>
      </c>
      <c r="AC177" s="272">
        <v>0</v>
      </c>
      <c r="AD177" s="198">
        <v>0</v>
      </c>
      <c r="AE177" s="198">
        <v>4.3926180625661519</v>
      </c>
      <c r="AF177" s="198">
        <v>328.81177555672565</v>
      </c>
      <c r="AG177" s="198">
        <v>0.1445514529048256</v>
      </c>
      <c r="AH177" s="198">
        <v>7.6378491462455252E-4</v>
      </c>
      <c r="AI177" s="198">
        <v>333.3507221141798</v>
      </c>
      <c r="AJ177" s="198">
        <v>0.14026510369399989</v>
      </c>
      <c r="AK177" s="198">
        <v>3.2731918911535609</v>
      </c>
      <c r="AL177" s="198">
        <v>0.15324764934404428</v>
      </c>
      <c r="AM177" s="198">
        <v>2.7545637420957839E-2</v>
      </c>
      <c r="AN177" s="198">
        <v>1.1326043256161031E-2</v>
      </c>
      <c r="AO177" s="198">
        <v>2.2678024043457901E-3</v>
      </c>
      <c r="AP177" s="198">
        <v>1.8819275994979914E-3</v>
      </c>
      <c r="AQ177" s="198">
        <v>1.7874977319597819E-3</v>
      </c>
      <c r="AS177" s="258">
        <f t="shared" si="17"/>
        <v>28634.085469755461</v>
      </c>
      <c r="AT177" s="3">
        <f t="shared" si="18"/>
        <v>8.3863271533768682</v>
      </c>
      <c r="AU177" s="3">
        <f t="shared" si="19"/>
        <v>2.8151398926886211</v>
      </c>
      <c r="AV177" s="95">
        <f t="shared" si="20"/>
        <v>0</v>
      </c>
      <c r="AW177" s="95">
        <f t="shared" si="21"/>
        <v>0</v>
      </c>
      <c r="AX177" s="95">
        <f t="shared" si="24"/>
        <v>2.8151398926886211</v>
      </c>
      <c r="AY177" s="102">
        <f t="shared" si="22"/>
        <v>1</v>
      </c>
      <c r="AZ177" s="102">
        <f t="shared" si="23"/>
        <v>0</v>
      </c>
    </row>
    <row r="178" spans="1:52" x14ac:dyDescent="0.35">
      <c r="A178" t="s">
        <v>987</v>
      </c>
      <c r="B178">
        <v>2025</v>
      </c>
      <c r="C178" t="s">
        <v>837</v>
      </c>
      <c r="D178" t="s">
        <v>996</v>
      </c>
      <c r="E178" t="s">
        <v>986</v>
      </c>
      <c r="F178" t="s">
        <v>978</v>
      </c>
      <c r="G178" s="357">
        <v>19807.740000000002</v>
      </c>
      <c r="H178" s="198">
        <v>12729.782499999999</v>
      </c>
      <c r="I178" s="198">
        <v>4565.6027519999998</v>
      </c>
      <c r="J178" s="198">
        <v>0</v>
      </c>
      <c r="K178" s="198">
        <v>0</v>
      </c>
      <c r="L178" s="198">
        <v>61.624000000000009</v>
      </c>
      <c r="M178" s="198">
        <v>2178.8514000000005</v>
      </c>
      <c r="N178" s="198">
        <v>30</v>
      </c>
      <c r="O178" s="198">
        <v>0</v>
      </c>
      <c r="P178" s="198">
        <v>728.74199999999996</v>
      </c>
      <c r="Q178" s="198">
        <v>461.31000000000006</v>
      </c>
      <c r="R178" s="198">
        <v>0</v>
      </c>
      <c r="S178" s="198">
        <v>1151.4683090000001</v>
      </c>
      <c r="T178" s="198">
        <v>0</v>
      </c>
      <c r="U178" s="198">
        <v>347.50969311758121</v>
      </c>
      <c r="V178" s="198">
        <v>801.30136346923098</v>
      </c>
      <c r="W178" s="198">
        <v>13.421052631578949</v>
      </c>
      <c r="X178" s="198">
        <v>0</v>
      </c>
      <c r="Y178" s="198">
        <v>181</v>
      </c>
      <c r="Z178" s="271">
        <v>23250.613070218391</v>
      </c>
      <c r="AA178" s="272">
        <v>198.26564932349191</v>
      </c>
      <c r="AB178" s="198">
        <v>0.62139735461175627</v>
      </c>
      <c r="AC178" s="272">
        <v>256.46792846214288</v>
      </c>
      <c r="AD178" s="198">
        <v>0.92328454246371439</v>
      </c>
      <c r="AE178" s="198">
        <v>1.5446818970754705</v>
      </c>
      <c r="AF178" s="198">
        <v>46.515031488255374</v>
      </c>
      <c r="AG178" s="198">
        <v>2.044882781997889E-2</v>
      </c>
      <c r="AH178" s="198">
        <v>1.080480749020085E-4</v>
      </c>
      <c r="AI178" s="198">
        <v>47.15712905816757</v>
      </c>
      <c r="AJ178" s="198">
        <v>1.9842463683008314E-2</v>
      </c>
      <c r="AK178" s="198">
        <v>0.46303884228697234</v>
      </c>
      <c r="AL178" s="198">
        <v>2.1679026618405216E-2</v>
      </c>
      <c r="AM178" s="198">
        <v>1.7546909301140268E-2</v>
      </c>
      <c r="AN178" s="198">
        <v>5.0906101345962688E-3</v>
      </c>
      <c r="AO178" s="198">
        <v>3.2081241637006816E-4</v>
      </c>
      <c r="AP178" s="198">
        <v>7.6498199545584913E-4</v>
      </c>
      <c r="AQ178" s="198">
        <v>8.7642778582080214E-4</v>
      </c>
      <c r="AS178" s="258">
        <f t="shared" si="17"/>
        <v>31190.697433697969</v>
      </c>
      <c r="AT178" s="3">
        <f t="shared" si="18"/>
        <v>1.1863634474454481</v>
      </c>
      <c r="AU178" s="3">
        <f t="shared" si="19"/>
        <v>0.39824097093403688</v>
      </c>
      <c r="AV178" s="95">
        <f t="shared" si="20"/>
        <v>15.936217857142859</v>
      </c>
      <c r="AW178" s="95">
        <f t="shared" si="21"/>
        <v>0.57370384285714293</v>
      </c>
      <c r="AX178" s="95">
        <f t="shared" si="24"/>
        <v>0.97194481379117981</v>
      </c>
      <c r="AY178" s="102">
        <f t="shared" si="22"/>
        <v>0.40973619621535229</v>
      </c>
      <c r="AZ178" s="102">
        <f t="shared" si="23"/>
        <v>0.59026380378464771</v>
      </c>
    </row>
    <row r="179" spans="1:52" x14ac:dyDescent="0.35">
      <c r="A179" t="s">
        <v>988</v>
      </c>
      <c r="B179">
        <v>2025</v>
      </c>
      <c r="C179" t="s">
        <v>837</v>
      </c>
      <c r="D179" t="s">
        <v>996</v>
      </c>
      <c r="E179" t="s">
        <v>989</v>
      </c>
      <c r="F179" t="s">
        <v>978</v>
      </c>
      <c r="G179" s="357">
        <v>1544.4</v>
      </c>
      <c r="H179" s="198">
        <v>12729.782499999999</v>
      </c>
      <c r="I179" s="198">
        <v>0</v>
      </c>
      <c r="J179" s="198">
        <v>5979.4800000000005</v>
      </c>
      <c r="K179" s="198">
        <v>2640.6507999999999</v>
      </c>
      <c r="L179" s="198">
        <v>61.624000000000009</v>
      </c>
      <c r="M179" s="198">
        <v>845.53094340000007</v>
      </c>
      <c r="N179" s="198">
        <v>0</v>
      </c>
      <c r="O179" s="198">
        <v>0</v>
      </c>
      <c r="P179" s="198">
        <v>778.82400000000007</v>
      </c>
      <c r="Q179" s="198">
        <v>0</v>
      </c>
      <c r="R179" s="198">
        <v>0</v>
      </c>
      <c r="S179" s="198">
        <v>0</v>
      </c>
      <c r="T179" s="198">
        <v>0</v>
      </c>
      <c r="U179" s="198">
        <v>347.50969311758121</v>
      </c>
      <c r="V179" s="198">
        <v>770.61988179690513</v>
      </c>
      <c r="W179" s="198">
        <v>10.263157894736842</v>
      </c>
      <c r="X179" s="198">
        <v>213.60781728000001</v>
      </c>
      <c r="Y179" s="198">
        <v>181</v>
      </c>
      <c r="Z179" s="271">
        <v>24558.892793489224</v>
      </c>
      <c r="AA179" s="272">
        <v>60.124193906150253</v>
      </c>
      <c r="AB179" s="198">
        <v>2.0491210275901497</v>
      </c>
      <c r="AC179" s="272">
        <v>0</v>
      </c>
      <c r="AD179" s="198">
        <v>0</v>
      </c>
      <c r="AE179" s="198">
        <v>2.0491210275901497</v>
      </c>
      <c r="AF179" s="198">
        <v>0</v>
      </c>
      <c r="AG179" s="198">
        <v>0</v>
      </c>
      <c r="AH179" s="198">
        <v>0</v>
      </c>
      <c r="AI179" s="198">
        <v>0</v>
      </c>
      <c r="AJ179" s="198">
        <v>0</v>
      </c>
      <c r="AK179" s="198">
        <v>0</v>
      </c>
      <c r="AL179" s="198">
        <v>0</v>
      </c>
      <c r="AM179" s="198">
        <v>1.9156378563448796E-2</v>
      </c>
      <c r="AN179" s="198">
        <v>4.8955189662147E-3</v>
      </c>
      <c r="AO179" s="198">
        <v>0</v>
      </c>
      <c r="AP179" s="198">
        <v>6.9994449178078014E-4</v>
      </c>
      <c r="AQ179" s="198">
        <v>8.7509196670685111E-4</v>
      </c>
      <c r="AS179" s="258">
        <f t="shared" si="17"/>
        <v>32945.754682465791</v>
      </c>
      <c r="AT179" s="3">
        <f t="shared" si="18"/>
        <v>3.9121542254451316</v>
      </c>
      <c r="AU179" s="3">
        <f t="shared" si="19"/>
        <v>1.3132401377838336</v>
      </c>
      <c r="AV179" s="95">
        <f t="shared" si="20"/>
        <v>0</v>
      </c>
      <c r="AW179" s="95">
        <f t="shared" si="21"/>
        <v>0</v>
      </c>
      <c r="AX179" s="95">
        <f t="shared" si="24"/>
        <v>1.3132401377838336</v>
      </c>
      <c r="AY179" s="102">
        <f t="shared" si="22"/>
        <v>1</v>
      </c>
      <c r="AZ179" s="102">
        <f t="shared" si="23"/>
        <v>0</v>
      </c>
    </row>
    <row r="180" spans="1:52" x14ac:dyDescent="0.35">
      <c r="A180" t="s">
        <v>990</v>
      </c>
      <c r="B180">
        <v>2025</v>
      </c>
      <c r="C180" t="s">
        <v>837</v>
      </c>
      <c r="D180" t="s">
        <v>996</v>
      </c>
      <c r="E180" t="s">
        <v>989</v>
      </c>
      <c r="F180" t="s">
        <v>978</v>
      </c>
      <c r="G180" s="357">
        <v>1544.4</v>
      </c>
      <c r="H180" s="198">
        <v>12729.782499999999</v>
      </c>
      <c r="I180" s="198">
        <v>0</v>
      </c>
      <c r="J180" s="198">
        <v>6156.78</v>
      </c>
      <c r="K180" s="198">
        <v>3184.8308000000002</v>
      </c>
      <c r="L180" s="198">
        <v>61.624000000000009</v>
      </c>
      <c r="M180" s="198">
        <v>845.53094340000007</v>
      </c>
      <c r="N180" s="198">
        <v>0</v>
      </c>
      <c r="O180" s="198">
        <v>0</v>
      </c>
      <c r="P180" s="198">
        <v>796.30200000000013</v>
      </c>
      <c r="Q180" s="198">
        <v>0</v>
      </c>
      <c r="R180" s="198">
        <v>0</v>
      </c>
      <c r="S180" s="198">
        <v>0</v>
      </c>
      <c r="T180" s="198">
        <v>0</v>
      </c>
      <c r="U180" s="198">
        <v>347.50969311758121</v>
      </c>
      <c r="V180" s="198">
        <v>770.61988179690513</v>
      </c>
      <c r="W180" s="198">
        <v>10.263157894736842</v>
      </c>
      <c r="X180" s="198">
        <v>213.60781728000001</v>
      </c>
      <c r="Y180" s="198">
        <v>181</v>
      </c>
      <c r="Z180" s="271">
        <v>25297.850793489222</v>
      </c>
      <c r="AA180" s="272">
        <v>59.216006118321332</v>
      </c>
      <c r="AB180" s="198">
        <v>2.0805481165654229</v>
      </c>
      <c r="AC180" s="272">
        <v>0</v>
      </c>
      <c r="AD180" s="198">
        <v>0</v>
      </c>
      <c r="AE180" s="198">
        <v>2.0805481165654229</v>
      </c>
      <c r="AF180" s="198">
        <v>0</v>
      </c>
      <c r="AG180" s="198">
        <v>0</v>
      </c>
      <c r="AH180" s="198">
        <v>0</v>
      </c>
      <c r="AI180" s="198">
        <v>0</v>
      </c>
      <c r="AJ180" s="198">
        <v>0</v>
      </c>
      <c r="AK180" s="198">
        <v>0</v>
      </c>
      <c r="AL180" s="198">
        <v>0</v>
      </c>
      <c r="AM180" s="198">
        <v>1.9450177321770814E-2</v>
      </c>
      <c r="AN180" s="198">
        <v>4.9706008711192162E-3</v>
      </c>
      <c r="AO180" s="198">
        <v>0</v>
      </c>
      <c r="AP180" s="198">
        <v>7.106794447312247E-4</v>
      </c>
      <c r="AQ180" s="198">
        <v>8.8851313252817209E-4</v>
      </c>
      <c r="AS180" s="258">
        <f t="shared" si="17"/>
        <v>33937.066839465791</v>
      </c>
      <c r="AT180" s="3">
        <f t="shared" si="18"/>
        <v>3.972154399799229</v>
      </c>
      <c r="AU180" s="3">
        <f t="shared" si="19"/>
        <v>1.3333811221865801</v>
      </c>
      <c r="AV180" s="95">
        <f t="shared" si="20"/>
        <v>0</v>
      </c>
      <c r="AW180" s="95">
        <f t="shared" si="21"/>
        <v>0</v>
      </c>
      <c r="AX180" s="95">
        <f t="shared" si="24"/>
        <v>1.3333811221865801</v>
      </c>
      <c r="AY180" s="102">
        <f t="shared" si="22"/>
        <v>1</v>
      </c>
      <c r="AZ180" s="102">
        <f t="shared" si="23"/>
        <v>0</v>
      </c>
    </row>
    <row r="181" spans="1:52" x14ac:dyDescent="0.35">
      <c r="A181" t="s">
        <v>991</v>
      </c>
      <c r="B181">
        <v>2025</v>
      </c>
      <c r="C181" t="s">
        <v>837</v>
      </c>
      <c r="D181" t="s">
        <v>996</v>
      </c>
      <c r="E181" t="s">
        <v>986</v>
      </c>
      <c r="F181" t="s">
        <v>978</v>
      </c>
      <c r="G181" s="357">
        <v>1965.6</v>
      </c>
      <c r="H181" s="198">
        <v>12729.782499999999</v>
      </c>
      <c r="I181" s="198">
        <v>4565.6027524324099</v>
      </c>
      <c r="J181" s="198">
        <v>0</v>
      </c>
      <c r="K181" s="198">
        <v>0</v>
      </c>
      <c r="L181" s="198">
        <v>61.624000000000009</v>
      </c>
      <c r="M181" s="198">
        <v>1076.1302916</v>
      </c>
      <c r="N181" s="198">
        <v>0</v>
      </c>
      <c r="O181" s="198">
        <v>0</v>
      </c>
      <c r="P181" s="198">
        <v>549.37800000000004</v>
      </c>
      <c r="Q181" s="198">
        <v>406.79400000000004</v>
      </c>
      <c r="R181" s="198">
        <v>0</v>
      </c>
      <c r="S181" s="198">
        <v>1054.37736426525</v>
      </c>
      <c r="T181" s="198">
        <v>0</v>
      </c>
      <c r="U181" s="198">
        <v>347.50969311758121</v>
      </c>
      <c r="V181" s="198">
        <v>805.29751821289585</v>
      </c>
      <c r="W181" s="198">
        <v>10.263157894736842</v>
      </c>
      <c r="X181" s="198">
        <v>271.86449471999998</v>
      </c>
      <c r="Y181" s="198">
        <v>181</v>
      </c>
      <c r="Z181" s="271">
        <v>22059.623772242874</v>
      </c>
      <c r="AA181" s="272">
        <v>42.369349901632475</v>
      </c>
      <c r="AB181" s="198">
        <v>2.9078036431060061</v>
      </c>
      <c r="AC181" s="272">
        <v>0</v>
      </c>
      <c r="AD181" s="198">
        <v>0</v>
      </c>
      <c r="AE181" s="198">
        <v>2.9078036431060061</v>
      </c>
      <c r="AF181" s="198">
        <v>217.6651976660678</v>
      </c>
      <c r="AG181" s="198">
        <v>9.5689457946490461E-2</v>
      </c>
      <c r="AH181" s="198">
        <v>5.0560657122035793E-4</v>
      </c>
      <c r="AI181" s="198">
        <v>220.66986712460894</v>
      </c>
      <c r="AJ181" s="198">
        <v>9.2852001633800654E-2</v>
      </c>
      <c r="AK181" s="198">
        <v>2.1667714265421698</v>
      </c>
      <c r="AL181" s="198">
        <v>0.10144612318051562</v>
      </c>
      <c r="AM181" s="198">
        <v>1.8234525220147589E-2</v>
      </c>
      <c r="AN181" s="198">
        <v>7.4975582609614335E-3</v>
      </c>
      <c r="AO181" s="198">
        <v>1.5012286520874679E-3</v>
      </c>
      <c r="AP181" s="198">
        <v>1.2457891516944491E-3</v>
      </c>
      <c r="AQ181" s="198">
        <v>1.1832789336571419E-3</v>
      </c>
      <c r="AS181" s="258">
        <f t="shared" si="17"/>
        <v>29592.985290463814</v>
      </c>
      <c r="AT181" s="3">
        <f t="shared" si="18"/>
        <v>5.5515394922867438</v>
      </c>
      <c r="AU181" s="3">
        <f t="shared" si="19"/>
        <v>1.8635524234562895</v>
      </c>
      <c r="AV181" s="95">
        <f t="shared" si="20"/>
        <v>0</v>
      </c>
      <c r="AW181" s="95">
        <f t="shared" si="21"/>
        <v>0</v>
      </c>
      <c r="AX181" s="95">
        <f t="shared" si="24"/>
        <v>1.8635524234562895</v>
      </c>
      <c r="AY181" s="102">
        <f t="shared" si="22"/>
        <v>1</v>
      </c>
      <c r="AZ181" s="102">
        <f t="shared" si="23"/>
        <v>0</v>
      </c>
    </row>
    <row r="182" spans="1:52" x14ac:dyDescent="0.35">
      <c r="A182" t="s">
        <v>992</v>
      </c>
      <c r="B182">
        <v>2025</v>
      </c>
      <c r="C182" t="s">
        <v>837</v>
      </c>
      <c r="D182" t="s">
        <v>996</v>
      </c>
      <c r="E182" t="s">
        <v>986</v>
      </c>
      <c r="F182" t="s">
        <v>978</v>
      </c>
      <c r="G182" s="357">
        <v>8851.9392000000007</v>
      </c>
      <c r="H182" s="198">
        <v>12729.782499999999</v>
      </c>
      <c r="I182" s="198">
        <v>4565.6027524324099</v>
      </c>
      <c r="J182" s="198">
        <v>0</v>
      </c>
      <c r="K182" s="198">
        <v>0</v>
      </c>
      <c r="L182" s="198">
        <v>61.624000000000009</v>
      </c>
      <c r="M182" s="198">
        <v>1248.3326040000002</v>
      </c>
      <c r="N182" s="198">
        <v>30</v>
      </c>
      <c r="O182" s="198">
        <v>0</v>
      </c>
      <c r="P182" s="198">
        <v>583.29599999999994</v>
      </c>
      <c r="Q182" s="198">
        <v>418.40999999999997</v>
      </c>
      <c r="R182" s="198">
        <v>0</v>
      </c>
      <c r="S182" s="198">
        <v>1064.9867140379999</v>
      </c>
      <c r="T182" s="198">
        <v>0</v>
      </c>
      <c r="U182" s="198">
        <v>347.50969311758121</v>
      </c>
      <c r="V182" s="198">
        <v>806.28757812092783</v>
      </c>
      <c r="W182" s="198">
        <v>10.263157894736842</v>
      </c>
      <c r="X182" s="198">
        <v>254.39664959999996</v>
      </c>
      <c r="Y182" s="198">
        <v>181</v>
      </c>
      <c r="Z182" s="271">
        <v>22301.491649203654</v>
      </c>
      <c r="AA182" s="272">
        <v>84.653010288942141</v>
      </c>
      <c r="AB182" s="198">
        <v>1.4553735251644482</v>
      </c>
      <c r="AC182" s="272">
        <v>180.80371631000003</v>
      </c>
      <c r="AD182" s="198">
        <v>0.65089337871600006</v>
      </c>
      <c r="AE182" s="198">
        <v>2.1062669038804485</v>
      </c>
      <c r="AF182" s="198">
        <v>108.94276399437503</v>
      </c>
      <c r="AG182" s="198">
        <v>4.7893159520187745E-2</v>
      </c>
      <c r="AH182" s="198">
        <v>2.5305918425677415E-4</v>
      </c>
      <c r="AI182" s="198">
        <v>110.44661945318447</v>
      </c>
      <c r="AJ182" s="198">
        <v>4.647299526456819E-2</v>
      </c>
      <c r="AK182" s="198">
        <v>1.084482364119975</v>
      </c>
      <c r="AL182" s="198">
        <v>5.0774405712549507E-2</v>
      </c>
      <c r="AM182" s="198">
        <v>9.12649150580171E-3</v>
      </c>
      <c r="AN182" s="198">
        <v>3.7525738102197827E-3</v>
      </c>
      <c r="AO182" s="198">
        <v>7.513741310030956E-4</v>
      </c>
      <c r="AP182" s="198">
        <v>6.2352509723679445E-4</v>
      </c>
      <c r="AQ182" s="198">
        <v>5.9223835041692424E-4</v>
      </c>
      <c r="AS182" s="258">
        <f t="shared" si="17"/>
        <v>29917.451047406699</v>
      </c>
      <c r="AT182" s="3">
        <f t="shared" si="18"/>
        <v>2.7785795028266498</v>
      </c>
      <c r="AU182" s="3">
        <f t="shared" si="19"/>
        <v>0.93271939674623205</v>
      </c>
      <c r="AV182" s="95">
        <f t="shared" si="20"/>
        <v>11.234650000000002</v>
      </c>
      <c r="AW182" s="95">
        <f t="shared" si="21"/>
        <v>0.40444740000000012</v>
      </c>
      <c r="AX182" s="95">
        <f t="shared" si="24"/>
        <v>1.3371667967462322</v>
      </c>
      <c r="AY182" s="102">
        <f t="shared" si="22"/>
        <v>0.69753406905993032</v>
      </c>
      <c r="AZ182" s="102">
        <f t="shared" si="23"/>
        <v>0.30246593094006974</v>
      </c>
    </row>
    <row r="183" spans="1:52" x14ac:dyDescent="0.35">
      <c r="A183" t="s">
        <v>975</v>
      </c>
      <c r="B183">
        <v>2030</v>
      </c>
      <c r="C183" t="s">
        <v>837</v>
      </c>
      <c r="D183" t="s">
        <v>976</v>
      </c>
      <c r="E183" t="s">
        <v>977</v>
      </c>
      <c r="F183" t="s">
        <v>978</v>
      </c>
      <c r="G183" s="357">
        <v>37520.044600000001</v>
      </c>
      <c r="H183" s="198">
        <v>8036.2512999999999</v>
      </c>
      <c r="I183" s="198">
        <v>0</v>
      </c>
      <c r="J183" s="198">
        <v>0</v>
      </c>
      <c r="K183" s="198">
        <v>0</v>
      </c>
      <c r="L183" s="198">
        <v>61.624000000000009</v>
      </c>
      <c r="M183" s="198">
        <v>3376.8040139999998</v>
      </c>
      <c r="N183" s="198">
        <v>25</v>
      </c>
      <c r="O183" s="198">
        <v>0</v>
      </c>
      <c r="P183" s="198">
        <v>412.92959999999999</v>
      </c>
      <c r="Q183" s="198">
        <v>0</v>
      </c>
      <c r="R183" s="198">
        <v>0</v>
      </c>
      <c r="S183" s="198">
        <v>0</v>
      </c>
      <c r="T183" s="198">
        <v>0</v>
      </c>
      <c r="U183" s="198">
        <v>269.26969308194964</v>
      </c>
      <c r="V183" s="198">
        <v>696.5793375837801</v>
      </c>
      <c r="W183" s="198">
        <v>9.8684210526315788</v>
      </c>
      <c r="X183" s="198">
        <v>0</v>
      </c>
      <c r="Y183" s="198">
        <v>172.2</v>
      </c>
      <c r="Z183" s="271">
        <v>13060.52636571836</v>
      </c>
      <c r="AA183" s="272">
        <v>0</v>
      </c>
      <c r="AB183" s="198">
        <v>0</v>
      </c>
      <c r="AC183" s="272">
        <v>184.13809440573374</v>
      </c>
      <c r="AD183" s="198">
        <v>0.66289713986064147</v>
      </c>
      <c r="AE183" s="198">
        <v>0.66289713986064147</v>
      </c>
      <c r="AF183" s="198">
        <v>0</v>
      </c>
      <c r="AG183" s="198">
        <v>0</v>
      </c>
      <c r="AH183" s="198">
        <v>0</v>
      </c>
      <c r="AI183" s="198">
        <v>0</v>
      </c>
      <c r="AJ183" s="198">
        <v>0</v>
      </c>
      <c r="AK183" s="198">
        <v>0</v>
      </c>
      <c r="AL183" s="198">
        <v>0</v>
      </c>
      <c r="AM183" s="198">
        <v>9.8005257425401952E-3</v>
      </c>
      <c r="AN183" s="198">
        <v>2.504578800871377E-3</v>
      </c>
      <c r="AO183" s="198">
        <v>0</v>
      </c>
      <c r="AP183" s="198">
        <v>3.5809607684072109E-4</v>
      </c>
      <c r="AQ183" s="198">
        <v>4.4770264475586357E-4</v>
      </c>
      <c r="AS183" s="258">
        <f t="shared" si="17"/>
        <v>17520.696119611181</v>
      </c>
      <c r="AT183" s="3">
        <f t="shared" si="18"/>
        <v>0</v>
      </c>
      <c r="AU183" s="3">
        <f t="shared" si="19"/>
        <v>0</v>
      </c>
      <c r="AV183" s="95">
        <f t="shared" si="20"/>
        <v>11.441839164237125</v>
      </c>
      <c r="AW183" s="95">
        <f t="shared" si="21"/>
        <v>0.41190620991253651</v>
      </c>
      <c r="AX183" s="95">
        <f t="shared" si="24"/>
        <v>0.41190620991253651</v>
      </c>
      <c r="AY183" s="102">
        <f t="shared" si="22"/>
        <v>0</v>
      </c>
      <c r="AZ183" s="102">
        <f t="shared" si="23"/>
        <v>1</v>
      </c>
    </row>
    <row r="184" spans="1:52" x14ac:dyDescent="0.35">
      <c r="A184" t="s">
        <v>979</v>
      </c>
      <c r="B184">
        <v>2030</v>
      </c>
      <c r="C184" t="s">
        <v>837</v>
      </c>
      <c r="D184" t="s">
        <v>976</v>
      </c>
      <c r="E184" t="s">
        <v>977</v>
      </c>
      <c r="F184" t="s">
        <v>978</v>
      </c>
      <c r="G184" s="357">
        <v>57891.620199999998</v>
      </c>
      <c r="H184" s="198">
        <v>8036.2512999999999</v>
      </c>
      <c r="I184" s="198">
        <v>0</v>
      </c>
      <c r="J184" s="198">
        <v>0</v>
      </c>
      <c r="K184" s="198">
        <v>0</v>
      </c>
      <c r="L184" s="198">
        <v>61.624000000000009</v>
      </c>
      <c r="M184" s="198">
        <v>5210.2458179999994</v>
      </c>
      <c r="N184" s="198">
        <v>25</v>
      </c>
      <c r="O184" s="198">
        <v>0</v>
      </c>
      <c r="P184" s="198">
        <v>435.35039999999998</v>
      </c>
      <c r="Q184" s="198">
        <v>0</v>
      </c>
      <c r="R184" s="198">
        <v>0</v>
      </c>
      <c r="S184" s="198">
        <v>0</v>
      </c>
      <c r="T184" s="198">
        <v>0</v>
      </c>
      <c r="U184" s="198">
        <v>269.26969308194964</v>
      </c>
      <c r="V184" s="198">
        <v>696.5793375837801</v>
      </c>
      <c r="W184" s="198">
        <v>9.8684210526315788</v>
      </c>
      <c r="X184" s="198">
        <v>0</v>
      </c>
      <c r="Y184" s="198">
        <v>172.2</v>
      </c>
      <c r="Z184" s="271">
        <v>14916.38896971836</v>
      </c>
      <c r="AA184" s="272">
        <v>0</v>
      </c>
      <c r="AB184" s="198">
        <v>0</v>
      </c>
      <c r="AC184" s="272">
        <v>190.28326301069001</v>
      </c>
      <c r="AD184" s="198">
        <v>0.68501974683848399</v>
      </c>
      <c r="AE184" s="198">
        <v>0.68501974683848399</v>
      </c>
      <c r="AF184" s="198">
        <v>0</v>
      </c>
      <c r="AG184" s="198">
        <v>0</v>
      </c>
      <c r="AH184" s="198">
        <v>0</v>
      </c>
      <c r="AI184" s="198">
        <v>0</v>
      </c>
      <c r="AJ184" s="198">
        <v>0</v>
      </c>
      <c r="AK184" s="198">
        <v>0</v>
      </c>
      <c r="AL184" s="198">
        <v>0</v>
      </c>
      <c r="AM184" s="198">
        <v>1.0127594854988054E-2</v>
      </c>
      <c r="AN184" s="198">
        <v>2.5881631296080518E-3</v>
      </c>
      <c r="AO184" s="198">
        <v>0</v>
      </c>
      <c r="AP184" s="198">
        <v>3.7004667715545466E-4</v>
      </c>
      <c r="AQ184" s="198">
        <v>4.6264365001492496E-4</v>
      </c>
      <c r="AS184" s="258">
        <f t="shared" si="17"/>
        <v>20010.33580287718</v>
      </c>
      <c r="AT184" s="3">
        <f t="shared" si="18"/>
        <v>0</v>
      </c>
      <c r="AU184" s="3">
        <f t="shared" si="19"/>
        <v>0</v>
      </c>
      <c r="AV184" s="95">
        <f t="shared" si="20"/>
        <v>11.823683187560739</v>
      </c>
      <c r="AW184" s="95">
        <f t="shared" si="21"/>
        <v>0.42565259475218659</v>
      </c>
      <c r="AX184" s="95">
        <f t="shared" si="24"/>
        <v>0.42565259475218659</v>
      </c>
      <c r="AY184" s="102">
        <f t="shared" si="22"/>
        <v>0</v>
      </c>
      <c r="AZ184" s="102">
        <f t="shared" si="23"/>
        <v>1</v>
      </c>
    </row>
    <row r="185" spans="1:52" x14ac:dyDescent="0.35">
      <c r="A185" t="s">
        <v>980</v>
      </c>
      <c r="B185">
        <v>2030</v>
      </c>
      <c r="C185" t="s">
        <v>837</v>
      </c>
      <c r="D185" t="s">
        <v>976</v>
      </c>
      <c r="E185" t="s">
        <v>977</v>
      </c>
      <c r="F185" t="s">
        <v>978</v>
      </c>
      <c r="G185" s="357">
        <v>85341.470400000006</v>
      </c>
      <c r="H185" s="198">
        <v>8036.2512999999999</v>
      </c>
      <c r="I185" s="198">
        <v>0</v>
      </c>
      <c r="J185" s="198">
        <v>0</v>
      </c>
      <c r="K185" s="198">
        <v>0</v>
      </c>
      <c r="L185" s="198">
        <v>61.624000000000009</v>
      </c>
      <c r="M185" s="198">
        <v>7680.7323360000009</v>
      </c>
      <c r="N185" s="198">
        <v>25</v>
      </c>
      <c r="O185" s="198">
        <v>0</v>
      </c>
      <c r="P185" s="198">
        <v>465.49439999999993</v>
      </c>
      <c r="Q185" s="198">
        <v>0</v>
      </c>
      <c r="R185" s="198">
        <v>0</v>
      </c>
      <c r="S185" s="198">
        <v>0</v>
      </c>
      <c r="T185" s="198">
        <v>0</v>
      </c>
      <c r="U185" s="198">
        <v>269.26969308194964</v>
      </c>
      <c r="V185" s="198">
        <v>696.5793375837801</v>
      </c>
      <c r="W185" s="198">
        <v>9.8684210526315788</v>
      </c>
      <c r="X185" s="198">
        <v>0</v>
      </c>
      <c r="Y185" s="198">
        <v>172.2</v>
      </c>
      <c r="Z185" s="271">
        <v>17417.01948771836</v>
      </c>
      <c r="AA185" s="272">
        <v>0</v>
      </c>
      <c r="AB185" s="198">
        <v>0</v>
      </c>
      <c r="AC185" s="272">
        <v>208.39915231150798</v>
      </c>
      <c r="AD185" s="198">
        <v>0.75023694832142873</v>
      </c>
      <c r="AE185" s="198">
        <v>0.75023694832142873</v>
      </c>
      <c r="AF185" s="198">
        <v>0</v>
      </c>
      <c r="AG185" s="198">
        <v>0</v>
      </c>
      <c r="AH185" s="198">
        <v>0</v>
      </c>
      <c r="AI185" s="198">
        <v>0</v>
      </c>
      <c r="AJ185" s="198">
        <v>0</v>
      </c>
      <c r="AK185" s="198">
        <v>0</v>
      </c>
      <c r="AL185" s="198">
        <v>0</v>
      </c>
      <c r="AM185" s="198">
        <v>1.1091790992754466E-2</v>
      </c>
      <c r="AN185" s="198">
        <v>2.8345688092594671E-3</v>
      </c>
      <c r="AO185" s="198">
        <v>0</v>
      </c>
      <c r="AP185" s="198">
        <v>4.0527691513548729E-4</v>
      </c>
      <c r="AQ185" s="198">
        <v>5.0668956880351498E-4</v>
      </c>
      <c r="AS185" s="258">
        <f t="shared" si="17"/>
        <v>23364.93164277418</v>
      </c>
      <c r="AT185" s="3">
        <f t="shared" si="18"/>
        <v>0</v>
      </c>
      <c r="AU185" s="3">
        <f t="shared" si="19"/>
        <v>0</v>
      </c>
      <c r="AV185" s="95">
        <f t="shared" si="20"/>
        <v>12.949355158730162</v>
      </c>
      <c r="AW185" s="95">
        <f t="shared" si="21"/>
        <v>0.46617678571428584</v>
      </c>
      <c r="AX185" s="95">
        <f t="shared" si="24"/>
        <v>0.46617678571428584</v>
      </c>
      <c r="AY185" s="102">
        <f t="shared" si="22"/>
        <v>0</v>
      </c>
      <c r="AZ185" s="102">
        <f t="shared" si="23"/>
        <v>1</v>
      </c>
    </row>
    <row r="186" spans="1:52" x14ac:dyDescent="0.35">
      <c r="A186" t="s">
        <v>981</v>
      </c>
      <c r="B186">
        <v>2030</v>
      </c>
      <c r="C186" t="s">
        <v>837</v>
      </c>
      <c r="D186" t="s">
        <v>976</v>
      </c>
      <c r="E186" t="s">
        <v>977</v>
      </c>
      <c r="F186" t="s">
        <v>978</v>
      </c>
      <c r="G186" s="357">
        <v>117232.98050000001</v>
      </c>
      <c r="H186" s="198">
        <v>8036.2512999999999</v>
      </c>
      <c r="I186" s="198">
        <v>0</v>
      </c>
      <c r="J186" s="198">
        <v>0</v>
      </c>
      <c r="K186" s="198">
        <v>0</v>
      </c>
      <c r="L186" s="198">
        <v>61.624000000000009</v>
      </c>
      <c r="M186" s="198">
        <v>10550.968245000002</v>
      </c>
      <c r="N186" s="198">
        <v>25</v>
      </c>
      <c r="O186" s="198">
        <v>0</v>
      </c>
      <c r="P186" s="198">
        <v>503.38079999999997</v>
      </c>
      <c r="Q186" s="198">
        <v>0</v>
      </c>
      <c r="R186" s="198">
        <v>0</v>
      </c>
      <c r="S186" s="198">
        <v>0</v>
      </c>
      <c r="T186" s="198">
        <v>0</v>
      </c>
      <c r="U186" s="198">
        <v>269.26969308194964</v>
      </c>
      <c r="V186" s="198">
        <v>696.5793375837801</v>
      </c>
      <c r="W186" s="198">
        <v>9.8684210526315788</v>
      </c>
      <c r="X186" s="198">
        <v>0</v>
      </c>
      <c r="Y186" s="198">
        <v>172.2</v>
      </c>
      <c r="Z186" s="271">
        <v>20325.141796718362</v>
      </c>
      <c r="AA186" s="272">
        <v>0</v>
      </c>
      <c r="AB186" s="198">
        <v>0</v>
      </c>
      <c r="AC186" s="272">
        <v>226.9467762617023</v>
      </c>
      <c r="AD186" s="198">
        <v>0.81700839454212826</v>
      </c>
      <c r="AE186" s="198">
        <v>0.81700839454212826</v>
      </c>
      <c r="AF186" s="198">
        <v>0</v>
      </c>
      <c r="AG186" s="198">
        <v>0</v>
      </c>
      <c r="AH186" s="198">
        <v>0</v>
      </c>
      <c r="AI186" s="198">
        <v>0</v>
      </c>
      <c r="AJ186" s="198">
        <v>0</v>
      </c>
      <c r="AK186" s="198">
        <v>0</v>
      </c>
      <c r="AL186" s="198">
        <v>0</v>
      </c>
      <c r="AM186" s="198">
        <v>1.2078965681259194E-2</v>
      </c>
      <c r="AN186" s="198">
        <v>3.086846785210675E-3</v>
      </c>
      <c r="AO186" s="198">
        <v>0</v>
      </c>
      <c r="AP186" s="198">
        <v>4.413467538764424E-4</v>
      </c>
      <c r="AQ186" s="198">
        <v>5.5178518208895703E-4</v>
      </c>
      <c r="AS186" s="258">
        <f t="shared" si="17"/>
        <v>27266.177720297681</v>
      </c>
      <c r="AT186" s="3">
        <f t="shared" si="18"/>
        <v>0</v>
      </c>
      <c r="AU186" s="3">
        <f t="shared" si="19"/>
        <v>0</v>
      </c>
      <c r="AV186" s="95">
        <f t="shared" si="20"/>
        <v>14.101853943958536</v>
      </c>
      <c r="AW186" s="95">
        <f t="shared" si="21"/>
        <v>0.50766674198250739</v>
      </c>
      <c r="AX186" s="95">
        <f t="shared" si="24"/>
        <v>0.50766674198250739</v>
      </c>
      <c r="AY186" s="102">
        <f t="shared" si="22"/>
        <v>0</v>
      </c>
      <c r="AZ186" s="102">
        <f t="shared" si="23"/>
        <v>1</v>
      </c>
    </row>
    <row r="187" spans="1:52" x14ac:dyDescent="0.35">
      <c r="A187" t="s">
        <v>982</v>
      </c>
      <c r="B187">
        <v>2030</v>
      </c>
      <c r="C187" t="s">
        <v>837</v>
      </c>
      <c r="D187" t="s">
        <v>976</v>
      </c>
      <c r="E187" t="s">
        <v>983</v>
      </c>
      <c r="F187" t="s">
        <v>978</v>
      </c>
      <c r="G187" s="357"/>
      <c r="H187" s="198">
        <v>8036.2512999999999</v>
      </c>
      <c r="I187" s="198">
        <v>7365.1478031554798</v>
      </c>
      <c r="J187" s="198">
        <v>0</v>
      </c>
      <c r="K187" s="198">
        <v>0</v>
      </c>
      <c r="L187" s="198">
        <v>61.624000000000009</v>
      </c>
      <c r="M187" s="198">
        <v>0</v>
      </c>
      <c r="N187" s="198">
        <v>0</v>
      </c>
      <c r="O187" s="198">
        <v>41.652333795824291</v>
      </c>
      <c r="P187" s="198">
        <v>0</v>
      </c>
      <c r="Q187" s="198">
        <v>0</v>
      </c>
      <c r="R187" s="198">
        <v>12.908116579927901</v>
      </c>
      <c r="S187" s="198">
        <v>2483.17</v>
      </c>
      <c r="T187" s="198">
        <v>100.5</v>
      </c>
      <c r="U187" s="198">
        <v>269.26969308194964</v>
      </c>
      <c r="V187" s="198">
        <v>305.61177195287308</v>
      </c>
      <c r="W187" s="198">
        <v>0</v>
      </c>
      <c r="X187" s="198">
        <v>0</v>
      </c>
      <c r="Y187" s="198">
        <v>172.2</v>
      </c>
      <c r="Z187" s="271">
        <v>18848.335018566057</v>
      </c>
      <c r="AA187" s="272">
        <v>43.139761618705755</v>
      </c>
      <c r="AB187" s="198">
        <v>2.8558746125889281</v>
      </c>
      <c r="AC187" s="272">
        <v>0</v>
      </c>
      <c r="AD187" s="198">
        <v>0</v>
      </c>
      <c r="AE187" s="198">
        <v>2.8558746125889281</v>
      </c>
      <c r="AF187" s="198">
        <v>213.77802229956558</v>
      </c>
      <c r="AG187" s="198">
        <v>9.3980587131348964E-2</v>
      </c>
      <c r="AH187" s="198">
        <v>4.9657719293727271E-4</v>
      </c>
      <c r="AI187" s="198">
        <v>216.72903284878655</v>
      </c>
      <c r="AJ187" s="198">
        <v>9.1193803550912556E-2</v>
      </c>
      <c r="AK187" s="198">
        <v>2.1280761247465323</v>
      </c>
      <c r="AL187" s="198">
        <v>9.9634446921367262E-2</v>
      </c>
      <c r="AM187" s="198">
        <v>1.7908883831374161E-2</v>
      </c>
      <c r="AN187" s="198">
        <v>7.3636630673639871E-3</v>
      </c>
      <c r="AO187" s="198">
        <v>1.474418950314039E-3</v>
      </c>
      <c r="AP187" s="198">
        <v>1.2235412179216294E-3</v>
      </c>
      <c r="AQ187" s="198">
        <v>1.1621473390249601E-3</v>
      </c>
      <c r="AS187" s="258">
        <f t="shared" si="17"/>
        <v>25285.041427406362</v>
      </c>
      <c r="AT187" s="3">
        <f t="shared" si="18"/>
        <v>5.4523972876900864</v>
      </c>
      <c r="AU187" s="3">
        <f t="shared" si="19"/>
        <v>1.8302721602248742</v>
      </c>
      <c r="AV187" s="95">
        <f t="shared" si="20"/>
        <v>0</v>
      </c>
      <c r="AW187" s="95">
        <f t="shared" si="21"/>
        <v>0</v>
      </c>
      <c r="AX187" s="95">
        <f t="shared" si="24"/>
        <v>1.8302721602248742</v>
      </c>
      <c r="AY187" s="102">
        <f t="shared" si="22"/>
        <v>1</v>
      </c>
      <c r="AZ187" s="102">
        <f t="shared" si="23"/>
        <v>0</v>
      </c>
    </row>
    <row r="188" spans="1:52" x14ac:dyDescent="0.35">
      <c r="A188" t="s">
        <v>984</v>
      </c>
      <c r="B188">
        <v>2030</v>
      </c>
      <c r="C188" t="s">
        <v>837</v>
      </c>
      <c r="D188" t="s">
        <v>976</v>
      </c>
      <c r="E188" t="s">
        <v>240</v>
      </c>
      <c r="F188" t="s">
        <v>978</v>
      </c>
      <c r="G188" s="357"/>
      <c r="H188" s="198">
        <v>8036.2512999999999</v>
      </c>
      <c r="I188" s="198">
        <v>9024.4503299999997</v>
      </c>
      <c r="J188" s="198">
        <v>0</v>
      </c>
      <c r="K188" s="198">
        <v>0</v>
      </c>
      <c r="L188" s="198">
        <v>61.624000000000009</v>
      </c>
      <c r="M188" s="198">
        <v>0</v>
      </c>
      <c r="N188" s="198">
        <v>0</v>
      </c>
      <c r="O188" s="198">
        <v>41.652333795824291</v>
      </c>
      <c r="P188" s="198">
        <v>0</v>
      </c>
      <c r="Q188" s="198">
        <v>0</v>
      </c>
      <c r="R188" s="198">
        <v>12.908116579927901</v>
      </c>
      <c r="S188" s="198">
        <v>2483.17</v>
      </c>
      <c r="T188" s="198">
        <v>100.5</v>
      </c>
      <c r="U188" s="198">
        <v>269.26969308194964</v>
      </c>
      <c r="V188" s="198">
        <v>283.77890517141259</v>
      </c>
      <c r="W188" s="198">
        <v>0</v>
      </c>
      <c r="X188" s="198">
        <v>0</v>
      </c>
      <c r="Y188" s="198">
        <v>172.2</v>
      </c>
      <c r="Z188" s="271">
        <v>20485.80467862912</v>
      </c>
      <c r="AA188" s="272">
        <v>38.429555567465968</v>
      </c>
      <c r="AB188" s="198">
        <v>3.2059113924362221</v>
      </c>
      <c r="AC188" s="272">
        <v>0</v>
      </c>
      <c r="AD188" s="198">
        <v>0</v>
      </c>
      <c r="AE188" s="198">
        <v>3.2059113924362221</v>
      </c>
      <c r="AF188" s="198">
        <v>0</v>
      </c>
      <c r="AG188" s="198">
        <v>0</v>
      </c>
      <c r="AH188" s="198">
        <v>0</v>
      </c>
      <c r="AI188" s="198">
        <v>0</v>
      </c>
      <c r="AJ188" s="198">
        <v>0</v>
      </c>
      <c r="AK188" s="198">
        <v>0</v>
      </c>
      <c r="AL188" s="198">
        <v>0</v>
      </c>
      <c r="AM188" s="198">
        <v>0</v>
      </c>
      <c r="AN188" s="198">
        <v>0</v>
      </c>
      <c r="AO188" s="198">
        <v>0</v>
      </c>
      <c r="AP188" s="198">
        <v>0</v>
      </c>
      <c r="AQ188" s="198">
        <v>0</v>
      </c>
      <c r="AS188" s="258">
        <f t="shared" si="17"/>
        <v>27481.706976380963</v>
      </c>
      <c r="AT188" s="3">
        <f t="shared" si="18"/>
        <v>6.1206827861563573</v>
      </c>
      <c r="AU188" s="3">
        <f t="shared" si="19"/>
        <v>2.0546036383595139</v>
      </c>
      <c r="AV188" s="95">
        <f t="shared" si="20"/>
        <v>0</v>
      </c>
      <c r="AW188" s="95">
        <f t="shared" si="21"/>
        <v>0</v>
      </c>
      <c r="AX188" s="95">
        <f t="shared" si="24"/>
        <v>2.0546036383595139</v>
      </c>
      <c r="AY188" s="102">
        <f t="shared" si="22"/>
        <v>1</v>
      </c>
      <c r="AZ188" s="102">
        <f t="shared" si="23"/>
        <v>0</v>
      </c>
    </row>
    <row r="189" spans="1:52" x14ac:dyDescent="0.35">
      <c r="A189" t="s">
        <v>985</v>
      </c>
      <c r="B189">
        <v>2030</v>
      </c>
      <c r="C189" t="s">
        <v>837</v>
      </c>
      <c r="D189" t="s">
        <v>976</v>
      </c>
      <c r="E189" t="s">
        <v>986</v>
      </c>
      <c r="F189" t="s">
        <v>978</v>
      </c>
      <c r="G189" s="357"/>
      <c r="H189" s="198">
        <v>8036.2512999999999</v>
      </c>
      <c r="I189" s="198">
        <v>5052.3838169999999</v>
      </c>
      <c r="J189" s="198">
        <v>0</v>
      </c>
      <c r="K189" s="198">
        <v>0</v>
      </c>
      <c r="L189" s="198">
        <v>61.624000000000009</v>
      </c>
      <c r="M189" s="198">
        <v>0</v>
      </c>
      <c r="N189" s="198">
        <v>0</v>
      </c>
      <c r="O189" s="198">
        <v>41.652333795824291</v>
      </c>
      <c r="P189" s="198">
        <v>0</v>
      </c>
      <c r="Q189" s="198">
        <v>0</v>
      </c>
      <c r="R189" s="198">
        <v>12.908116579927901</v>
      </c>
      <c r="S189" s="198">
        <v>2483.17</v>
      </c>
      <c r="T189" s="198">
        <v>100.5</v>
      </c>
      <c r="U189" s="198">
        <v>269.26969308194964</v>
      </c>
      <c r="V189" s="198">
        <v>283.49579888663948</v>
      </c>
      <c r="W189" s="198">
        <v>0</v>
      </c>
      <c r="X189" s="198">
        <v>0</v>
      </c>
      <c r="Y189" s="198">
        <v>172.2</v>
      </c>
      <c r="Z189" s="271">
        <v>16513.455059344338</v>
      </c>
      <c r="AA189" s="272">
        <v>37.48170783356003</v>
      </c>
      <c r="AB189" s="198">
        <v>3.2869833612461155</v>
      </c>
      <c r="AC189" s="272">
        <v>0</v>
      </c>
      <c r="AD189" s="198">
        <v>0</v>
      </c>
      <c r="AE189" s="198">
        <v>3.2869833612461155</v>
      </c>
      <c r="AF189" s="198">
        <v>246.0488983659441</v>
      </c>
      <c r="AG189" s="198">
        <v>0.10816743312860194</v>
      </c>
      <c r="AH189" s="198">
        <v>5.7153803726678559E-4</v>
      </c>
      <c r="AI189" s="198">
        <v>249.44537891568285</v>
      </c>
      <c r="AJ189" s="198">
        <v>0.10495997044102111</v>
      </c>
      <c r="AK189" s="198">
        <v>2.4493200025913779</v>
      </c>
      <c r="AL189" s="198">
        <v>0.11467477171226671</v>
      </c>
      <c r="AM189" s="198">
        <v>2.0612320622456399E-2</v>
      </c>
      <c r="AN189" s="198">
        <v>8.4752453323943943E-3</v>
      </c>
      <c r="AO189" s="198">
        <v>1.6969899644140272E-3</v>
      </c>
      <c r="AP189" s="198">
        <v>1.4082409666653288E-3</v>
      </c>
      <c r="AQ189" s="198">
        <v>1.3375793705552765E-3</v>
      </c>
      <c r="AS189" s="258">
        <f t="shared" si="17"/>
        <v>22152.799962110428</v>
      </c>
      <c r="AT189" s="3">
        <f t="shared" si="18"/>
        <v>6.2754642954348885</v>
      </c>
      <c r="AU189" s="3">
        <f t="shared" si="19"/>
        <v>2.106561020113348</v>
      </c>
      <c r="AV189" s="95">
        <f t="shared" si="20"/>
        <v>0</v>
      </c>
      <c r="AW189" s="95">
        <f t="shared" si="21"/>
        <v>0</v>
      </c>
      <c r="AX189" s="95">
        <f t="shared" si="24"/>
        <v>2.106561020113348</v>
      </c>
      <c r="AY189" s="102">
        <f t="shared" si="22"/>
        <v>1</v>
      </c>
      <c r="AZ189" s="102">
        <f t="shared" si="23"/>
        <v>0</v>
      </c>
    </row>
    <row r="190" spans="1:52" x14ac:dyDescent="0.35">
      <c r="A190" t="s">
        <v>987</v>
      </c>
      <c r="B190">
        <v>2030</v>
      </c>
      <c r="C190" t="s">
        <v>837</v>
      </c>
      <c r="D190" t="s">
        <v>976</v>
      </c>
      <c r="E190" t="s">
        <v>986</v>
      </c>
      <c r="F190" t="s">
        <v>978</v>
      </c>
      <c r="G190" s="357">
        <v>14388.1531</v>
      </c>
      <c r="H190" s="198">
        <v>8036.2512999999999</v>
      </c>
      <c r="I190" s="198">
        <v>4563.5968409999996</v>
      </c>
      <c r="J190" s="198">
        <v>0</v>
      </c>
      <c r="K190" s="198">
        <v>0</v>
      </c>
      <c r="L190" s="198">
        <v>61.624000000000009</v>
      </c>
      <c r="M190" s="198">
        <v>1300.8939768</v>
      </c>
      <c r="N190" s="198">
        <v>25</v>
      </c>
      <c r="O190" s="198">
        <v>0</v>
      </c>
      <c r="P190" s="198">
        <v>433.50240000000002</v>
      </c>
      <c r="Q190" s="198">
        <v>262.76159999999999</v>
      </c>
      <c r="R190" s="198">
        <v>0</v>
      </c>
      <c r="S190" s="198">
        <v>1004.9868289999999</v>
      </c>
      <c r="T190" s="198">
        <v>0</v>
      </c>
      <c r="U190" s="198">
        <v>269.26969308194964</v>
      </c>
      <c r="V190" s="198">
        <v>717.35387409993382</v>
      </c>
      <c r="W190" s="198">
        <v>9.8684210526315788</v>
      </c>
      <c r="X190" s="198">
        <v>0</v>
      </c>
      <c r="Y190" s="198">
        <v>172.2</v>
      </c>
      <c r="Z190" s="271">
        <v>16857.308935034511</v>
      </c>
      <c r="AA190" s="272">
        <v>283.98280238499262</v>
      </c>
      <c r="AB190" s="198">
        <v>0.43383524975916193</v>
      </c>
      <c r="AC190" s="272">
        <v>184.86066766876988</v>
      </c>
      <c r="AD190" s="198">
        <v>0.66549840360757151</v>
      </c>
      <c r="AE190" s="198">
        <v>1.0993336533667335</v>
      </c>
      <c r="AF190" s="198">
        <v>32.47496976531346</v>
      </c>
      <c r="AG190" s="198">
        <v>1.4276569185115745E-2</v>
      </c>
      <c r="AH190" s="198">
        <v>7.5434926159923272E-5</v>
      </c>
      <c r="AI190" s="198">
        <v>32.923257093132314</v>
      </c>
      <c r="AJ190" s="198">
        <v>1.3853229538019906E-2</v>
      </c>
      <c r="AK190" s="198">
        <v>0.32327555033972027</v>
      </c>
      <c r="AL190" s="198">
        <v>1.5135445713970876E-2</v>
      </c>
      <c r="AM190" s="198">
        <v>1.2559518211651438E-2</v>
      </c>
      <c r="AN190" s="198">
        <v>3.6330193252837781E-3</v>
      </c>
      <c r="AO190" s="198">
        <v>2.2397864063761113E-4</v>
      </c>
      <c r="AP190" s="198">
        <v>5.4536913827731904E-4</v>
      </c>
      <c r="AQ190" s="198">
        <v>6.2600099995139733E-4</v>
      </c>
      <c r="AS190" s="258">
        <f t="shared" si="17"/>
        <v>22614.079936348793</v>
      </c>
      <c r="AT190" s="3">
        <f t="shared" si="18"/>
        <v>0.82827240687113646</v>
      </c>
      <c r="AU190" s="3">
        <f t="shared" si="19"/>
        <v>0.27803621918771265</v>
      </c>
      <c r="AV190" s="95">
        <f t="shared" si="20"/>
        <v>11.486737896825399</v>
      </c>
      <c r="AW190" s="95">
        <f t="shared" si="21"/>
        <v>0.41352256428571438</v>
      </c>
      <c r="AX190" s="95">
        <f t="shared" si="24"/>
        <v>0.69155878347342703</v>
      </c>
      <c r="AY190" s="102">
        <f t="shared" si="22"/>
        <v>0.40204278483926759</v>
      </c>
      <c r="AZ190" s="102">
        <f t="shared" si="23"/>
        <v>0.59795721516073241</v>
      </c>
    </row>
    <row r="191" spans="1:52" x14ac:dyDescent="0.35">
      <c r="A191" t="s">
        <v>988</v>
      </c>
      <c r="B191">
        <v>2030</v>
      </c>
      <c r="C191" t="s">
        <v>837</v>
      </c>
      <c r="D191" t="s">
        <v>976</v>
      </c>
      <c r="E191" t="s">
        <v>989</v>
      </c>
      <c r="F191" t="s">
        <v>978</v>
      </c>
      <c r="G191" s="357">
        <v>1263.5999999999999</v>
      </c>
      <c r="H191" s="198">
        <v>8036.2512999999999</v>
      </c>
      <c r="I191" s="198">
        <v>0</v>
      </c>
      <c r="J191" s="198">
        <v>3623.42</v>
      </c>
      <c r="K191" s="198">
        <v>2199.2903999999999</v>
      </c>
      <c r="L191" s="198">
        <v>61.624000000000009</v>
      </c>
      <c r="M191" s="198">
        <v>655.38762120000001</v>
      </c>
      <c r="N191" s="198">
        <v>0</v>
      </c>
      <c r="O191" s="198">
        <v>0</v>
      </c>
      <c r="P191" s="198">
        <v>407.81279999999998</v>
      </c>
      <c r="Q191" s="198">
        <v>0</v>
      </c>
      <c r="R191" s="198">
        <v>0</v>
      </c>
      <c r="S191" s="198">
        <v>0</v>
      </c>
      <c r="T191" s="198">
        <v>0</v>
      </c>
      <c r="U191" s="198">
        <v>269.26969308194964</v>
      </c>
      <c r="V191" s="198">
        <v>696.5793375837801</v>
      </c>
      <c r="W191" s="198">
        <v>7.2368421052631584</v>
      </c>
      <c r="X191" s="198">
        <v>171.12898998</v>
      </c>
      <c r="Y191" s="198">
        <v>172.2</v>
      </c>
      <c r="Z191" s="271">
        <v>16300.200983950992</v>
      </c>
      <c r="AA191" s="272">
        <v>85.443749357546707</v>
      </c>
      <c r="AB191" s="198">
        <v>1.4419047727464731</v>
      </c>
      <c r="AC191" s="272">
        <v>0</v>
      </c>
      <c r="AD191" s="198">
        <v>0</v>
      </c>
      <c r="AE191" s="198">
        <v>1.4419047727464731</v>
      </c>
      <c r="AF191" s="198">
        <v>0</v>
      </c>
      <c r="AG191" s="198">
        <v>0</v>
      </c>
      <c r="AH191" s="198">
        <v>0</v>
      </c>
      <c r="AI191" s="198">
        <v>0</v>
      </c>
      <c r="AJ191" s="198">
        <v>0</v>
      </c>
      <c r="AK191" s="198">
        <v>0</v>
      </c>
      <c r="AL191" s="198">
        <v>0</v>
      </c>
      <c r="AM191" s="198">
        <v>1.3479766840155491E-2</v>
      </c>
      <c r="AN191" s="198">
        <v>3.4448293035952977E-3</v>
      </c>
      <c r="AO191" s="198">
        <v>0</v>
      </c>
      <c r="AP191" s="198">
        <v>4.925298651311165E-4</v>
      </c>
      <c r="AQ191" s="198">
        <v>6.1577586994489731E-4</v>
      </c>
      <c r="AS191" s="258">
        <f t="shared" si="17"/>
        <v>21866.719619970256</v>
      </c>
      <c r="AT191" s="3">
        <f t="shared" si="18"/>
        <v>2.752865142389179</v>
      </c>
      <c r="AU191" s="3">
        <f t="shared" si="19"/>
        <v>0.9240875462879119</v>
      </c>
      <c r="AV191" s="95">
        <f t="shared" si="20"/>
        <v>0</v>
      </c>
      <c r="AW191" s="95">
        <f t="shared" si="21"/>
        <v>0</v>
      </c>
      <c r="AX191" s="95">
        <f t="shared" si="24"/>
        <v>0.9240875462879119</v>
      </c>
      <c r="AY191" s="102">
        <f t="shared" si="22"/>
        <v>1</v>
      </c>
      <c r="AZ191" s="102">
        <f t="shared" si="23"/>
        <v>0</v>
      </c>
    </row>
    <row r="192" spans="1:52" x14ac:dyDescent="0.35">
      <c r="A192" t="s">
        <v>990</v>
      </c>
      <c r="B192">
        <v>2030</v>
      </c>
      <c r="C192" t="s">
        <v>837</v>
      </c>
      <c r="D192" t="s">
        <v>976</v>
      </c>
      <c r="E192" t="s">
        <v>989</v>
      </c>
      <c r="F192" t="s">
        <v>978</v>
      </c>
      <c r="G192" s="357">
        <v>1263.5999999999999</v>
      </c>
      <c r="H192" s="198">
        <v>8036.2512999999999</v>
      </c>
      <c r="I192" s="198">
        <v>0</v>
      </c>
      <c r="J192" s="198">
        <v>3688.9700000000003</v>
      </c>
      <c r="K192" s="198">
        <v>2582.7514000000001</v>
      </c>
      <c r="L192" s="198">
        <v>61.624000000000009</v>
      </c>
      <c r="M192" s="198">
        <v>655.38762120000001</v>
      </c>
      <c r="N192" s="198">
        <v>0</v>
      </c>
      <c r="O192" s="198">
        <v>0</v>
      </c>
      <c r="P192" s="198">
        <v>416.38079999999997</v>
      </c>
      <c r="Q192" s="198">
        <v>0</v>
      </c>
      <c r="R192" s="198">
        <v>0</v>
      </c>
      <c r="S192" s="198">
        <v>0</v>
      </c>
      <c r="T192" s="198">
        <v>0</v>
      </c>
      <c r="U192" s="198">
        <v>269.26969308194964</v>
      </c>
      <c r="V192" s="198">
        <v>696.5793375837801</v>
      </c>
      <c r="W192" s="198">
        <v>7.2368421052631584</v>
      </c>
      <c r="X192" s="198">
        <v>171.12898998</v>
      </c>
      <c r="Y192" s="198">
        <v>172.2</v>
      </c>
      <c r="Z192" s="271">
        <v>16757.779983950993</v>
      </c>
      <c r="AA192" s="272">
        <v>84.522641176587513</v>
      </c>
      <c r="AB192" s="198">
        <v>1.4576183172341102</v>
      </c>
      <c r="AC192" s="272">
        <v>0</v>
      </c>
      <c r="AD192" s="198">
        <v>0</v>
      </c>
      <c r="AE192" s="198">
        <v>1.4576183172341102</v>
      </c>
      <c r="AF192" s="198">
        <v>0</v>
      </c>
      <c r="AG192" s="198">
        <v>0</v>
      </c>
      <c r="AH192" s="198">
        <v>0</v>
      </c>
      <c r="AI192" s="198">
        <v>0</v>
      </c>
      <c r="AJ192" s="198">
        <v>0</v>
      </c>
      <c r="AK192" s="198">
        <v>0</v>
      </c>
      <c r="AL192" s="198">
        <v>0</v>
      </c>
      <c r="AM192" s="198">
        <v>1.3626666219316503E-2</v>
      </c>
      <c r="AN192" s="198">
        <v>3.4823702560475567E-3</v>
      </c>
      <c r="AO192" s="198">
        <v>0</v>
      </c>
      <c r="AP192" s="198">
        <v>4.9789734160633899E-4</v>
      </c>
      <c r="AQ192" s="198">
        <v>6.2248645285555807E-4</v>
      </c>
      <c r="AS192" s="258">
        <f t="shared" si="17"/>
        <v>22480.561848470257</v>
      </c>
      <c r="AT192" s="3">
        <f t="shared" si="18"/>
        <v>2.7828652295662284</v>
      </c>
      <c r="AU192" s="3">
        <f t="shared" si="19"/>
        <v>0.93415803848928547</v>
      </c>
      <c r="AV192" s="95">
        <f t="shared" si="20"/>
        <v>0</v>
      </c>
      <c r="AW192" s="95">
        <f t="shared" si="21"/>
        <v>0</v>
      </c>
      <c r="AX192" s="95">
        <f t="shared" si="24"/>
        <v>0.93415803848928547</v>
      </c>
      <c r="AY192" s="102">
        <f t="shared" si="22"/>
        <v>1</v>
      </c>
      <c r="AZ192" s="102">
        <f t="shared" si="23"/>
        <v>0</v>
      </c>
    </row>
    <row r="193" spans="1:52" x14ac:dyDescent="0.35">
      <c r="A193" t="s">
        <v>991</v>
      </c>
      <c r="B193">
        <v>2030</v>
      </c>
      <c r="C193" t="s">
        <v>837</v>
      </c>
      <c r="D193" t="s">
        <v>976</v>
      </c>
      <c r="E193" t="s">
        <v>986</v>
      </c>
      <c r="F193" t="s">
        <v>978</v>
      </c>
      <c r="G193" s="357">
        <v>1404</v>
      </c>
      <c r="H193" s="198">
        <v>8036.2512999999999</v>
      </c>
      <c r="I193" s="198">
        <v>4563.5968408198796</v>
      </c>
      <c r="J193" s="198">
        <v>0</v>
      </c>
      <c r="K193" s="198">
        <v>0</v>
      </c>
      <c r="L193" s="198">
        <v>61.624000000000009</v>
      </c>
      <c r="M193" s="198">
        <v>728.20846800000004</v>
      </c>
      <c r="N193" s="198">
        <v>0</v>
      </c>
      <c r="O193" s="198">
        <v>0</v>
      </c>
      <c r="P193" s="198">
        <v>307.07040000000001</v>
      </c>
      <c r="Q193" s="198">
        <v>229.28639999999999</v>
      </c>
      <c r="R193" s="198">
        <v>0</v>
      </c>
      <c r="S193" s="198">
        <v>898.29492640927401</v>
      </c>
      <c r="T193" s="198">
        <v>0</v>
      </c>
      <c r="U193" s="198">
        <v>269.26969308194964</v>
      </c>
      <c r="V193" s="198">
        <v>719.81416638436303</v>
      </c>
      <c r="W193" s="198">
        <v>7.2368421052631584</v>
      </c>
      <c r="X193" s="198">
        <v>190.1433222</v>
      </c>
      <c r="Y193" s="198">
        <v>172.2</v>
      </c>
      <c r="Z193" s="271">
        <v>16182.996359000732</v>
      </c>
      <c r="AA193" s="272">
        <v>55.551941188560896</v>
      </c>
      <c r="AB193" s="198">
        <v>2.2177757854008058</v>
      </c>
      <c r="AC193" s="272">
        <v>0</v>
      </c>
      <c r="AD193" s="198">
        <v>0</v>
      </c>
      <c r="AE193" s="198">
        <v>2.2177757854008058</v>
      </c>
      <c r="AF193" s="198">
        <v>166.01279314467342</v>
      </c>
      <c r="AG193" s="198">
        <v>7.2982150378342686E-2</v>
      </c>
      <c r="AH193" s="198">
        <v>3.856250793448638E-4</v>
      </c>
      <c r="AI193" s="198">
        <v>168.3044482858603</v>
      </c>
      <c r="AJ193" s="198">
        <v>7.0818028355407764E-2</v>
      </c>
      <c r="AK193" s="198">
        <v>1.6525920564397614</v>
      </c>
      <c r="AL193" s="198">
        <v>7.7372746968641493E-2</v>
      </c>
      <c r="AM193" s="198">
        <v>1.3907434426461836E-2</v>
      </c>
      <c r="AN193" s="198">
        <v>5.7183720779133296E-3</v>
      </c>
      <c r="AO193" s="198">
        <v>1.1449839678284294E-3</v>
      </c>
      <c r="AP193" s="198">
        <v>9.5016079262895306E-4</v>
      </c>
      <c r="AQ193" s="198">
        <v>9.0248437945987775E-4</v>
      </c>
      <c r="AS193" s="258">
        <f t="shared" si="17"/>
        <v>21709.489615599479</v>
      </c>
      <c r="AT193" s="3">
        <f t="shared" si="18"/>
        <v>4.2341476140866705</v>
      </c>
      <c r="AU193" s="3">
        <f t="shared" si="19"/>
        <v>1.4213275539993806</v>
      </c>
      <c r="AV193" s="95">
        <f t="shared" si="20"/>
        <v>0</v>
      </c>
      <c r="AW193" s="95">
        <f t="shared" si="21"/>
        <v>0</v>
      </c>
      <c r="AX193" s="95">
        <f t="shared" si="24"/>
        <v>1.4213275539993806</v>
      </c>
      <c r="AY193" s="102">
        <f t="shared" si="22"/>
        <v>1</v>
      </c>
      <c r="AZ193" s="102">
        <f t="shared" si="23"/>
        <v>0</v>
      </c>
    </row>
    <row r="194" spans="1:52" x14ac:dyDescent="0.35">
      <c r="A194" t="s">
        <v>992</v>
      </c>
      <c r="B194">
        <v>2030</v>
      </c>
      <c r="C194" t="s">
        <v>837</v>
      </c>
      <c r="D194" t="s">
        <v>976</v>
      </c>
      <c r="E194" t="s">
        <v>986</v>
      </c>
      <c r="F194" t="s">
        <v>978</v>
      </c>
      <c r="G194" s="357">
        <v>6349.6224000000002</v>
      </c>
      <c r="H194" s="198">
        <v>8036.2512999999999</v>
      </c>
      <c r="I194" s="198">
        <v>4563.5968408198796</v>
      </c>
      <c r="J194" s="198">
        <v>0</v>
      </c>
      <c r="K194" s="198">
        <v>0</v>
      </c>
      <c r="L194" s="198">
        <v>61.624000000000009</v>
      </c>
      <c r="M194" s="198">
        <v>1182.6308880000001</v>
      </c>
      <c r="N194" s="198">
        <v>25</v>
      </c>
      <c r="O194" s="198">
        <v>0</v>
      </c>
      <c r="P194" s="198">
        <v>311.54880000000003</v>
      </c>
      <c r="Q194" s="198">
        <v>234.89759999999998</v>
      </c>
      <c r="R194" s="198">
        <v>0</v>
      </c>
      <c r="S194" s="198">
        <v>904.386784665037</v>
      </c>
      <c r="T194" s="198">
        <v>0</v>
      </c>
      <c r="U194" s="198">
        <v>269.26969308194964</v>
      </c>
      <c r="V194" s="198">
        <v>720.38265594815675</v>
      </c>
      <c r="W194" s="198">
        <v>7.2368421052631584</v>
      </c>
      <c r="X194" s="198">
        <v>198.4208682</v>
      </c>
      <c r="Y194" s="198">
        <v>172.2</v>
      </c>
      <c r="Z194" s="271">
        <v>16687.446272820285</v>
      </c>
      <c r="AA194" s="272">
        <v>119.35491483290502</v>
      </c>
      <c r="AB194" s="198">
        <v>1.0322302200330877</v>
      </c>
      <c r="AC194" s="272">
        <v>127.76661381095239</v>
      </c>
      <c r="AD194" s="198">
        <v>0.45995980971942863</v>
      </c>
      <c r="AE194" s="198">
        <v>1.4921900297525164</v>
      </c>
      <c r="AF194" s="198">
        <v>77.268145465419181</v>
      </c>
      <c r="AG194" s="198">
        <v>3.3968438847351658E-2</v>
      </c>
      <c r="AH194" s="198">
        <v>1.7948336487517728E-4</v>
      </c>
      <c r="AI194" s="198">
        <v>78.334761714996361</v>
      </c>
      <c r="AJ194" s="198">
        <v>3.2961180960139745E-2</v>
      </c>
      <c r="AK194" s="198">
        <v>0.7691739955287944</v>
      </c>
      <c r="AL194" s="198">
        <v>3.6011975671188697E-2</v>
      </c>
      <c r="AM194" s="198">
        <v>6.4730051579709276E-3</v>
      </c>
      <c r="AN194" s="198">
        <v>2.6615298566571664E-3</v>
      </c>
      <c r="AO194" s="198">
        <v>5.3291548263175836E-4</v>
      </c>
      <c r="AP194" s="198">
        <v>4.4223798027668779E-4</v>
      </c>
      <c r="AQ194" s="198">
        <v>4.2004771434454846E-4</v>
      </c>
      <c r="AS194" s="258">
        <f t="shared" si="17"/>
        <v>22386.209174988413</v>
      </c>
      <c r="AT194" s="3">
        <f t="shared" si="18"/>
        <v>1.970720012416125</v>
      </c>
      <c r="AU194" s="3">
        <f t="shared" si="19"/>
        <v>0.66153542818068223</v>
      </c>
      <c r="AV194" s="95">
        <f t="shared" si="20"/>
        <v>7.9390690476190482</v>
      </c>
      <c r="AW194" s="95">
        <f t="shared" si="21"/>
        <v>0.28580648571428574</v>
      </c>
      <c r="AX194" s="95">
        <f t="shared" si="24"/>
        <v>0.94734191389496791</v>
      </c>
      <c r="AY194" s="102">
        <f t="shared" si="22"/>
        <v>0.69830693488563078</v>
      </c>
      <c r="AZ194" s="102">
        <f t="shared" si="23"/>
        <v>0.30169306511436927</v>
      </c>
    </row>
    <row r="195" spans="1:52" x14ac:dyDescent="0.35">
      <c r="A195" t="s">
        <v>975</v>
      </c>
      <c r="B195">
        <v>2030</v>
      </c>
      <c r="C195" t="s">
        <v>837</v>
      </c>
      <c r="D195" t="s">
        <v>993</v>
      </c>
      <c r="E195" t="s">
        <v>977</v>
      </c>
      <c r="F195" t="s">
        <v>978</v>
      </c>
      <c r="G195" s="357">
        <v>39178.468800000002</v>
      </c>
      <c r="H195" s="198">
        <v>10773.637000000001</v>
      </c>
      <c r="I195" s="198">
        <v>0</v>
      </c>
      <c r="J195" s="198">
        <v>0</v>
      </c>
      <c r="K195" s="198">
        <v>0</v>
      </c>
      <c r="L195" s="198">
        <v>61.624000000000009</v>
      </c>
      <c r="M195" s="198">
        <v>3526.0621920000003</v>
      </c>
      <c r="N195" s="198">
        <v>25</v>
      </c>
      <c r="O195" s="198">
        <v>0</v>
      </c>
      <c r="P195" s="198">
        <v>512.63040000000001</v>
      </c>
      <c r="Q195" s="198">
        <v>0</v>
      </c>
      <c r="R195" s="198">
        <v>0</v>
      </c>
      <c r="S195" s="198">
        <v>0</v>
      </c>
      <c r="T195" s="198">
        <v>0</v>
      </c>
      <c r="U195" s="198">
        <v>269.26969308194964</v>
      </c>
      <c r="V195" s="198">
        <v>696.5793375837801</v>
      </c>
      <c r="W195" s="198">
        <v>9.8684210526315788</v>
      </c>
      <c r="X195" s="198">
        <v>0</v>
      </c>
      <c r="Y195" s="198">
        <v>172.2</v>
      </c>
      <c r="Z195" s="271">
        <v>16046.871043718362</v>
      </c>
      <c r="AA195" s="272">
        <v>0</v>
      </c>
      <c r="AB195" s="198">
        <v>0</v>
      </c>
      <c r="AC195" s="272">
        <v>192.2183483888079</v>
      </c>
      <c r="AD195" s="198">
        <v>0.69198605419970838</v>
      </c>
      <c r="AE195" s="198">
        <v>0.69198605419970838</v>
      </c>
      <c r="AF195" s="198">
        <v>0</v>
      </c>
      <c r="AG195" s="198">
        <v>0</v>
      </c>
      <c r="AH195" s="198">
        <v>0</v>
      </c>
      <c r="AI195" s="198">
        <v>0</v>
      </c>
      <c r="AJ195" s="198">
        <v>0</v>
      </c>
      <c r="AK195" s="198">
        <v>0</v>
      </c>
      <c r="AL195" s="198">
        <v>0</v>
      </c>
      <c r="AM195" s="198">
        <v>1.0230587416757864E-2</v>
      </c>
      <c r="AN195" s="198">
        <v>2.6144834509492254E-3</v>
      </c>
      <c r="AO195" s="198">
        <v>0</v>
      </c>
      <c r="AP195" s="198">
        <v>3.7380986632330282E-4</v>
      </c>
      <c r="AQ195" s="198">
        <v>4.6734850396927763E-4</v>
      </c>
      <c r="AS195" s="258">
        <f t="shared" ref="AS195:AS258" si="25">Z195*USD_CAD_2020</f>
        <v>21526.877505148183</v>
      </c>
      <c r="AT195" s="3">
        <f t="shared" ref="AT195:AT258" si="26">IFERROR(L_100km_to_mpg/AA195, 0)</f>
        <v>0</v>
      </c>
      <c r="AU195" s="3">
        <f t="shared" ref="AU195:AU258" si="27">AT195 * GSL_PJ_ML * 10</f>
        <v>0</v>
      </c>
      <c r="AV195" s="95">
        <f t="shared" ref="AV195:AV258" si="28">AC195/km_mile / 10</f>
        <v>11.943924117265954</v>
      </c>
      <c r="AW195" s="95">
        <f t="shared" si="21"/>
        <v>0.4299812682215744</v>
      </c>
      <c r="AX195" s="95">
        <f t="shared" si="24"/>
        <v>0.4299812682215744</v>
      </c>
      <c r="AY195" s="102">
        <f t="shared" si="22"/>
        <v>0</v>
      </c>
      <c r="AZ195" s="102">
        <f t="shared" si="23"/>
        <v>1</v>
      </c>
    </row>
    <row r="196" spans="1:52" x14ac:dyDescent="0.35">
      <c r="A196" t="s">
        <v>979</v>
      </c>
      <c r="B196">
        <v>2030</v>
      </c>
      <c r="C196" t="s">
        <v>837</v>
      </c>
      <c r="D196" t="s">
        <v>993</v>
      </c>
      <c r="E196" t="s">
        <v>977</v>
      </c>
      <c r="F196" t="s">
        <v>978</v>
      </c>
      <c r="G196" s="357">
        <v>60529.356</v>
      </c>
      <c r="H196" s="198">
        <v>10773.637000000001</v>
      </c>
      <c r="I196" s="198">
        <v>0</v>
      </c>
      <c r="J196" s="198">
        <v>0</v>
      </c>
      <c r="K196" s="198">
        <v>0</v>
      </c>
      <c r="L196" s="198">
        <v>61.624000000000009</v>
      </c>
      <c r="M196" s="198">
        <v>5447.6420399999997</v>
      </c>
      <c r="N196" s="198">
        <v>25</v>
      </c>
      <c r="O196" s="198">
        <v>0</v>
      </c>
      <c r="P196" s="198">
        <v>538.23360000000002</v>
      </c>
      <c r="Q196" s="198">
        <v>0</v>
      </c>
      <c r="R196" s="198">
        <v>0</v>
      </c>
      <c r="S196" s="198">
        <v>0</v>
      </c>
      <c r="T196" s="198">
        <v>0</v>
      </c>
      <c r="U196" s="198">
        <v>269.26969308194964</v>
      </c>
      <c r="V196" s="198">
        <v>696.5793375837801</v>
      </c>
      <c r="W196" s="198">
        <v>9.8684210526315788</v>
      </c>
      <c r="X196" s="198">
        <v>0</v>
      </c>
      <c r="Y196" s="198">
        <v>172.2</v>
      </c>
      <c r="Z196" s="271">
        <v>17994.054091718361</v>
      </c>
      <c r="AA196" s="272">
        <v>0</v>
      </c>
      <c r="AB196" s="198">
        <v>0</v>
      </c>
      <c r="AC196" s="272">
        <v>198.76363309082441</v>
      </c>
      <c r="AD196" s="198">
        <v>0.71554907912696786</v>
      </c>
      <c r="AE196" s="198">
        <v>0.71554907912696786</v>
      </c>
      <c r="AF196" s="198">
        <v>0</v>
      </c>
      <c r="AG196" s="198">
        <v>0</v>
      </c>
      <c r="AH196" s="198">
        <v>0</v>
      </c>
      <c r="AI196" s="198">
        <v>0</v>
      </c>
      <c r="AJ196" s="198">
        <v>0</v>
      </c>
      <c r="AK196" s="198">
        <v>0</v>
      </c>
      <c r="AL196" s="198">
        <v>0</v>
      </c>
      <c r="AM196" s="198">
        <v>1.0578952221017346E-2</v>
      </c>
      <c r="AN196" s="198">
        <v>2.7035100120377594E-3</v>
      </c>
      <c r="AO196" s="198">
        <v>0</v>
      </c>
      <c r="AP196" s="198">
        <v>3.8653857833241724E-4</v>
      </c>
      <c r="AQ196" s="198">
        <v>4.8326232821748621E-4</v>
      </c>
      <c r="AS196" s="258">
        <f t="shared" si="25"/>
        <v>24139.023564040181</v>
      </c>
      <c r="AT196" s="3">
        <f t="shared" si="26"/>
        <v>0</v>
      </c>
      <c r="AU196" s="3">
        <f t="shared" si="27"/>
        <v>0</v>
      </c>
      <c r="AV196" s="95">
        <f t="shared" si="28"/>
        <v>12.350630264010366</v>
      </c>
      <c r="AW196" s="95">
        <f t="shared" ref="AW196:AW259" si="29">AV196*3.6/100</f>
        <v>0.44462268950437323</v>
      </c>
      <c r="AX196" s="95">
        <f t="shared" si="24"/>
        <v>0.44462268950437323</v>
      </c>
      <c r="AY196" s="102">
        <f t="shared" ref="AY196:AY259" si="30">AU196/AX196</f>
        <v>0</v>
      </c>
      <c r="AZ196" s="102">
        <f t="shared" ref="AZ196:AZ259" si="31">AW196/AX196</f>
        <v>1</v>
      </c>
    </row>
    <row r="197" spans="1:52" x14ac:dyDescent="0.35">
      <c r="A197" t="s">
        <v>980</v>
      </c>
      <c r="B197">
        <v>2030</v>
      </c>
      <c r="C197" t="s">
        <v>837</v>
      </c>
      <c r="D197" t="s">
        <v>993</v>
      </c>
      <c r="E197" t="s">
        <v>977</v>
      </c>
      <c r="F197" t="s">
        <v>978</v>
      </c>
      <c r="G197" s="357">
        <v>89435.123999999996</v>
      </c>
      <c r="H197" s="198">
        <v>10773.637000000001</v>
      </c>
      <c r="I197" s="198">
        <v>0</v>
      </c>
      <c r="J197" s="198">
        <v>0</v>
      </c>
      <c r="K197" s="198">
        <v>0</v>
      </c>
      <c r="L197" s="198">
        <v>61.624000000000009</v>
      </c>
      <c r="M197" s="198">
        <v>8049.1611600000006</v>
      </c>
      <c r="N197" s="198">
        <v>25</v>
      </c>
      <c r="O197" s="198">
        <v>0</v>
      </c>
      <c r="P197" s="198">
        <v>574.0992</v>
      </c>
      <c r="Q197" s="198">
        <v>0</v>
      </c>
      <c r="R197" s="198">
        <v>0</v>
      </c>
      <c r="S197" s="198">
        <v>0</v>
      </c>
      <c r="T197" s="198">
        <v>0</v>
      </c>
      <c r="U197" s="198">
        <v>269.26969308194964</v>
      </c>
      <c r="V197" s="198">
        <v>696.5793375837801</v>
      </c>
      <c r="W197" s="198">
        <v>9.8684210526315788</v>
      </c>
      <c r="X197" s="198">
        <v>0</v>
      </c>
      <c r="Y197" s="198">
        <v>172.2</v>
      </c>
      <c r="Z197" s="271">
        <v>20631.438811718363</v>
      </c>
      <c r="AA197" s="272">
        <v>0</v>
      </c>
      <c r="AB197" s="198">
        <v>0</v>
      </c>
      <c r="AC197" s="272">
        <v>218.34511267079691</v>
      </c>
      <c r="AD197" s="198">
        <v>0.78604240561486882</v>
      </c>
      <c r="AE197" s="198">
        <v>0.78604240561486882</v>
      </c>
      <c r="AF197" s="198">
        <v>0</v>
      </c>
      <c r="AG197" s="198">
        <v>0</v>
      </c>
      <c r="AH197" s="198">
        <v>0</v>
      </c>
      <c r="AI197" s="198">
        <v>0</v>
      </c>
      <c r="AJ197" s="198">
        <v>0</v>
      </c>
      <c r="AK197" s="198">
        <v>0</v>
      </c>
      <c r="AL197" s="198">
        <v>0</v>
      </c>
      <c r="AM197" s="198">
        <v>1.162115261588887E-2</v>
      </c>
      <c r="AN197" s="198">
        <v>2.9698501129493704E-3</v>
      </c>
      <c r="AO197" s="198">
        <v>0</v>
      </c>
      <c r="AP197" s="198">
        <v>4.2461897141433074E-4</v>
      </c>
      <c r="AQ197" s="198">
        <v>5.308715979043438E-4</v>
      </c>
      <c r="AS197" s="258">
        <f t="shared" si="25"/>
        <v>27677.075165920181</v>
      </c>
      <c r="AT197" s="3">
        <f t="shared" si="26"/>
        <v>0</v>
      </c>
      <c r="AU197" s="3">
        <f t="shared" si="27"/>
        <v>0</v>
      </c>
      <c r="AV197" s="95">
        <f t="shared" si="28"/>
        <v>13.567370019436348</v>
      </c>
      <c r="AW197" s="95">
        <f t="shared" si="29"/>
        <v>0.48842532069970851</v>
      </c>
      <c r="AX197" s="95">
        <f t="shared" si="24"/>
        <v>0.48842532069970851</v>
      </c>
      <c r="AY197" s="102">
        <f t="shared" si="30"/>
        <v>0</v>
      </c>
      <c r="AZ197" s="102">
        <f t="shared" si="31"/>
        <v>1</v>
      </c>
    </row>
    <row r="198" spans="1:52" x14ac:dyDescent="0.35">
      <c r="A198" t="s">
        <v>981</v>
      </c>
      <c r="B198">
        <v>2030</v>
      </c>
      <c r="C198" t="s">
        <v>837</v>
      </c>
      <c r="D198" t="s">
        <v>993</v>
      </c>
      <c r="E198" t="s">
        <v>977</v>
      </c>
      <c r="F198" t="s">
        <v>978</v>
      </c>
      <c r="G198" s="357">
        <v>123123.24430000001</v>
      </c>
      <c r="H198" s="198">
        <v>10773.637000000001</v>
      </c>
      <c r="I198" s="198">
        <v>0</v>
      </c>
      <c r="J198" s="198">
        <v>0</v>
      </c>
      <c r="K198" s="198">
        <v>0</v>
      </c>
      <c r="L198" s="198">
        <v>61.624000000000009</v>
      </c>
      <c r="M198" s="198">
        <v>11081.091987000002</v>
      </c>
      <c r="N198" s="198">
        <v>25</v>
      </c>
      <c r="O198" s="198">
        <v>0</v>
      </c>
      <c r="P198" s="198">
        <v>616.57439999999997</v>
      </c>
      <c r="Q198" s="198">
        <v>0</v>
      </c>
      <c r="R198" s="198">
        <v>0</v>
      </c>
      <c r="S198" s="198">
        <v>0</v>
      </c>
      <c r="T198" s="198">
        <v>0</v>
      </c>
      <c r="U198" s="198">
        <v>269.26969308194964</v>
      </c>
      <c r="V198" s="198">
        <v>696.5793375837801</v>
      </c>
      <c r="W198" s="198">
        <v>9.8684210526315788</v>
      </c>
      <c r="X198" s="198">
        <v>0</v>
      </c>
      <c r="Y198" s="198">
        <v>172.2</v>
      </c>
      <c r="Z198" s="271">
        <v>23705.844838718363</v>
      </c>
      <c r="AA198" s="272">
        <v>0</v>
      </c>
      <c r="AB198" s="198">
        <v>0</v>
      </c>
      <c r="AC198" s="272">
        <v>238.81908323598967</v>
      </c>
      <c r="AD198" s="198">
        <v>0.8597486996495628</v>
      </c>
      <c r="AE198" s="198">
        <v>0.8597486996495628</v>
      </c>
      <c r="AF198" s="198">
        <v>0</v>
      </c>
      <c r="AG198" s="198">
        <v>0</v>
      </c>
      <c r="AH198" s="198">
        <v>0</v>
      </c>
      <c r="AI198" s="198">
        <v>0</v>
      </c>
      <c r="AJ198" s="198">
        <v>0</v>
      </c>
      <c r="AK198" s="198">
        <v>0</v>
      </c>
      <c r="AL198" s="198">
        <v>0</v>
      </c>
      <c r="AM198" s="198">
        <v>1.2710854756142656E-2</v>
      </c>
      <c r="AN198" s="198">
        <v>3.2483295487920039E-3</v>
      </c>
      <c r="AO198" s="198">
        <v>0</v>
      </c>
      <c r="AP198" s="198">
        <v>4.644350049211901E-4</v>
      </c>
      <c r="AQ198" s="198">
        <v>5.8065081822414029E-4</v>
      </c>
      <c r="AS198" s="258">
        <f t="shared" si="25"/>
        <v>31801.390851140681</v>
      </c>
      <c r="AT198" s="3">
        <f t="shared" si="26"/>
        <v>0</v>
      </c>
      <c r="AU198" s="3">
        <f t="shared" si="27"/>
        <v>0</v>
      </c>
      <c r="AV198" s="95">
        <f t="shared" si="28"/>
        <v>14.839566731454488</v>
      </c>
      <c r="AW198" s="95">
        <f t="shared" si="29"/>
        <v>0.53422440233236157</v>
      </c>
      <c r="AX198" s="95">
        <f t="shared" si="24"/>
        <v>0.53422440233236157</v>
      </c>
      <c r="AY198" s="102">
        <f t="shared" si="30"/>
        <v>0</v>
      </c>
      <c r="AZ198" s="102">
        <f t="shared" si="31"/>
        <v>1</v>
      </c>
    </row>
    <row r="199" spans="1:52" x14ac:dyDescent="0.35">
      <c r="A199" t="s">
        <v>982</v>
      </c>
      <c r="B199">
        <v>2030</v>
      </c>
      <c r="C199" t="s">
        <v>837</v>
      </c>
      <c r="D199" t="s">
        <v>993</v>
      </c>
      <c r="E199" t="s">
        <v>983</v>
      </c>
      <c r="F199" t="s">
        <v>978</v>
      </c>
      <c r="G199" s="357"/>
      <c r="H199" s="198">
        <v>10773.637000000001</v>
      </c>
      <c r="I199" s="198">
        <v>7365.1478031554798</v>
      </c>
      <c r="J199" s="198">
        <v>0</v>
      </c>
      <c r="K199" s="198">
        <v>0</v>
      </c>
      <c r="L199" s="198">
        <v>61.624000000000009</v>
      </c>
      <c r="M199" s="198">
        <v>0</v>
      </c>
      <c r="N199" s="198">
        <v>0</v>
      </c>
      <c r="O199" s="198">
        <v>41.652333795824291</v>
      </c>
      <c r="P199" s="198">
        <v>0</v>
      </c>
      <c r="Q199" s="198">
        <v>0</v>
      </c>
      <c r="R199" s="198">
        <v>12.908116579927901</v>
      </c>
      <c r="S199" s="198">
        <v>2483.17</v>
      </c>
      <c r="T199" s="198">
        <v>100.5</v>
      </c>
      <c r="U199" s="198">
        <v>269.26969308194964</v>
      </c>
      <c r="V199" s="198">
        <v>316.46354703744095</v>
      </c>
      <c r="W199" s="198">
        <v>0</v>
      </c>
      <c r="X199" s="198">
        <v>0</v>
      </c>
      <c r="Y199" s="198">
        <v>172.2</v>
      </c>
      <c r="Z199" s="271">
        <v>21596.572493650627</v>
      </c>
      <c r="AA199" s="272">
        <v>38.762513491665572</v>
      </c>
      <c r="AB199" s="198">
        <v>3.1783736115690724</v>
      </c>
      <c r="AC199" s="272">
        <v>0</v>
      </c>
      <c r="AD199" s="198">
        <v>0</v>
      </c>
      <c r="AE199" s="198">
        <v>3.1783736115690724</v>
      </c>
      <c r="AF199" s="198">
        <v>237.91885743695491</v>
      </c>
      <c r="AG199" s="198">
        <v>0.10459332381797494</v>
      </c>
      <c r="AH199" s="198">
        <v>5.5265306088074105E-4</v>
      </c>
      <c r="AI199" s="198">
        <v>241.20311018942542</v>
      </c>
      <c r="AJ199" s="198">
        <v>0.10149184332784111</v>
      </c>
      <c r="AK199" s="198">
        <v>2.3683886430059209</v>
      </c>
      <c r="AL199" s="198">
        <v>0.1108856444544945</v>
      </c>
      <c r="AM199" s="198">
        <v>1.9931240514335855E-2</v>
      </c>
      <c r="AN199" s="198">
        <v>8.1952030648077649E-3</v>
      </c>
      <c r="AO199" s="198">
        <v>1.6409173790117122E-3</v>
      </c>
      <c r="AP199" s="198">
        <v>1.3617093350550931E-3</v>
      </c>
      <c r="AQ199" s="198">
        <v>1.2933825661777482E-3</v>
      </c>
      <c r="AS199" s="258">
        <f t="shared" si="25"/>
        <v>28971.802000232314</v>
      </c>
      <c r="AT199" s="3">
        <f t="shared" si="26"/>
        <v>6.068108026379722</v>
      </c>
      <c r="AU199" s="3">
        <f t="shared" si="27"/>
        <v>2.0369552327000555</v>
      </c>
      <c r="AV199" s="95">
        <f t="shared" si="28"/>
        <v>0</v>
      </c>
      <c r="AW199" s="95">
        <f t="shared" si="29"/>
        <v>0</v>
      </c>
      <c r="AX199" s="95">
        <f t="shared" si="24"/>
        <v>2.0369552327000555</v>
      </c>
      <c r="AY199" s="102">
        <f t="shared" si="30"/>
        <v>1</v>
      </c>
      <c r="AZ199" s="102">
        <f t="shared" si="31"/>
        <v>0</v>
      </c>
    </row>
    <row r="200" spans="1:52" x14ac:dyDescent="0.35">
      <c r="A200" t="s">
        <v>984</v>
      </c>
      <c r="B200">
        <v>2030</v>
      </c>
      <c r="C200" t="s">
        <v>837</v>
      </c>
      <c r="D200" t="s">
        <v>993</v>
      </c>
      <c r="E200" t="s">
        <v>240</v>
      </c>
      <c r="F200" t="s">
        <v>978</v>
      </c>
      <c r="G200" s="357"/>
      <c r="H200" s="198">
        <v>10773.637000000001</v>
      </c>
      <c r="I200" s="198">
        <v>9024.4503299999997</v>
      </c>
      <c r="J200" s="198">
        <v>0</v>
      </c>
      <c r="K200" s="198">
        <v>0</v>
      </c>
      <c r="L200" s="198">
        <v>61.624000000000009</v>
      </c>
      <c r="M200" s="198">
        <v>0</v>
      </c>
      <c r="N200" s="198">
        <v>0</v>
      </c>
      <c r="O200" s="198">
        <v>41.652333795824291</v>
      </c>
      <c r="P200" s="198">
        <v>0</v>
      </c>
      <c r="Q200" s="198">
        <v>0</v>
      </c>
      <c r="R200" s="198">
        <v>12.908116579927901</v>
      </c>
      <c r="S200" s="198">
        <v>2483.17</v>
      </c>
      <c r="T200" s="198">
        <v>100.5</v>
      </c>
      <c r="U200" s="198">
        <v>269.26969308194964</v>
      </c>
      <c r="V200" s="198">
        <v>293.96693643283277</v>
      </c>
      <c r="W200" s="198">
        <v>0</v>
      </c>
      <c r="X200" s="198">
        <v>0</v>
      </c>
      <c r="Y200" s="198">
        <v>172.2</v>
      </c>
      <c r="Z200" s="271">
        <v>23233.378409890538</v>
      </c>
      <c r="AA200" s="272">
        <v>34.975036966789112</v>
      </c>
      <c r="AB200" s="198">
        <v>3.5225623954875998</v>
      </c>
      <c r="AC200" s="272">
        <v>0</v>
      </c>
      <c r="AD200" s="198">
        <v>0</v>
      </c>
      <c r="AE200" s="198">
        <v>3.5225623954875998</v>
      </c>
      <c r="AF200" s="198">
        <v>0</v>
      </c>
      <c r="AG200" s="198">
        <v>0</v>
      </c>
      <c r="AH200" s="198">
        <v>0</v>
      </c>
      <c r="AI200" s="198">
        <v>0</v>
      </c>
      <c r="AJ200" s="198">
        <v>0</v>
      </c>
      <c r="AK200" s="198">
        <v>0</v>
      </c>
      <c r="AL200" s="198">
        <v>0</v>
      </c>
      <c r="AM200" s="198">
        <v>0</v>
      </c>
      <c r="AN200" s="198">
        <v>0</v>
      </c>
      <c r="AO200" s="198">
        <v>0</v>
      </c>
      <c r="AP200" s="198">
        <v>0</v>
      </c>
      <c r="AQ200" s="198">
        <v>0</v>
      </c>
      <c r="AS200" s="258">
        <f t="shared" si="25"/>
        <v>31167.577136868156</v>
      </c>
      <c r="AT200" s="3">
        <f t="shared" si="26"/>
        <v>6.7252286099019409</v>
      </c>
      <c r="AU200" s="3">
        <f t="shared" si="27"/>
        <v>2.2575388487631782</v>
      </c>
      <c r="AV200" s="95">
        <f t="shared" si="28"/>
        <v>0</v>
      </c>
      <c r="AW200" s="95">
        <f t="shared" si="29"/>
        <v>0</v>
      </c>
      <c r="AX200" s="95">
        <f t="shared" si="24"/>
        <v>2.2575388487631782</v>
      </c>
      <c r="AY200" s="102">
        <f t="shared" si="30"/>
        <v>1</v>
      </c>
      <c r="AZ200" s="102">
        <f t="shared" si="31"/>
        <v>0</v>
      </c>
    </row>
    <row r="201" spans="1:52" x14ac:dyDescent="0.35">
      <c r="A201" t="s">
        <v>985</v>
      </c>
      <c r="B201">
        <v>2030</v>
      </c>
      <c r="C201" t="s">
        <v>837</v>
      </c>
      <c r="D201" t="s">
        <v>993</v>
      </c>
      <c r="E201" t="s">
        <v>986</v>
      </c>
      <c r="F201" t="s">
        <v>978</v>
      </c>
      <c r="G201" s="357"/>
      <c r="H201" s="198">
        <v>10773.637000000001</v>
      </c>
      <c r="I201" s="198">
        <v>6180.738523</v>
      </c>
      <c r="J201" s="198">
        <v>0</v>
      </c>
      <c r="K201" s="198">
        <v>0</v>
      </c>
      <c r="L201" s="198">
        <v>61.624000000000009</v>
      </c>
      <c r="M201" s="198">
        <v>0</v>
      </c>
      <c r="N201" s="198">
        <v>0</v>
      </c>
      <c r="O201" s="198">
        <v>41.652333795824291</v>
      </c>
      <c r="P201" s="198">
        <v>0</v>
      </c>
      <c r="Q201" s="198">
        <v>0</v>
      </c>
      <c r="R201" s="198">
        <v>12.908116579927901</v>
      </c>
      <c r="S201" s="198">
        <v>2483.17</v>
      </c>
      <c r="T201" s="198">
        <v>100.5</v>
      </c>
      <c r="U201" s="198">
        <v>269.26969308194964</v>
      </c>
      <c r="V201" s="198">
        <v>294.82308626989465</v>
      </c>
      <c r="W201" s="198">
        <v>0</v>
      </c>
      <c r="X201" s="198">
        <v>0</v>
      </c>
      <c r="Y201" s="198">
        <v>172.2</v>
      </c>
      <c r="Z201" s="271">
        <v>20390.5227527276</v>
      </c>
      <c r="AA201" s="272">
        <v>33.295633001882521</v>
      </c>
      <c r="AB201" s="198">
        <v>3.7002375054120233</v>
      </c>
      <c r="AC201" s="272">
        <v>0</v>
      </c>
      <c r="AD201" s="198">
        <v>0</v>
      </c>
      <c r="AE201" s="198">
        <v>3.7002375054120233</v>
      </c>
      <c r="AF201" s="198">
        <v>276.98325845915582</v>
      </c>
      <c r="AG201" s="198">
        <v>0.12176672314363784</v>
      </c>
      <c r="AH201" s="198">
        <v>6.4339433725103833E-4</v>
      </c>
      <c r="AI201" s="198">
        <v>280.80675962582472</v>
      </c>
      <c r="AJ201" s="198">
        <v>0.11815600400409924</v>
      </c>
      <c r="AK201" s="198">
        <v>2.7572593896272806</v>
      </c>
      <c r="AL201" s="198">
        <v>0.12909219323015594</v>
      </c>
      <c r="AM201" s="198">
        <v>2.3203793101001968E-2</v>
      </c>
      <c r="AN201" s="198">
        <v>9.5407908102720061E-3</v>
      </c>
      <c r="AO201" s="198">
        <v>1.9103430782965967E-3</v>
      </c>
      <c r="AP201" s="198">
        <v>1.5852912743486711E-3</v>
      </c>
      <c r="AQ201" s="198">
        <v>1.5057457885998267E-3</v>
      </c>
      <c r="AS201" s="258">
        <f t="shared" si="25"/>
        <v>27353.886272784075</v>
      </c>
      <c r="AT201" s="3">
        <f t="shared" si="26"/>
        <v>7.0644435331242743</v>
      </c>
      <c r="AU201" s="3">
        <f t="shared" si="27"/>
        <v>2.3714072258362071</v>
      </c>
      <c r="AV201" s="95">
        <f t="shared" si="28"/>
        <v>0</v>
      </c>
      <c r="AW201" s="95">
        <f t="shared" si="29"/>
        <v>0</v>
      </c>
      <c r="AX201" s="95">
        <f t="shared" si="24"/>
        <v>2.3714072258362071</v>
      </c>
      <c r="AY201" s="102">
        <f t="shared" si="30"/>
        <v>1</v>
      </c>
      <c r="AZ201" s="102">
        <f t="shared" si="31"/>
        <v>0</v>
      </c>
    </row>
    <row r="202" spans="1:52" x14ac:dyDescent="0.35">
      <c r="A202" t="s">
        <v>987</v>
      </c>
      <c r="B202">
        <v>2030</v>
      </c>
      <c r="C202" t="s">
        <v>837</v>
      </c>
      <c r="D202" t="s">
        <v>993</v>
      </c>
      <c r="E202" t="s">
        <v>986</v>
      </c>
      <c r="F202" t="s">
        <v>978</v>
      </c>
      <c r="G202" s="357">
        <v>15200.1749</v>
      </c>
      <c r="H202" s="198">
        <v>10773.637000000001</v>
      </c>
      <c r="I202" s="198">
        <v>4563.5968409999996</v>
      </c>
      <c r="J202" s="198">
        <v>0</v>
      </c>
      <c r="K202" s="198">
        <v>0</v>
      </c>
      <c r="L202" s="198">
        <v>61.624000000000009</v>
      </c>
      <c r="M202" s="198">
        <v>1368.0157409999999</v>
      </c>
      <c r="N202" s="198">
        <v>25</v>
      </c>
      <c r="O202" s="198">
        <v>0</v>
      </c>
      <c r="P202" s="198">
        <v>510.2928</v>
      </c>
      <c r="Q202" s="198">
        <v>324.47999999999996</v>
      </c>
      <c r="R202" s="198">
        <v>0</v>
      </c>
      <c r="S202" s="198">
        <v>1057.2759570000001</v>
      </c>
      <c r="T202" s="198">
        <v>0</v>
      </c>
      <c r="U202" s="198">
        <v>269.26969308194964</v>
      </c>
      <c r="V202" s="198">
        <v>722.23347277233711</v>
      </c>
      <c r="W202" s="198">
        <v>9.8684210526315788</v>
      </c>
      <c r="X202" s="198">
        <v>0</v>
      </c>
      <c r="Y202" s="198">
        <v>172.2</v>
      </c>
      <c r="Z202" s="271">
        <v>19857.493925906918</v>
      </c>
      <c r="AA202" s="272">
        <v>264.11058633153192</v>
      </c>
      <c r="AB202" s="198">
        <v>0.46647789364015751</v>
      </c>
      <c r="AC202" s="272">
        <v>195.5916030976984</v>
      </c>
      <c r="AD202" s="198">
        <v>0.70412977115171416</v>
      </c>
      <c r="AE202" s="198">
        <v>1.1706076647918717</v>
      </c>
      <c r="AF202" s="198">
        <v>34.918452340055161</v>
      </c>
      <c r="AG202" s="198">
        <v>1.5350767199248614E-2</v>
      </c>
      <c r="AH202" s="198">
        <v>8.1110802963835682E-5</v>
      </c>
      <c r="AI202" s="198">
        <v>35.400469715412747</v>
      </c>
      <c r="AJ202" s="198">
        <v>1.4895574618698134E-2</v>
      </c>
      <c r="AK202" s="198">
        <v>0.34759945825414285</v>
      </c>
      <c r="AL202" s="198">
        <v>1.6274267339681476E-2</v>
      </c>
      <c r="AM202" s="198">
        <v>1.3335357700296639E-2</v>
      </c>
      <c r="AN202" s="198">
        <v>3.8631442331450486E-3</v>
      </c>
      <c r="AO202" s="198">
        <v>2.4083124772138724E-4</v>
      </c>
      <c r="AP202" s="198">
        <v>5.8022282205006726E-4</v>
      </c>
      <c r="AQ202" s="198">
        <v>6.6537491463442716E-4</v>
      </c>
      <c r="AS202" s="258">
        <f t="shared" si="25"/>
        <v>26638.828101604129</v>
      </c>
      <c r="AT202" s="3">
        <f t="shared" si="26"/>
        <v>0.89059330225471556</v>
      </c>
      <c r="AU202" s="3">
        <f t="shared" si="27"/>
        <v>0.29895622809432243</v>
      </c>
      <c r="AV202" s="95">
        <f t="shared" si="28"/>
        <v>12.153528968253967</v>
      </c>
      <c r="AW202" s="95">
        <f t="shared" si="29"/>
        <v>0.43752704285714278</v>
      </c>
      <c r="AX202" s="95">
        <f t="shared" si="24"/>
        <v>0.73648327095146526</v>
      </c>
      <c r="AY202" s="102">
        <f t="shared" si="30"/>
        <v>0.40592399024637704</v>
      </c>
      <c r="AZ202" s="102">
        <f t="shared" si="31"/>
        <v>0.59407600975362296</v>
      </c>
    </row>
    <row r="203" spans="1:52" x14ac:dyDescent="0.35">
      <c r="A203" t="s">
        <v>988</v>
      </c>
      <c r="B203">
        <v>2030</v>
      </c>
      <c r="C203" t="s">
        <v>837</v>
      </c>
      <c r="D203" t="s">
        <v>993</v>
      </c>
      <c r="E203" t="s">
        <v>989</v>
      </c>
      <c r="F203" t="s">
        <v>978</v>
      </c>
      <c r="G203" s="357">
        <v>1404</v>
      </c>
      <c r="H203" s="198">
        <v>10773.637000000001</v>
      </c>
      <c r="I203" s="198">
        <v>0</v>
      </c>
      <c r="J203" s="198">
        <v>4533.8175000000001</v>
      </c>
      <c r="K203" s="198">
        <v>2300.7241999999997</v>
      </c>
      <c r="L203" s="198">
        <v>61.624000000000009</v>
      </c>
      <c r="M203" s="198">
        <v>728.20846800000004</v>
      </c>
      <c r="N203" s="198">
        <v>0</v>
      </c>
      <c r="O203" s="198">
        <v>0</v>
      </c>
      <c r="P203" s="198">
        <v>518.58719999999994</v>
      </c>
      <c r="Q203" s="198">
        <v>0</v>
      </c>
      <c r="R203" s="198">
        <v>0</v>
      </c>
      <c r="S203" s="198">
        <v>0</v>
      </c>
      <c r="T203" s="198">
        <v>0</v>
      </c>
      <c r="U203" s="198">
        <v>269.26969308194964</v>
      </c>
      <c r="V203" s="198">
        <v>696.5793375837801</v>
      </c>
      <c r="W203" s="198">
        <v>7.2368421052631584</v>
      </c>
      <c r="X203" s="198">
        <v>190.1433222</v>
      </c>
      <c r="Y203" s="198">
        <v>172.2</v>
      </c>
      <c r="Z203" s="271">
        <v>20252.027562970994</v>
      </c>
      <c r="AA203" s="272">
        <v>77.775203123284115</v>
      </c>
      <c r="AB203" s="198">
        <v>1.5840749371584246</v>
      </c>
      <c r="AC203" s="272">
        <v>0</v>
      </c>
      <c r="AD203" s="198">
        <v>0</v>
      </c>
      <c r="AE203" s="198">
        <v>1.5840749371584246</v>
      </c>
      <c r="AF203" s="198">
        <v>0</v>
      </c>
      <c r="AG203" s="198">
        <v>0</v>
      </c>
      <c r="AH203" s="198">
        <v>0</v>
      </c>
      <c r="AI203" s="198">
        <v>0</v>
      </c>
      <c r="AJ203" s="198">
        <v>0</v>
      </c>
      <c r="AK203" s="198">
        <v>0</v>
      </c>
      <c r="AL203" s="198">
        <v>0</v>
      </c>
      <c r="AM203" s="198">
        <v>1.4808856461136055E-2</v>
      </c>
      <c r="AN203" s="198">
        <v>3.7844855400681094E-3</v>
      </c>
      <c r="AO203" s="198">
        <v>0</v>
      </c>
      <c r="AP203" s="198">
        <v>5.4109274752598541E-4</v>
      </c>
      <c r="AQ203" s="198">
        <v>6.7649066770801656E-4</v>
      </c>
      <c r="AS203" s="258">
        <f t="shared" si="25"/>
        <v>27168.094975725588</v>
      </c>
      <c r="AT203" s="3">
        <f t="shared" si="26"/>
        <v>3.0242945025624772</v>
      </c>
      <c r="AU203" s="3">
        <f t="shared" si="27"/>
        <v>1.0152015233479554</v>
      </c>
      <c r="AV203" s="95">
        <f t="shared" si="28"/>
        <v>0</v>
      </c>
      <c r="AW203" s="95">
        <f t="shared" si="29"/>
        <v>0</v>
      </c>
      <c r="AX203" s="95">
        <f t="shared" si="24"/>
        <v>1.0152015233479554</v>
      </c>
      <c r="AY203" s="102">
        <f t="shared" si="30"/>
        <v>1</v>
      </c>
      <c r="AZ203" s="102">
        <f t="shared" si="31"/>
        <v>0</v>
      </c>
    </row>
    <row r="204" spans="1:52" x14ac:dyDescent="0.35">
      <c r="A204" t="s">
        <v>990</v>
      </c>
      <c r="B204">
        <v>2030</v>
      </c>
      <c r="C204" t="s">
        <v>837</v>
      </c>
      <c r="D204" t="s">
        <v>993</v>
      </c>
      <c r="E204" t="s">
        <v>989</v>
      </c>
      <c r="F204" t="s">
        <v>978</v>
      </c>
      <c r="G204" s="357">
        <v>1404</v>
      </c>
      <c r="H204" s="198">
        <v>10773.637000000001</v>
      </c>
      <c r="I204" s="198">
        <v>0</v>
      </c>
      <c r="J204" s="198">
        <v>4624.5525000000007</v>
      </c>
      <c r="K204" s="198">
        <v>2721.7708000000002</v>
      </c>
      <c r="L204" s="198">
        <v>61.624000000000009</v>
      </c>
      <c r="M204" s="198">
        <v>728.20846800000004</v>
      </c>
      <c r="N204" s="198">
        <v>0</v>
      </c>
      <c r="O204" s="198">
        <v>0</v>
      </c>
      <c r="P204" s="198">
        <v>535.0752</v>
      </c>
      <c r="Q204" s="198">
        <v>0</v>
      </c>
      <c r="R204" s="198">
        <v>0</v>
      </c>
      <c r="S204" s="198">
        <v>0</v>
      </c>
      <c r="T204" s="198">
        <v>0</v>
      </c>
      <c r="U204" s="198">
        <v>269.26969308194964</v>
      </c>
      <c r="V204" s="198">
        <v>696.5793375837801</v>
      </c>
      <c r="W204" s="198">
        <v>7.2368421052631584</v>
      </c>
      <c r="X204" s="198">
        <v>190.1433222</v>
      </c>
      <c r="Y204" s="198">
        <v>172.2</v>
      </c>
      <c r="Z204" s="271">
        <v>20780.297162970994</v>
      </c>
      <c r="AA204" s="272">
        <v>76.813671570791911</v>
      </c>
      <c r="AB204" s="198">
        <v>1.6039039337737762</v>
      </c>
      <c r="AC204" s="272">
        <v>0</v>
      </c>
      <c r="AD204" s="198">
        <v>0</v>
      </c>
      <c r="AE204" s="198">
        <v>1.6039039337737762</v>
      </c>
      <c r="AF204" s="198">
        <v>0</v>
      </c>
      <c r="AG204" s="198">
        <v>0</v>
      </c>
      <c r="AH204" s="198">
        <v>0</v>
      </c>
      <c r="AI204" s="198">
        <v>0</v>
      </c>
      <c r="AJ204" s="198">
        <v>0</v>
      </c>
      <c r="AK204" s="198">
        <v>0</v>
      </c>
      <c r="AL204" s="198">
        <v>0</v>
      </c>
      <c r="AM204" s="198">
        <v>1.4994229487220191E-2</v>
      </c>
      <c r="AN204" s="198">
        <v>3.8318586467340553E-3</v>
      </c>
      <c r="AO204" s="198">
        <v>0</v>
      </c>
      <c r="AP204" s="198">
        <v>5.4786599164948044E-4</v>
      </c>
      <c r="AQ204" s="198">
        <v>6.8495878423813596E-4</v>
      </c>
      <c r="AS204" s="258">
        <f t="shared" si="25"/>
        <v>27876.768644125586</v>
      </c>
      <c r="AT204" s="3">
        <f t="shared" si="26"/>
        <v>3.062151755428753</v>
      </c>
      <c r="AU204" s="3">
        <f t="shared" si="27"/>
        <v>1.0279095254115931</v>
      </c>
      <c r="AV204" s="95">
        <f t="shared" si="28"/>
        <v>0</v>
      </c>
      <c r="AW204" s="95">
        <f t="shared" si="29"/>
        <v>0</v>
      </c>
      <c r="AX204" s="95">
        <f t="shared" si="24"/>
        <v>1.0279095254115931</v>
      </c>
      <c r="AY204" s="102">
        <f t="shared" si="30"/>
        <v>1</v>
      </c>
      <c r="AZ204" s="102">
        <f t="shared" si="31"/>
        <v>0</v>
      </c>
    </row>
    <row r="205" spans="1:52" x14ac:dyDescent="0.35">
      <c r="A205" t="s">
        <v>991</v>
      </c>
      <c r="B205">
        <v>2030</v>
      </c>
      <c r="C205" t="s">
        <v>837</v>
      </c>
      <c r="D205" t="s">
        <v>993</v>
      </c>
      <c r="E205" t="s">
        <v>986</v>
      </c>
      <c r="F205" t="s">
        <v>978</v>
      </c>
      <c r="G205" s="357">
        <v>1684.8</v>
      </c>
      <c r="H205" s="198">
        <v>10773.637000000001</v>
      </c>
      <c r="I205" s="198">
        <v>4563.5968408198796</v>
      </c>
      <c r="J205" s="198">
        <v>0</v>
      </c>
      <c r="K205" s="198">
        <v>0</v>
      </c>
      <c r="L205" s="198">
        <v>61.624000000000009</v>
      </c>
      <c r="M205" s="198">
        <v>873.85016159999998</v>
      </c>
      <c r="N205" s="198">
        <v>0</v>
      </c>
      <c r="O205" s="198">
        <v>0</v>
      </c>
      <c r="P205" s="198">
        <v>378.59999999999997</v>
      </c>
      <c r="Q205" s="198">
        <v>286.01279999999997</v>
      </c>
      <c r="R205" s="198">
        <v>0</v>
      </c>
      <c r="S205" s="198">
        <v>959.89670802362298</v>
      </c>
      <c r="T205" s="198">
        <v>0</v>
      </c>
      <c r="U205" s="198">
        <v>269.26969308194964</v>
      </c>
      <c r="V205" s="198">
        <v>725.56281786123077</v>
      </c>
      <c r="W205" s="198">
        <v>7.2368421052631584</v>
      </c>
      <c r="X205" s="198">
        <v>228.17198664</v>
      </c>
      <c r="Y205" s="198">
        <v>172.2</v>
      </c>
      <c r="Z205" s="271">
        <v>19299.658850131949</v>
      </c>
      <c r="AA205" s="272">
        <v>51.890500160964763</v>
      </c>
      <c r="AB205" s="198">
        <v>2.37426406794745</v>
      </c>
      <c r="AC205" s="272">
        <v>0</v>
      </c>
      <c r="AD205" s="198">
        <v>0</v>
      </c>
      <c r="AE205" s="198">
        <v>2.37426406794745</v>
      </c>
      <c r="AF205" s="198">
        <v>177.72680727134772</v>
      </c>
      <c r="AG205" s="198">
        <v>7.8131837485781161E-2</v>
      </c>
      <c r="AH205" s="198">
        <v>4.1283513672344828E-4</v>
      </c>
      <c r="AI205" s="198">
        <v>180.18016368982074</v>
      </c>
      <c r="AJ205" s="198">
        <v>7.5815013038723941E-2</v>
      </c>
      <c r="AK205" s="198">
        <v>1.7692004594915369</v>
      </c>
      <c r="AL205" s="198">
        <v>8.2832238576739547E-2</v>
      </c>
      <c r="AM205" s="198">
        <v>1.4888755686416783E-2</v>
      </c>
      <c r="AN205" s="198">
        <v>6.1218656282199134E-3</v>
      </c>
      <c r="AO205" s="198">
        <v>1.2257750810908241E-3</v>
      </c>
      <c r="AP205" s="198">
        <v>1.0172050049250989E-3</v>
      </c>
      <c r="AQ205" s="198">
        <v>9.6616450055080538E-4</v>
      </c>
      <c r="AS205" s="258">
        <f t="shared" si="25"/>
        <v>25890.492347452007</v>
      </c>
      <c r="AT205" s="3">
        <f t="shared" si="26"/>
        <v>4.5329129322667709</v>
      </c>
      <c r="AU205" s="3">
        <f t="shared" si="27"/>
        <v>1.5216177227917991</v>
      </c>
      <c r="AV205" s="95">
        <f t="shared" si="28"/>
        <v>0</v>
      </c>
      <c r="AW205" s="95">
        <f t="shared" si="29"/>
        <v>0</v>
      </c>
      <c r="AX205" s="95">
        <f t="shared" si="24"/>
        <v>1.5216177227917991</v>
      </c>
      <c r="AY205" s="102">
        <f t="shared" si="30"/>
        <v>1</v>
      </c>
      <c r="AZ205" s="102">
        <f t="shared" si="31"/>
        <v>0</v>
      </c>
    </row>
    <row r="206" spans="1:52" x14ac:dyDescent="0.35">
      <c r="A206" t="s">
        <v>992</v>
      </c>
      <c r="B206">
        <v>2030</v>
      </c>
      <c r="C206" t="s">
        <v>837</v>
      </c>
      <c r="D206" t="s">
        <v>993</v>
      </c>
      <c r="E206" t="s">
        <v>986</v>
      </c>
      <c r="F206" t="s">
        <v>978</v>
      </c>
      <c r="G206" s="357">
        <v>6686.1719999999996</v>
      </c>
      <c r="H206" s="198">
        <v>10773.637000000001</v>
      </c>
      <c r="I206" s="198">
        <v>4563.5968408198796</v>
      </c>
      <c r="J206" s="198">
        <v>0</v>
      </c>
      <c r="K206" s="198">
        <v>0</v>
      </c>
      <c r="L206" s="198">
        <v>61.624000000000009</v>
      </c>
      <c r="M206" s="198">
        <v>1182.6308880000001</v>
      </c>
      <c r="N206" s="198">
        <v>25</v>
      </c>
      <c r="O206" s="198">
        <v>0</v>
      </c>
      <c r="P206" s="198">
        <v>384.12</v>
      </c>
      <c r="Q206" s="198">
        <v>292.67519999999996</v>
      </c>
      <c r="R206" s="198">
        <v>0</v>
      </c>
      <c r="S206" s="198">
        <v>967.13129803497304</v>
      </c>
      <c r="T206" s="198">
        <v>0</v>
      </c>
      <c r="U206" s="198">
        <v>269.26969308194964</v>
      </c>
      <c r="V206" s="198">
        <v>726.23794665561604</v>
      </c>
      <c r="W206" s="198">
        <v>7.2368421052631584</v>
      </c>
      <c r="X206" s="198">
        <v>224.0884236</v>
      </c>
      <c r="Y206" s="198">
        <v>172.2</v>
      </c>
      <c r="Z206" s="271">
        <v>19649.448132297683</v>
      </c>
      <c r="AA206" s="272">
        <v>110.06023062298962</v>
      </c>
      <c r="AB206" s="198">
        <v>1.1194029787383104</v>
      </c>
      <c r="AC206" s="272">
        <v>136.1684095729365</v>
      </c>
      <c r="AD206" s="198">
        <v>0.49020627446257137</v>
      </c>
      <c r="AE206" s="198">
        <v>1.6096092532008819</v>
      </c>
      <c r="AF206" s="198">
        <v>83.793508964311044</v>
      </c>
      <c r="AG206" s="198">
        <v>3.6837103672082698E-2</v>
      </c>
      <c r="AH206" s="198">
        <v>1.9464089442063442E-4</v>
      </c>
      <c r="AI206" s="198">
        <v>84.950201903323347</v>
      </c>
      <c r="AJ206" s="198">
        <v>3.5744781961847813E-2</v>
      </c>
      <c r="AK206" s="198">
        <v>0.83413142247993932</v>
      </c>
      <c r="AL206" s="198">
        <v>3.90532189953594E-2</v>
      </c>
      <c r="AM206" s="198">
        <v>7.0196561916089214E-3</v>
      </c>
      <c r="AN206" s="198">
        <v>2.8862984164980941E-3</v>
      </c>
      <c r="AO206" s="198">
        <v>5.7792066837050423E-4</v>
      </c>
      <c r="AP206" s="198">
        <v>4.7958537041966286E-4</v>
      </c>
      <c r="AQ206" s="198">
        <v>4.555211168245339E-4</v>
      </c>
      <c r="AS206" s="258">
        <f t="shared" si="25"/>
        <v>26359.734669477341</v>
      </c>
      <c r="AT206" s="3">
        <f t="shared" si="26"/>
        <v>2.1371490674697524</v>
      </c>
      <c r="AU206" s="3">
        <f t="shared" si="27"/>
        <v>0.71740268253591932</v>
      </c>
      <c r="AV206" s="95">
        <f t="shared" si="28"/>
        <v>8.4611337301587302</v>
      </c>
      <c r="AW206" s="95">
        <f t="shared" si="29"/>
        <v>0.30460081428571428</v>
      </c>
      <c r="AX206" s="95">
        <f t="shared" si="24"/>
        <v>1.0220034968216336</v>
      </c>
      <c r="AY206" s="102">
        <f t="shared" si="30"/>
        <v>0.70195717017309278</v>
      </c>
      <c r="AZ206" s="102">
        <f t="shared" si="31"/>
        <v>0.29804282982690722</v>
      </c>
    </row>
    <row r="207" spans="1:52" x14ac:dyDescent="0.35">
      <c r="A207" t="s">
        <v>975</v>
      </c>
      <c r="B207">
        <v>2030</v>
      </c>
      <c r="C207" t="s">
        <v>837</v>
      </c>
      <c r="D207" t="s">
        <v>994</v>
      </c>
      <c r="E207" t="s">
        <v>977</v>
      </c>
      <c r="F207" t="s">
        <v>978</v>
      </c>
      <c r="G207" s="357">
        <v>51954.825599999996</v>
      </c>
      <c r="H207" s="198">
        <v>13889.4861</v>
      </c>
      <c r="I207" s="198">
        <v>0</v>
      </c>
      <c r="J207" s="198">
        <v>0</v>
      </c>
      <c r="K207" s="198">
        <v>0</v>
      </c>
      <c r="L207" s="198">
        <v>61.624000000000009</v>
      </c>
      <c r="M207" s="198">
        <v>4675.9343040000003</v>
      </c>
      <c r="N207" s="198">
        <v>25</v>
      </c>
      <c r="O207" s="198">
        <v>0</v>
      </c>
      <c r="P207" s="198">
        <v>583.93439999999998</v>
      </c>
      <c r="Q207" s="198">
        <v>0</v>
      </c>
      <c r="R207" s="198">
        <v>0</v>
      </c>
      <c r="S207" s="198">
        <v>0</v>
      </c>
      <c r="T207" s="198">
        <v>0</v>
      </c>
      <c r="U207" s="198">
        <v>371.18273139796202</v>
      </c>
      <c r="V207" s="198">
        <v>696.5793375837801</v>
      </c>
      <c r="W207" s="198">
        <v>11.184210526315789</v>
      </c>
      <c r="X207" s="198">
        <v>0</v>
      </c>
      <c r="Y207" s="198">
        <v>172.2</v>
      </c>
      <c r="Z207" s="271">
        <v>20487.125083508057</v>
      </c>
      <c r="AA207" s="272">
        <v>0</v>
      </c>
      <c r="AB207" s="198">
        <v>0</v>
      </c>
      <c r="AC207" s="272">
        <v>256.37546687439266</v>
      </c>
      <c r="AD207" s="198">
        <v>0.92295168074781353</v>
      </c>
      <c r="AE207" s="198">
        <v>0.92295168074781353</v>
      </c>
      <c r="AF207" s="198">
        <v>0</v>
      </c>
      <c r="AG207" s="198">
        <v>0</v>
      </c>
      <c r="AH207" s="198">
        <v>0</v>
      </c>
      <c r="AI207" s="198">
        <v>0</v>
      </c>
      <c r="AJ207" s="198">
        <v>0</v>
      </c>
      <c r="AK207" s="198">
        <v>0</v>
      </c>
      <c r="AL207" s="198">
        <v>0</v>
      </c>
      <c r="AM207" s="198">
        <v>1.3645271886662947E-2</v>
      </c>
      <c r="AN207" s="198">
        <v>3.4871250377027439E-3</v>
      </c>
      <c r="AO207" s="198">
        <v>0</v>
      </c>
      <c r="AP207" s="198">
        <v>4.9857716396064502E-4</v>
      </c>
      <c r="AQ207" s="198">
        <v>6.2333638751184352E-4</v>
      </c>
      <c r="AS207" s="258">
        <f t="shared" si="25"/>
        <v>27483.478299526058</v>
      </c>
      <c r="AT207" s="3">
        <f t="shared" si="26"/>
        <v>0</v>
      </c>
      <c r="AU207" s="3">
        <f t="shared" si="27"/>
        <v>0</v>
      </c>
      <c r="AV207" s="95">
        <f t="shared" si="28"/>
        <v>15.930472546161322</v>
      </c>
      <c r="AW207" s="95">
        <f t="shared" si="29"/>
        <v>0.57349701166180767</v>
      </c>
      <c r="AX207" s="95">
        <f t="shared" ref="AX207:AX270" si="32">AU207+AW207</f>
        <v>0.57349701166180767</v>
      </c>
      <c r="AY207" s="102">
        <f t="shared" si="30"/>
        <v>0</v>
      </c>
      <c r="AZ207" s="102">
        <f t="shared" si="31"/>
        <v>1</v>
      </c>
    </row>
    <row r="208" spans="1:52" x14ac:dyDescent="0.35">
      <c r="A208" t="s">
        <v>979</v>
      </c>
      <c r="B208">
        <v>2030</v>
      </c>
      <c r="C208" t="s">
        <v>837</v>
      </c>
      <c r="D208" t="s">
        <v>994</v>
      </c>
      <c r="E208" t="s">
        <v>977</v>
      </c>
      <c r="F208" t="s">
        <v>978</v>
      </c>
      <c r="G208" s="357">
        <v>80122.860700000005</v>
      </c>
      <c r="H208" s="198">
        <v>13889.4861</v>
      </c>
      <c r="I208" s="198">
        <v>0</v>
      </c>
      <c r="J208" s="198">
        <v>0</v>
      </c>
      <c r="K208" s="198">
        <v>0</v>
      </c>
      <c r="L208" s="198">
        <v>61.624000000000009</v>
      </c>
      <c r="M208" s="198">
        <v>7211.0574630000001</v>
      </c>
      <c r="N208" s="198">
        <v>25</v>
      </c>
      <c r="O208" s="198">
        <v>0</v>
      </c>
      <c r="P208" s="198">
        <v>617.928</v>
      </c>
      <c r="Q208" s="198">
        <v>0</v>
      </c>
      <c r="R208" s="198">
        <v>0</v>
      </c>
      <c r="S208" s="198">
        <v>0</v>
      </c>
      <c r="T208" s="198">
        <v>0</v>
      </c>
      <c r="U208" s="198">
        <v>371.18273139796202</v>
      </c>
      <c r="V208" s="198">
        <v>696.5793375837801</v>
      </c>
      <c r="W208" s="198">
        <v>11.184210526315789</v>
      </c>
      <c r="X208" s="198">
        <v>0</v>
      </c>
      <c r="Y208" s="198">
        <v>172.2</v>
      </c>
      <c r="Z208" s="271">
        <v>23056.241842508058</v>
      </c>
      <c r="AA208" s="272">
        <v>0</v>
      </c>
      <c r="AB208" s="198">
        <v>0</v>
      </c>
      <c r="AC208" s="272">
        <v>264.61781155430032</v>
      </c>
      <c r="AD208" s="198">
        <v>0.95262412159548115</v>
      </c>
      <c r="AE208" s="198">
        <v>0.95262412159548115</v>
      </c>
      <c r="AF208" s="198">
        <v>0</v>
      </c>
      <c r="AG208" s="198">
        <v>0</v>
      </c>
      <c r="AH208" s="198">
        <v>0</v>
      </c>
      <c r="AI208" s="198">
        <v>0</v>
      </c>
      <c r="AJ208" s="198">
        <v>0</v>
      </c>
      <c r="AK208" s="198">
        <v>0</v>
      </c>
      <c r="AL208" s="198">
        <v>0</v>
      </c>
      <c r="AM208" s="198">
        <v>1.4083960640747333E-2</v>
      </c>
      <c r="AN208" s="198">
        <v>3.5992343859687537E-3</v>
      </c>
      <c r="AO208" s="198">
        <v>0</v>
      </c>
      <c r="AP208" s="198">
        <v>5.1460617361977852E-4</v>
      </c>
      <c r="AQ208" s="198">
        <v>6.4337634461085209E-4</v>
      </c>
      <c r="AS208" s="258">
        <f t="shared" si="25"/>
        <v>30929.948431724559</v>
      </c>
      <c r="AT208" s="3">
        <f t="shared" si="26"/>
        <v>0</v>
      </c>
      <c r="AU208" s="3">
        <f t="shared" si="27"/>
        <v>0</v>
      </c>
      <c r="AV208" s="95">
        <f t="shared" si="28"/>
        <v>16.442629373177844</v>
      </c>
      <c r="AW208" s="95">
        <f t="shared" si="29"/>
        <v>0.59193465743440243</v>
      </c>
      <c r="AX208" s="95">
        <f t="shared" si="32"/>
        <v>0.59193465743440243</v>
      </c>
      <c r="AY208" s="102">
        <f t="shared" si="30"/>
        <v>0</v>
      </c>
      <c r="AZ208" s="102">
        <f t="shared" si="31"/>
        <v>1</v>
      </c>
    </row>
    <row r="209" spans="1:52" x14ac:dyDescent="0.35">
      <c r="A209" t="s">
        <v>980</v>
      </c>
      <c r="B209">
        <v>2030</v>
      </c>
      <c r="C209" t="s">
        <v>837</v>
      </c>
      <c r="D209" t="s">
        <v>994</v>
      </c>
      <c r="E209" t="s">
        <v>977</v>
      </c>
      <c r="F209" t="s">
        <v>978</v>
      </c>
      <c r="G209" s="357">
        <v>118576.8461</v>
      </c>
      <c r="H209" s="198">
        <v>13889.4861</v>
      </c>
      <c r="I209" s="198">
        <v>0</v>
      </c>
      <c r="J209" s="198">
        <v>0</v>
      </c>
      <c r="K209" s="198">
        <v>0</v>
      </c>
      <c r="L209" s="198">
        <v>61.624000000000009</v>
      </c>
      <c r="M209" s="198">
        <v>10671.916149000001</v>
      </c>
      <c r="N209" s="198">
        <v>25</v>
      </c>
      <c r="O209" s="198">
        <v>0</v>
      </c>
      <c r="P209" s="198">
        <v>662.20320000000004</v>
      </c>
      <c r="Q209" s="198">
        <v>0</v>
      </c>
      <c r="R209" s="198">
        <v>0</v>
      </c>
      <c r="S209" s="198">
        <v>0</v>
      </c>
      <c r="T209" s="198">
        <v>0</v>
      </c>
      <c r="U209" s="198">
        <v>371.18273139796202</v>
      </c>
      <c r="V209" s="198">
        <v>696.5793375837801</v>
      </c>
      <c r="W209" s="198">
        <v>11.184210526315789</v>
      </c>
      <c r="X209" s="198">
        <v>0</v>
      </c>
      <c r="Y209" s="198">
        <v>172.2</v>
      </c>
      <c r="Z209" s="271">
        <v>26561.375728508061</v>
      </c>
      <c r="AA209" s="272">
        <v>0</v>
      </c>
      <c r="AB209" s="198">
        <v>0</v>
      </c>
      <c r="AC209" s="272">
        <v>289.49702453939915</v>
      </c>
      <c r="AD209" s="198">
        <v>1.0421892883418369</v>
      </c>
      <c r="AE209" s="198">
        <v>1.0421892883418369</v>
      </c>
      <c r="AF209" s="198">
        <v>0</v>
      </c>
      <c r="AG209" s="198">
        <v>0</v>
      </c>
      <c r="AH209" s="198">
        <v>0</v>
      </c>
      <c r="AI209" s="198">
        <v>0</v>
      </c>
      <c r="AJ209" s="198">
        <v>0</v>
      </c>
      <c r="AK209" s="198">
        <v>0</v>
      </c>
      <c r="AL209" s="198">
        <v>0</v>
      </c>
      <c r="AM209" s="198">
        <v>1.5408126441971181E-2</v>
      </c>
      <c r="AN209" s="198">
        <v>3.9376323129481803E-3</v>
      </c>
      <c r="AO209" s="198">
        <v>0</v>
      </c>
      <c r="AP209" s="198">
        <v>5.6298914724400861E-4</v>
      </c>
      <c r="AQ209" s="198">
        <v>7.0386621493790334E-4</v>
      </c>
      <c r="AS209" s="258">
        <f t="shared" si="25"/>
        <v>35632.085539793559</v>
      </c>
      <c r="AT209" s="3">
        <f t="shared" si="26"/>
        <v>0</v>
      </c>
      <c r="AU209" s="3">
        <f t="shared" si="27"/>
        <v>0</v>
      </c>
      <c r="AV209" s="95">
        <f t="shared" si="28"/>
        <v>17.98855583900227</v>
      </c>
      <c r="AW209" s="95">
        <f t="shared" si="29"/>
        <v>0.64758801020408174</v>
      </c>
      <c r="AX209" s="95">
        <f t="shared" si="32"/>
        <v>0.64758801020408174</v>
      </c>
      <c r="AY209" s="102">
        <f t="shared" si="30"/>
        <v>0</v>
      </c>
      <c r="AZ209" s="102">
        <f t="shared" si="31"/>
        <v>1</v>
      </c>
    </row>
    <row r="210" spans="1:52" x14ac:dyDescent="0.35">
      <c r="A210" t="s">
        <v>981</v>
      </c>
      <c r="B210">
        <v>2030</v>
      </c>
      <c r="C210" t="s">
        <v>837</v>
      </c>
      <c r="D210" t="s">
        <v>994</v>
      </c>
      <c r="E210" t="s">
        <v>977</v>
      </c>
      <c r="F210" t="s">
        <v>978</v>
      </c>
      <c r="G210" s="357">
        <v>161833.45970000001</v>
      </c>
      <c r="H210" s="198">
        <v>13889.4861</v>
      </c>
      <c r="I210" s="198">
        <v>0</v>
      </c>
      <c r="J210" s="198">
        <v>0</v>
      </c>
      <c r="K210" s="198">
        <v>0</v>
      </c>
      <c r="L210" s="198">
        <v>61.624000000000009</v>
      </c>
      <c r="M210" s="198">
        <v>14565.011373000001</v>
      </c>
      <c r="N210" s="198">
        <v>25</v>
      </c>
      <c r="O210" s="198">
        <v>0</v>
      </c>
      <c r="P210" s="198">
        <v>717.44639999999993</v>
      </c>
      <c r="Q210" s="198">
        <v>0</v>
      </c>
      <c r="R210" s="198">
        <v>0</v>
      </c>
      <c r="S210" s="198">
        <v>0</v>
      </c>
      <c r="T210" s="198">
        <v>0</v>
      </c>
      <c r="U210" s="198">
        <v>371.18273139796202</v>
      </c>
      <c r="V210" s="198">
        <v>696.5793375837801</v>
      </c>
      <c r="W210" s="198">
        <v>11.184210526315789</v>
      </c>
      <c r="X210" s="198">
        <v>0</v>
      </c>
      <c r="Y210" s="198">
        <v>172.2</v>
      </c>
      <c r="Z210" s="271">
        <v>30509.714152508059</v>
      </c>
      <c r="AA210" s="272">
        <v>0</v>
      </c>
      <c r="AB210" s="198">
        <v>0</v>
      </c>
      <c r="AC210" s="272">
        <v>313.69053786669906</v>
      </c>
      <c r="AD210" s="198">
        <v>1.1292859363201166</v>
      </c>
      <c r="AE210" s="198">
        <v>1.1292859363201166</v>
      </c>
      <c r="AF210" s="198">
        <v>0</v>
      </c>
      <c r="AG210" s="198">
        <v>0</v>
      </c>
      <c r="AH210" s="198">
        <v>0</v>
      </c>
      <c r="AI210" s="198">
        <v>0</v>
      </c>
      <c r="AJ210" s="198">
        <v>0</v>
      </c>
      <c r="AK210" s="198">
        <v>0</v>
      </c>
      <c r="AL210" s="198">
        <v>0</v>
      </c>
      <c r="AM210" s="198">
        <v>1.669579671428453E-2</v>
      </c>
      <c r="AN210" s="198">
        <v>4.2667036047615917E-3</v>
      </c>
      <c r="AO210" s="198">
        <v>0</v>
      </c>
      <c r="AP210" s="198">
        <v>6.1003863059757386E-4</v>
      </c>
      <c r="AQ210" s="198">
        <v>7.6268891502896685E-4</v>
      </c>
      <c r="AS210" s="258">
        <f t="shared" si="25"/>
        <v>40928.781535589558</v>
      </c>
      <c r="AT210" s="3">
        <f t="shared" si="26"/>
        <v>0</v>
      </c>
      <c r="AU210" s="3">
        <f t="shared" si="27"/>
        <v>0</v>
      </c>
      <c r="AV210" s="95">
        <f t="shared" si="28"/>
        <v>19.491874797538063</v>
      </c>
      <c r="AW210" s="95">
        <f t="shared" si="29"/>
        <v>0.70170749271137023</v>
      </c>
      <c r="AX210" s="95">
        <f t="shared" si="32"/>
        <v>0.70170749271137023</v>
      </c>
      <c r="AY210" s="102">
        <f t="shared" si="30"/>
        <v>0</v>
      </c>
      <c r="AZ210" s="102">
        <f t="shared" si="31"/>
        <v>1</v>
      </c>
    </row>
    <row r="211" spans="1:52" x14ac:dyDescent="0.35">
      <c r="A211" t="s">
        <v>982</v>
      </c>
      <c r="B211">
        <v>2030</v>
      </c>
      <c r="C211" t="s">
        <v>837</v>
      </c>
      <c r="D211" t="s">
        <v>994</v>
      </c>
      <c r="E211" t="s">
        <v>983</v>
      </c>
      <c r="F211" t="s">
        <v>978</v>
      </c>
      <c r="G211" s="357"/>
      <c r="H211" s="198">
        <v>13889.4861</v>
      </c>
      <c r="I211" s="198">
        <v>7365.1478031554798</v>
      </c>
      <c r="J211" s="198">
        <v>0</v>
      </c>
      <c r="K211" s="198">
        <v>0</v>
      </c>
      <c r="L211" s="198">
        <v>61.624000000000009</v>
      </c>
      <c r="M211" s="198">
        <v>0</v>
      </c>
      <c r="N211" s="198">
        <v>0</v>
      </c>
      <c r="O211" s="198">
        <v>41.652333795824291</v>
      </c>
      <c r="P211" s="198">
        <v>0</v>
      </c>
      <c r="Q211" s="198">
        <v>0</v>
      </c>
      <c r="R211" s="198">
        <v>12.908116579927901</v>
      </c>
      <c r="S211" s="198">
        <v>2483.17</v>
      </c>
      <c r="T211" s="198">
        <v>100.5</v>
      </c>
      <c r="U211" s="198">
        <v>371.18273139796202</v>
      </c>
      <c r="V211" s="198">
        <v>316.45064407003844</v>
      </c>
      <c r="W211" s="198">
        <v>0</v>
      </c>
      <c r="X211" s="198">
        <v>0</v>
      </c>
      <c r="Y211" s="198">
        <v>172.2</v>
      </c>
      <c r="Z211" s="271">
        <v>24814.321728999235</v>
      </c>
      <c r="AA211" s="272">
        <v>35.719314858133608</v>
      </c>
      <c r="AB211" s="198">
        <v>3.4491633025247084</v>
      </c>
      <c r="AC211" s="272">
        <v>0</v>
      </c>
      <c r="AD211" s="198">
        <v>0</v>
      </c>
      <c r="AE211" s="198">
        <v>3.4491633025247084</v>
      </c>
      <c r="AF211" s="198">
        <v>258.1889646525965</v>
      </c>
      <c r="AG211" s="198">
        <v>0.11350442027611286</v>
      </c>
      <c r="AH211" s="198">
        <v>5.9973775571235427E-4</v>
      </c>
      <c r="AI211" s="198">
        <v>261.75302774096474</v>
      </c>
      <c r="AJ211" s="198">
        <v>0.11013870120170081</v>
      </c>
      <c r="AK211" s="198">
        <v>2.5701695873127806</v>
      </c>
      <c r="AL211" s="198">
        <v>0.12033283130627112</v>
      </c>
      <c r="AM211" s="198">
        <v>2.1629333664742748E-2</v>
      </c>
      <c r="AN211" s="198">
        <v>8.8934144069735561E-3</v>
      </c>
      <c r="AO211" s="198">
        <v>1.780719543341586E-3</v>
      </c>
      <c r="AP211" s="198">
        <v>1.4777236540353398E-3</v>
      </c>
      <c r="AQ211" s="198">
        <v>1.4035756108556452E-3</v>
      </c>
      <c r="AS211" s="258">
        <f t="shared" si="25"/>
        <v>33288.412599452473</v>
      </c>
      <c r="AT211" s="3">
        <f t="shared" si="26"/>
        <v>6.5850960516916954</v>
      </c>
      <c r="AU211" s="3">
        <f t="shared" si="27"/>
        <v>2.210498857636273</v>
      </c>
      <c r="AV211" s="95">
        <f t="shared" si="28"/>
        <v>0</v>
      </c>
      <c r="AW211" s="95">
        <f t="shared" si="29"/>
        <v>0</v>
      </c>
      <c r="AX211" s="95">
        <f t="shared" si="32"/>
        <v>2.210498857636273</v>
      </c>
      <c r="AY211" s="102">
        <f t="shared" si="30"/>
        <v>1</v>
      </c>
      <c r="AZ211" s="102">
        <f t="shared" si="31"/>
        <v>0</v>
      </c>
    </row>
    <row r="212" spans="1:52" x14ac:dyDescent="0.35">
      <c r="A212" t="s">
        <v>984</v>
      </c>
      <c r="B212">
        <v>2030</v>
      </c>
      <c r="C212" t="s">
        <v>837</v>
      </c>
      <c r="D212" t="s">
        <v>994</v>
      </c>
      <c r="E212" t="s">
        <v>240</v>
      </c>
      <c r="F212" t="s">
        <v>978</v>
      </c>
      <c r="G212" s="357"/>
      <c r="H212" s="198">
        <v>13889.4861</v>
      </c>
      <c r="I212" s="198">
        <v>9024.4503299999997</v>
      </c>
      <c r="J212" s="198">
        <v>0</v>
      </c>
      <c r="K212" s="198">
        <v>0</v>
      </c>
      <c r="L212" s="198">
        <v>61.624000000000009</v>
      </c>
      <c r="M212" s="198">
        <v>0</v>
      </c>
      <c r="N212" s="198">
        <v>0</v>
      </c>
      <c r="O212" s="198">
        <v>41.652333795824291</v>
      </c>
      <c r="P212" s="198">
        <v>0</v>
      </c>
      <c r="Q212" s="198">
        <v>0</v>
      </c>
      <c r="R212" s="198">
        <v>12.908116579927901</v>
      </c>
      <c r="S212" s="198">
        <v>2483.17</v>
      </c>
      <c r="T212" s="198">
        <v>100.5</v>
      </c>
      <c r="U212" s="198">
        <v>371.18273139796202</v>
      </c>
      <c r="V212" s="198">
        <v>297.30425100159266</v>
      </c>
      <c r="W212" s="198">
        <v>0</v>
      </c>
      <c r="X212" s="198">
        <v>0</v>
      </c>
      <c r="Y212" s="198">
        <v>172.2</v>
      </c>
      <c r="Z212" s="271">
        <v>26454.477862775308</v>
      </c>
      <c r="AA212" s="272">
        <v>30.361419294850062</v>
      </c>
      <c r="AB212" s="198">
        <v>4.0578389568532991</v>
      </c>
      <c r="AC212" s="272">
        <v>0</v>
      </c>
      <c r="AD212" s="198">
        <v>0</v>
      </c>
      <c r="AE212" s="198">
        <v>4.0578389568532991</v>
      </c>
      <c r="AF212" s="198">
        <v>0</v>
      </c>
      <c r="AG212" s="198">
        <v>0</v>
      </c>
      <c r="AH212" s="198">
        <v>0</v>
      </c>
      <c r="AI212" s="198">
        <v>0</v>
      </c>
      <c r="AJ212" s="198">
        <v>0</v>
      </c>
      <c r="AK212" s="198">
        <v>0</v>
      </c>
      <c r="AL212" s="198">
        <v>0</v>
      </c>
      <c r="AM212" s="198">
        <v>0</v>
      </c>
      <c r="AN212" s="198">
        <v>0</v>
      </c>
      <c r="AO212" s="198">
        <v>0</v>
      </c>
      <c r="AP212" s="198">
        <v>0</v>
      </c>
      <c r="AQ212" s="198">
        <v>0</v>
      </c>
      <c r="AS212" s="258">
        <f t="shared" si="25"/>
        <v>35488.682052913071</v>
      </c>
      <c r="AT212" s="3">
        <f t="shared" si="26"/>
        <v>7.7471714005585239</v>
      </c>
      <c r="AU212" s="3">
        <f t="shared" si="27"/>
        <v>2.6005867486849521</v>
      </c>
      <c r="AV212" s="95">
        <f t="shared" si="28"/>
        <v>0</v>
      </c>
      <c r="AW212" s="95">
        <f t="shared" si="29"/>
        <v>0</v>
      </c>
      <c r="AX212" s="95">
        <f t="shared" si="32"/>
        <v>2.6005867486849521</v>
      </c>
      <c r="AY212" s="102">
        <f t="shared" si="30"/>
        <v>1</v>
      </c>
      <c r="AZ212" s="102">
        <f t="shared" si="31"/>
        <v>0</v>
      </c>
    </row>
    <row r="213" spans="1:52" x14ac:dyDescent="0.35">
      <c r="A213" t="s">
        <v>985</v>
      </c>
      <c r="B213">
        <v>2030</v>
      </c>
      <c r="C213" t="s">
        <v>837</v>
      </c>
      <c r="D213" t="s">
        <v>994</v>
      </c>
      <c r="E213" t="s">
        <v>986</v>
      </c>
      <c r="F213" t="s">
        <v>978</v>
      </c>
      <c r="G213" s="357"/>
      <c r="H213" s="198">
        <v>13889.4861</v>
      </c>
      <c r="I213" s="198">
        <v>6180.738523</v>
      </c>
      <c r="J213" s="198">
        <v>0</v>
      </c>
      <c r="K213" s="198">
        <v>0</v>
      </c>
      <c r="L213" s="198">
        <v>61.624000000000009</v>
      </c>
      <c r="M213" s="198">
        <v>0</v>
      </c>
      <c r="N213" s="198">
        <v>0</v>
      </c>
      <c r="O213" s="198">
        <v>41.652333795824291</v>
      </c>
      <c r="P213" s="198">
        <v>0</v>
      </c>
      <c r="Q213" s="198">
        <v>0</v>
      </c>
      <c r="R213" s="198">
        <v>12.908116579927901</v>
      </c>
      <c r="S213" s="198">
        <v>2483.17</v>
      </c>
      <c r="T213" s="198">
        <v>100.5</v>
      </c>
      <c r="U213" s="198">
        <v>371.18273139796202</v>
      </c>
      <c r="V213" s="198">
        <v>297.4769230653618</v>
      </c>
      <c r="W213" s="198">
        <v>0</v>
      </c>
      <c r="X213" s="198">
        <v>0</v>
      </c>
      <c r="Y213" s="198">
        <v>172.2</v>
      </c>
      <c r="Z213" s="271">
        <v>23610.938727839079</v>
      </c>
      <c r="AA213" s="272">
        <v>29.714292161982986</v>
      </c>
      <c r="AB213" s="198">
        <v>4.1462118406988884</v>
      </c>
      <c r="AC213" s="272">
        <v>0</v>
      </c>
      <c r="AD213" s="198">
        <v>0</v>
      </c>
      <c r="AE213" s="198">
        <v>4.1462118406988884</v>
      </c>
      <c r="AF213" s="198">
        <v>310.36690596725191</v>
      </c>
      <c r="AG213" s="198">
        <v>0.13644276308286243</v>
      </c>
      <c r="AH213" s="198">
        <v>7.2093999789125019E-4</v>
      </c>
      <c r="AI213" s="198">
        <v>314.6512379289116</v>
      </c>
      <c r="AJ213" s="198">
        <v>0.13239685888674083</v>
      </c>
      <c r="AK213" s="198">
        <v>3.0895804694779563</v>
      </c>
      <c r="AL213" s="198">
        <v>0.14465114180638569</v>
      </c>
      <c r="AM213" s="198">
        <v>2.6000450393734591E-2</v>
      </c>
      <c r="AN213" s="198">
        <v>1.0690702899292977E-2</v>
      </c>
      <c r="AO213" s="198">
        <v>2.1405888350262913E-3</v>
      </c>
      <c r="AP213" s="198">
        <v>1.7763598804258886E-3</v>
      </c>
      <c r="AQ213" s="198">
        <v>1.6872271060016481E-3</v>
      </c>
      <c r="AS213" s="258">
        <f t="shared" si="25"/>
        <v>31674.074303396123</v>
      </c>
      <c r="AT213" s="3">
        <f t="shared" si="26"/>
        <v>7.9158917183417454</v>
      </c>
      <c r="AU213" s="3">
        <f t="shared" si="27"/>
        <v>2.6572231389201448</v>
      </c>
      <c r="AV213" s="95">
        <f t="shared" si="28"/>
        <v>0</v>
      </c>
      <c r="AW213" s="95">
        <f t="shared" si="29"/>
        <v>0</v>
      </c>
      <c r="AX213" s="95">
        <f t="shared" si="32"/>
        <v>2.6572231389201448</v>
      </c>
      <c r="AY213" s="102">
        <f t="shared" si="30"/>
        <v>1</v>
      </c>
      <c r="AZ213" s="102">
        <f t="shared" si="31"/>
        <v>0</v>
      </c>
    </row>
    <row r="214" spans="1:52" x14ac:dyDescent="0.35">
      <c r="A214" t="s">
        <v>987</v>
      </c>
      <c r="B214">
        <v>2030</v>
      </c>
      <c r="C214" t="s">
        <v>837</v>
      </c>
      <c r="D214" t="s">
        <v>994</v>
      </c>
      <c r="E214" t="s">
        <v>986</v>
      </c>
      <c r="F214" t="s">
        <v>978</v>
      </c>
      <c r="G214" s="357">
        <v>19770.5772</v>
      </c>
      <c r="H214" s="198">
        <v>13889.4861</v>
      </c>
      <c r="I214" s="198">
        <v>4563.5968409999996</v>
      </c>
      <c r="J214" s="198">
        <v>0</v>
      </c>
      <c r="K214" s="198">
        <v>0</v>
      </c>
      <c r="L214" s="198">
        <v>61.624000000000009</v>
      </c>
      <c r="M214" s="198">
        <v>1779.3519479999998</v>
      </c>
      <c r="N214" s="198">
        <v>25</v>
      </c>
      <c r="O214" s="198">
        <v>0</v>
      </c>
      <c r="P214" s="198">
        <v>552.41279999999995</v>
      </c>
      <c r="Q214" s="198">
        <v>348.21119999999996</v>
      </c>
      <c r="R214" s="198">
        <v>0</v>
      </c>
      <c r="S214" s="198">
        <v>1077.381529</v>
      </c>
      <c r="T214" s="198">
        <v>0</v>
      </c>
      <c r="U214" s="198">
        <v>371.18273139796202</v>
      </c>
      <c r="V214" s="198">
        <v>724.10971603228131</v>
      </c>
      <c r="W214" s="198">
        <v>11.184210526315789</v>
      </c>
      <c r="X214" s="198">
        <v>0</v>
      </c>
      <c r="Y214" s="198">
        <v>172.2</v>
      </c>
      <c r="Z214" s="271">
        <v>23575.741075956561</v>
      </c>
      <c r="AA214" s="272">
        <v>203.40357023007812</v>
      </c>
      <c r="AB214" s="198">
        <v>0.60570102019665373</v>
      </c>
      <c r="AC214" s="272">
        <v>252.92101335111113</v>
      </c>
      <c r="AD214" s="198">
        <v>0.91051564806399998</v>
      </c>
      <c r="AE214" s="198">
        <v>1.5162166682606537</v>
      </c>
      <c r="AF214" s="198">
        <v>45.340073976527869</v>
      </c>
      <c r="AG214" s="198">
        <v>1.9932295785400501E-2</v>
      </c>
      <c r="AH214" s="198">
        <v>1.0531880883097799E-4</v>
      </c>
      <c r="AI214" s="198">
        <v>45.965952330008477</v>
      </c>
      <c r="AJ214" s="198">
        <v>1.9341248247705056E-2</v>
      </c>
      <c r="AK214" s="198">
        <v>0.45134260241440444</v>
      </c>
      <c r="AL214" s="198">
        <v>2.1131420084404117E-2</v>
      </c>
      <c r="AM214" s="198">
        <v>1.7259699033460269E-2</v>
      </c>
      <c r="AN214" s="198">
        <v>5.0018944504209061E-3</v>
      </c>
      <c r="AO214" s="198">
        <v>3.1270877876284357E-4</v>
      </c>
      <c r="AP214" s="198">
        <v>7.5135948288159327E-4</v>
      </c>
      <c r="AQ214" s="198">
        <v>8.6141667897688366E-4</v>
      </c>
      <c r="AS214" s="258">
        <f t="shared" si="25"/>
        <v>31626.856653395724</v>
      </c>
      <c r="AT214" s="3">
        <f t="shared" si="26"/>
        <v>1.1563962175067364</v>
      </c>
      <c r="AU214" s="3">
        <f t="shared" si="27"/>
        <v>0.38818150831936049</v>
      </c>
      <c r="AV214" s="95">
        <f t="shared" si="28"/>
        <v>15.715822222222224</v>
      </c>
      <c r="AW214" s="95">
        <f t="shared" si="29"/>
        <v>0.56576960000000009</v>
      </c>
      <c r="AX214" s="95">
        <f t="shared" si="32"/>
        <v>0.95395110831936059</v>
      </c>
      <c r="AY214" s="102">
        <f t="shared" si="30"/>
        <v>0.4069197099663166</v>
      </c>
      <c r="AZ214" s="102">
        <f t="shared" si="31"/>
        <v>0.59308029003368334</v>
      </c>
    </row>
    <row r="215" spans="1:52" x14ac:dyDescent="0.35">
      <c r="A215" t="s">
        <v>988</v>
      </c>
      <c r="B215">
        <v>2030</v>
      </c>
      <c r="C215" t="s">
        <v>837</v>
      </c>
      <c r="D215" t="s">
        <v>994</v>
      </c>
      <c r="E215" t="s">
        <v>989</v>
      </c>
      <c r="F215" t="s">
        <v>978</v>
      </c>
      <c r="G215" s="357">
        <v>1684.8</v>
      </c>
      <c r="H215" s="198">
        <v>13889.4861</v>
      </c>
      <c r="I215" s="198">
        <v>0</v>
      </c>
      <c r="J215" s="198">
        <v>5076.5025000000005</v>
      </c>
      <c r="K215" s="198">
        <v>2617.8019999999997</v>
      </c>
      <c r="L215" s="198">
        <v>61.624000000000009</v>
      </c>
      <c r="M215" s="198">
        <v>873.85016159999998</v>
      </c>
      <c r="N215" s="198">
        <v>0</v>
      </c>
      <c r="O215" s="198">
        <v>0</v>
      </c>
      <c r="P215" s="198">
        <v>590.22719999999993</v>
      </c>
      <c r="Q215" s="198">
        <v>0</v>
      </c>
      <c r="R215" s="198">
        <v>0</v>
      </c>
      <c r="S215" s="198">
        <v>0</v>
      </c>
      <c r="T215" s="198">
        <v>0</v>
      </c>
      <c r="U215" s="198">
        <v>371.18273139796202</v>
      </c>
      <c r="V215" s="198">
        <v>696.5793375837801</v>
      </c>
      <c r="W215" s="198">
        <v>8.5526315789473681</v>
      </c>
      <c r="X215" s="198">
        <v>228.17198664</v>
      </c>
      <c r="Y215" s="198">
        <v>172.2</v>
      </c>
      <c r="Z215" s="271">
        <v>24586.178648800691</v>
      </c>
      <c r="AA215" s="272">
        <v>61.230979922645034</v>
      </c>
      <c r="AB215" s="198">
        <v>2.0120819584407199</v>
      </c>
      <c r="AC215" s="272">
        <v>0</v>
      </c>
      <c r="AD215" s="198">
        <v>0</v>
      </c>
      <c r="AE215" s="198">
        <v>2.0120819584407199</v>
      </c>
      <c r="AF215" s="198">
        <v>0</v>
      </c>
      <c r="AG215" s="198">
        <v>0</v>
      </c>
      <c r="AH215" s="198">
        <v>0</v>
      </c>
      <c r="AI215" s="198">
        <v>0</v>
      </c>
      <c r="AJ215" s="198">
        <v>0</v>
      </c>
      <c r="AK215" s="198">
        <v>0</v>
      </c>
      <c r="AL215" s="198">
        <v>0</v>
      </c>
      <c r="AM215" s="198">
        <v>1.8810115741140696E-2</v>
      </c>
      <c r="AN215" s="198">
        <v>4.8070295782915197E-3</v>
      </c>
      <c r="AO215" s="198">
        <v>0</v>
      </c>
      <c r="AP215" s="198">
        <v>6.8729258294632732E-4</v>
      </c>
      <c r="AQ215" s="198">
        <v>8.5927416413172258E-4</v>
      </c>
      <c r="AS215" s="258">
        <f t="shared" si="25"/>
        <v>32982.358657366123</v>
      </c>
      <c r="AT215" s="3">
        <f t="shared" si="26"/>
        <v>3.8414397342420874</v>
      </c>
      <c r="AU215" s="3">
        <f t="shared" si="27"/>
        <v>1.2895025490234537</v>
      </c>
      <c r="AV215" s="95">
        <f t="shared" si="28"/>
        <v>0</v>
      </c>
      <c r="AW215" s="95">
        <f t="shared" si="29"/>
        <v>0</v>
      </c>
      <c r="AX215" s="95">
        <f t="shared" si="32"/>
        <v>1.2895025490234537</v>
      </c>
      <c r="AY215" s="102">
        <f t="shared" si="30"/>
        <v>1</v>
      </c>
      <c r="AZ215" s="102">
        <f t="shared" si="31"/>
        <v>0</v>
      </c>
    </row>
    <row r="216" spans="1:52" x14ac:dyDescent="0.35">
      <c r="A216" t="s">
        <v>990</v>
      </c>
      <c r="B216">
        <v>2030</v>
      </c>
      <c r="C216" t="s">
        <v>837</v>
      </c>
      <c r="D216" t="s">
        <v>994</v>
      </c>
      <c r="E216" t="s">
        <v>989</v>
      </c>
      <c r="F216" t="s">
        <v>978</v>
      </c>
      <c r="G216" s="357">
        <v>1684.8</v>
      </c>
      <c r="H216" s="198">
        <v>13889.4861</v>
      </c>
      <c r="I216" s="198">
        <v>0</v>
      </c>
      <c r="J216" s="198">
        <v>5216.8024999999998</v>
      </c>
      <c r="K216" s="198">
        <v>3149.6112000000003</v>
      </c>
      <c r="L216" s="198">
        <v>61.624000000000009</v>
      </c>
      <c r="M216" s="198">
        <v>873.85016159999998</v>
      </c>
      <c r="N216" s="198">
        <v>0</v>
      </c>
      <c r="O216" s="198">
        <v>0</v>
      </c>
      <c r="P216" s="198">
        <v>601.79999999999995</v>
      </c>
      <c r="Q216" s="198">
        <v>0</v>
      </c>
      <c r="R216" s="198">
        <v>0</v>
      </c>
      <c r="S216" s="198">
        <v>0</v>
      </c>
      <c r="T216" s="198">
        <v>0</v>
      </c>
      <c r="U216" s="198">
        <v>371.18273139796202</v>
      </c>
      <c r="V216" s="198">
        <v>696.5793375837801</v>
      </c>
      <c r="W216" s="198">
        <v>8.5526315789473681</v>
      </c>
      <c r="X216" s="198">
        <v>228.17198664</v>
      </c>
      <c r="Y216" s="198">
        <v>172.2</v>
      </c>
      <c r="Z216" s="271">
        <v>25269.860648800688</v>
      </c>
      <c r="AA216" s="272">
        <v>60.410972303060909</v>
      </c>
      <c r="AB216" s="198">
        <v>2.0393935952882787</v>
      </c>
      <c r="AC216" s="272">
        <v>0</v>
      </c>
      <c r="AD216" s="198">
        <v>0</v>
      </c>
      <c r="AE216" s="198">
        <v>2.0393935952882787</v>
      </c>
      <c r="AF216" s="198">
        <v>0</v>
      </c>
      <c r="AG216" s="198">
        <v>0</v>
      </c>
      <c r="AH216" s="198">
        <v>0</v>
      </c>
      <c r="AI216" s="198">
        <v>0</v>
      </c>
      <c r="AJ216" s="198">
        <v>0</v>
      </c>
      <c r="AK216" s="198">
        <v>0</v>
      </c>
      <c r="AL216" s="198">
        <v>0</v>
      </c>
      <c r="AM216" s="198">
        <v>1.9065440852539594E-2</v>
      </c>
      <c r="AN216" s="198">
        <v>4.8722793289823485E-3</v>
      </c>
      <c r="AO216" s="198">
        <v>0</v>
      </c>
      <c r="AP216" s="198">
        <v>6.9662176824849935E-4</v>
      </c>
      <c r="AQ216" s="198">
        <v>8.7093779633358481E-4</v>
      </c>
      <c r="AS216" s="258">
        <f t="shared" si="25"/>
        <v>33899.518060366121</v>
      </c>
      <c r="AT216" s="3">
        <f t="shared" si="26"/>
        <v>3.8935827429069576</v>
      </c>
      <c r="AU216" s="3">
        <f t="shared" si="27"/>
        <v>1.3070060235639358</v>
      </c>
      <c r="AV216" s="95">
        <f t="shared" si="28"/>
        <v>0</v>
      </c>
      <c r="AW216" s="95">
        <f t="shared" si="29"/>
        <v>0</v>
      </c>
      <c r="AX216" s="95">
        <f t="shared" si="32"/>
        <v>1.3070060235639358</v>
      </c>
      <c r="AY216" s="102">
        <f t="shared" si="30"/>
        <v>1</v>
      </c>
      <c r="AZ216" s="102">
        <f t="shared" si="31"/>
        <v>0</v>
      </c>
    </row>
    <row r="217" spans="1:52" x14ac:dyDescent="0.35">
      <c r="A217" t="s">
        <v>991</v>
      </c>
      <c r="B217">
        <v>2030</v>
      </c>
      <c r="C217" t="s">
        <v>837</v>
      </c>
      <c r="D217" t="s">
        <v>994</v>
      </c>
      <c r="E217" t="s">
        <v>986</v>
      </c>
      <c r="F217" t="s">
        <v>978</v>
      </c>
      <c r="G217" s="357">
        <v>1965.6</v>
      </c>
      <c r="H217" s="198">
        <v>13889.4861</v>
      </c>
      <c r="I217" s="198">
        <v>4563.5968408198796</v>
      </c>
      <c r="J217" s="198">
        <v>0</v>
      </c>
      <c r="K217" s="198">
        <v>0</v>
      </c>
      <c r="L217" s="198">
        <v>61.624000000000009</v>
      </c>
      <c r="M217" s="198">
        <v>1019.4918552</v>
      </c>
      <c r="N217" s="198">
        <v>0</v>
      </c>
      <c r="O217" s="198">
        <v>0</v>
      </c>
      <c r="P217" s="198">
        <v>425.09280000000001</v>
      </c>
      <c r="Q217" s="198">
        <v>309.2208</v>
      </c>
      <c r="R217" s="198">
        <v>0</v>
      </c>
      <c r="S217" s="198">
        <v>985.09780656231601</v>
      </c>
      <c r="T217" s="198">
        <v>0</v>
      </c>
      <c r="U217" s="198">
        <v>371.18273139796202</v>
      </c>
      <c r="V217" s="198">
        <v>727.91457341986222</v>
      </c>
      <c r="W217" s="198">
        <v>8.5526315789473681</v>
      </c>
      <c r="X217" s="198">
        <v>266.20065108</v>
      </c>
      <c r="Y217" s="198">
        <v>172.2</v>
      </c>
      <c r="Z217" s="271">
        <v>22799.660790058966</v>
      </c>
      <c r="AA217" s="272">
        <v>42.530844619433985</v>
      </c>
      <c r="AB217" s="198">
        <v>2.8967623639363227</v>
      </c>
      <c r="AC217" s="272">
        <v>0</v>
      </c>
      <c r="AD217" s="198">
        <v>0</v>
      </c>
      <c r="AE217" s="198">
        <v>2.8967623639363227</v>
      </c>
      <c r="AF217" s="198">
        <v>216.83869680564922</v>
      </c>
      <c r="AG217" s="198">
        <v>9.5326113598501974E-2</v>
      </c>
      <c r="AH217" s="198">
        <v>5.0368672243135664E-4</v>
      </c>
      <c r="AI217" s="198">
        <v>219.83195717390223</v>
      </c>
      <c r="AJ217" s="198">
        <v>9.2499431447731414E-2</v>
      </c>
      <c r="AK217" s="198">
        <v>2.1585439355717715</v>
      </c>
      <c r="AL217" s="198">
        <v>0.10106092008422893</v>
      </c>
      <c r="AM217" s="198">
        <v>1.8165286540995501E-2</v>
      </c>
      <c r="AN217" s="198">
        <v>7.4690891330522957E-3</v>
      </c>
      <c r="AO217" s="198">
        <v>1.4955283068511162E-3</v>
      </c>
      <c r="AP217" s="198">
        <v>1.2410587408762932E-3</v>
      </c>
      <c r="AQ217" s="198">
        <v>1.1787858816338084E-3</v>
      </c>
      <c r="AS217" s="258">
        <f t="shared" si="25"/>
        <v>30585.7449498641</v>
      </c>
      <c r="AT217" s="3">
        <f t="shared" si="26"/>
        <v>5.5304596310309169</v>
      </c>
      <c r="AU217" s="3">
        <f t="shared" si="27"/>
        <v>1.8564762914060717</v>
      </c>
      <c r="AV217" s="95">
        <f t="shared" si="28"/>
        <v>0</v>
      </c>
      <c r="AW217" s="95">
        <f t="shared" si="29"/>
        <v>0</v>
      </c>
      <c r="AX217" s="95">
        <f t="shared" si="32"/>
        <v>1.8564762914060717</v>
      </c>
      <c r="AY217" s="102">
        <f t="shared" si="30"/>
        <v>1</v>
      </c>
      <c r="AZ217" s="102">
        <f t="shared" si="31"/>
        <v>0</v>
      </c>
    </row>
    <row r="218" spans="1:52" x14ac:dyDescent="0.35">
      <c r="A218" t="s">
        <v>992</v>
      </c>
      <c r="B218">
        <v>2030</v>
      </c>
      <c r="C218" t="s">
        <v>837</v>
      </c>
      <c r="D218" t="s">
        <v>994</v>
      </c>
      <c r="E218" t="s">
        <v>986</v>
      </c>
      <c r="F218" t="s">
        <v>978</v>
      </c>
      <c r="G218" s="357">
        <v>8886.8016000000007</v>
      </c>
      <c r="H218" s="198">
        <v>13889.4861</v>
      </c>
      <c r="I218" s="198">
        <v>4563.5968408198796</v>
      </c>
      <c r="J218" s="198">
        <v>0</v>
      </c>
      <c r="K218" s="198">
        <v>0</v>
      </c>
      <c r="L218" s="198">
        <v>61.624000000000009</v>
      </c>
      <c r="M218" s="198">
        <v>1182.6308880000001</v>
      </c>
      <c r="N218" s="198">
        <v>25</v>
      </c>
      <c r="O218" s="198">
        <v>0</v>
      </c>
      <c r="P218" s="198">
        <v>431.96160000000003</v>
      </c>
      <c r="Q218" s="198">
        <v>317.19359999999995</v>
      </c>
      <c r="R218" s="198">
        <v>0</v>
      </c>
      <c r="S218" s="198">
        <v>993.75572794183495</v>
      </c>
      <c r="T218" s="198">
        <v>0</v>
      </c>
      <c r="U218" s="198">
        <v>371.18273139796202</v>
      </c>
      <c r="V218" s="198">
        <v>728.72252687868524</v>
      </c>
      <c r="W218" s="198">
        <v>8.5526315789473681</v>
      </c>
      <c r="X218" s="198">
        <v>257.60384160000001</v>
      </c>
      <c r="Y218" s="198">
        <v>172.2</v>
      </c>
      <c r="Z218" s="271">
        <v>23003.510488217311</v>
      </c>
      <c r="AA218" s="272">
        <v>85.799950501298852</v>
      </c>
      <c r="AB218" s="198">
        <v>1.435918660560707</v>
      </c>
      <c r="AC218" s="272">
        <v>178.69892310944448</v>
      </c>
      <c r="AD218" s="198">
        <v>0.64331612319400011</v>
      </c>
      <c r="AE218" s="198">
        <v>2.0792347837547069</v>
      </c>
      <c r="AF218" s="198">
        <v>107.48645969419312</v>
      </c>
      <c r="AG218" s="198">
        <v>4.7252942477758492E-2</v>
      </c>
      <c r="AH218" s="198">
        <v>2.4967638796336732E-4</v>
      </c>
      <c r="AI218" s="198">
        <v>108.97021220085395</v>
      </c>
      <c r="AJ218" s="198">
        <v>4.5851762422985262E-2</v>
      </c>
      <c r="AK218" s="198">
        <v>1.0699854276330238</v>
      </c>
      <c r="AL218" s="198">
        <v>5.0095673296854742E-2</v>
      </c>
      <c r="AM218" s="198">
        <v>9.0044921334876474E-3</v>
      </c>
      <c r="AN218" s="198">
        <v>3.702410869826098E-3</v>
      </c>
      <c r="AO218" s="198">
        <v>7.4133005521590748E-4</v>
      </c>
      <c r="AP218" s="198">
        <v>6.151900573765595E-4</v>
      </c>
      <c r="AQ218" s="198">
        <v>5.8432153956302171E-4</v>
      </c>
      <c r="AS218" s="258">
        <f t="shared" si="25"/>
        <v>30859.209319943522</v>
      </c>
      <c r="AT218" s="3">
        <f t="shared" si="26"/>
        <v>2.7414365377503036</v>
      </c>
      <c r="AU218" s="3">
        <f t="shared" si="27"/>
        <v>0.9202511683064365</v>
      </c>
      <c r="AV218" s="95">
        <f t="shared" si="28"/>
        <v>11.103863888888892</v>
      </c>
      <c r="AW218" s="95">
        <f t="shared" si="29"/>
        <v>0.39973910000000012</v>
      </c>
      <c r="AX218" s="95">
        <f t="shared" si="32"/>
        <v>1.3199902683064366</v>
      </c>
      <c r="AY218" s="102">
        <f t="shared" si="30"/>
        <v>0.6971651158361416</v>
      </c>
      <c r="AZ218" s="102">
        <f t="shared" si="31"/>
        <v>0.3028348841638584</v>
      </c>
    </row>
    <row r="219" spans="1:52" x14ac:dyDescent="0.35">
      <c r="A219" t="s">
        <v>975</v>
      </c>
      <c r="B219">
        <v>2030</v>
      </c>
      <c r="C219" t="s">
        <v>837</v>
      </c>
      <c r="D219" t="s">
        <v>995</v>
      </c>
      <c r="E219" t="s">
        <v>977</v>
      </c>
      <c r="F219" t="s">
        <v>978</v>
      </c>
      <c r="G219" s="357">
        <v>62740.548000000003</v>
      </c>
      <c r="H219" s="198">
        <v>14856.370999999999</v>
      </c>
      <c r="I219" s="198">
        <v>0</v>
      </c>
      <c r="J219" s="198">
        <v>0</v>
      </c>
      <c r="K219" s="198">
        <v>0</v>
      </c>
      <c r="L219" s="198">
        <v>61.624000000000009</v>
      </c>
      <c r="M219" s="198">
        <v>5646.6493200000004</v>
      </c>
      <c r="N219" s="198">
        <v>25</v>
      </c>
      <c r="O219" s="198">
        <v>0</v>
      </c>
      <c r="P219" s="198">
        <v>910.61759999999992</v>
      </c>
      <c r="Q219" s="198">
        <v>0</v>
      </c>
      <c r="R219" s="198">
        <v>0</v>
      </c>
      <c r="S219" s="198">
        <v>0</v>
      </c>
      <c r="T219" s="198">
        <v>0</v>
      </c>
      <c r="U219" s="198">
        <v>450.68866534665653</v>
      </c>
      <c r="V219" s="198">
        <v>696.5793375837801</v>
      </c>
      <c r="W219" s="198">
        <v>11.184210526315789</v>
      </c>
      <c r="X219" s="198">
        <v>0</v>
      </c>
      <c r="Y219" s="198">
        <v>172.2</v>
      </c>
      <c r="Z219" s="271">
        <v>22830.914133456754</v>
      </c>
      <c r="AA219" s="272">
        <v>0</v>
      </c>
      <c r="AB219" s="198">
        <v>0</v>
      </c>
      <c r="AC219" s="272">
        <v>311.45125425457564</v>
      </c>
      <c r="AD219" s="198">
        <v>1.1212245153164724</v>
      </c>
      <c r="AE219" s="198">
        <v>1.1212245153164724</v>
      </c>
      <c r="AF219" s="198">
        <v>0</v>
      </c>
      <c r="AG219" s="198">
        <v>0</v>
      </c>
      <c r="AH219" s="198">
        <v>0</v>
      </c>
      <c r="AI219" s="198">
        <v>0</v>
      </c>
      <c r="AJ219" s="198">
        <v>0</v>
      </c>
      <c r="AK219" s="198">
        <v>0</v>
      </c>
      <c r="AL219" s="198">
        <v>0</v>
      </c>
      <c r="AM219" s="198">
        <v>1.6576613572109142E-2</v>
      </c>
      <c r="AN219" s="198">
        <v>4.2362456906501027E-3</v>
      </c>
      <c r="AO219" s="198">
        <v>0</v>
      </c>
      <c r="AP219" s="198">
        <v>6.0568386262290245E-4</v>
      </c>
      <c r="AQ219" s="198">
        <v>7.5724445119468222E-4</v>
      </c>
      <c r="AS219" s="258">
        <f t="shared" si="25"/>
        <v>30627.671310032234</v>
      </c>
      <c r="AT219" s="3">
        <f t="shared" si="26"/>
        <v>0</v>
      </c>
      <c r="AU219" s="3">
        <f t="shared" si="27"/>
        <v>0</v>
      </c>
      <c r="AV219" s="95">
        <f t="shared" si="28"/>
        <v>19.352731818918045</v>
      </c>
      <c r="AW219" s="95">
        <f t="shared" si="29"/>
        <v>0.69669834548104959</v>
      </c>
      <c r="AX219" s="95">
        <f t="shared" si="32"/>
        <v>0.69669834548104959</v>
      </c>
      <c r="AY219" s="102">
        <f t="shared" si="30"/>
        <v>0</v>
      </c>
      <c r="AZ219" s="102">
        <f t="shared" si="31"/>
        <v>1</v>
      </c>
    </row>
    <row r="220" spans="1:52" x14ac:dyDescent="0.35">
      <c r="A220" t="s">
        <v>979</v>
      </c>
      <c r="B220">
        <v>2030</v>
      </c>
      <c r="C220" t="s">
        <v>837</v>
      </c>
      <c r="D220" t="s">
        <v>995</v>
      </c>
      <c r="E220" t="s">
        <v>977</v>
      </c>
      <c r="F220" t="s">
        <v>978</v>
      </c>
      <c r="G220" s="357">
        <v>96781.184599999993</v>
      </c>
      <c r="H220" s="198">
        <v>14856.370999999999</v>
      </c>
      <c r="I220" s="198">
        <v>0</v>
      </c>
      <c r="J220" s="198">
        <v>0</v>
      </c>
      <c r="K220" s="198">
        <v>0</v>
      </c>
      <c r="L220" s="198">
        <v>61.624000000000009</v>
      </c>
      <c r="M220" s="198">
        <v>8710.3066139999992</v>
      </c>
      <c r="N220" s="198">
        <v>25</v>
      </c>
      <c r="O220" s="198">
        <v>0</v>
      </c>
      <c r="P220" s="198">
        <v>964.83359999999993</v>
      </c>
      <c r="Q220" s="198">
        <v>0</v>
      </c>
      <c r="R220" s="198">
        <v>0</v>
      </c>
      <c r="S220" s="198">
        <v>0</v>
      </c>
      <c r="T220" s="198">
        <v>0</v>
      </c>
      <c r="U220" s="198">
        <v>450.68866534665653</v>
      </c>
      <c r="V220" s="198">
        <v>696.5793375837801</v>
      </c>
      <c r="W220" s="198">
        <v>11.184210526315789</v>
      </c>
      <c r="X220" s="198">
        <v>0</v>
      </c>
      <c r="Y220" s="198">
        <v>172.2</v>
      </c>
      <c r="Z220" s="271">
        <v>25948.787427456748</v>
      </c>
      <c r="AA220" s="272">
        <v>0</v>
      </c>
      <c r="AB220" s="198">
        <v>0</v>
      </c>
      <c r="AC220" s="272">
        <v>321.34523819727895</v>
      </c>
      <c r="AD220" s="198">
        <v>1.1568428575102041</v>
      </c>
      <c r="AE220" s="198">
        <v>1.1568428575102041</v>
      </c>
      <c r="AF220" s="198">
        <v>0</v>
      </c>
      <c r="AG220" s="198">
        <v>0</v>
      </c>
      <c r="AH220" s="198">
        <v>0</v>
      </c>
      <c r="AI220" s="198">
        <v>0</v>
      </c>
      <c r="AJ220" s="198">
        <v>0</v>
      </c>
      <c r="AK220" s="198">
        <v>0</v>
      </c>
      <c r="AL220" s="198">
        <v>0</v>
      </c>
      <c r="AM220" s="198">
        <v>1.7103208813792729E-2</v>
      </c>
      <c r="AN220" s="198">
        <v>4.370820030191464E-3</v>
      </c>
      <c r="AO220" s="198">
        <v>0</v>
      </c>
      <c r="AP220" s="198">
        <v>6.2492483959532849E-4</v>
      </c>
      <c r="AQ220" s="198">
        <v>7.8130010786157543E-4</v>
      </c>
      <c r="AS220" s="258">
        <f t="shared" si="25"/>
        <v>34810.298333933228</v>
      </c>
      <c r="AT220" s="3">
        <f t="shared" si="26"/>
        <v>0</v>
      </c>
      <c r="AU220" s="3">
        <f t="shared" si="27"/>
        <v>0</v>
      </c>
      <c r="AV220" s="95">
        <f t="shared" si="28"/>
        <v>19.967517006802723</v>
      </c>
      <c r="AW220" s="95">
        <f t="shared" si="29"/>
        <v>0.71883061224489808</v>
      </c>
      <c r="AX220" s="95">
        <f t="shared" si="32"/>
        <v>0.71883061224489808</v>
      </c>
      <c r="AY220" s="102">
        <f t="shared" si="30"/>
        <v>0</v>
      </c>
      <c r="AZ220" s="102">
        <f t="shared" si="31"/>
        <v>1</v>
      </c>
    </row>
    <row r="221" spans="1:52" x14ac:dyDescent="0.35">
      <c r="A221" t="s">
        <v>980</v>
      </c>
      <c r="B221">
        <v>2030</v>
      </c>
      <c r="C221" t="s">
        <v>837</v>
      </c>
      <c r="D221" t="s">
        <v>995</v>
      </c>
      <c r="E221" t="s">
        <v>977</v>
      </c>
      <c r="F221" t="s">
        <v>978</v>
      </c>
      <c r="G221" s="357">
        <v>143617.96799999999</v>
      </c>
      <c r="H221" s="198">
        <v>14856.370999999999</v>
      </c>
      <c r="I221" s="198">
        <v>0</v>
      </c>
      <c r="J221" s="198">
        <v>0</v>
      </c>
      <c r="K221" s="198">
        <v>0</v>
      </c>
      <c r="L221" s="198">
        <v>61.624000000000009</v>
      </c>
      <c r="M221" s="198">
        <v>12925.617119999999</v>
      </c>
      <c r="N221" s="198">
        <v>25</v>
      </c>
      <c r="O221" s="198">
        <v>0</v>
      </c>
      <c r="P221" s="198">
        <v>1034.8656000000001</v>
      </c>
      <c r="Q221" s="198">
        <v>0</v>
      </c>
      <c r="R221" s="198">
        <v>0</v>
      </c>
      <c r="S221" s="198">
        <v>0</v>
      </c>
      <c r="T221" s="198">
        <v>0</v>
      </c>
      <c r="U221" s="198">
        <v>450.68866534665653</v>
      </c>
      <c r="V221" s="198">
        <v>696.5793375837801</v>
      </c>
      <c r="W221" s="198">
        <v>11.184210526315789</v>
      </c>
      <c r="X221" s="198">
        <v>0</v>
      </c>
      <c r="Y221" s="198">
        <v>172.2</v>
      </c>
      <c r="Z221" s="271">
        <v>30234.129933456752</v>
      </c>
      <c r="AA221" s="272">
        <v>0</v>
      </c>
      <c r="AB221" s="198">
        <v>0</v>
      </c>
      <c r="AC221" s="272">
        <v>351.63391824331876</v>
      </c>
      <c r="AD221" s="198">
        <v>1.2658821056759475</v>
      </c>
      <c r="AE221" s="198">
        <v>1.2658821056759475</v>
      </c>
      <c r="AF221" s="198">
        <v>0</v>
      </c>
      <c r="AG221" s="198">
        <v>0</v>
      </c>
      <c r="AH221" s="198">
        <v>0</v>
      </c>
      <c r="AI221" s="198">
        <v>0</v>
      </c>
      <c r="AJ221" s="198">
        <v>0</v>
      </c>
      <c r="AK221" s="198">
        <v>0</v>
      </c>
      <c r="AL221" s="198">
        <v>0</v>
      </c>
      <c r="AM221" s="198">
        <v>1.8715286909076492E-2</v>
      </c>
      <c r="AN221" s="198">
        <v>4.7827955434306462E-3</v>
      </c>
      <c r="AO221" s="198">
        <v>0</v>
      </c>
      <c r="AP221" s="198">
        <v>6.8382768385563577E-4</v>
      </c>
      <c r="AQ221" s="198">
        <v>8.5494224153597463E-4</v>
      </c>
      <c r="AS221" s="258">
        <f t="shared" si="25"/>
        <v>40559.085305732231</v>
      </c>
      <c r="AT221" s="3">
        <f t="shared" si="26"/>
        <v>0</v>
      </c>
      <c r="AU221" s="3">
        <f t="shared" si="27"/>
        <v>0</v>
      </c>
      <c r="AV221" s="95">
        <f t="shared" si="28"/>
        <v>21.849573007774538</v>
      </c>
      <c r="AW221" s="95">
        <f t="shared" si="29"/>
        <v>0.7865846282798834</v>
      </c>
      <c r="AX221" s="95">
        <f t="shared" si="32"/>
        <v>0.7865846282798834</v>
      </c>
      <c r="AY221" s="102">
        <f t="shared" si="30"/>
        <v>0</v>
      </c>
      <c r="AZ221" s="102">
        <f t="shared" si="31"/>
        <v>1</v>
      </c>
    </row>
    <row r="222" spans="1:52" x14ac:dyDescent="0.35">
      <c r="A222" t="s">
        <v>981</v>
      </c>
      <c r="B222">
        <v>2030</v>
      </c>
      <c r="C222" t="s">
        <v>837</v>
      </c>
      <c r="D222" t="s">
        <v>995</v>
      </c>
      <c r="E222" t="s">
        <v>977</v>
      </c>
      <c r="F222" t="s">
        <v>978</v>
      </c>
      <c r="G222" s="357">
        <v>196182.5184</v>
      </c>
      <c r="H222" s="198">
        <v>14856.370999999999</v>
      </c>
      <c r="I222" s="198">
        <v>0</v>
      </c>
      <c r="J222" s="198">
        <v>0</v>
      </c>
      <c r="K222" s="198">
        <v>0</v>
      </c>
      <c r="L222" s="198">
        <v>61.624000000000009</v>
      </c>
      <c r="M222" s="198">
        <v>17656.426656</v>
      </c>
      <c r="N222" s="198">
        <v>25</v>
      </c>
      <c r="O222" s="198">
        <v>0</v>
      </c>
      <c r="P222" s="198">
        <v>1121.7408</v>
      </c>
      <c r="Q222" s="198">
        <v>0</v>
      </c>
      <c r="R222" s="198">
        <v>0</v>
      </c>
      <c r="S222" s="198">
        <v>0</v>
      </c>
      <c r="T222" s="198">
        <v>0</v>
      </c>
      <c r="U222" s="198">
        <v>450.68866534665653</v>
      </c>
      <c r="V222" s="198">
        <v>696.5793375837801</v>
      </c>
      <c r="W222" s="198">
        <v>11.184210526315789</v>
      </c>
      <c r="X222" s="198">
        <v>0</v>
      </c>
      <c r="Y222" s="198">
        <v>172.2</v>
      </c>
      <c r="Z222" s="271">
        <v>35051.814669456748</v>
      </c>
      <c r="AA222" s="272">
        <v>0</v>
      </c>
      <c r="AB222" s="198">
        <v>0</v>
      </c>
      <c r="AC222" s="272">
        <v>381.30308775684324</v>
      </c>
      <c r="AD222" s="198">
        <v>1.3726911159246356</v>
      </c>
      <c r="AE222" s="198">
        <v>1.3726911159246356</v>
      </c>
      <c r="AF222" s="198">
        <v>0</v>
      </c>
      <c r="AG222" s="198">
        <v>0</v>
      </c>
      <c r="AH222" s="198">
        <v>0</v>
      </c>
      <c r="AI222" s="198">
        <v>0</v>
      </c>
      <c r="AJ222" s="198">
        <v>0</v>
      </c>
      <c r="AK222" s="198">
        <v>0</v>
      </c>
      <c r="AL222" s="198">
        <v>0</v>
      </c>
      <c r="AM222" s="198">
        <v>2.029439231100592E-2</v>
      </c>
      <c r="AN222" s="198">
        <v>5.1863447017014997E-3</v>
      </c>
      <c r="AO222" s="198">
        <v>0</v>
      </c>
      <c r="AP222" s="198">
        <v>7.415257568166027E-4</v>
      </c>
      <c r="AQ222" s="198">
        <v>9.2707813336098156E-4</v>
      </c>
      <c r="AS222" s="258">
        <f t="shared" si="25"/>
        <v>47022.009379076226</v>
      </c>
      <c r="AT222" s="3">
        <f t="shared" si="26"/>
        <v>0</v>
      </c>
      <c r="AU222" s="3">
        <f t="shared" si="27"/>
        <v>0</v>
      </c>
      <c r="AV222" s="95">
        <f t="shared" si="28"/>
        <v>23.693134313249111</v>
      </c>
      <c r="AW222" s="95">
        <f t="shared" si="29"/>
        <v>0.85295283527696797</v>
      </c>
      <c r="AX222" s="95">
        <f t="shared" si="32"/>
        <v>0.85295283527696797</v>
      </c>
      <c r="AY222" s="102">
        <f t="shared" si="30"/>
        <v>0</v>
      </c>
      <c r="AZ222" s="102">
        <f t="shared" si="31"/>
        <v>1</v>
      </c>
    </row>
    <row r="223" spans="1:52" x14ac:dyDescent="0.35">
      <c r="A223" t="s">
        <v>982</v>
      </c>
      <c r="B223">
        <v>2030</v>
      </c>
      <c r="C223" t="s">
        <v>837</v>
      </c>
      <c r="D223" t="s">
        <v>995</v>
      </c>
      <c r="E223" t="s">
        <v>983</v>
      </c>
      <c r="F223" t="s">
        <v>978</v>
      </c>
      <c r="G223" s="357"/>
      <c r="H223" s="198">
        <v>14856.370999999999</v>
      </c>
      <c r="I223" s="198">
        <v>8613.0623823220503</v>
      </c>
      <c r="J223" s="198">
        <v>0</v>
      </c>
      <c r="K223" s="198">
        <v>0</v>
      </c>
      <c r="L223" s="198">
        <v>61.624000000000009</v>
      </c>
      <c r="M223" s="198">
        <v>0</v>
      </c>
      <c r="N223" s="198">
        <v>0</v>
      </c>
      <c r="O223" s="198">
        <v>41.652333795824291</v>
      </c>
      <c r="P223" s="198">
        <v>0</v>
      </c>
      <c r="Q223" s="198">
        <v>0</v>
      </c>
      <c r="R223" s="198">
        <v>12.908116579927901</v>
      </c>
      <c r="S223" s="198">
        <v>2483.17</v>
      </c>
      <c r="T223" s="198">
        <v>100.5</v>
      </c>
      <c r="U223" s="198">
        <v>450.68866534665653</v>
      </c>
      <c r="V223" s="198">
        <v>347.26520722152446</v>
      </c>
      <c r="W223" s="198">
        <v>0</v>
      </c>
      <c r="X223" s="198">
        <v>0</v>
      </c>
      <c r="Y223" s="198">
        <v>172.2</v>
      </c>
      <c r="Z223" s="271">
        <v>27139.441705265985</v>
      </c>
      <c r="AA223" s="272">
        <v>28.407258731806731</v>
      </c>
      <c r="AB223" s="198">
        <v>4.3369813033756337</v>
      </c>
      <c r="AC223" s="272">
        <v>0</v>
      </c>
      <c r="AD223" s="198">
        <v>0</v>
      </c>
      <c r="AE223" s="198">
        <v>4.3369813033756337</v>
      </c>
      <c r="AF223" s="198">
        <v>324.64705617637304</v>
      </c>
      <c r="AG223" s="198">
        <v>0.14272056884858536</v>
      </c>
      <c r="AH223" s="198">
        <v>7.5411083944591252E-4</v>
      </c>
      <c r="AI223" s="198">
        <v>329.12851258262378</v>
      </c>
      <c r="AJ223" s="198">
        <v>0.13848851039908977</v>
      </c>
      <c r="AK223" s="198">
        <v>3.2317337478689434</v>
      </c>
      <c r="AL223" s="198">
        <v>0.1513066195432228</v>
      </c>
      <c r="AM223" s="198">
        <v>2.7196745262771008E-2</v>
      </c>
      <c r="AN223" s="198">
        <v>1.1182587956326404E-2</v>
      </c>
      <c r="AO223" s="198">
        <v>2.2390784919852982E-3</v>
      </c>
      <c r="AP223" s="198">
        <v>1.8580911650127015E-3</v>
      </c>
      <c r="AQ223" s="198">
        <v>1.764857343141514E-3</v>
      </c>
      <c r="AS223" s="258">
        <f t="shared" si="25"/>
        <v>36407.561047614319</v>
      </c>
      <c r="AT223" s="3">
        <f t="shared" si="26"/>
        <v>8.2801062032101331</v>
      </c>
      <c r="AU223" s="3">
        <f t="shared" si="27"/>
        <v>2.7794834212936008</v>
      </c>
      <c r="AV223" s="95">
        <f t="shared" si="28"/>
        <v>0</v>
      </c>
      <c r="AW223" s="95">
        <f t="shared" si="29"/>
        <v>0</v>
      </c>
      <c r="AX223" s="95">
        <f t="shared" si="32"/>
        <v>2.7794834212936008</v>
      </c>
      <c r="AY223" s="102">
        <f t="shared" si="30"/>
        <v>1</v>
      </c>
      <c r="AZ223" s="102">
        <f t="shared" si="31"/>
        <v>0</v>
      </c>
    </row>
    <row r="224" spans="1:52" x14ac:dyDescent="0.35">
      <c r="A224" t="s">
        <v>984</v>
      </c>
      <c r="B224">
        <v>2030</v>
      </c>
      <c r="C224" t="s">
        <v>837</v>
      </c>
      <c r="D224" t="s">
        <v>995</v>
      </c>
      <c r="E224" t="s">
        <v>240</v>
      </c>
      <c r="F224" t="s">
        <v>978</v>
      </c>
      <c r="G224" s="357"/>
      <c r="H224" s="198">
        <v>14856.370999999999</v>
      </c>
      <c r="I224" s="198">
        <v>9691.4726609999998</v>
      </c>
      <c r="J224" s="198">
        <v>0</v>
      </c>
      <c r="K224" s="198">
        <v>0</v>
      </c>
      <c r="L224" s="198">
        <v>61.624000000000009</v>
      </c>
      <c r="M224" s="198">
        <v>0</v>
      </c>
      <c r="N224" s="198">
        <v>0</v>
      </c>
      <c r="O224" s="198">
        <v>41.652333795824291</v>
      </c>
      <c r="P224" s="198">
        <v>0</v>
      </c>
      <c r="Q224" s="198">
        <v>0</v>
      </c>
      <c r="R224" s="198">
        <v>12.908116579927901</v>
      </c>
      <c r="S224" s="198">
        <v>2483.17</v>
      </c>
      <c r="T224" s="198">
        <v>100.5</v>
      </c>
      <c r="U224" s="198">
        <v>450.68866534665653</v>
      </c>
      <c r="V224" s="198">
        <v>324.69041981441853</v>
      </c>
      <c r="W224" s="198">
        <v>0</v>
      </c>
      <c r="X224" s="198">
        <v>0</v>
      </c>
      <c r="Y224" s="198">
        <v>172.2</v>
      </c>
      <c r="Z224" s="271">
        <v>28195.277196536827</v>
      </c>
      <c r="AA224" s="272">
        <v>24.548328072136371</v>
      </c>
      <c r="AB224" s="198">
        <v>5.0187430132906039</v>
      </c>
      <c r="AC224" s="272">
        <v>0</v>
      </c>
      <c r="AD224" s="198">
        <v>0</v>
      </c>
      <c r="AE224" s="198">
        <v>5.0187430132906039</v>
      </c>
      <c r="AF224" s="198">
        <v>0</v>
      </c>
      <c r="AG224" s="198">
        <v>0</v>
      </c>
      <c r="AH224" s="198">
        <v>0</v>
      </c>
      <c r="AI224" s="198">
        <v>0</v>
      </c>
      <c r="AJ224" s="198">
        <v>0</v>
      </c>
      <c r="AK224" s="198">
        <v>0</v>
      </c>
      <c r="AL224" s="198">
        <v>0</v>
      </c>
      <c r="AM224" s="198">
        <v>0</v>
      </c>
      <c r="AN224" s="198">
        <v>0</v>
      </c>
      <c r="AO224" s="198">
        <v>0</v>
      </c>
      <c r="AP224" s="198">
        <v>0</v>
      </c>
      <c r="AQ224" s="198">
        <v>0</v>
      </c>
      <c r="AS224" s="258">
        <f t="shared" si="25"/>
        <v>37823.964359154153</v>
      </c>
      <c r="AT224" s="3">
        <f t="shared" si="26"/>
        <v>9.5817164635505065</v>
      </c>
      <c r="AU224" s="3">
        <f t="shared" si="27"/>
        <v>3.2164106841587947</v>
      </c>
      <c r="AV224" s="95">
        <f t="shared" si="28"/>
        <v>0</v>
      </c>
      <c r="AW224" s="95">
        <f t="shared" si="29"/>
        <v>0</v>
      </c>
      <c r="AX224" s="95">
        <f t="shared" si="32"/>
        <v>3.2164106841587947</v>
      </c>
      <c r="AY224" s="102">
        <f t="shared" si="30"/>
        <v>1</v>
      </c>
      <c r="AZ224" s="102">
        <f t="shared" si="31"/>
        <v>0</v>
      </c>
    </row>
    <row r="225" spans="1:52" x14ac:dyDescent="0.35">
      <c r="A225" t="s">
        <v>985</v>
      </c>
      <c r="B225">
        <v>2030</v>
      </c>
      <c r="C225" t="s">
        <v>837</v>
      </c>
      <c r="D225" t="s">
        <v>995</v>
      </c>
      <c r="E225" t="s">
        <v>986</v>
      </c>
      <c r="F225" t="s">
        <v>978</v>
      </c>
      <c r="G225" s="357"/>
      <c r="H225" s="198">
        <v>14856.370999999999</v>
      </c>
      <c r="I225" s="198">
        <v>6180.738523</v>
      </c>
      <c r="J225" s="198">
        <v>0</v>
      </c>
      <c r="K225" s="198">
        <v>0</v>
      </c>
      <c r="L225" s="198">
        <v>61.624000000000009</v>
      </c>
      <c r="M225" s="198">
        <v>0</v>
      </c>
      <c r="N225" s="198">
        <v>0</v>
      </c>
      <c r="O225" s="198">
        <v>41.652333795824291</v>
      </c>
      <c r="P225" s="198">
        <v>0</v>
      </c>
      <c r="Q225" s="198">
        <v>0</v>
      </c>
      <c r="R225" s="198">
        <v>12.908116579927901</v>
      </c>
      <c r="S225" s="198">
        <v>2483.17</v>
      </c>
      <c r="T225" s="198">
        <v>100.5</v>
      </c>
      <c r="U225" s="198">
        <v>450.68866534665653</v>
      </c>
      <c r="V225" s="198">
        <v>328.37459650688169</v>
      </c>
      <c r="W225" s="198">
        <v>0</v>
      </c>
      <c r="X225" s="198">
        <v>0</v>
      </c>
      <c r="Y225" s="198">
        <v>172.2</v>
      </c>
      <c r="Z225" s="271">
        <v>24688.227235229289</v>
      </c>
      <c r="AA225" s="272">
        <v>23.340901118056617</v>
      </c>
      <c r="AB225" s="198">
        <v>5.2783630493464804</v>
      </c>
      <c r="AC225" s="272">
        <v>0</v>
      </c>
      <c r="AD225" s="198">
        <v>0</v>
      </c>
      <c r="AE225" s="198">
        <v>5.2783630493464804</v>
      </c>
      <c r="AF225" s="198">
        <v>395.11469050298092</v>
      </c>
      <c r="AG225" s="198">
        <v>0.17369938311833114</v>
      </c>
      <c r="AH225" s="198">
        <v>9.1779754432992655E-4</v>
      </c>
      <c r="AI225" s="198">
        <v>400.56888830724625</v>
      </c>
      <c r="AJ225" s="198">
        <v>0.16854871739489227</v>
      </c>
      <c r="AK225" s="198">
        <v>3.9332113299175084</v>
      </c>
      <c r="AL225" s="198">
        <v>0.18414911521450494</v>
      </c>
      <c r="AM225" s="198">
        <v>3.3100049369769194E-2</v>
      </c>
      <c r="AN225" s="198">
        <v>1.3609871690892079E-2</v>
      </c>
      <c r="AO225" s="198">
        <v>2.7250911059917937E-3</v>
      </c>
      <c r="AP225" s="198">
        <v>2.2614069698862929E-3</v>
      </c>
      <c r="AQ225" s="198">
        <v>2.1479358880692719E-3</v>
      </c>
      <c r="AS225" s="258">
        <f t="shared" si="25"/>
        <v>33119.256836060093</v>
      </c>
      <c r="AT225" s="3">
        <f t="shared" si="26"/>
        <v>10.077379534394444</v>
      </c>
      <c r="AU225" s="3">
        <f t="shared" si="27"/>
        <v>3.3827959036411341</v>
      </c>
      <c r="AV225" s="95">
        <f t="shared" si="28"/>
        <v>0</v>
      </c>
      <c r="AW225" s="95">
        <f t="shared" si="29"/>
        <v>0</v>
      </c>
      <c r="AX225" s="95">
        <f t="shared" si="32"/>
        <v>3.3827959036411341</v>
      </c>
      <c r="AY225" s="102">
        <f t="shared" si="30"/>
        <v>1</v>
      </c>
      <c r="AZ225" s="102">
        <f t="shared" si="31"/>
        <v>0</v>
      </c>
    </row>
    <row r="226" spans="1:52" x14ac:dyDescent="0.35">
      <c r="A226" t="s">
        <v>987</v>
      </c>
      <c r="B226">
        <v>2030</v>
      </c>
      <c r="C226" t="s">
        <v>837</v>
      </c>
      <c r="D226" t="s">
        <v>995</v>
      </c>
      <c r="E226" t="s">
        <v>986</v>
      </c>
      <c r="F226" t="s">
        <v>978</v>
      </c>
      <c r="G226" s="357">
        <v>24428.2392</v>
      </c>
      <c r="H226" s="198">
        <v>14856.370999999999</v>
      </c>
      <c r="I226" s="198">
        <v>5447.5580579999996</v>
      </c>
      <c r="J226" s="198">
        <v>0</v>
      </c>
      <c r="K226" s="198">
        <v>0</v>
      </c>
      <c r="L226" s="198">
        <v>61.624000000000009</v>
      </c>
      <c r="M226" s="198">
        <v>2246.9986872000004</v>
      </c>
      <c r="N226" s="198">
        <v>25</v>
      </c>
      <c r="O226" s="198">
        <v>0</v>
      </c>
      <c r="P226" s="198">
        <v>851.69760000000008</v>
      </c>
      <c r="Q226" s="198">
        <v>528.94560000000001</v>
      </c>
      <c r="R226" s="198">
        <v>0</v>
      </c>
      <c r="S226" s="198">
        <v>1230.503518</v>
      </c>
      <c r="T226" s="198">
        <v>0</v>
      </c>
      <c r="U226" s="198">
        <v>450.68866534665653</v>
      </c>
      <c r="V226" s="198">
        <v>738.39899343249931</v>
      </c>
      <c r="W226" s="198">
        <v>11.184210526315789</v>
      </c>
      <c r="X226" s="198">
        <v>0</v>
      </c>
      <c r="Y226" s="198">
        <v>172.2</v>
      </c>
      <c r="Z226" s="271">
        <v>26621.170332505473</v>
      </c>
      <c r="AA226" s="272">
        <v>157.96085759498868</v>
      </c>
      <c r="AB226" s="198">
        <v>0.7799511339441384</v>
      </c>
      <c r="AC226" s="272">
        <v>312.80191402853177</v>
      </c>
      <c r="AD226" s="198">
        <v>1.1260868905027144</v>
      </c>
      <c r="AE226" s="198">
        <v>1.9060380244468527</v>
      </c>
      <c r="AF226" s="198">
        <v>58.383659482070328</v>
      </c>
      <c r="AG226" s="198">
        <v>2.5666485908981431E-2</v>
      </c>
      <c r="AH226" s="198">
        <v>1.3561727920929963E-4</v>
      </c>
      <c r="AI226" s="198">
        <v>59.18959263263659</v>
      </c>
      <c r="AJ226" s="198">
        <v>2.490540382084035E-2</v>
      </c>
      <c r="AK226" s="198">
        <v>0.58118636557046033</v>
      </c>
      <c r="AL226" s="198">
        <v>2.7210578333399321E-2</v>
      </c>
      <c r="AM226" s="198">
        <v>2.1539490821290128E-2</v>
      </c>
      <c r="AN226" s="198">
        <v>6.2656636198076786E-3</v>
      </c>
      <c r="AO226" s="198">
        <v>4.0266989563791721E-4</v>
      </c>
      <c r="AP226" s="198">
        <v>9.4246466300595695E-4</v>
      </c>
      <c r="AQ226" s="198">
        <v>1.0779155975806634E-3</v>
      </c>
      <c r="AS226" s="258">
        <f t="shared" si="25"/>
        <v>35712.300001056094</v>
      </c>
      <c r="AT226" s="3">
        <f t="shared" si="26"/>
        <v>1.4890721842275587</v>
      </c>
      <c r="AU226" s="3">
        <f t="shared" si="27"/>
        <v>0.49985487475575485</v>
      </c>
      <c r="AV226" s="95">
        <f t="shared" si="28"/>
        <v>19.436658134920638</v>
      </c>
      <c r="AW226" s="95">
        <f t="shared" si="29"/>
        <v>0.69971969285714297</v>
      </c>
      <c r="AX226" s="95">
        <f t="shared" si="32"/>
        <v>1.1995745676128977</v>
      </c>
      <c r="AY226" s="102">
        <f t="shared" si="30"/>
        <v>0.41669345804024904</v>
      </c>
      <c r="AZ226" s="102">
        <f t="shared" si="31"/>
        <v>0.58330654195975107</v>
      </c>
    </row>
    <row r="227" spans="1:52" x14ac:dyDescent="0.35">
      <c r="A227" t="s">
        <v>988</v>
      </c>
      <c r="B227">
        <v>2030</v>
      </c>
      <c r="C227" t="s">
        <v>837</v>
      </c>
      <c r="D227" t="s">
        <v>995</v>
      </c>
      <c r="E227" t="s">
        <v>989</v>
      </c>
      <c r="F227" t="s">
        <v>978</v>
      </c>
      <c r="G227" s="357">
        <v>1965.6</v>
      </c>
      <c r="H227" s="198">
        <v>14856.370999999999</v>
      </c>
      <c r="I227" s="198">
        <v>0</v>
      </c>
      <c r="J227" s="198">
        <v>9122.8924999999999</v>
      </c>
      <c r="K227" s="198">
        <v>3116.3181999999997</v>
      </c>
      <c r="L227" s="198">
        <v>61.624000000000009</v>
      </c>
      <c r="M227" s="198">
        <v>1019.4918552</v>
      </c>
      <c r="N227" s="198">
        <v>0</v>
      </c>
      <c r="O227" s="198">
        <v>0</v>
      </c>
      <c r="P227" s="198">
        <v>953.3184</v>
      </c>
      <c r="Q227" s="198">
        <v>0</v>
      </c>
      <c r="R227" s="198">
        <v>0</v>
      </c>
      <c r="S227" s="198">
        <v>0</v>
      </c>
      <c r="T227" s="198">
        <v>0</v>
      </c>
      <c r="U227" s="198">
        <v>450.68866534665653</v>
      </c>
      <c r="V227" s="198">
        <v>696.5793375837801</v>
      </c>
      <c r="W227" s="198">
        <v>8.5526315789473681</v>
      </c>
      <c r="X227" s="198">
        <v>266.20065108</v>
      </c>
      <c r="Y227" s="198">
        <v>172.2</v>
      </c>
      <c r="Z227" s="271">
        <v>30724.237240789385</v>
      </c>
      <c r="AA227" s="272">
        <v>46.121457852597253</v>
      </c>
      <c r="AB227" s="198">
        <v>2.6712457874542688</v>
      </c>
      <c r="AC227" s="272">
        <v>0</v>
      </c>
      <c r="AD227" s="198">
        <v>0</v>
      </c>
      <c r="AE227" s="198">
        <v>2.6712457874542688</v>
      </c>
      <c r="AF227" s="198">
        <v>0</v>
      </c>
      <c r="AG227" s="198">
        <v>0</v>
      </c>
      <c r="AH227" s="198">
        <v>0</v>
      </c>
      <c r="AI227" s="198">
        <v>0</v>
      </c>
      <c r="AJ227" s="198">
        <v>0</v>
      </c>
      <c r="AK227" s="198">
        <v>0</v>
      </c>
      <c r="AL227" s="198">
        <v>0</v>
      </c>
      <c r="AM227" s="198">
        <v>2.4972363687405769E-2</v>
      </c>
      <c r="AN227" s="198">
        <v>6.3818262756703738E-3</v>
      </c>
      <c r="AO227" s="198">
        <v>0</v>
      </c>
      <c r="AP227" s="198">
        <v>9.1245160727285092E-4</v>
      </c>
      <c r="AQ227" s="198">
        <v>1.1407748484479924E-3</v>
      </c>
      <c r="AS227" s="258">
        <f t="shared" si="25"/>
        <v>41216.564258518956</v>
      </c>
      <c r="AT227" s="3">
        <f t="shared" si="26"/>
        <v>5.0999064251864796</v>
      </c>
      <c r="AU227" s="3">
        <f t="shared" si="27"/>
        <v>1.7119472880020494</v>
      </c>
      <c r="AV227" s="95">
        <f t="shared" si="28"/>
        <v>0</v>
      </c>
      <c r="AW227" s="95">
        <f t="shared" si="29"/>
        <v>0</v>
      </c>
      <c r="AX227" s="95">
        <f t="shared" si="32"/>
        <v>1.7119472880020494</v>
      </c>
      <c r="AY227" s="102">
        <f t="shared" si="30"/>
        <v>1</v>
      </c>
      <c r="AZ227" s="102">
        <f t="shared" si="31"/>
        <v>0</v>
      </c>
    </row>
    <row r="228" spans="1:52" x14ac:dyDescent="0.35">
      <c r="A228" t="s">
        <v>990</v>
      </c>
      <c r="B228">
        <v>2030</v>
      </c>
      <c r="C228" t="s">
        <v>837</v>
      </c>
      <c r="D228" t="s">
        <v>995</v>
      </c>
      <c r="E228" t="s">
        <v>989</v>
      </c>
      <c r="F228" t="s">
        <v>978</v>
      </c>
      <c r="G228" s="357">
        <v>2106</v>
      </c>
      <c r="H228" s="198">
        <v>14856.370999999999</v>
      </c>
      <c r="I228" s="198">
        <v>0</v>
      </c>
      <c r="J228" s="198">
        <v>9381.2974999999988</v>
      </c>
      <c r="K228" s="198">
        <v>3829.5320000000002</v>
      </c>
      <c r="L228" s="198">
        <v>61.624000000000009</v>
      </c>
      <c r="M228" s="198">
        <v>1092.3127020000002</v>
      </c>
      <c r="N228" s="198">
        <v>0</v>
      </c>
      <c r="O228" s="198">
        <v>0</v>
      </c>
      <c r="P228" s="198">
        <v>974.59199999999987</v>
      </c>
      <c r="Q228" s="198">
        <v>0</v>
      </c>
      <c r="R228" s="198">
        <v>0</v>
      </c>
      <c r="S228" s="198">
        <v>0</v>
      </c>
      <c r="T228" s="198">
        <v>0</v>
      </c>
      <c r="U228" s="198">
        <v>450.68866534665653</v>
      </c>
      <c r="V228" s="198">
        <v>696.5793375837801</v>
      </c>
      <c r="W228" s="198">
        <v>8.5526315789473681</v>
      </c>
      <c r="X228" s="198">
        <v>285.21498330000003</v>
      </c>
      <c r="Y228" s="198">
        <v>172.2</v>
      </c>
      <c r="Z228" s="271">
        <v>31808.964819809382</v>
      </c>
      <c r="AA228" s="272">
        <v>45.494071334637233</v>
      </c>
      <c r="AB228" s="198">
        <v>2.7080836334425729</v>
      </c>
      <c r="AC228" s="272">
        <v>0</v>
      </c>
      <c r="AD228" s="198">
        <v>0</v>
      </c>
      <c r="AE228" s="198">
        <v>2.7080836334425729</v>
      </c>
      <c r="AF228" s="198">
        <v>0</v>
      </c>
      <c r="AG228" s="198">
        <v>0</v>
      </c>
      <c r="AH228" s="198">
        <v>0</v>
      </c>
      <c r="AI228" s="198">
        <v>0</v>
      </c>
      <c r="AJ228" s="198">
        <v>0</v>
      </c>
      <c r="AK228" s="198">
        <v>0</v>
      </c>
      <c r="AL228" s="198">
        <v>0</v>
      </c>
      <c r="AM228" s="198">
        <v>2.5316745358235571E-2</v>
      </c>
      <c r="AN228" s="198">
        <v>6.4698349248824344E-3</v>
      </c>
      <c r="AO228" s="198">
        <v>0</v>
      </c>
      <c r="AP228" s="198">
        <v>9.2503478173712635E-4</v>
      </c>
      <c r="AQ228" s="198">
        <v>1.1565067172156758E-3</v>
      </c>
      <c r="AS228" s="258">
        <f t="shared" si="25"/>
        <v>42671.726305774282</v>
      </c>
      <c r="AT228" s="3">
        <f t="shared" si="26"/>
        <v>5.170236743844586</v>
      </c>
      <c r="AU228" s="3">
        <f t="shared" si="27"/>
        <v>1.7355559169165815</v>
      </c>
      <c r="AV228" s="95">
        <f t="shared" si="28"/>
        <v>0</v>
      </c>
      <c r="AW228" s="95">
        <f t="shared" si="29"/>
        <v>0</v>
      </c>
      <c r="AX228" s="95">
        <f t="shared" si="32"/>
        <v>1.7355559169165815</v>
      </c>
      <c r="AY228" s="102">
        <f t="shared" si="30"/>
        <v>1</v>
      </c>
      <c r="AZ228" s="102">
        <f t="shared" si="31"/>
        <v>0</v>
      </c>
    </row>
    <row r="229" spans="1:52" x14ac:dyDescent="0.35">
      <c r="A229" t="s">
        <v>991</v>
      </c>
      <c r="B229">
        <v>2030</v>
      </c>
      <c r="C229" t="s">
        <v>837</v>
      </c>
      <c r="D229" t="s">
        <v>995</v>
      </c>
      <c r="E229" t="s">
        <v>986</v>
      </c>
      <c r="F229" t="s">
        <v>978</v>
      </c>
      <c r="G229" s="357">
        <v>2948.4</v>
      </c>
      <c r="H229" s="198">
        <v>14856.370999999999</v>
      </c>
      <c r="I229" s="198">
        <v>5447.5580584483096</v>
      </c>
      <c r="J229" s="198">
        <v>0</v>
      </c>
      <c r="K229" s="198">
        <v>0</v>
      </c>
      <c r="L229" s="198">
        <v>61.624000000000009</v>
      </c>
      <c r="M229" s="198">
        <v>1529.2377828000003</v>
      </c>
      <c r="N229" s="198">
        <v>0</v>
      </c>
      <c r="O229" s="198">
        <v>0</v>
      </c>
      <c r="P229" s="198">
        <v>663.04799999999989</v>
      </c>
      <c r="Q229" s="198">
        <v>474.30239999999998</v>
      </c>
      <c r="R229" s="198">
        <v>0</v>
      </c>
      <c r="S229" s="198">
        <v>1164.3602923916101</v>
      </c>
      <c r="T229" s="198">
        <v>0</v>
      </c>
      <c r="U229" s="198">
        <v>450.68866534665653</v>
      </c>
      <c r="V229" s="198">
        <v>744.64327065724069</v>
      </c>
      <c r="W229" s="198">
        <v>8.5526315789473681</v>
      </c>
      <c r="X229" s="198">
        <v>399.30097662000009</v>
      </c>
      <c r="Y229" s="198">
        <v>172.2</v>
      </c>
      <c r="Z229" s="271">
        <v>25971.887077842766</v>
      </c>
      <c r="AA229" s="272">
        <v>34.687394344543392</v>
      </c>
      <c r="AB229" s="198">
        <v>3.5517729805894356</v>
      </c>
      <c r="AC229" s="272">
        <v>0</v>
      </c>
      <c r="AD229" s="198">
        <v>0</v>
      </c>
      <c r="AE229" s="198">
        <v>3.5517729805894356</v>
      </c>
      <c r="AF229" s="198">
        <v>265.86986701041644</v>
      </c>
      <c r="AG229" s="198">
        <v>0.11688108035333518</v>
      </c>
      <c r="AH229" s="198">
        <v>6.1757944444650666E-4</v>
      </c>
      <c r="AI229" s="198">
        <v>269.53995794786687</v>
      </c>
      <c r="AJ229" s="198">
        <v>0.11341523399575594</v>
      </c>
      <c r="AK229" s="198">
        <v>2.6466299490859901</v>
      </c>
      <c r="AL229" s="198">
        <v>0.12391263081066561</v>
      </c>
      <c r="AM229" s="198">
        <v>2.227278796639013E-2</v>
      </c>
      <c r="AN229" s="198">
        <v>9.1579859303130857E-3</v>
      </c>
      <c r="AO229" s="198">
        <v>1.8336944369721955E-3</v>
      </c>
      <c r="AP229" s="198">
        <v>1.5216846773647397E-3</v>
      </c>
      <c r="AQ229" s="198">
        <v>1.4453307928918163E-3</v>
      </c>
      <c r="AS229" s="258">
        <f t="shared" si="25"/>
        <v>34841.286514926069</v>
      </c>
      <c r="AT229" s="3">
        <f t="shared" si="26"/>
        <v>6.7809970649591147</v>
      </c>
      <c r="AU229" s="3">
        <f t="shared" si="27"/>
        <v>2.2762593207545248</v>
      </c>
      <c r="AV229" s="95">
        <f t="shared" si="28"/>
        <v>0</v>
      </c>
      <c r="AW229" s="95">
        <f t="shared" si="29"/>
        <v>0</v>
      </c>
      <c r="AX229" s="95">
        <f t="shared" si="32"/>
        <v>2.2762593207545248</v>
      </c>
      <c r="AY229" s="102">
        <f t="shared" si="30"/>
        <v>1</v>
      </c>
      <c r="AZ229" s="102">
        <f t="shared" si="31"/>
        <v>0</v>
      </c>
    </row>
    <row r="230" spans="1:52" x14ac:dyDescent="0.35">
      <c r="A230" t="s">
        <v>992</v>
      </c>
      <c r="B230">
        <v>2030</v>
      </c>
      <c r="C230" t="s">
        <v>837</v>
      </c>
      <c r="D230" t="s">
        <v>995</v>
      </c>
      <c r="E230" t="s">
        <v>986</v>
      </c>
      <c r="F230" t="s">
        <v>978</v>
      </c>
      <c r="G230" s="357">
        <v>10881.453600000001</v>
      </c>
      <c r="H230" s="198">
        <v>14856.370999999999</v>
      </c>
      <c r="I230" s="198">
        <v>5447.5580584483096</v>
      </c>
      <c r="J230" s="198">
        <v>0</v>
      </c>
      <c r="K230" s="198">
        <v>0</v>
      </c>
      <c r="L230" s="198">
        <v>61.624000000000009</v>
      </c>
      <c r="M230" s="198">
        <v>1182.6308880000001</v>
      </c>
      <c r="N230" s="198">
        <v>25</v>
      </c>
      <c r="O230" s="198">
        <v>0</v>
      </c>
      <c r="P230" s="198">
        <v>704.26080000000002</v>
      </c>
      <c r="Q230" s="198">
        <v>487.01279999999997</v>
      </c>
      <c r="R230" s="198">
        <v>0</v>
      </c>
      <c r="S230" s="198">
        <v>1178.1625400017999</v>
      </c>
      <c r="T230" s="198">
        <v>0</v>
      </c>
      <c r="U230" s="198">
        <v>450.68866534665653</v>
      </c>
      <c r="V230" s="198">
        <v>745.93129040324607</v>
      </c>
      <c r="W230" s="198">
        <v>8.5526315789473681</v>
      </c>
      <c r="X230" s="198">
        <v>355.78200060000006</v>
      </c>
      <c r="Y230" s="198">
        <v>172.2</v>
      </c>
      <c r="Z230" s="271">
        <v>25675.774674378958</v>
      </c>
      <c r="AA230" s="272">
        <v>68.277049559192406</v>
      </c>
      <c r="AB230" s="198">
        <v>1.8044386919969488</v>
      </c>
      <c r="AC230" s="272">
        <v>221.75482229325399</v>
      </c>
      <c r="AD230" s="198">
        <v>0.79831736025571431</v>
      </c>
      <c r="AE230" s="198">
        <v>2.6027560522526629</v>
      </c>
      <c r="AF230" s="198">
        <v>135.07222384186903</v>
      </c>
      <c r="AG230" s="198">
        <v>5.9380130685312449E-2</v>
      </c>
      <c r="AH230" s="198">
        <v>3.1375435621347589E-4</v>
      </c>
      <c r="AI230" s="198">
        <v>136.93677265365255</v>
      </c>
      <c r="AJ230" s="198">
        <v>5.7619346056815506E-2</v>
      </c>
      <c r="AK230" s="198">
        <v>1.3445908591646882</v>
      </c>
      <c r="AL230" s="198">
        <v>6.2952431555687957E-2</v>
      </c>
      <c r="AM230" s="198">
        <v>1.1315441782128953E-2</v>
      </c>
      <c r="AN230" s="198">
        <v>4.6526127215141405E-3</v>
      </c>
      <c r="AO230" s="198">
        <v>9.3158802926167838E-4</v>
      </c>
      <c r="AP230" s="198">
        <v>7.7307494703677605E-4</v>
      </c>
      <c r="AQ230" s="198">
        <v>7.3428420669944074E-4</v>
      </c>
      <c r="AS230" s="258">
        <f t="shared" si="25"/>
        <v>34444.051725679368</v>
      </c>
      <c r="AT230" s="3">
        <f t="shared" si="26"/>
        <v>3.4450100108310875</v>
      </c>
      <c r="AU230" s="3">
        <f t="shared" si="27"/>
        <v>1.1564281877910223</v>
      </c>
      <c r="AV230" s="95">
        <f t="shared" si="28"/>
        <v>13.779240079365081</v>
      </c>
      <c r="AW230" s="95">
        <f t="shared" si="29"/>
        <v>0.4960526428571429</v>
      </c>
      <c r="AX230" s="95">
        <f t="shared" si="32"/>
        <v>1.6524808306481651</v>
      </c>
      <c r="AY230" s="102">
        <f t="shared" si="30"/>
        <v>0.6998133753463438</v>
      </c>
      <c r="AZ230" s="102">
        <f t="shared" si="31"/>
        <v>0.30018662465365631</v>
      </c>
    </row>
    <row r="231" spans="1:52" x14ac:dyDescent="0.35">
      <c r="A231" t="s">
        <v>975</v>
      </c>
      <c r="B231">
        <v>2030</v>
      </c>
      <c r="C231" t="s">
        <v>837</v>
      </c>
      <c r="D231" t="s">
        <v>996</v>
      </c>
      <c r="E231" t="s">
        <v>977</v>
      </c>
      <c r="F231" t="s">
        <v>978</v>
      </c>
      <c r="G231" s="357">
        <v>47568.358099999998</v>
      </c>
      <c r="H231" s="198">
        <v>12729.782499999999</v>
      </c>
      <c r="I231" s="198">
        <v>0</v>
      </c>
      <c r="J231" s="198">
        <v>0</v>
      </c>
      <c r="K231" s="198">
        <v>0</v>
      </c>
      <c r="L231" s="198">
        <v>61.624000000000009</v>
      </c>
      <c r="M231" s="198">
        <v>4281.1522289999994</v>
      </c>
      <c r="N231" s="198">
        <v>25</v>
      </c>
      <c r="O231" s="198">
        <v>0</v>
      </c>
      <c r="P231" s="198">
        <v>601.9248</v>
      </c>
      <c r="Q231" s="198">
        <v>0</v>
      </c>
      <c r="R231" s="198">
        <v>0</v>
      </c>
      <c r="S231" s="198">
        <v>0</v>
      </c>
      <c r="T231" s="198">
        <v>0</v>
      </c>
      <c r="U231" s="198">
        <v>330.47826039862218</v>
      </c>
      <c r="V231" s="198">
        <v>696.5793375837801</v>
      </c>
      <c r="W231" s="198">
        <v>11.184210526315789</v>
      </c>
      <c r="X231" s="198">
        <v>0</v>
      </c>
      <c r="Y231" s="198">
        <v>172.2</v>
      </c>
      <c r="Z231" s="271">
        <v>18909.925337508714</v>
      </c>
      <c r="AA231" s="272">
        <v>0</v>
      </c>
      <c r="AB231" s="198">
        <v>0</v>
      </c>
      <c r="AC231" s="272">
        <v>234.24680076012308</v>
      </c>
      <c r="AD231" s="198">
        <v>0.84328848273644308</v>
      </c>
      <c r="AE231" s="198">
        <v>0.84328848273644308</v>
      </c>
      <c r="AF231" s="198">
        <v>0</v>
      </c>
      <c r="AG231" s="198">
        <v>0</v>
      </c>
      <c r="AH231" s="198">
        <v>0</v>
      </c>
      <c r="AI231" s="198">
        <v>0</v>
      </c>
      <c r="AJ231" s="198">
        <v>0</v>
      </c>
      <c r="AK231" s="198">
        <v>0</v>
      </c>
      <c r="AL231" s="198">
        <v>0</v>
      </c>
      <c r="AM231" s="198">
        <v>1.246750059169606E-2</v>
      </c>
      <c r="AN231" s="198">
        <v>3.1861390401000961E-3</v>
      </c>
      <c r="AO231" s="198">
        <v>0</v>
      </c>
      <c r="AP231" s="198">
        <v>4.5554321953533884E-4</v>
      </c>
      <c r="AQ231" s="198">
        <v>5.6953403674759315E-4</v>
      </c>
      <c r="AS231" s="258">
        <f t="shared" si="25"/>
        <v>25367.664840267938</v>
      </c>
      <c r="AT231" s="3">
        <f t="shared" si="26"/>
        <v>0</v>
      </c>
      <c r="AU231" s="3">
        <f t="shared" si="27"/>
        <v>0</v>
      </c>
      <c r="AV231" s="95">
        <f t="shared" si="28"/>
        <v>14.555457563977971</v>
      </c>
      <c r="AW231" s="95">
        <f t="shared" si="29"/>
        <v>0.52399647230320701</v>
      </c>
      <c r="AX231" s="95">
        <f t="shared" si="32"/>
        <v>0.52399647230320701</v>
      </c>
      <c r="AY231" s="102">
        <f t="shared" si="30"/>
        <v>0</v>
      </c>
      <c r="AZ231" s="102">
        <f t="shared" si="31"/>
        <v>1</v>
      </c>
    </row>
    <row r="232" spans="1:52" x14ac:dyDescent="0.35">
      <c r="A232" t="s">
        <v>979</v>
      </c>
      <c r="B232">
        <v>2030</v>
      </c>
      <c r="C232" t="s">
        <v>837</v>
      </c>
      <c r="D232" t="s">
        <v>996</v>
      </c>
      <c r="E232" t="s">
        <v>977</v>
      </c>
      <c r="F232" t="s">
        <v>978</v>
      </c>
      <c r="G232" s="357">
        <v>73640.793600000005</v>
      </c>
      <c r="H232" s="198">
        <v>12729.782499999999</v>
      </c>
      <c r="I232" s="198">
        <v>0</v>
      </c>
      <c r="J232" s="198">
        <v>0</v>
      </c>
      <c r="K232" s="198">
        <v>0</v>
      </c>
      <c r="L232" s="198">
        <v>61.624000000000009</v>
      </c>
      <c r="M232" s="198">
        <v>6627.671424000001</v>
      </c>
      <c r="N232" s="198">
        <v>25</v>
      </c>
      <c r="O232" s="198">
        <v>0</v>
      </c>
      <c r="P232" s="198">
        <v>634.91039999999998</v>
      </c>
      <c r="Q232" s="198">
        <v>0</v>
      </c>
      <c r="R232" s="198">
        <v>0</v>
      </c>
      <c r="S232" s="198">
        <v>0</v>
      </c>
      <c r="T232" s="198">
        <v>0</v>
      </c>
      <c r="U232" s="198">
        <v>330.47826039862218</v>
      </c>
      <c r="V232" s="198">
        <v>696.5793375837801</v>
      </c>
      <c r="W232" s="198">
        <v>11.184210526315789</v>
      </c>
      <c r="X232" s="198">
        <v>0</v>
      </c>
      <c r="Y232" s="198">
        <v>172.2</v>
      </c>
      <c r="Z232" s="271">
        <v>21289.430132508718</v>
      </c>
      <c r="AA232" s="272">
        <v>0</v>
      </c>
      <c r="AB232" s="198">
        <v>0</v>
      </c>
      <c r="AC232" s="272">
        <v>242.123430484289</v>
      </c>
      <c r="AD232" s="198">
        <v>0.87164434974344041</v>
      </c>
      <c r="AE232" s="198">
        <v>0.87164434974344041</v>
      </c>
      <c r="AF232" s="198">
        <v>0</v>
      </c>
      <c r="AG232" s="198">
        <v>0</v>
      </c>
      <c r="AH232" s="198">
        <v>0</v>
      </c>
      <c r="AI232" s="198">
        <v>0</v>
      </c>
      <c r="AJ232" s="198">
        <v>0</v>
      </c>
      <c r="AK232" s="198">
        <v>0</v>
      </c>
      <c r="AL232" s="198">
        <v>0</v>
      </c>
      <c r="AM232" s="198">
        <v>1.2886724612805196E-2</v>
      </c>
      <c r="AN232" s="198">
        <v>3.2932740677168748E-3</v>
      </c>
      <c r="AO232" s="198">
        <v>0</v>
      </c>
      <c r="AP232" s="198">
        <v>4.7086101790863951E-4</v>
      </c>
      <c r="AQ232" s="198">
        <v>5.8868481579009597E-4</v>
      </c>
      <c r="AS232" s="258">
        <f t="shared" si="25"/>
        <v>28559.770522760442</v>
      </c>
      <c r="AT232" s="3">
        <f t="shared" si="26"/>
        <v>0</v>
      </c>
      <c r="AU232" s="3">
        <f t="shared" si="27"/>
        <v>0</v>
      </c>
      <c r="AV232" s="95">
        <f t="shared" si="28"/>
        <v>15.044889860706189</v>
      </c>
      <c r="AW232" s="95">
        <f t="shared" si="29"/>
        <v>0.54161603498542277</v>
      </c>
      <c r="AX232" s="95">
        <f t="shared" si="32"/>
        <v>0.54161603498542277</v>
      </c>
      <c r="AY232" s="102">
        <f t="shared" si="30"/>
        <v>0</v>
      </c>
      <c r="AZ232" s="102">
        <f t="shared" si="31"/>
        <v>1</v>
      </c>
    </row>
    <row r="233" spans="1:52" x14ac:dyDescent="0.35">
      <c r="A233" t="s">
        <v>980</v>
      </c>
      <c r="B233">
        <v>2030</v>
      </c>
      <c r="C233" t="s">
        <v>837</v>
      </c>
      <c r="D233" t="s">
        <v>996</v>
      </c>
      <c r="E233" t="s">
        <v>977</v>
      </c>
      <c r="F233" t="s">
        <v>978</v>
      </c>
      <c r="G233" s="357">
        <v>108694.44</v>
      </c>
      <c r="H233" s="198">
        <v>12729.782499999999</v>
      </c>
      <c r="I233" s="198">
        <v>0</v>
      </c>
      <c r="J233" s="198">
        <v>0</v>
      </c>
      <c r="K233" s="198">
        <v>0</v>
      </c>
      <c r="L233" s="198">
        <v>61.624000000000009</v>
      </c>
      <c r="M233" s="198">
        <v>9782.4995999999992</v>
      </c>
      <c r="N233" s="198">
        <v>25</v>
      </c>
      <c r="O233" s="198">
        <v>0</v>
      </c>
      <c r="P233" s="198">
        <v>681.15839999999992</v>
      </c>
      <c r="Q233" s="198">
        <v>0</v>
      </c>
      <c r="R233" s="198">
        <v>0</v>
      </c>
      <c r="S233" s="198">
        <v>0</v>
      </c>
      <c r="T233" s="198">
        <v>0</v>
      </c>
      <c r="U233" s="198">
        <v>330.47826039862218</v>
      </c>
      <c r="V233" s="198">
        <v>696.5793375837801</v>
      </c>
      <c r="W233" s="198">
        <v>11.184210526315789</v>
      </c>
      <c r="X233" s="198">
        <v>0</v>
      </c>
      <c r="Y233" s="198">
        <v>172.2</v>
      </c>
      <c r="Z233" s="271">
        <v>24490.506308508717</v>
      </c>
      <c r="AA233" s="272">
        <v>0</v>
      </c>
      <c r="AB233" s="198">
        <v>0</v>
      </c>
      <c r="AC233" s="272">
        <v>265.30988444873663</v>
      </c>
      <c r="AD233" s="198">
        <v>0.95511558401545182</v>
      </c>
      <c r="AE233" s="198">
        <v>0.95511558401545182</v>
      </c>
      <c r="AF233" s="198">
        <v>0</v>
      </c>
      <c r="AG233" s="198">
        <v>0</v>
      </c>
      <c r="AH233" s="198">
        <v>0</v>
      </c>
      <c r="AI233" s="198">
        <v>0</v>
      </c>
      <c r="AJ233" s="198">
        <v>0</v>
      </c>
      <c r="AK233" s="198">
        <v>0</v>
      </c>
      <c r="AL233" s="198">
        <v>0</v>
      </c>
      <c r="AM233" s="198">
        <v>1.4120795377413457E-2</v>
      </c>
      <c r="AN233" s="198">
        <v>3.6086477075612075E-3</v>
      </c>
      <c r="AO233" s="198">
        <v>0</v>
      </c>
      <c r="AP233" s="198">
        <v>5.1595205801803544E-4</v>
      </c>
      <c r="AQ233" s="198">
        <v>6.450590103634381E-4</v>
      </c>
      <c r="AS233" s="258">
        <f t="shared" si="25"/>
        <v>32854.014212864444</v>
      </c>
      <c r="AT233" s="3">
        <f t="shared" si="26"/>
        <v>0</v>
      </c>
      <c r="AU233" s="3">
        <f t="shared" si="27"/>
        <v>0</v>
      </c>
      <c r="AV233" s="95">
        <f t="shared" si="28"/>
        <v>16.485632896015549</v>
      </c>
      <c r="AW233" s="95">
        <f t="shared" si="29"/>
        <v>0.59348278425655976</v>
      </c>
      <c r="AX233" s="95">
        <f t="shared" si="32"/>
        <v>0.59348278425655976</v>
      </c>
      <c r="AY233" s="102">
        <f t="shared" si="30"/>
        <v>0</v>
      </c>
      <c r="AZ233" s="102">
        <f t="shared" si="31"/>
        <v>1</v>
      </c>
    </row>
    <row r="234" spans="1:52" x14ac:dyDescent="0.35">
      <c r="A234" t="s">
        <v>981</v>
      </c>
      <c r="B234">
        <v>2030</v>
      </c>
      <c r="C234" t="s">
        <v>837</v>
      </c>
      <c r="D234" t="s">
        <v>996</v>
      </c>
      <c r="E234" t="s">
        <v>977</v>
      </c>
      <c r="F234" t="s">
        <v>978</v>
      </c>
      <c r="G234" s="357">
        <v>148606.87899999999</v>
      </c>
      <c r="H234" s="198">
        <v>12729.782499999999</v>
      </c>
      <c r="I234" s="198">
        <v>0</v>
      </c>
      <c r="J234" s="198">
        <v>0</v>
      </c>
      <c r="K234" s="198">
        <v>0</v>
      </c>
      <c r="L234" s="198">
        <v>61.624000000000009</v>
      </c>
      <c r="M234" s="198">
        <v>13374.61911</v>
      </c>
      <c r="N234" s="198">
        <v>25</v>
      </c>
      <c r="O234" s="198">
        <v>0</v>
      </c>
      <c r="P234" s="198">
        <v>734.55839999999989</v>
      </c>
      <c r="Q234" s="198">
        <v>0</v>
      </c>
      <c r="R234" s="198">
        <v>0</v>
      </c>
      <c r="S234" s="198">
        <v>0</v>
      </c>
      <c r="T234" s="198">
        <v>0</v>
      </c>
      <c r="U234" s="198">
        <v>330.47826039862218</v>
      </c>
      <c r="V234" s="198">
        <v>696.5793375837801</v>
      </c>
      <c r="W234" s="198">
        <v>11.184210526315789</v>
      </c>
      <c r="X234" s="198">
        <v>0</v>
      </c>
      <c r="Y234" s="198">
        <v>172.2</v>
      </c>
      <c r="Z234" s="271">
        <v>28136.025818508715</v>
      </c>
      <c r="AA234" s="272">
        <v>0</v>
      </c>
      <c r="AB234" s="198">
        <v>0</v>
      </c>
      <c r="AC234" s="272">
        <v>288.0951405602122</v>
      </c>
      <c r="AD234" s="198">
        <v>1.0371425060167638</v>
      </c>
      <c r="AE234" s="198">
        <v>1.0371425060167638</v>
      </c>
      <c r="AF234" s="198">
        <v>0</v>
      </c>
      <c r="AG234" s="198">
        <v>0</v>
      </c>
      <c r="AH234" s="198">
        <v>0</v>
      </c>
      <c r="AI234" s="198">
        <v>0</v>
      </c>
      <c r="AJ234" s="198">
        <v>0</v>
      </c>
      <c r="AK234" s="198">
        <v>0</v>
      </c>
      <c r="AL234" s="198">
        <v>0</v>
      </c>
      <c r="AM234" s="198">
        <v>1.5333512875069576E-2</v>
      </c>
      <c r="AN234" s="198">
        <v>3.918564401406659E-3</v>
      </c>
      <c r="AO234" s="198">
        <v>0</v>
      </c>
      <c r="AP234" s="198">
        <v>5.6026288272632233E-4</v>
      </c>
      <c r="AQ234" s="198">
        <v>7.0045775582927398E-4</v>
      </c>
      <c r="AS234" s="258">
        <f t="shared" si="25"/>
        <v>37744.478635529442</v>
      </c>
      <c r="AT234" s="3">
        <f t="shared" si="26"/>
        <v>0</v>
      </c>
      <c r="AU234" s="3">
        <f t="shared" si="27"/>
        <v>0</v>
      </c>
      <c r="AV234" s="95">
        <f t="shared" si="28"/>
        <v>17.901446590540978</v>
      </c>
      <c r="AW234" s="95">
        <f t="shared" si="29"/>
        <v>0.64445207725947529</v>
      </c>
      <c r="AX234" s="95">
        <f t="shared" si="32"/>
        <v>0.64445207725947529</v>
      </c>
      <c r="AY234" s="102">
        <f t="shared" si="30"/>
        <v>0</v>
      </c>
      <c r="AZ234" s="102">
        <f t="shared" si="31"/>
        <v>1</v>
      </c>
    </row>
    <row r="235" spans="1:52" x14ac:dyDescent="0.35">
      <c r="A235" t="s">
        <v>982</v>
      </c>
      <c r="B235">
        <v>2030</v>
      </c>
      <c r="C235" t="s">
        <v>837</v>
      </c>
      <c r="D235" t="s">
        <v>996</v>
      </c>
      <c r="E235" t="s">
        <v>983</v>
      </c>
      <c r="F235" t="s">
        <v>978</v>
      </c>
      <c r="G235" s="357"/>
      <c r="H235" s="198">
        <v>12729.782499999999</v>
      </c>
      <c r="I235" s="198">
        <v>7365.1478031554798</v>
      </c>
      <c r="J235" s="198">
        <v>0</v>
      </c>
      <c r="K235" s="198">
        <v>0</v>
      </c>
      <c r="L235" s="198">
        <v>61.624000000000009</v>
      </c>
      <c r="M235" s="198">
        <v>0</v>
      </c>
      <c r="N235" s="198">
        <v>0</v>
      </c>
      <c r="O235" s="198">
        <v>41.652333795824291</v>
      </c>
      <c r="P235" s="198">
        <v>0</v>
      </c>
      <c r="Q235" s="198">
        <v>0</v>
      </c>
      <c r="R235" s="198">
        <v>12.908116579927901</v>
      </c>
      <c r="S235" s="198">
        <v>2483.17</v>
      </c>
      <c r="T235" s="198">
        <v>100.5</v>
      </c>
      <c r="U235" s="198">
        <v>330.47826039862218</v>
      </c>
      <c r="V235" s="198">
        <v>320.39515710479975</v>
      </c>
      <c r="W235" s="198">
        <v>0</v>
      </c>
      <c r="X235" s="198">
        <v>0</v>
      </c>
      <c r="Y235" s="198">
        <v>172.2</v>
      </c>
      <c r="Z235" s="271">
        <v>23617.858171034652</v>
      </c>
      <c r="AA235" s="272">
        <v>36.354079129564859</v>
      </c>
      <c r="AB235" s="198">
        <v>3.388938819242612</v>
      </c>
      <c r="AC235" s="272">
        <v>0</v>
      </c>
      <c r="AD235" s="198">
        <v>0</v>
      </c>
      <c r="AE235" s="198">
        <v>3.388938819242612</v>
      </c>
      <c r="AF235" s="198">
        <v>253.68082873048448</v>
      </c>
      <c r="AG235" s="198">
        <v>0.11152256425428891</v>
      </c>
      <c r="AH235" s="198">
        <v>5.8926597073885004E-4</v>
      </c>
      <c r="AI235" s="198">
        <v>257.18266111561968</v>
      </c>
      <c r="AJ235" s="198">
        <v>0.10821561267632471</v>
      </c>
      <c r="AK235" s="198">
        <v>2.5252928674340871</v>
      </c>
      <c r="AL235" s="198">
        <v>0.11823174708622644</v>
      </c>
      <c r="AM235" s="198">
        <v>2.125167238012288E-2</v>
      </c>
      <c r="AN235" s="198">
        <v>8.7381299973077441E-3</v>
      </c>
      <c r="AO235" s="198">
        <v>1.7496271000555349E-3</v>
      </c>
      <c r="AP235" s="198">
        <v>1.4519217027525845E-3</v>
      </c>
      <c r="AQ235" s="198">
        <v>1.3790683293797984E-3</v>
      </c>
      <c r="AS235" s="258">
        <f t="shared" si="25"/>
        <v>31683.356736442984</v>
      </c>
      <c r="AT235" s="3">
        <f t="shared" si="26"/>
        <v>6.4701162805727641</v>
      </c>
      <c r="AU235" s="3">
        <f t="shared" si="27"/>
        <v>2.1719022068487139</v>
      </c>
      <c r="AV235" s="95">
        <f t="shared" si="28"/>
        <v>0</v>
      </c>
      <c r="AW235" s="95">
        <f t="shared" si="29"/>
        <v>0</v>
      </c>
      <c r="AX235" s="95">
        <f t="shared" si="32"/>
        <v>2.1719022068487139</v>
      </c>
      <c r="AY235" s="102">
        <f t="shared" si="30"/>
        <v>1</v>
      </c>
      <c r="AZ235" s="102">
        <f t="shared" si="31"/>
        <v>0</v>
      </c>
    </row>
    <row r="236" spans="1:52" x14ac:dyDescent="0.35">
      <c r="A236" t="s">
        <v>984</v>
      </c>
      <c r="B236">
        <v>2030</v>
      </c>
      <c r="C236" t="s">
        <v>837</v>
      </c>
      <c r="D236" t="s">
        <v>996</v>
      </c>
      <c r="E236" t="s">
        <v>240</v>
      </c>
      <c r="F236" t="s">
        <v>978</v>
      </c>
      <c r="G236" s="357"/>
      <c r="H236" s="198">
        <v>12729.782499999999</v>
      </c>
      <c r="I236" s="198">
        <v>9691.4726609999998</v>
      </c>
      <c r="J236" s="198">
        <v>0</v>
      </c>
      <c r="K236" s="198">
        <v>0</v>
      </c>
      <c r="L236" s="198">
        <v>61.624000000000009</v>
      </c>
      <c r="M236" s="198">
        <v>0</v>
      </c>
      <c r="N236" s="198">
        <v>0</v>
      </c>
      <c r="O236" s="198">
        <v>41.652333795824291</v>
      </c>
      <c r="P236" s="198">
        <v>0</v>
      </c>
      <c r="Q236" s="198">
        <v>0</v>
      </c>
      <c r="R236" s="198">
        <v>12.908116579927901</v>
      </c>
      <c r="S236" s="198">
        <v>2483.17</v>
      </c>
      <c r="T236" s="198">
        <v>100.5</v>
      </c>
      <c r="U236" s="198">
        <v>330.47826039862218</v>
      </c>
      <c r="V236" s="198">
        <v>298.73154689573704</v>
      </c>
      <c r="W236" s="198">
        <v>0</v>
      </c>
      <c r="X236" s="198">
        <v>0</v>
      </c>
      <c r="Y236" s="198">
        <v>172.2</v>
      </c>
      <c r="Z236" s="271">
        <v>25922.519418670112</v>
      </c>
      <c r="AA236" s="272">
        <v>31.651666036955145</v>
      </c>
      <c r="AB236" s="198">
        <v>3.8924254368207625</v>
      </c>
      <c r="AC236" s="272">
        <v>0</v>
      </c>
      <c r="AD236" s="198">
        <v>0</v>
      </c>
      <c r="AE236" s="198">
        <v>3.8924254368207625</v>
      </c>
      <c r="AF236" s="198">
        <v>0</v>
      </c>
      <c r="AG236" s="198">
        <v>0</v>
      </c>
      <c r="AH236" s="198">
        <v>0</v>
      </c>
      <c r="AI236" s="198">
        <v>0</v>
      </c>
      <c r="AJ236" s="198">
        <v>0</v>
      </c>
      <c r="AK236" s="198">
        <v>0</v>
      </c>
      <c r="AL236" s="198">
        <v>0</v>
      </c>
      <c r="AM236" s="198">
        <v>0</v>
      </c>
      <c r="AN236" s="198">
        <v>0</v>
      </c>
      <c r="AO236" s="198">
        <v>0</v>
      </c>
      <c r="AP236" s="198">
        <v>0</v>
      </c>
      <c r="AQ236" s="198">
        <v>0</v>
      </c>
      <c r="AS236" s="258">
        <f t="shared" si="25"/>
        <v>34775.059800145951</v>
      </c>
      <c r="AT236" s="3">
        <f t="shared" si="26"/>
        <v>7.4313661393621722</v>
      </c>
      <c r="AU236" s="3">
        <f t="shared" si="27"/>
        <v>2.4945765760724017</v>
      </c>
      <c r="AV236" s="95">
        <f t="shared" si="28"/>
        <v>0</v>
      </c>
      <c r="AW236" s="95">
        <f t="shared" si="29"/>
        <v>0</v>
      </c>
      <c r="AX236" s="95">
        <f t="shared" si="32"/>
        <v>2.4945765760724017</v>
      </c>
      <c r="AY236" s="102">
        <f t="shared" si="30"/>
        <v>1</v>
      </c>
      <c r="AZ236" s="102">
        <f t="shared" si="31"/>
        <v>0</v>
      </c>
    </row>
    <row r="237" spans="1:52" x14ac:dyDescent="0.35">
      <c r="A237" t="s">
        <v>985</v>
      </c>
      <c r="B237">
        <v>2030</v>
      </c>
      <c r="C237" t="s">
        <v>837</v>
      </c>
      <c r="D237" t="s">
        <v>996</v>
      </c>
      <c r="E237" t="s">
        <v>986</v>
      </c>
      <c r="F237" t="s">
        <v>978</v>
      </c>
      <c r="G237" s="357"/>
      <c r="H237" s="198">
        <v>12729.782499999999</v>
      </c>
      <c r="I237" s="198">
        <v>6180.738523</v>
      </c>
      <c r="J237" s="198">
        <v>0</v>
      </c>
      <c r="K237" s="198">
        <v>0</v>
      </c>
      <c r="L237" s="198">
        <v>61.624000000000009</v>
      </c>
      <c r="M237" s="198">
        <v>0</v>
      </c>
      <c r="N237" s="198">
        <v>0</v>
      </c>
      <c r="O237" s="198">
        <v>41.652333795824291</v>
      </c>
      <c r="P237" s="198">
        <v>0</v>
      </c>
      <c r="Q237" s="198">
        <v>0</v>
      </c>
      <c r="R237" s="198">
        <v>12.908116579927901</v>
      </c>
      <c r="S237" s="198">
        <v>2483.17</v>
      </c>
      <c r="T237" s="198">
        <v>100.5</v>
      </c>
      <c r="U237" s="198">
        <v>330.47826039862218</v>
      </c>
      <c r="V237" s="198">
        <v>299.01958666804649</v>
      </c>
      <c r="W237" s="198">
        <v>0</v>
      </c>
      <c r="X237" s="198">
        <v>0</v>
      </c>
      <c r="Y237" s="198">
        <v>172.2</v>
      </c>
      <c r="Z237" s="271">
        <v>22412.073320442421</v>
      </c>
      <c r="AA237" s="272">
        <v>30.567529788011957</v>
      </c>
      <c r="AB237" s="198">
        <v>4.0304777930834819</v>
      </c>
      <c r="AC237" s="272">
        <v>0</v>
      </c>
      <c r="AD237" s="198">
        <v>0</v>
      </c>
      <c r="AE237" s="198">
        <v>4.0304777930834819</v>
      </c>
      <c r="AF237" s="198">
        <v>301.7035719038854</v>
      </c>
      <c r="AG237" s="198">
        <v>0.13263420870934836</v>
      </c>
      <c r="AH237" s="198">
        <v>7.0081625427912135E-4</v>
      </c>
      <c r="AI237" s="198">
        <v>305.8683144431273</v>
      </c>
      <c r="AJ237" s="198">
        <v>0.12870123865332181</v>
      </c>
      <c r="AK237" s="198">
        <v>3.003340386504791</v>
      </c>
      <c r="AL237" s="198">
        <v>0.14061346530150617</v>
      </c>
      <c r="AM237" s="198">
        <v>2.5274694576254874E-2</v>
      </c>
      <c r="AN237" s="198">
        <v>1.0392291152395747E-2</v>
      </c>
      <c r="AO237" s="198">
        <v>2.080838147006409E-3</v>
      </c>
      <c r="AP237" s="198">
        <v>1.7267759886996389E-3</v>
      </c>
      <c r="AQ237" s="198">
        <v>1.640131195390606E-3</v>
      </c>
      <c r="AS237" s="258">
        <f t="shared" si="25"/>
        <v>30065.796359373508</v>
      </c>
      <c r="AT237" s="3">
        <f t="shared" si="26"/>
        <v>7.6949338357617414</v>
      </c>
      <c r="AU237" s="3">
        <f t="shared" si="27"/>
        <v>2.5830515333437387</v>
      </c>
      <c r="AV237" s="95">
        <f t="shared" si="28"/>
        <v>0</v>
      </c>
      <c r="AW237" s="95">
        <f t="shared" si="29"/>
        <v>0</v>
      </c>
      <c r="AX237" s="95">
        <f t="shared" si="32"/>
        <v>2.5830515333437387</v>
      </c>
      <c r="AY237" s="102">
        <f t="shared" si="30"/>
        <v>1</v>
      </c>
      <c r="AZ237" s="102">
        <f t="shared" si="31"/>
        <v>0</v>
      </c>
    </row>
    <row r="238" spans="1:52" x14ac:dyDescent="0.35">
      <c r="A238" t="s">
        <v>987</v>
      </c>
      <c r="B238">
        <v>2030</v>
      </c>
      <c r="C238" t="s">
        <v>837</v>
      </c>
      <c r="D238" t="s">
        <v>996</v>
      </c>
      <c r="E238" t="s">
        <v>986</v>
      </c>
      <c r="F238" t="s">
        <v>978</v>
      </c>
      <c r="G238" s="357">
        <v>18291.238600000001</v>
      </c>
      <c r="H238" s="198">
        <v>12729.782499999999</v>
      </c>
      <c r="I238" s="198">
        <v>4563.5968409999996</v>
      </c>
      <c r="J238" s="198">
        <v>0</v>
      </c>
      <c r="K238" s="198">
        <v>0</v>
      </c>
      <c r="L238" s="198">
        <v>61.624000000000009</v>
      </c>
      <c r="M238" s="198">
        <v>1655.6832432000001</v>
      </c>
      <c r="N238" s="198">
        <v>25</v>
      </c>
      <c r="O238" s="198">
        <v>0</v>
      </c>
      <c r="P238" s="198">
        <v>575.26559999999995</v>
      </c>
      <c r="Q238" s="198">
        <v>361.12319999999994</v>
      </c>
      <c r="R238" s="198">
        <v>0</v>
      </c>
      <c r="S238" s="198">
        <v>1088.320847</v>
      </c>
      <c r="T238" s="198">
        <v>0</v>
      </c>
      <c r="U238" s="198">
        <v>330.47826039862218</v>
      </c>
      <c r="V238" s="198">
        <v>725.13056845324604</v>
      </c>
      <c r="W238" s="198">
        <v>11.184210526315789</v>
      </c>
      <c r="X238" s="198">
        <v>0</v>
      </c>
      <c r="Y238" s="198">
        <v>172.2</v>
      </c>
      <c r="Z238" s="271">
        <v>22299.38927057818</v>
      </c>
      <c r="AA238" s="272">
        <v>218.39374917031981</v>
      </c>
      <c r="AB238" s="198">
        <v>0.5641267228024831</v>
      </c>
      <c r="AC238" s="272">
        <v>234.23373086789681</v>
      </c>
      <c r="AD238" s="198">
        <v>0.84324143112442851</v>
      </c>
      <c r="AE238" s="198">
        <v>1.4073681539269116</v>
      </c>
      <c r="AF238" s="198">
        <v>42.228007698743056</v>
      </c>
      <c r="AG238" s="198">
        <v>1.8564176589461603E-2</v>
      </c>
      <c r="AH238" s="198">
        <v>9.8089903259517518E-5</v>
      </c>
      <c r="AI238" s="198">
        <v>42.810926816672549</v>
      </c>
      <c r="AJ238" s="198">
        <v>1.8013697558813192E-2</v>
      </c>
      <c r="AK238" s="198">
        <v>0.42036320671627081</v>
      </c>
      <c r="AL238" s="198">
        <v>1.9680995017157348E-2</v>
      </c>
      <c r="AM238" s="198">
        <v>1.6004383223327496E-2</v>
      </c>
      <c r="AN238" s="198">
        <v>4.6405206160660536E-3</v>
      </c>
      <c r="AO238" s="198">
        <v>2.9124497511623024E-4</v>
      </c>
      <c r="AP238" s="198">
        <v>6.9720638852211283E-4</v>
      </c>
      <c r="AQ238" s="198">
        <v>7.9906358776118784E-4</v>
      </c>
      <c r="AS238" s="258">
        <f t="shared" si="25"/>
        <v>29914.630706480628</v>
      </c>
      <c r="AT238" s="3">
        <f t="shared" si="26"/>
        <v>1.0770231297141648</v>
      </c>
      <c r="AU238" s="3">
        <f t="shared" si="27"/>
        <v>0.36153738369076538</v>
      </c>
      <c r="AV238" s="95">
        <f t="shared" si="28"/>
        <v>14.554645436507936</v>
      </c>
      <c r="AW238" s="95">
        <f t="shared" si="29"/>
        <v>0.52396723571428572</v>
      </c>
      <c r="AX238" s="95">
        <f t="shared" si="32"/>
        <v>0.8855046194050511</v>
      </c>
      <c r="AY238" s="102">
        <f t="shared" si="30"/>
        <v>0.40828401768663103</v>
      </c>
      <c r="AZ238" s="102">
        <f t="shared" si="31"/>
        <v>0.59171598231336897</v>
      </c>
    </row>
    <row r="239" spans="1:52" x14ac:dyDescent="0.35">
      <c r="A239" t="s">
        <v>988</v>
      </c>
      <c r="B239">
        <v>2030</v>
      </c>
      <c r="C239" t="s">
        <v>837</v>
      </c>
      <c r="D239" t="s">
        <v>996</v>
      </c>
      <c r="E239" t="s">
        <v>989</v>
      </c>
      <c r="F239" t="s">
        <v>978</v>
      </c>
      <c r="G239" s="357">
        <v>1544.4</v>
      </c>
      <c r="H239" s="198">
        <v>12729.782499999999</v>
      </c>
      <c r="I239" s="198">
        <v>0</v>
      </c>
      <c r="J239" s="198">
        <v>5398.9050000000007</v>
      </c>
      <c r="K239" s="198">
        <v>2534.8230000000003</v>
      </c>
      <c r="L239" s="198">
        <v>61.624000000000009</v>
      </c>
      <c r="M239" s="198">
        <v>801.02931480000007</v>
      </c>
      <c r="N239" s="198">
        <v>0</v>
      </c>
      <c r="O239" s="198">
        <v>0</v>
      </c>
      <c r="P239" s="198">
        <v>615.67199999999991</v>
      </c>
      <c r="Q239" s="198">
        <v>0</v>
      </c>
      <c r="R239" s="198">
        <v>0</v>
      </c>
      <c r="S239" s="198">
        <v>0</v>
      </c>
      <c r="T239" s="198">
        <v>0</v>
      </c>
      <c r="U239" s="198">
        <v>330.47826039862218</v>
      </c>
      <c r="V239" s="198">
        <v>696.5793375837801</v>
      </c>
      <c r="W239" s="198">
        <v>8.5526315789473681</v>
      </c>
      <c r="X239" s="198">
        <v>209.15765442000003</v>
      </c>
      <c r="Y239" s="198">
        <v>172.2</v>
      </c>
      <c r="Z239" s="271">
        <v>23558.803698781343</v>
      </c>
      <c r="AA239" s="272">
        <v>64.670111945008813</v>
      </c>
      <c r="AB239" s="198">
        <v>1.9050802031201466</v>
      </c>
      <c r="AC239" s="272">
        <v>0</v>
      </c>
      <c r="AD239" s="198">
        <v>0</v>
      </c>
      <c r="AE239" s="198">
        <v>1.9050802031201466</v>
      </c>
      <c r="AF239" s="198">
        <v>0</v>
      </c>
      <c r="AG239" s="198">
        <v>0</v>
      </c>
      <c r="AH239" s="198">
        <v>0</v>
      </c>
      <c r="AI239" s="198">
        <v>0</v>
      </c>
      <c r="AJ239" s="198">
        <v>0</v>
      </c>
      <c r="AK239" s="198">
        <v>0</v>
      </c>
      <c r="AL239" s="198">
        <v>0</v>
      </c>
      <c r="AM239" s="198">
        <v>1.780980092113954E-2</v>
      </c>
      <c r="AN239" s="198">
        <v>4.5513935687356679E-3</v>
      </c>
      <c r="AO239" s="198">
        <v>0</v>
      </c>
      <c r="AP239" s="198">
        <v>6.5074262409124206E-4</v>
      </c>
      <c r="AQ239" s="198">
        <v>8.1357829002579626E-4</v>
      </c>
      <c r="AS239" s="258">
        <f t="shared" si="25"/>
        <v>31604.135161915168</v>
      </c>
      <c r="AT239" s="3">
        <f t="shared" si="26"/>
        <v>3.6371534263221861</v>
      </c>
      <c r="AU239" s="3">
        <f t="shared" si="27"/>
        <v>1.2209272926045796</v>
      </c>
      <c r="AV239" s="95">
        <f t="shared" si="28"/>
        <v>0</v>
      </c>
      <c r="AW239" s="95">
        <f t="shared" si="29"/>
        <v>0</v>
      </c>
      <c r="AX239" s="95">
        <f t="shared" si="32"/>
        <v>1.2209272926045796</v>
      </c>
      <c r="AY239" s="102">
        <f t="shared" si="30"/>
        <v>1</v>
      </c>
      <c r="AZ239" s="102">
        <f t="shared" si="31"/>
        <v>0</v>
      </c>
    </row>
    <row r="240" spans="1:52" x14ac:dyDescent="0.35">
      <c r="A240" t="s">
        <v>990</v>
      </c>
      <c r="B240">
        <v>2030</v>
      </c>
      <c r="C240" t="s">
        <v>837</v>
      </c>
      <c r="D240" t="s">
        <v>996</v>
      </c>
      <c r="E240" t="s">
        <v>989</v>
      </c>
      <c r="F240" t="s">
        <v>978</v>
      </c>
      <c r="G240" s="357">
        <v>1544.4</v>
      </c>
      <c r="H240" s="198">
        <v>12729.782499999999</v>
      </c>
      <c r="I240" s="198">
        <v>0</v>
      </c>
      <c r="J240" s="198">
        <v>5554.4425000000001</v>
      </c>
      <c r="K240" s="198">
        <v>3039.8626000000004</v>
      </c>
      <c r="L240" s="198">
        <v>61.624000000000009</v>
      </c>
      <c r="M240" s="198">
        <v>801.02931480000007</v>
      </c>
      <c r="N240" s="198">
        <v>0</v>
      </c>
      <c r="O240" s="198">
        <v>0</v>
      </c>
      <c r="P240" s="198">
        <v>628.47839999999997</v>
      </c>
      <c r="Q240" s="198">
        <v>0</v>
      </c>
      <c r="R240" s="198">
        <v>0</v>
      </c>
      <c r="S240" s="198">
        <v>0</v>
      </c>
      <c r="T240" s="198">
        <v>0</v>
      </c>
      <c r="U240" s="198">
        <v>330.47826039862218</v>
      </c>
      <c r="V240" s="198">
        <v>696.5793375837801</v>
      </c>
      <c r="W240" s="198">
        <v>8.5526315789473681</v>
      </c>
      <c r="X240" s="198">
        <v>209.15765442000003</v>
      </c>
      <c r="Y240" s="198">
        <v>172.2</v>
      </c>
      <c r="Z240" s="271">
        <v>24232.187198781347</v>
      </c>
      <c r="AA240" s="272">
        <v>63.756091001739598</v>
      </c>
      <c r="AB240" s="198">
        <v>1.9323918399677049</v>
      </c>
      <c r="AC240" s="272">
        <v>0</v>
      </c>
      <c r="AD240" s="198">
        <v>0</v>
      </c>
      <c r="AE240" s="198">
        <v>1.9323918399677049</v>
      </c>
      <c r="AF240" s="198">
        <v>0</v>
      </c>
      <c r="AG240" s="198">
        <v>0</v>
      </c>
      <c r="AH240" s="198">
        <v>0</v>
      </c>
      <c r="AI240" s="198">
        <v>0</v>
      </c>
      <c r="AJ240" s="198">
        <v>0</v>
      </c>
      <c r="AK240" s="198">
        <v>0</v>
      </c>
      <c r="AL240" s="198">
        <v>0</v>
      </c>
      <c r="AM240" s="198">
        <v>1.8065126032538431E-2</v>
      </c>
      <c r="AN240" s="198">
        <v>4.6166433194264958E-3</v>
      </c>
      <c r="AO240" s="198">
        <v>0</v>
      </c>
      <c r="AP240" s="198">
        <v>6.6007180939341398E-4</v>
      </c>
      <c r="AQ240" s="198">
        <v>8.2524192222765838E-4</v>
      </c>
      <c r="AS240" s="258">
        <f t="shared" si="25"/>
        <v>32507.479127165174</v>
      </c>
      <c r="AT240" s="3">
        <f t="shared" si="26"/>
        <v>3.689296434987055</v>
      </c>
      <c r="AU240" s="3">
        <f t="shared" si="27"/>
        <v>1.238430767145061</v>
      </c>
      <c r="AV240" s="95">
        <f t="shared" si="28"/>
        <v>0</v>
      </c>
      <c r="AW240" s="95">
        <f t="shared" si="29"/>
        <v>0</v>
      </c>
      <c r="AX240" s="95">
        <f t="shared" si="32"/>
        <v>1.238430767145061</v>
      </c>
      <c r="AY240" s="102">
        <f t="shared" si="30"/>
        <v>1</v>
      </c>
      <c r="AZ240" s="102">
        <f t="shared" si="31"/>
        <v>0</v>
      </c>
    </row>
    <row r="241" spans="1:52" x14ac:dyDescent="0.35">
      <c r="A241" t="s">
        <v>991</v>
      </c>
      <c r="B241">
        <v>2030</v>
      </c>
      <c r="C241" t="s">
        <v>837</v>
      </c>
      <c r="D241" t="s">
        <v>996</v>
      </c>
      <c r="E241" t="s">
        <v>986</v>
      </c>
      <c r="F241" t="s">
        <v>978</v>
      </c>
      <c r="G241" s="357">
        <v>1965.6</v>
      </c>
      <c r="H241" s="198">
        <v>12729.782499999999</v>
      </c>
      <c r="I241" s="198">
        <v>4563.5968408198796</v>
      </c>
      <c r="J241" s="198">
        <v>0</v>
      </c>
      <c r="K241" s="198">
        <v>0</v>
      </c>
      <c r="L241" s="198">
        <v>61.624000000000009</v>
      </c>
      <c r="M241" s="198">
        <v>1019.4918552</v>
      </c>
      <c r="N241" s="198">
        <v>0</v>
      </c>
      <c r="O241" s="198">
        <v>0</v>
      </c>
      <c r="P241" s="198">
        <v>438.76799999999997</v>
      </c>
      <c r="Q241" s="198">
        <v>321</v>
      </c>
      <c r="R241" s="198">
        <v>0</v>
      </c>
      <c r="S241" s="198">
        <v>997.887455570577</v>
      </c>
      <c r="T241" s="198">
        <v>0</v>
      </c>
      <c r="U241" s="198">
        <v>330.47826039862218</v>
      </c>
      <c r="V241" s="198">
        <v>729.10809790459621</v>
      </c>
      <c r="W241" s="198">
        <v>8.5526315789473681</v>
      </c>
      <c r="X241" s="198">
        <v>266.20065108</v>
      </c>
      <c r="Y241" s="198">
        <v>172.2</v>
      </c>
      <c r="Z241" s="271">
        <v>21638.690292552619</v>
      </c>
      <c r="AA241" s="272">
        <v>45.115134934258556</v>
      </c>
      <c r="AB241" s="198">
        <v>2.7308296911785521</v>
      </c>
      <c r="AC241" s="272">
        <v>0</v>
      </c>
      <c r="AD241" s="198">
        <v>0</v>
      </c>
      <c r="AE241" s="198">
        <v>2.7308296911785521</v>
      </c>
      <c r="AF241" s="198">
        <v>204.41771779604201</v>
      </c>
      <c r="AG241" s="198">
        <v>8.9865632265985596E-2</v>
      </c>
      <c r="AH241" s="198">
        <v>4.7483448203837372E-4</v>
      </c>
      <c r="AI241" s="198">
        <v>207.23951788182669</v>
      </c>
      <c r="AJ241" s="198">
        <v>8.7200868445193855E-2</v>
      </c>
      <c r="AK241" s="198">
        <v>2.0348979751872993</v>
      </c>
      <c r="AL241" s="198">
        <v>9.5271936911253616E-2</v>
      </c>
      <c r="AM241" s="198">
        <v>1.7124740521520774E-2</v>
      </c>
      <c r="AN241" s="198">
        <v>7.041243915804565E-3</v>
      </c>
      <c r="AO241" s="198">
        <v>1.4098612834769599E-3</v>
      </c>
      <c r="AP241" s="198">
        <v>1.1699682722597507E-3</v>
      </c>
      <c r="AQ241" s="198">
        <v>1.1112625340566088E-3</v>
      </c>
      <c r="AS241" s="258">
        <f t="shared" si="25"/>
        <v>29028.303027459337</v>
      </c>
      <c r="AT241" s="3">
        <f t="shared" si="26"/>
        <v>5.213663210454361</v>
      </c>
      <c r="AU241" s="3">
        <f t="shared" si="27"/>
        <v>1.7501334043334016</v>
      </c>
      <c r="AV241" s="95">
        <f t="shared" si="28"/>
        <v>0</v>
      </c>
      <c r="AW241" s="95">
        <f t="shared" si="29"/>
        <v>0</v>
      </c>
      <c r="AX241" s="95">
        <f t="shared" si="32"/>
        <v>1.7501334043334016</v>
      </c>
      <c r="AY241" s="102">
        <f t="shared" si="30"/>
        <v>1</v>
      </c>
      <c r="AZ241" s="102">
        <f t="shared" si="31"/>
        <v>0</v>
      </c>
    </row>
    <row r="242" spans="1:52" x14ac:dyDescent="0.35">
      <c r="A242" t="s">
        <v>992</v>
      </c>
      <c r="B242">
        <v>2030</v>
      </c>
      <c r="C242" t="s">
        <v>837</v>
      </c>
      <c r="D242" t="s">
        <v>996</v>
      </c>
      <c r="E242" t="s">
        <v>986</v>
      </c>
      <c r="F242" t="s">
        <v>978</v>
      </c>
      <c r="G242" s="357">
        <v>8102.3544000000002</v>
      </c>
      <c r="H242" s="198">
        <v>12729.782499999999</v>
      </c>
      <c r="I242" s="198">
        <v>4563.5968408198796</v>
      </c>
      <c r="J242" s="198">
        <v>0</v>
      </c>
      <c r="K242" s="198">
        <v>0</v>
      </c>
      <c r="L242" s="198">
        <v>61.624000000000009</v>
      </c>
      <c r="M242" s="198">
        <v>1182.6308880000001</v>
      </c>
      <c r="N242" s="198">
        <v>25</v>
      </c>
      <c r="O242" s="198">
        <v>0</v>
      </c>
      <c r="P242" s="198">
        <v>464.8032</v>
      </c>
      <c r="Q242" s="198">
        <v>329.12639999999999</v>
      </c>
      <c r="R242" s="198">
        <v>0</v>
      </c>
      <c r="S242" s="198">
        <v>1006.71211005322</v>
      </c>
      <c r="T242" s="198">
        <v>0</v>
      </c>
      <c r="U242" s="198">
        <v>330.47826039862218</v>
      </c>
      <c r="V242" s="198">
        <v>729.93161082411052</v>
      </c>
      <c r="W242" s="198">
        <v>8.5526315789473681</v>
      </c>
      <c r="X242" s="198">
        <v>245.90002380000004</v>
      </c>
      <c r="Y242" s="198">
        <v>172.2</v>
      </c>
      <c r="Z242" s="271">
        <v>21850.338465474779</v>
      </c>
      <c r="AA242" s="272">
        <v>91.983298889381288</v>
      </c>
      <c r="AB242" s="198">
        <v>1.3393926015652244</v>
      </c>
      <c r="AC242" s="272">
        <v>164.45802352678572</v>
      </c>
      <c r="AD242" s="198">
        <v>0.59204888469642858</v>
      </c>
      <c r="AE242" s="198">
        <v>1.9314414862616531</v>
      </c>
      <c r="AF242" s="198">
        <v>100.26094989713688</v>
      </c>
      <c r="AG242" s="198">
        <v>4.4076480998013388E-2</v>
      </c>
      <c r="AH242" s="198">
        <v>2.3289251404607999E-4</v>
      </c>
      <c r="AI242" s="198">
        <v>101.64496083352192</v>
      </c>
      <c r="AJ242" s="198">
        <v>4.2769491785900796E-2</v>
      </c>
      <c r="AK242" s="198">
        <v>0.9980583196785372</v>
      </c>
      <c r="AL242" s="198">
        <v>4.6728116311292332E-2</v>
      </c>
      <c r="AM242" s="198">
        <v>8.3991875554678946E-3</v>
      </c>
      <c r="AN242" s="198">
        <v>3.4535255117189765E-3</v>
      </c>
      <c r="AO242" s="198">
        <v>6.9149598688716756E-4</v>
      </c>
      <c r="AP242" s="198">
        <v>5.7383543653154851E-4</v>
      </c>
      <c r="AQ242" s="198">
        <v>5.4504197801866021E-4</v>
      </c>
      <c r="AS242" s="258">
        <f t="shared" si="25"/>
        <v>29312.229051434413</v>
      </c>
      <c r="AT242" s="3">
        <f t="shared" si="26"/>
        <v>2.5571502879484331</v>
      </c>
      <c r="AU242" s="3">
        <f t="shared" si="27"/>
        <v>0.85838957335514399</v>
      </c>
      <c r="AV242" s="95">
        <f t="shared" si="28"/>
        <v>10.218973214285715</v>
      </c>
      <c r="AW242" s="95">
        <f t="shared" si="29"/>
        <v>0.36788303571428571</v>
      </c>
      <c r="AX242" s="95">
        <f t="shared" si="32"/>
        <v>1.2262726090694298</v>
      </c>
      <c r="AY242" s="102">
        <f t="shared" si="30"/>
        <v>0.69999897820970014</v>
      </c>
      <c r="AZ242" s="102">
        <f t="shared" si="31"/>
        <v>0.30000102179029975</v>
      </c>
    </row>
    <row r="243" spans="1:52" x14ac:dyDescent="0.35">
      <c r="A243" t="s">
        <v>975</v>
      </c>
      <c r="B243">
        <v>2045</v>
      </c>
      <c r="C243" t="s">
        <v>837</v>
      </c>
      <c r="D243" t="s">
        <v>976</v>
      </c>
      <c r="E243" t="s">
        <v>977</v>
      </c>
      <c r="F243" t="s">
        <v>978</v>
      </c>
      <c r="G243" s="357">
        <v>33160.482000000004</v>
      </c>
      <c r="H243" s="198">
        <v>8061.9395000000004</v>
      </c>
      <c r="I243" s="198">
        <v>0</v>
      </c>
      <c r="J243" s="198">
        <v>0</v>
      </c>
      <c r="K243" s="198">
        <v>0</v>
      </c>
      <c r="L243" s="198">
        <v>61.624000000000009</v>
      </c>
      <c r="M243" s="198">
        <v>2321.2337400000001</v>
      </c>
      <c r="N243" s="198">
        <v>13.33</v>
      </c>
      <c r="O243" s="198">
        <v>0</v>
      </c>
      <c r="P243" s="198">
        <v>186.77474999999998</v>
      </c>
      <c r="Q243" s="198">
        <v>0</v>
      </c>
      <c r="R243" s="198">
        <v>0</v>
      </c>
      <c r="S243" s="198">
        <v>0</v>
      </c>
      <c r="T243" s="198">
        <v>0</v>
      </c>
      <c r="U243" s="198">
        <v>231.5876491868263</v>
      </c>
      <c r="V243" s="198">
        <v>514.47197628058211</v>
      </c>
      <c r="W243" s="198">
        <v>5.2618421052631588</v>
      </c>
      <c r="X243" s="198">
        <v>0</v>
      </c>
      <c r="Y243" s="198">
        <v>148</v>
      </c>
      <c r="Z243" s="271">
        <v>11544.223457572671</v>
      </c>
      <c r="AA243" s="272">
        <v>0</v>
      </c>
      <c r="AB243" s="198">
        <v>0</v>
      </c>
      <c r="AC243" s="272">
        <v>166.37677015484289</v>
      </c>
      <c r="AD243" s="198">
        <v>0.59895637255743439</v>
      </c>
      <c r="AE243" s="198">
        <v>0.59895637255743439</v>
      </c>
      <c r="AF243" s="198">
        <v>0</v>
      </c>
      <c r="AG243" s="198">
        <v>0</v>
      </c>
      <c r="AH243" s="198">
        <v>0</v>
      </c>
      <c r="AI243" s="198">
        <v>0</v>
      </c>
      <c r="AJ243" s="198">
        <v>0</v>
      </c>
      <c r="AK243" s="198">
        <v>0</v>
      </c>
      <c r="AL243" s="198">
        <v>0</v>
      </c>
      <c r="AM243" s="198">
        <v>8.8552008975957865E-3</v>
      </c>
      <c r="AN243" s="198">
        <v>2.2629957849411393E-3</v>
      </c>
      <c r="AO243" s="198">
        <v>0</v>
      </c>
      <c r="AP243" s="198">
        <v>3.235553667597009E-4</v>
      </c>
      <c r="AQ243" s="198">
        <v>4.045187947917755E-4</v>
      </c>
      <c r="AS243" s="258">
        <f t="shared" si="25"/>
        <v>15486.575768333736</v>
      </c>
      <c r="AT243" s="3">
        <f t="shared" si="26"/>
        <v>0</v>
      </c>
      <c r="AU243" s="3">
        <f t="shared" si="27"/>
        <v>0</v>
      </c>
      <c r="AV243" s="95">
        <f t="shared" si="28"/>
        <v>10.338198898607063</v>
      </c>
      <c r="AW243" s="95">
        <f t="shared" si="29"/>
        <v>0.37217516034985432</v>
      </c>
      <c r="AX243" s="95">
        <f t="shared" si="32"/>
        <v>0.37217516034985432</v>
      </c>
      <c r="AY243" s="102">
        <f t="shared" si="30"/>
        <v>0</v>
      </c>
      <c r="AZ243" s="102">
        <f t="shared" si="31"/>
        <v>1</v>
      </c>
    </row>
    <row r="244" spans="1:52" x14ac:dyDescent="0.35">
      <c r="A244" t="s">
        <v>979</v>
      </c>
      <c r="B244">
        <v>2045</v>
      </c>
      <c r="C244" t="s">
        <v>837</v>
      </c>
      <c r="D244" t="s">
        <v>976</v>
      </c>
      <c r="E244" t="s">
        <v>977</v>
      </c>
      <c r="F244" t="s">
        <v>978</v>
      </c>
      <c r="G244" s="357">
        <v>51059.915999999997</v>
      </c>
      <c r="H244" s="198">
        <v>8061.9395000000004</v>
      </c>
      <c r="I244" s="198">
        <v>0</v>
      </c>
      <c r="J244" s="198">
        <v>0</v>
      </c>
      <c r="K244" s="198">
        <v>0</v>
      </c>
      <c r="L244" s="198">
        <v>61.624000000000009</v>
      </c>
      <c r="M244" s="198">
        <v>3574.1941199999997</v>
      </c>
      <c r="N244" s="198">
        <v>13.33</v>
      </c>
      <c r="O244" s="198">
        <v>0</v>
      </c>
      <c r="P244" s="198">
        <v>194.96025</v>
      </c>
      <c r="Q244" s="198">
        <v>0</v>
      </c>
      <c r="R244" s="198">
        <v>0</v>
      </c>
      <c r="S244" s="198">
        <v>0</v>
      </c>
      <c r="T244" s="198">
        <v>0</v>
      </c>
      <c r="U244" s="198">
        <v>231.5876491868263</v>
      </c>
      <c r="V244" s="198">
        <v>514.47197628058211</v>
      </c>
      <c r="W244" s="198">
        <v>5.2618421052631588</v>
      </c>
      <c r="X244" s="198">
        <v>0</v>
      </c>
      <c r="Y244" s="198">
        <v>148</v>
      </c>
      <c r="Z244" s="271">
        <v>12805.369337572671</v>
      </c>
      <c r="AA244" s="272">
        <v>0</v>
      </c>
      <c r="AB244" s="198">
        <v>0</v>
      </c>
      <c r="AC244" s="272">
        <v>171.56967098554424</v>
      </c>
      <c r="AD244" s="198">
        <v>0.6176508155479592</v>
      </c>
      <c r="AE244" s="198">
        <v>0.6176508155479592</v>
      </c>
      <c r="AF244" s="198">
        <v>0</v>
      </c>
      <c r="AG244" s="198">
        <v>0</v>
      </c>
      <c r="AH244" s="198">
        <v>0</v>
      </c>
      <c r="AI244" s="198">
        <v>0</v>
      </c>
      <c r="AJ244" s="198">
        <v>0</v>
      </c>
      <c r="AK244" s="198">
        <v>0</v>
      </c>
      <c r="AL244" s="198">
        <v>0</v>
      </c>
      <c r="AM244" s="198">
        <v>9.1315867178900258E-3</v>
      </c>
      <c r="AN244" s="198">
        <v>2.3336277167941115E-3</v>
      </c>
      <c r="AO244" s="198">
        <v>0</v>
      </c>
      <c r="AP244" s="198">
        <v>3.3365407784334924E-4</v>
      </c>
      <c r="AQ244" s="198">
        <v>4.1714451161242006E-4</v>
      </c>
      <c r="AS244" s="258">
        <f t="shared" si="25"/>
        <v>17178.402966353737</v>
      </c>
      <c r="AT244" s="3">
        <f t="shared" si="26"/>
        <v>0</v>
      </c>
      <c r="AU244" s="3">
        <f t="shared" si="27"/>
        <v>0</v>
      </c>
      <c r="AV244" s="95">
        <f t="shared" si="28"/>
        <v>10.660871598639456</v>
      </c>
      <c r="AW244" s="95">
        <f t="shared" si="29"/>
        <v>0.38379137755102044</v>
      </c>
      <c r="AX244" s="95">
        <f t="shared" si="32"/>
        <v>0.38379137755102044</v>
      </c>
      <c r="AY244" s="102">
        <f t="shared" si="30"/>
        <v>0</v>
      </c>
      <c r="AZ244" s="102">
        <f t="shared" si="31"/>
        <v>1</v>
      </c>
    </row>
    <row r="245" spans="1:52" x14ac:dyDescent="0.35">
      <c r="A245" t="s">
        <v>980</v>
      </c>
      <c r="B245">
        <v>2045</v>
      </c>
      <c r="C245" t="s">
        <v>837</v>
      </c>
      <c r="D245" t="s">
        <v>976</v>
      </c>
      <c r="E245" t="s">
        <v>977</v>
      </c>
      <c r="F245" t="s">
        <v>978</v>
      </c>
      <c r="G245" s="357">
        <v>74596.092499999999</v>
      </c>
      <c r="H245" s="198">
        <v>8061.9395000000004</v>
      </c>
      <c r="I245" s="198">
        <v>0</v>
      </c>
      <c r="J245" s="198">
        <v>0</v>
      </c>
      <c r="K245" s="198">
        <v>0</v>
      </c>
      <c r="L245" s="198">
        <v>61.624000000000009</v>
      </c>
      <c r="M245" s="198">
        <v>5221.7264749999995</v>
      </c>
      <c r="N245" s="198">
        <v>13.33</v>
      </c>
      <c r="O245" s="198">
        <v>0</v>
      </c>
      <c r="P245" s="198">
        <v>204.98625000000001</v>
      </c>
      <c r="Q245" s="198">
        <v>0</v>
      </c>
      <c r="R245" s="198">
        <v>0</v>
      </c>
      <c r="S245" s="198">
        <v>0</v>
      </c>
      <c r="T245" s="198">
        <v>0</v>
      </c>
      <c r="U245" s="198">
        <v>231.5876491868263</v>
      </c>
      <c r="V245" s="198">
        <v>514.47197628058211</v>
      </c>
      <c r="W245" s="198">
        <v>5.2618421052631588</v>
      </c>
      <c r="X245" s="198">
        <v>0</v>
      </c>
      <c r="Y245" s="198">
        <v>148</v>
      </c>
      <c r="Z245" s="271">
        <v>14462.92769257267</v>
      </c>
      <c r="AA245" s="272">
        <v>0</v>
      </c>
      <c r="AB245" s="198">
        <v>0</v>
      </c>
      <c r="AC245" s="272">
        <v>186.33074521481214</v>
      </c>
      <c r="AD245" s="198">
        <v>0.67079068277332365</v>
      </c>
      <c r="AE245" s="198">
        <v>0.67079068277332365</v>
      </c>
      <c r="AF245" s="198">
        <v>0</v>
      </c>
      <c r="AG245" s="198">
        <v>0</v>
      </c>
      <c r="AH245" s="198">
        <v>0</v>
      </c>
      <c r="AI245" s="198">
        <v>0</v>
      </c>
      <c r="AJ245" s="198">
        <v>0</v>
      </c>
      <c r="AK245" s="198">
        <v>0</v>
      </c>
      <c r="AL245" s="198">
        <v>0</v>
      </c>
      <c r="AM245" s="198">
        <v>9.9172269105854381E-3</v>
      </c>
      <c r="AN245" s="198">
        <v>2.534402432705161E-3</v>
      </c>
      <c r="AO245" s="198">
        <v>0</v>
      </c>
      <c r="AP245" s="198">
        <v>3.6236015731329579E-4</v>
      </c>
      <c r="AQ245" s="198">
        <v>4.5303372830714369E-4</v>
      </c>
      <c r="AS245" s="258">
        <f t="shared" si="25"/>
        <v>19402.017499586236</v>
      </c>
      <c r="AT245" s="3">
        <f t="shared" si="26"/>
        <v>0</v>
      </c>
      <c r="AU245" s="3">
        <f t="shared" si="27"/>
        <v>0</v>
      </c>
      <c r="AV245" s="95">
        <f t="shared" si="28"/>
        <v>11.578084507612569</v>
      </c>
      <c r="AW245" s="95">
        <f t="shared" si="29"/>
        <v>0.41681104227405252</v>
      </c>
      <c r="AX245" s="95">
        <f t="shared" si="32"/>
        <v>0.41681104227405252</v>
      </c>
      <c r="AY245" s="102">
        <f t="shared" si="30"/>
        <v>0</v>
      </c>
      <c r="AZ245" s="102">
        <f t="shared" si="31"/>
        <v>1</v>
      </c>
    </row>
    <row r="246" spans="1:52" x14ac:dyDescent="0.35">
      <c r="A246" t="s">
        <v>981</v>
      </c>
      <c r="B246">
        <v>2045</v>
      </c>
      <c r="C246" t="s">
        <v>837</v>
      </c>
      <c r="D246" t="s">
        <v>976</v>
      </c>
      <c r="E246" t="s">
        <v>977</v>
      </c>
      <c r="F246" t="s">
        <v>978</v>
      </c>
      <c r="G246" s="357">
        <v>102612.1219</v>
      </c>
      <c r="H246" s="198">
        <v>8061.9395000000004</v>
      </c>
      <c r="I246" s="198">
        <v>0</v>
      </c>
      <c r="J246" s="198">
        <v>0</v>
      </c>
      <c r="K246" s="198">
        <v>0</v>
      </c>
      <c r="L246" s="198">
        <v>61.624000000000009</v>
      </c>
      <c r="M246" s="198">
        <v>7182.8485330000003</v>
      </c>
      <c r="N246" s="198">
        <v>13.33</v>
      </c>
      <c r="O246" s="198">
        <v>0</v>
      </c>
      <c r="P246" s="198">
        <v>217.50975000000003</v>
      </c>
      <c r="Q246" s="198">
        <v>0</v>
      </c>
      <c r="R246" s="198">
        <v>0</v>
      </c>
      <c r="S246" s="198">
        <v>0</v>
      </c>
      <c r="T246" s="198">
        <v>0</v>
      </c>
      <c r="U246" s="198">
        <v>231.5876491868263</v>
      </c>
      <c r="V246" s="198">
        <v>514.47197628058211</v>
      </c>
      <c r="W246" s="198">
        <v>5.2618421052631588</v>
      </c>
      <c r="X246" s="198">
        <v>0</v>
      </c>
      <c r="Y246" s="198">
        <v>148</v>
      </c>
      <c r="Z246" s="271">
        <v>16436.57325057267</v>
      </c>
      <c r="AA246" s="272">
        <v>0</v>
      </c>
      <c r="AB246" s="198">
        <v>0</v>
      </c>
      <c r="AC246" s="272">
        <v>202.28942098756886</v>
      </c>
      <c r="AD246" s="198">
        <v>0.72824191555524787</v>
      </c>
      <c r="AE246" s="198">
        <v>0.72824191555524787</v>
      </c>
      <c r="AF246" s="198">
        <v>0</v>
      </c>
      <c r="AG246" s="198">
        <v>0</v>
      </c>
      <c r="AH246" s="198">
        <v>0</v>
      </c>
      <c r="AI246" s="198">
        <v>0</v>
      </c>
      <c r="AJ246" s="198">
        <v>0</v>
      </c>
      <c r="AK246" s="198">
        <v>0</v>
      </c>
      <c r="AL246" s="198">
        <v>0</v>
      </c>
      <c r="AM246" s="198">
        <v>1.0766607986416125E-2</v>
      </c>
      <c r="AN246" s="198">
        <v>2.7514664854174473E-3</v>
      </c>
      <c r="AO246" s="198">
        <v>0</v>
      </c>
      <c r="AP246" s="198">
        <v>3.9339523022550516E-4</v>
      </c>
      <c r="AQ246" s="198">
        <v>4.9183472368684842E-4</v>
      </c>
      <c r="AS246" s="258">
        <f t="shared" si="25"/>
        <v>22049.663015643237</v>
      </c>
      <c r="AT246" s="3">
        <f t="shared" si="26"/>
        <v>0</v>
      </c>
      <c r="AU246" s="3">
        <f t="shared" si="27"/>
        <v>0</v>
      </c>
      <c r="AV246" s="95">
        <f t="shared" si="28"/>
        <v>12.569713111435052</v>
      </c>
      <c r="AW246" s="95">
        <f t="shared" si="29"/>
        <v>0.45250967201166181</v>
      </c>
      <c r="AX246" s="95">
        <f t="shared" si="32"/>
        <v>0.45250967201166181</v>
      </c>
      <c r="AY246" s="102">
        <f t="shared" si="30"/>
        <v>0</v>
      </c>
      <c r="AZ246" s="102">
        <f t="shared" si="31"/>
        <v>1</v>
      </c>
    </row>
    <row r="247" spans="1:52" x14ac:dyDescent="0.35">
      <c r="A247" t="s">
        <v>982</v>
      </c>
      <c r="B247">
        <v>2045</v>
      </c>
      <c r="C247" t="s">
        <v>837</v>
      </c>
      <c r="D247" t="s">
        <v>976</v>
      </c>
      <c r="E247" t="s">
        <v>983</v>
      </c>
      <c r="F247" t="s">
        <v>978</v>
      </c>
      <c r="G247" s="357"/>
      <c r="H247" s="198">
        <v>8061.9395000000004</v>
      </c>
      <c r="I247" s="198">
        <v>7348.3674218223696</v>
      </c>
      <c r="J247" s="198">
        <v>0</v>
      </c>
      <c r="K247" s="198">
        <v>0</v>
      </c>
      <c r="L247" s="198">
        <v>61.624000000000009</v>
      </c>
      <c r="M247" s="198">
        <v>0</v>
      </c>
      <c r="N247" s="198">
        <v>0</v>
      </c>
      <c r="O247" s="198">
        <v>35.823437671406367</v>
      </c>
      <c r="P247" s="198">
        <v>0</v>
      </c>
      <c r="Q247" s="198">
        <v>0</v>
      </c>
      <c r="R247" s="198">
        <v>7.3665430727120906</v>
      </c>
      <c r="S247" s="198">
        <v>2483.17</v>
      </c>
      <c r="T247" s="198">
        <v>86.5</v>
      </c>
      <c r="U247" s="198">
        <v>231.5876491868263</v>
      </c>
      <c r="V247" s="198">
        <v>260.59969102155844</v>
      </c>
      <c r="W247" s="198">
        <v>0</v>
      </c>
      <c r="X247" s="198">
        <v>0</v>
      </c>
      <c r="Y247" s="198">
        <v>148</v>
      </c>
      <c r="Z247" s="271">
        <v>18724.978242774872</v>
      </c>
      <c r="AA247" s="272">
        <v>50.18240842010956</v>
      </c>
      <c r="AB247" s="198">
        <v>2.4550784603361016</v>
      </c>
      <c r="AC247" s="272">
        <v>0</v>
      </c>
      <c r="AD247" s="198">
        <v>0</v>
      </c>
      <c r="AE247" s="198">
        <v>2.4550784603361016</v>
      </c>
      <c r="AF247" s="198">
        <v>183.77621185726039</v>
      </c>
      <c r="AG247" s="198">
        <v>8.0791262382052656E-2</v>
      </c>
      <c r="AH247" s="198">
        <v>4.2688707862047307E-4</v>
      </c>
      <c r="AI247" s="198">
        <v>186.3130747866343</v>
      </c>
      <c r="AJ247" s="198">
        <v>7.839557865287608E-2</v>
      </c>
      <c r="AK247" s="198">
        <v>1.8294199026772038</v>
      </c>
      <c r="AL247" s="198">
        <v>8.5651654125810314E-2</v>
      </c>
      <c r="AM247" s="198">
        <v>1.539553408586459E-2</v>
      </c>
      <c r="AN247" s="198">
        <v>6.33023960721765E-3</v>
      </c>
      <c r="AO247" s="198">
        <v>1.2674975961727891E-3</v>
      </c>
      <c r="AP247" s="198">
        <v>1.0518282827304119E-3</v>
      </c>
      <c r="AQ247" s="198">
        <v>9.9905047903718256E-4</v>
      </c>
      <c r="AS247" s="258">
        <f t="shared" si="25"/>
        <v>25119.558312682489</v>
      </c>
      <c r="AT247" s="3">
        <f t="shared" si="26"/>
        <v>4.6872026801162967</v>
      </c>
      <c r="AU247" s="3">
        <f t="shared" si="27"/>
        <v>1.5734100290374686</v>
      </c>
      <c r="AV247" s="95">
        <f t="shared" si="28"/>
        <v>0</v>
      </c>
      <c r="AW247" s="95">
        <f t="shared" si="29"/>
        <v>0</v>
      </c>
      <c r="AX247" s="95">
        <f t="shared" si="32"/>
        <v>1.5734100290374686</v>
      </c>
      <c r="AY247" s="102">
        <f t="shared" si="30"/>
        <v>1</v>
      </c>
      <c r="AZ247" s="102">
        <f t="shared" si="31"/>
        <v>0</v>
      </c>
    </row>
    <row r="248" spans="1:52" x14ac:dyDescent="0.35">
      <c r="A248" t="s">
        <v>984</v>
      </c>
      <c r="B248">
        <v>2045</v>
      </c>
      <c r="C248" t="s">
        <v>837</v>
      </c>
      <c r="D248" t="s">
        <v>976</v>
      </c>
      <c r="E248" t="s">
        <v>240</v>
      </c>
      <c r="F248" t="s">
        <v>978</v>
      </c>
      <c r="G248" s="357"/>
      <c r="H248" s="198">
        <v>8061.9395000000004</v>
      </c>
      <c r="I248" s="198">
        <v>9024.0857070000002</v>
      </c>
      <c r="J248" s="198">
        <v>0</v>
      </c>
      <c r="K248" s="198">
        <v>0</v>
      </c>
      <c r="L248" s="198">
        <v>61.624000000000009</v>
      </c>
      <c r="M248" s="198">
        <v>0</v>
      </c>
      <c r="N248" s="198">
        <v>0</v>
      </c>
      <c r="O248" s="198">
        <v>35.823437671406367</v>
      </c>
      <c r="P248" s="198">
        <v>0</v>
      </c>
      <c r="Q248" s="198">
        <v>0</v>
      </c>
      <c r="R248" s="198">
        <v>7.3665430727120906</v>
      </c>
      <c r="S248" s="198">
        <v>2483.17</v>
      </c>
      <c r="T248" s="198">
        <v>86.5</v>
      </c>
      <c r="U248" s="198">
        <v>231.5876491868263</v>
      </c>
      <c r="V248" s="198">
        <v>241.35475916871223</v>
      </c>
      <c r="W248" s="198">
        <v>0</v>
      </c>
      <c r="X248" s="198">
        <v>0</v>
      </c>
      <c r="Y248" s="198">
        <v>148</v>
      </c>
      <c r="Z248" s="271">
        <v>20381.451596099654</v>
      </c>
      <c r="AA248" s="272">
        <v>44.634228765867768</v>
      </c>
      <c r="AB248" s="198">
        <v>2.7602526896177406</v>
      </c>
      <c r="AC248" s="272">
        <v>0</v>
      </c>
      <c r="AD248" s="198">
        <v>0</v>
      </c>
      <c r="AE248" s="198">
        <v>2.7602526896177406</v>
      </c>
      <c r="AF248" s="198">
        <v>0</v>
      </c>
      <c r="AG248" s="198">
        <v>0</v>
      </c>
      <c r="AH248" s="198">
        <v>0</v>
      </c>
      <c r="AI248" s="198">
        <v>0</v>
      </c>
      <c r="AJ248" s="198">
        <v>0</v>
      </c>
      <c r="AK248" s="198">
        <v>0</v>
      </c>
      <c r="AL248" s="198">
        <v>0</v>
      </c>
      <c r="AM248" s="198">
        <v>0</v>
      </c>
      <c r="AN248" s="198">
        <v>0</v>
      </c>
      <c r="AO248" s="198">
        <v>0</v>
      </c>
      <c r="AP248" s="198">
        <v>0</v>
      </c>
      <c r="AQ248" s="198">
        <v>0</v>
      </c>
      <c r="AS248" s="258">
        <f t="shared" si="25"/>
        <v>27341.717316167684</v>
      </c>
      <c r="AT248" s="3">
        <f t="shared" si="26"/>
        <v>5.2698372021899802</v>
      </c>
      <c r="AU248" s="3">
        <f t="shared" si="27"/>
        <v>1.7689900077277523</v>
      </c>
      <c r="AV248" s="95">
        <f t="shared" si="28"/>
        <v>0</v>
      </c>
      <c r="AW248" s="95">
        <f t="shared" si="29"/>
        <v>0</v>
      </c>
      <c r="AX248" s="95">
        <f t="shared" si="32"/>
        <v>1.7689900077277523</v>
      </c>
      <c r="AY248" s="102">
        <f t="shared" si="30"/>
        <v>1</v>
      </c>
      <c r="AZ248" s="102">
        <f t="shared" si="31"/>
        <v>0</v>
      </c>
    </row>
    <row r="249" spans="1:52" x14ac:dyDescent="0.35">
      <c r="A249" t="s">
        <v>985</v>
      </c>
      <c r="B249">
        <v>2045</v>
      </c>
      <c r="C249" t="s">
        <v>837</v>
      </c>
      <c r="D249" t="s">
        <v>976</v>
      </c>
      <c r="E249" t="s">
        <v>986</v>
      </c>
      <c r="F249" t="s">
        <v>978</v>
      </c>
      <c r="G249" s="357"/>
      <c r="H249" s="198">
        <v>8061.9395000000004</v>
      </c>
      <c r="I249" s="198">
        <v>5049.8929500000004</v>
      </c>
      <c r="J249" s="198">
        <v>0</v>
      </c>
      <c r="K249" s="198">
        <v>0</v>
      </c>
      <c r="L249" s="198">
        <v>61.624000000000009</v>
      </c>
      <c r="M249" s="198">
        <v>0</v>
      </c>
      <c r="N249" s="198">
        <v>0</v>
      </c>
      <c r="O249" s="198">
        <v>35.823437671406367</v>
      </c>
      <c r="P249" s="198">
        <v>0</v>
      </c>
      <c r="Q249" s="198">
        <v>0</v>
      </c>
      <c r="R249" s="198">
        <v>7.3665430727120906</v>
      </c>
      <c r="S249" s="198">
        <v>2483.17</v>
      </c>
      <c r="T249" s="198">
        <v>86.5</v>
      </c>
      <c r="U249" s="198">
        <v>231.5876491868263</v>
      </c>
      <c r="V249" s="198">
        <v>241.70791457804089</v>
      </c>
      <c r="W249" s="198">
        <v>0</v>
      </c>
      <c r="X249" s="198">
        <v>0</v>
      </c>
      <c r="Y249" s="198">
        <v>148</v>
      </c>
      <c r="Z249" s="271">
        <v>16407.611994508989</v>
      </c>
      <c r="AA249" s="272">
        <v>43.102821531438678</v>
      </c>
      <c r="AB249" s="198">
        <v>2.8583221613494176</v>
      </c>
      <c r="AC249" s="272">
        <v>0</v>
      </c>
      <c r="AD249" s="198">
        <v>0</v>
      </c>
      <c r="AE249" s="198">
        <v>2.8583221613494176</v>
      </c>
      <c r="AF249" s="198">
        <v>213.9612348717117</v>
      </c>
      <c r="AG249" s="198">
        <v>9.4061130607778029E-2</v>
      </c>
      <c r="AH249" s="198">
        <v>4.9700277075770763E-4</v>
      </c>
      <c r="AI249" s="198">
        <v>216.91477450333008</v>
      </c>
      <c r="AJ249" s="198">
        <v>9.1271958691149263E-2</v>
      </c>
      <c r="AK249" s="198">
        <v>2.1298999338375864</v>
      </c>
      <c r="AL249" s="198">
        <v>9.971983588276967E-2</v>
      </c>
      <c r="AM249" s="198">
        <v>1.7924232147518718E-2</v>
      </c>
      <c r="AN249" s="198">
        <v>7.369973892192831E-3</v>
      </c>
      <c r="AO249" s="198">
        <v>1.4756825605083998E-3</v>
      </c>
      <c r="AP249" s="198">
        <v>1.2245898202580664E-3</v>
      </c>
      <c r="AQ249" s="198">
        <v>1.1631433254266734E-3</v>
      </c>
      <c r="AS249" s="258">
        <f t="shared" si="25"/>
        <v>22010.811490633805</v>
      </c>
      <c r="AT249" s="3">
        <f t="shared" si="26"/>
        <v>5.4570701147688228</v>
      </c>
      <c r="AU249" s="3">
        <f t="shared" si="27"/>
        <v>1.8318407446218816</v>
      </c>
      <c r="AV249" s="95">
        <f t="shared" si="28"/>
        <v>0</v>
      </c>
      <c r="AW249" s="95">
        <f t="shared" si="29"/>
        <v>0</v>
      </c>
      <c r="AX249" s="95">
        <f t="shared" si="32"/>
        <v>1.8318407446218816</v>
      </c>
      <c r="AY249" s="102">
        <f t="shared" si="30"/>
        <v>1</v>
      </c>
      <c r="AZ249" s="102">
        <f t="shared" si="31"/>
        <v>0</v>
      </c>
    </row>
    <row r="250" spans="1:52" x14ac:dyDescent="0.35">
      <c r="A250" t="s">
        <v>987</v>
      </c>
      <c r="B250">
        <v>2045</v>
      </c>
      <c r="C250" t="s">
        <v>837</v>
      </c>
      <c r="D250" t="s">
        <v>976</v>
      </c>
      <c r="E250" t="s">
        <v>986</v>
      </c>
      <c r="F250" t="s">
        <v>978</v>
      </c>
      <c r="G250" s="357">
        <v>12326.364</v>
      </c>
      <c r="H250" s="198">
        <v>8061.9395000000004</v>
      </c>
      <c r="I250" s="198">
        <v>4563.2020810000004</v>
      </c>
      <c r="J250" s="198">
        <v>0</v>
      </c>
      <c r="K250" s="198">
        <v>0</v>
      </c>
      <c r="L250" s="198">
        <v>61.624000000000009</v>
      </c>
      <c r="M250" s="198">
        <v>1116.9291720000001</v>
      </c>
      <c r="N250" s="198">
        <v>13.33</v>
      </c>
      <c r="O250" s="198">
        <v>0</v>
      </c>
      <c r="P250" s="198">
        <v>194.79599999999999</v>
      </c>
      <c r="Q250" s="198">
        <v>120.01500000000001</v>
      </c>
      <c r="R250" s="198">
        <v>0</v>
      </c>
      <c r="S250" s="198">
        <v>859.44373140000005</v>
      </c>
      <c r="T250" s="198">
        <v>0</v>
      </c>
      <c r="U250" s="198">
        <v>231.5876491868263</v>
      </c>
      <c r="V250" s="198">
        <v>531.88168934304997</v>
      </c>
      <c r="W250" s="198">
        <v>5.2618421052631588</v>
      </c>
      <c r="X250" s="198">
        <v>0</v>
      </c>
      <c r="Y250" s="198">
        <v>148</v>
      </c>
      <c r="Z250" s="271">
        <v>15908.010665035139</v>
      </c>
      <c r="AA250" s="272">
        <v>336.20175974809382</v>
      </c>
      <c r="AB250" s="198">
        <v>0.36645182967605966</v>
      </c>
      <c r="AC250" s="272">
        <v>168.81275387571429</v>
      </c>
      <c r="AD250" s="198">
        <v>0.60772591395257147</v>
      </c>
      <c r="AE250" s="198">
        <v>0.97417774362863119</v>
      </c>
      <c r="AF250" s="198">
        <v>27.430947798225827</v>
      </c>
      <c r="AG250" s="198">
        <v>1.2059128211197255E-2</v>
      </c>
      <c r="AH250" s="198">
        <v>6.3718350982609515E-5</v>
      </c>
      <c r="AI250" s="198">
        <v>27.809607004897035</v>
      </c>
      <c r="AJ250" s="198">
        <v>1.1701541804055816E-2</v>
      </c>
      <c r="AK250" s="198">
        <v>0.27306429566820561</v>
      </c>
      <c r="AL250" s="198">
        <v>1.2784603782026293E-2</v>
      </c>
      <c r="AM250" s="198">
        <v>1.1282833340330613E-2</v>
      </c>
      <c r="AN250" s="198">
        <v>3.2409982870190718E-3</v>
      </c>
      <c r="AO250" s="198">
        <v>1.8919021152747145E-4</v>
      </c>
      <c r="AP250" s="198">
        <v>4.8529147115376411E-4</v>
      </c>
      <c r="AQ250" s="198">
        <v>5.5956255306540467E-4</v>
      </c>
      <c r="AS250" s="258">
        <f t="shared" si="25"/>
        <v>21340.596307144639</v>
      </c>
      <c r="AT250" s="3">
        <f t="shared" si="26"/>
        <v>0.69962489017805252</v>
      </c>
      <c r="AU250" s="3">
        <f t="shared" si="27"/>
        <v>0.23485155089198595</v>
      </c>
      <c r="AV250" s="95">
        <f t="shared" si="28"/>
        <v>10.489564285714286</v>
      </c>
      <c r="AW250" s="95">
        <f t="shared" si="29"/>
        <v>0.3776243142857143</v>
      </c>
      <c r="AX250" s="95">
        <f t="shared" si="32"/>
        <v>0.61247586517770025</v>
      </c>
      <c r="AY250" s="102">
        <f t="shared" si="30"/>
        <v>0.38344621273174162</v>
      </c>
      <c r="AZ250" s="102">
        <f t="shared" si="31"/>
        <v>0.61655378726825838</v>
      </c>
    </row>
    <row r="251" spans="1:52" x14ac:dyDescent="0.35">
      <c r="A251" t="s">
        <v>988</v>
      </c>
      <c r="B251">
        <v>2045</v>
      </c>
      <c r="C251" t="s">
        <v>837</v>
      </c>
      <c r="D251" t="s">
        <v>976</v>
      </c>
      <c r="E251" t="s">
        <v>989</v>
      </c>
      <c r="F251" t="s">
        <v>978</v>
      </c>
      <c r="G251" s="357">
        <v>1263.5999999999999</v>
      </c>
      <c r="H251" s="198">
        <v>8061.9395000000004</v>
      </c>
      <c r="I251" s="198">
        <v>0</v>
      </c>
      <c r="J251" s="198">
        <v>3070.2999999999997</v>
      </c>
      <c r="K251" s="198">
        <v>2122.9023999999999</v>
      </c>
      <c r="L251" s="198">
        <v>61.624000000000009</v>
      </c>
      <c r="M251" s="198">
        <v>618.9771978</v>
      </c>
      <c r="N251" s="198">
        <v>0</v>
      </c>
      <c r="O251" s="198">
        <v>0</v>
      </c>
      <c r="P251" s="198">
        <v>188.13825</v>
      </c>
      <c r="Q251" s="198">
        <v>0</v>
      </c>
      <c r="R251" s="198">
        <v>0</v>
      </c>
      <c r="S251" s="198">
        <v>0</v>
      </c>
      <c r="T251" s="198">
        <v>0</v>
      </c>
      <c r="U251" s="198">
        <v>231.5876491868263</v>
      </c>
      <c r="V251" s="198">
        <v>514.47197628058211</v>
      </c>
      <c r="W251" s="198">
        <v>3.8586842105263162</v>
      </c>
      <c r="X251" s="198">
        <v>163.8469053</v>
      </c>
      <c r="Y251" s="198">
        <v>148</v>
      </c>
      <c r="Z251" s="271">
        <v>15185.646562777934</v>
      </c>
      <c r="AA251" s="272">
        <v>92.21512462167037</v>
      </c>
      <c r="AB251" s="198">
        <v>1.3360254134607312</v>
      </c>
      <c r="AC251" s="272">
        <v>0</v>
      </c>
      <c r="AD251" s="198">
        <v>0</v>
      </c>
      <c r="AE251" s="198">
        <v>1.3360254134607312</v>
      </c>
      <c r="AF251" s="198">
        <v>0</v>
      </c>
      <c r="AG251" s="198">
        <v>0</v>
      </c>
      <c r="AH251" s="198">
        <v>0</v>
      </c>
      <c r="AI251" s="198">
        <v>0</v>
      </c>
      <c r="AJ251" s="198">
        <v>0</v>
      </c>
      <c r="AK251" s="198">
        <v>0</v>
      </c>
      <c r="AL251" s="198">
        <v>0</v>
      </c>
      <c r="AM251" s="198">
        <v>1.2489944832951553E-2</v>
      </c>
      <c r="AN251" s="198">
        <v>3.1918747906431798E-3</v>
      </c>
      <c r="AO251" s="198">
        <v>0</v>
      </c>
      <c r="AP251" s="198">
        <v>4.5636329745283292E-4</v>
      </c>
      <c r="AQ251" s="198">
        <v>5.7055932318973257E-4</v>
      </c>
      <c r="AS251" s="258">
        <f t="shared" si="25"/>
        <v>20371.544863966599</v>
      </c>
      <c r="AT251" s="3">
        <f t="shared" si="26"/>
        <v>2.5507216978390663</v>
      </c>
      <c r="AU251" s="3">
        <f t="shared" si="27"/>
        <v>0.85623161074056431</v>
      </c>
      <c r="AV251" s="95">
        <f t="shared" si="28"/>
        <v>0</v>
      </c>
      <c r="AW251" s="95">
        <f t="shared" si="29"/>
        <v>0</v>
      </c>
      <c r="AX251" s="95">
        <f t="shared" si="32"/>
        <v>0.85623161074056431</v>
      </c>
      <c r="AY251" s="102">
        <f t="shared" si="30"/>
        <v>1</v>
      </c>
      <c r="AZ251" s="102">
        <f t="shared" si="31"/>
        <v>0</v>
      </c>
    </row>
    <row r="252" spans="1:52" x14ac:dyDescent="0.35">
      <c r="A252" t="s">
        <v>990</v>
      </c>
      <c r="B252">
        <v>2045</v>
      </c>
      <c r="C252" t="s">
        <v>837</v>
      </c>
      <c r="D252" t="s">
        <v>976</v>
      </c>
      <c r="E252" t="s">
        <v>989</v>
      </c>
      <c r="F252" t="s">
        <v>978</v>
      </c>
      <c r="G252" s="357">
        <v>1263.5999999999999</v>
      </c>
      <c r="H252" s="198">
        <v>8061.9395000000004</v>
      </c>
      <c r="I252" s="198">
        <v>0</v>
      </c>
      <c r="J252" s="198">
        <v>3119.05</v>
      </c>
      <c r="K252" s="198">
        <v>2479.1544000000004</v>
      </c>
      <c r="L252" s="198">
        <v>61.624000000000009</v>
      </c>
      <c r="M252" s="198">
        <v>618.9771978</v>
      </c>
      <c r="N252" s="198">
        <v>0</v>
      </c>
      <c r="O252" s="198">
        <v>0</v>
      </c>
      <c r="P252" s="198">
        <v>191.57624999999999</v>
      </c>
      <c r="Q252" s="198">
        <v>0</v>
      </c>
      <c r="R252" s="198">
        <v>0</v>
      </c>
      <c r="S252" s="198">
        <v>0</v>
      </c>
      <c r="T252" s="198">
        <v>0</v>
      </c>
      <c r="U252" s="198">
        <v>231.5876491868263</v>
      </c>
      <c r="V252" s="198">
        <v>514.47197628058211</v>
      </c>
      <c r="W252" s="198">
        <v>3.8586842105263162</v>
      </c>
      <c r="X252" s="198">
        <v>163.8469053</v>
      </c>
      <c r="Y252" s="198">
        <v>148</v>
      </c>
      <c r="Z252" s="271">
        <v>15594.086562777935</v>
      </c>
      <c r="AA252" s="272">
        <v>91.143152511482143</v>
      </c>
      <c r="AB252" s="198">
        <v>1.3517389579483676</v>
      </c>
      <c r="AC252" s="272">
        <v>0</v>
      </c>
      <c r="AD252" s="198">
        <v>0</v>
      </c>
      <c r="AE252" s="198">
        <v>1.3517389579483676</v>
      </c>
      <c r="AF252" s="198">
        <v>0</v>
      </c>
      <c r="AG252" s="198">
        <v>0</v>
      </c>
      <c r="AH252" s="198">
        <v>0</v>
      </c>
      <c r="AI252" s="198">
        <v>0</v>
      </c>
      <c r="AJ252" s="198">
        <v>0</v>
      </c>
      <c r="AK252" s="198">
        <v>0</v>
      </c>
      <c r="AL252" s="198">
        <v>0</v>
      </c>
      <c r="AM252" s="198">
        <v>1.2636844212112558E-2</v>
      </c>
      <c r="AN252" s="198">
        <v>3.229415743095437E-3</v>
      </c>
      <c r="AO252" s="198">
        <v>0</v>
      </c>
      <c r="AP252" s="198">
        <v>4.6173077392805515E-4</v>
      </c>
      <c r="AQ252" s="198">
        <v>5.77269906100393E-4</v>
      </c>
      <c r="AS252" s="258">
        <f t="shared" si="25"/>
        <v>20919.467123966599</v>
      </c>
      <c r="AT252" s="3">
        <f t="shared" si="26"/>
        <v>2.5807217850161144</v>
      </c>
      <c r="AU252" s="3">
        <f t="shared" si="27"/>
        <v>0.86630210294193721</v>
      </c>
      <c r="AV252" s="95">
        <f t="shared" si="28"/>
        <v>0</v>
      </c>
      <c r="AW252" s="95">
        <f t="shared" si="29"/>
        <v>0</v>
      </c>
      <c r="AX252" s="95">
        <f t="shared" si="32"/>
        <v>0.86630210294193721</v>
      </c>
      <c r="AY252" s="102">
        <f t="shared" si="30"/>
        <v>1</v>
      </c>
      <c r="AZ252" s="102">
        <f t="shared" si="31"/>
        <v>0</v>
      </c>
    </row>
    <row r="253" spans="1:52" x14ac:dyDescent="0.35">
      <c r="A253" t="s">
        <v>991</v>
      </c>
      <c r="B253">
        <v>2045</v>
      </c>
      <c r="C253" t="s">
        <v>837</v>
      </c>
      <c r="D253" t="s">
        <v>976</v>
      </c>
      <c r="E253" t="s">
        <v>986</v>
      </c>
      <c r="F253" t="s">
        <v>978</v>
      </c>
      <c r="G253" s="357">
        <v>1404</v>
      </c>
      <c r="H253" s="198">
        <v>8061.9395000000004</v>
      </c>
      <c r="I253" s="198">
        <v>4563.2020808156503</v>
      </c>
      <c r="J253" s="198">
        <v>0</v>
      </c>
      <c r="K253" s="198">
        <v>0</v>
      </c>
      <c r="L253" s="198">
        <v>61.624000000000009</v>
      </c>
      <c r="M253" s="198">
        <v>687.75244199999997</v>
      </c>
      <c r="N253" s="198">
        <v>0</v>
      </c>
      <c r="O253" s="198">
        <v>0</v>
      </c>
      <c r="P253" s="198">
        <v>142.51949999999999</v>
      </c>
      <c r="Q253" s="198">
        <v>105.714</v>
      </c>
      <c r="R253" s="198">
        <v>0</v>
      </c>
      <c r="S253" s="198">
        <v>769.07100274792106</v>
      </c>
      <c r="T253" s="198">
        <v>0</v>
      </c>
      <c r="U253" s="198">
        <v>231.5876491868263</v>
      </c>
      <c r="V253" s="198">
        <v>534.12726163157231</v>
      </c>
      <c r="W253" s="198">
        <v>3.8586842105263162</v>
      </c>
      <c r="X253" s="198">
        <v>182.05211700000001</v>
      </c>
      <c r="Y253" s="198">
        <v>148</v>
      </c>
      <c r="Z253" s="271">
        <v>15491.448237592496</v>
      </c>
      <c r="AA253" s="272">
        <v>62.579259563314949</v>
      </c>
      <c r="AB253" s="198">
        <v>1.9687313474099177</v>
      </c>
      <c r="AC253" s="272">
        <v>0</v>
      </c>
      <c r="AD253" s="198">
        <v>0</v>
      </c>
      <c r="AE253" s="198">
        <v>1.9687313474099177</v>
      </c>
      <c r="AF253" s="198">
        <v>147.37043847556029</v>
      </c>
      <c r="AG253" s="198">
        <v>6.478664263405734E-2</v>
      </c>
      <c r="AH253" s="198">
        <v>3.4232143170255861E-4</v>
      </c>
      <c r="AI253" s="198">
        <v>149.40475291961144</v>
      </c>
      <c r="AJ253" s="198">
        <v>6.2865540016642768E-2</v>
      </c>
      <c r="AK253" s="198">
        <v>1.4670147484749412</v>
      </c>
      <c r="AL253" s="198">
        <v>6.8684198553845777E-2</v>
      </c>
      <c r="AM253" s="198">
        <v>1.2345703428480287E-2</v>
      </c>
      <c r="AN253" s="198">
        <v>5.0762292744155734E-3</v>
      </c>
      <c r="AO253" s="198">
        <v>1.0164083513691333E-3</v>
      </c>
      <c r="AP253" s="198">
        <v>8.4346278367829208E-4</v>
      </c>
      <c r="AQ253" s="198">
        <v>8.0114017841048212E-4</v>
      </c>
      <c r="AS253" s="258">
        <f t="shared" si="25"/>
        <v>20781.777810730331</v>
      </c>
      <c r="AT253" s="3">
        <f t="shared" si="26"/>
        <v>3.7586753324150122</v>
      </c>
      <c r="AU253" s="3">
        <f t="shared" si="27"/>
        <v>1.261720020985051</v>
      </c>
      <c r="AV253" s="95">
        <f t="shared" si="28"/>
        <v>0</v>
      </c>
      <c r="AW253" s="95">
        <f t="shared" si="29"/>
        <v>0</v>
      </c>
      <c r="AX253" s="95">
        <f t="shared" si="32"/>
        <v>1.261720020985051</v>
      </c>
      <c r="AY253" s="102">
        <f t="shared" si="30"/>
        <v>1</v>
      </c>
      <c r="AZ253" s="102">
        <f t="shared" si="31"/>
        <v>0</v>
      </c>
    </row>
    <row r="254" spans="1:52" x14ac:dyDescent="0.35">
      <c r="A254" t="s">
        <v>992</v>
      </c>
      <c r="B254">
        <v>2045</v>
      </c>
      <c r="C254" t="s">
        <v>837</v>
      </c>
      <c r="D254" t="s">
        <v>976</v>
      </c>
      <c r="E254" t="s">
        <v>986</v>
      </c>
      <c r="F254" t="s">
        <v>978</v>
      </c>
      <c r="G254" s="357">
        <v>5410.0655999999999</v>
      </c>
      <c r="H254" s="198">
        <v>8061.9395000000004</v>
      </c>
      <c r="I254" s="198">
        <v>4563.2020808156503</v>
      </c>
      <c r="J254" s="198">
        <v>0</v>
      </c>
      <c r="K254" s="198">
        <v>0</v>
      </c>
      <c r="L254" s="198">
        <v>61.624000000000009</v>
      </c>
      <c r="M254" s="198">
        <v>1116.9291720000001</v>
      </c>
      <c r="N254" s="198">
        <v>13.33</v>
      </c>
      <c r="O254" s="198">
        <v>0</v>
      </c>
      <c r="P254" s="198">
        <v>143.84025</v>
      </c>
      <c r="Q254" s="198">
        <v>107.991</v>
      </c>
      <c r="R254" s="198">
        <v>0</v>
      </c>
      <c r="S254" s="198">
        <v>773.60734560762899</v>
      </c>
      <c r="T254" s="198">
        <v>0</v>
      </c>
      <c r="U254" s="198">
        <v>231.5876491868263</v>
      </c>
      <c r="V254" s="198">
        <v>534.55059117491726</v>
      </c>
      <c r="W254" s="198">
        <v>3.8586842105263162</v>
      </c>
      <c r="X254" s="198">
        <v>187.27737300000001</v>
      </c>
      <c r="Y254" s="198">
        <v>148</v>
      </c>
      <c r="Z254" s="271">
        <v>15947.737645995549</v>
      </c>
      <c r="AA254" s="272">
        <v>138.59436448820915</v>
      </c>
      <c r="AB254" s="198">
        <v>0.88893765958630544</v>
      </c>
      <c r="AC254" s="272">
        <v>116.69872281952382</v>
      </c>
      <c r="AD254" s="198">
        <v>0.42011540215028575</v>
      </c>
      <c r="AE254" s="198">
        <v>1.3090530617365912</v>
      </c>
      <c r="AF254" s="198">
        <v>66.541904177541127</v>
      </c>
      <c r="AG254" s="198">
        <v>2.9252994092536264E-2</v>
      </c>
      <c r="AH254" s="198">
        <v>1.5456776909873913E-4</v>
      </c>
      <c r="AI254" s="198">
        <v>67.460454452639141</v>
      </c>
      <c r="AJ254" s="198">
        <v>2.8385562146173264E-2</v>
      </c>
      <c r="AK254" s="198">
        <v>0.66239848255759903</v>
      </c>
      <c r="AL254" s="198">
        <v>3.1012850378667765E-2</v>
      </c>
      <c r="AM254" s="198">
        <v>5.57443285804238E-3</v>
      </c>
      <c r="AN254" s="198">
        <v>2.2920605072190752E-3</v>
      </c>
      <c r="AO254" s="198">
        <v>4.5893700135304753E-4</v>
      </c>
      <c r="AP254" s="198">
        <v>3.80847205921497E-4</v>
      </c>
      <c r="AQ254" s="198">
        <v>3.6173735747830634E-4</v>
      </c>
      <c r="AS254" s="258">
        <f t="shared" si="25"/>
        <v>21393.890052103026</v>
      </c>
      <c r="AT254" s="3">
        <f t="shared" si="26"/>
        <v>1.6971477888730386</v>
      </c>
      <c r="AU254" s="3">
        <f t="shared" si="27"/>
        <v>0.56970213024911243</v>
      </c>
      <c r="AV254" s="95">
        <f t="shared" si="28"/>
        <v>7.2513404761904763</v>
      </c>
      <c r="AW254" s="95">
        <f t="shared" si="29"/>
        <v>0.26104825714285718</v>
      </c>
      <c r="AX254" s="95">
        <f t="shared" si="32"/>
        <v>0.8307503873919696</v>
      </c>
      <c r="AY254" s="102">
        <f t="shared" si="30"/>
        <v>0.68576811867354825</v>
      </c>
      <c r="AZ254" s="102">
        <f t="shared" si="31"/>
        <v>0.31423188132645169</v>
      </c>
    </row>
    <row r="255" spans="1:52" x14ac:dyDescent="0.35">
      <c r="A255" t="s">
        <v>975</v>
      </c>
      <c r="B255">
        <v>2045</v>
      </c>
      <c r="C255" t="s">
        <v>837</v>
      </c>
      <c r="D255" t="s">
        <v>993</v>
      </c>
      <c r="E255" t="s">
        <v>977</v>
      </c>
      <c r="F255" t="s">
        <v>978</v>
      </c>
      <c r="G255" s="357">
        <v>34640.892</v>
      </c>
      <c r="H255" s="198">
        <v>10803.855</v>
      </c>
      <c r="I255" s="198">
        <v>0</v>
      </c>
      <c r="J255" s="198">
        <v>0</v>
      </c>
      <c r="K255" s="198">
        <v>0</v>
      </c>
      <c r="L255" s="198">
        <v>61.624000000000009</v>
      </c>
      <c r="M255" s="198">
        <v>2424.8624399999999</v>
      </c>
      <c r="N255" s="198">
        <v>13.33</v>
      </c>
      <c r="O255" s="198">
        <v>0</v>
      </c>
      <c r="P255" s="198">
        <v>232.89974999999998</v>
      </c>
      <c r="Q255" s="198">
        <v>0</v>
      </c>
      <c r="R255" s="198">
        <v>0</v>
      </c>
      <c r="S255" s="198">
        <v>0</v>
      </c>
      <c r="T255" s="198">
        <v>0</v>
      </c>
      <c r="U255" s="198">
        <v>231.5876491868263</v>
      </c>
      <c r="V255" s="198">
        <v>514.47197628058211</v>
      </c>
      <c r="W255" s="198">
        <v>5.2618421052631588</v>
      </c>
      <c r="X255" s="198">
        <v>0</v>
      </c>
      <c r="Y255" s="198">
        <v>148</v>
      </c>
      <c r="Z255" s="271">
        <v>14435.892657572671</v>
      </c>
      <c r="AA255" s="272">
        <v>0</v>
      </c>
      <c r="AB255" s="198">
        <v>0</v>
      </c>
      <c r="AC255" s="272">
        <v>173.78605200036444</v>
      </c>
      <c r="AD255" s="198">
        <v>0.6256297872013119</v>
      </c>
      <c r="AE255" s="198">
        <v>0.6256297872013119</v>
      </c>
      <c r="AF255" s="198">
        <v>0</v>
      </c>
      <c r="AG255" s="198">
        <v>0</v>
      </c>
      <c r="AH255" s="198">
        <v>0</v>
      </c>
      <c r="AI255" s="198">
        <v>0</v>
      </c>
      <c r="AJ255" s="198">
        <v>0</v>
      </c>
      <c r="AK255" s="198">
        <v>0</v>
      </c>
      <c r="AL255" s="198">
        <v>0</v>
      </c>
      <c r="AM255" s="198">
        <v>9.2495508972257837E-3</v>
      </c>
      <c r="AN255" s="198">
        <v>2.3637741181799163E-3</v>
      </c>
      <c r="AO255" s="198">
        <v>0</v>
      </c>
      <c r="AP255" s="198">
        <v>3.3796430679816056E-4</v>
      </c>
      <c r="AQ255" s="198">
        <v>4.225332914046953E-4</v>
      </c>
      <c r="AS255" s="258">
        <f t="shared" si="25"/>
        <v>19365.750000133736</v>
      </c>
      <c r="AT255" s="3">
        <f t="shared" si="26"/>
        <v>0</v>
      </c>
      <c r="AU255" s="3">
        <f t="shared" si="27"/>
        <v>0</v>
      </c>
      <c r="AV255" s="95">
        <f t="shared" si="28"/>
        <v>10.798591472303206</v>
      </c>
      <c r="AW255" s="95">
        <f t="shared" si="29"/>
        <v>0.38874929300291539</v>
      </c>
      <c r="AX255" s="95">
        <f t="shared" si="32"/>
        <v>0.38874929300291539</v>
      </c>
      <c r="AY255" s="102">
        <f t="shared" si="30"/>
        <v>0</v>
      </c>
      <c r="AZ255" s="102">
        <f t="shared" si="31"/>
        <v>1</v>
      </c>
    </row>
    <row r="256" spans="1:52" x14ac:dyDescent="0.35">
      <c r="A256" t="s">
        <v>979</v>
      </c>
      <c r="B256">
        <v>2045</v>
      </c>
      <c r="C256" t="s">
        <v>837</v>
      </c>
      <c r="D256" t="s">
        <v>993</v>
      </c>
      <c r="E256" t="s">
        <v>977</v>
      </c>
      <c r="F256" t="s">
        <v>978</v>
      </c>
      <c r="G256" s="357">
        <v>53285.169600000001</v>
      </c>
      <c r="H256" s="198">
        <v>10803.855</v>
      </c>
      <c r="I256" s="198">
        <v>0</v>
      </c>
      <c r="J256" s="198">
        <v>0</v>
      </c>
      <c r="K256" s="198">
        <v>0</v>
      </c>
      <c r="L256" s="198">
        <v>61.624000000000009</v>
      </c>
      <c r="M256" s="198">
        <v>3729.9618720000003</v>
      </c>
      <c r="N256" s="198">
        <v>13.33</v>
      </c>
      <c r="O256" s="198">
        <v>0</v>
      </c>
      <c r="P256" s="198">
        <v>242.3655</v>
      </c>
      <c r="Q256" s="198">
        <v>0</v>
      </c>
      <c r="R256" s="198">
        <v>0</v>
      </c>
      <c r="S256" s="198">
        <v>0</v>
      </c>
      <c r="T256" s="198">
        <v>0</v>
      </c>
      <c r="U256" s="198">
        <v>231.5876491868263</v>
      </c>
      <c r="V256" s="198">
        <v>514.47197628058211</v>
      </c>
      <c r="W256" s="198">
        <v>5.2618421052631588</v>
      </c>
      <c r="X256" s="198">
        <v>0</v>
      </c>
      <c r="Y256" s="198">
        <v>148</v>
      </c>
      <c r="Z256" s="271">
        <v>15750.457839572669</v>
      </c>
      <c r="AA256" s="272">
        <v>0</v>
      </c>
      <c r="AB256" s="198">
        <v>0</v>
      </c>
      <c r="AC256" s="272">
        <v>179.11376177413351</v>
      </c>
      <c r="AD256" s="198">
        <v>0.6448095423868806</v>
      </c>
      <c r="AE256" s="198">
        <v>0.6448095423868806</v>
      </c>
      <c r="AF256" s="198">
        <v>0</v>
      </c>
      <c r="AG256" s="198">
        <v>0</v>
      </c>
      <c r="AH256" s="198">
        <v>0</v>
      </c>
      <c r="AI256" s="198">
        <v>0</v>
      </c>
      <c r="AJ256" s="198">
        <v>0</v>
      </c>
      <c r="AK256" s="198">
        <v>0</v>
      </c>
      <c r="AL256" s="198">
        <v>0</v>
      </c>
      <c r="AM256" s="198">
        <v>9.5331117592794366E-3</v>
      </c>
      <c r="AN256" s="198">
        <v>2.4362396718158497E-3</v>
      </c>
      <c r="AO256" s="198">
        <v>0</v>
      </c>
      <c r="AP256" s="198">
        <v>3.4832518282813032E-4</v>
      </c>
      <c r="AQ256" s="198">
        <v>4.3548677484279589E-4</v>
      </c>
      <c r="AS256" s="258">
        <f t="shared" si="25"/>
        <v>21129.239191786735</v>
      </c>
      <c r="AT256" s="3">
        <f t="shared" si="26"/>
        <v>0</v>
      </c>
      <c r="AU256" s="3">
        <f t="shared" si="27"/>
        <v>0</v>
      </c>
      <c r="AV256" s="95">
        <f t="shared" si="28"/>
        <v>11.129640832523489</v>
      </c>
      <c r="AW256" s="95">
        <f t="shared" si="29"/>
        <v>0.40066706997084561</v>
      </c>
      <c r="AX256" s="95">
        <f t="shared" si="32"/>
        <v>0.40066706997084561</v>
      </c>
      <c r="AY256" s="102">
        <f t="shared" si="30"/>
        <v>0</v>
      </c>
      <c r="AZ256" s="102">
        <f t="shared" si="31"/>
        <v>1</v>
      </c>
    </row>
    <row r="257" spans="1:52" x14ac:dyDescent="0.35">
      <c r="A257" t="s">
        <v>980</v>
      </c>
      <c r="B257">
        <v>2045</v>
      </c>
      <c r="C257" t="s">
        <v>837</v>
      </c>
      <c r="D257" t="s">
        <v>993</v>
      </c>
      <c r="E257" t="s">
        <v>977</v>
      </c>
      <c r="F257" t="s">
        <v>978</v>
      </c>
      <c r="G257" s="357">
        <v>78099.171799999996</v>
      </c>
      <c r="H257" s="198">
        <v>10803.855</v>
      </c>
      <c r="I257" s="198">
        <v>0</v>
      </c>
      <c r="J257" s="198">
        <v>0</v>
      </c>
      <c r="K257" s="198">
        <v>0</v>
      </c>
      <c r="L257" s="198">
        <v>61.624000000000009</v>
      </c>
      <c r="M257" s="198">
        <v>5466.9420259999997</v>
      </c>
      <c r="N257" s="198">
        <v>13.33</v>
      </c>
      <c r="O257" s="198">
        <v>0</v>
      </c>
      <c r="P257" s="198">
        <v>254.33100000000002</v>
      </c>
      <c r="Q257" s="198">
        <v>0</v>
      </c>
      <c r="R257" s="198">
        <v>0</v>
      </c>
      <c r="S257" s="198">
        <v>0</v>
      </c>
      <c r="T257" s="198">
        <v>0</v>
      </c>
      <c r="U257" s="198">
        <v>231.5876491868263</v>
      </c>
      <c r="V257" s="198">
        <v>514.47197628058211</v>
      </c>
      <c r="W257" s="198">
        <v>5.2618421052631588</v>
      </c>
      <c r="X257" s="198">
        <v>0</v>
      </c>
      <c r="Y257" s="198">
        <v>148</v>
      </c>
      <c r="Z257" s="271">
        <v>17499.403493572674</v>
      </c>
      <c r="AA257" s="272">
        <v>0</v>
      </c>
      <c r="AB257" s="198">
        <v>0</v>
      </c>
      <c r="AC257" s="272">
        <v>195.16163679340784</v>
      </c>
      <c r="AD257" s="198">
        <v>0.70258189245626823</v>
      </c>
      <c r="AE257" s="198">
        <v>0.70258189245626823</v>
      </c>
      <c r="AF257" s="198">
        <v>0</v>
      </c>
      <c r="AG257" s="198">
        <v>0</v>
      </c>
      <c r="AH257" s="198">
        <v>0</v>
      </c>
      <c r="AI257" s="198">
        <v>0</v>
      </c>
      <c r="AJ257" s="198">
        <v>0</v>
      </c>
      <c r="AK257" s="198">
        <v>0</v>
      </c>
      <c r="AL257" s="198">
        <v>0</v>
      </c>
      <c r="AM257" s="198">
        <v>1.0387240356336149E-2</v>
      </c>
      <c r="AN257" s="198">
        <v>2.6545169799525648E-3</v>
      </c>
      <c r="AO257" s="198">
        <v>0</v>
      </c>
      <c r="AP257" s="198">
        <v>3.7953372283490368E-4</v>
      </c>
      <c r="AQ257" s="198">
        <v>4.7450464407853269E-4</v>
      </c>
      <c r="AS257" s="258">
        <f t="shared" si="25"/>
        <v>23475.449786627742</v>
      </c>
      <c r="AT257" s="3">
        <f t="shared" si="26"/>
        <v>0</v>
      </c>
      <c r="AU257" s="3">
        <f t="shared" si="27"/>
        <v>0</v>
      </c>
      <c r="AV257" s="95">
        <f t="shared" si="28"/>
        <v>12.126812034337544</v>
      </c>
      <c r="AW257" s="95">
        <f t="shared" si="29"/>
        <v>0.4365652332361516</v>
      </c>
      <c r="AX257" s="95">
        <f t="shared" si="32"/>
        <v>0.4365652332361516</v>
      </c>
      <c r="AY257" s="102">
        <f t="shared" si="30"/>
        <v>0</v>
      </c>
      <c r="AZ257" s="102">
        <f t="shared" si="31"/>
        <v>1</v>
      </c>
    </row>
    <row r="258" spans="1:52" x14ac:dyDescent="0.35">
      <c r="A258" t="s">
        <v>981</v>
      </c>
      <c r="B258">
        <v>2045</v>
      </c>
      <c r="C258" t="s">
        <v>837</v>
      </c>
      <c r="D258" t="s">
        <v>993</v>
      </c>
      <c r="E258" t="s">
        <v>977</v>
      </c>
      <c r="F258" t="s">
        <v>978</v>
      </c>
      <c r="G258" s="357">
        <v>107218.728</v>
      </c>
      <c r="H258" s="198">
        <v>10803.855</v>
      </c>
      <c r="I258" s="198">
        <v>0</v>
      </c>
      <c r="J258" s="198">
        <v>0</v>
      </c>
      <c r="K258" s="198">
        <v>0</v>
      </c>
      <c r="L258" s="198">
        <v>61.624000000000009</v>
      </c>
      <c r="M258" s="198">
        <v>7505.3109599999998</v>
      </c>
      <c r="N258" s="198">
        <v>13.33</v>
      </c>
      <c r="O258" s="198">
        <v>0</v>
      </c>
      <c r="P258" s="198">
        <v>268.77375000000001</v>
      </c>
      <c r="Q258" s="198">
        <v>0</v>
      </c>
      <c r="R258" s="198">
        <v>0</v>
      </c>
      <c r="S258" s="198">
        <v>0</v>
      </c>
      <c r="T258" s="198">
        <v>0</v>
      </c>
      <c r="U258" s="198">
        <v>231.5876491868263</v>
      </c>
      <c r="V258" s="198">
        <v>514.47197628058211</v>
      </c>
      <c r="W258" s="198">
        <v>5.2618421052631588</v>
      </c>
      <c r="X258" s="198">
        <v>0</v>
      </c>
      <c r="Y258" s="198">
        <v>148</v>
      </c>
      <c r="Z258" s="271">
        <v>19552.215177572674</v>
      </c>
      <c r="AA258" s="272">
        <v>0</v>
      </c>
      <c r="AB258" s="198">
        <v>0</v>
      </c>
      <c r="AC258" s="272">
        <v>212.90749388973924</v>
      </c>
      <c r="AD258" s="198">
        <v>0.76646697800306129</v>
      </c>
      <c r="AE258" s="198">
        <v>0.76646697800306129</v>
      </c>
      <c r="AF258" s="198">
        <v>0</v>
      </c>
      <c r="AG258" s="198">
        <v>0</v>
      </c>
      <c r="AH258" s="198">
        <v>0</v>
      </c>
      <c r="AI258" s="198">
        <v>0</v>
      </c>
      <c r="AJ258" s="198">
        <v>0</v>
      </c>
      <c r="AK258" s="198">
        <v>0</v>
      </c>
      <c r="AL258" s="198">
        <v>0</v>
      </c>
      <c r="AM258" s="198">
        <v>1.1331741980822495E-2</v>
      </c>
      <c r="AN258" s="198">
        <v>2.895889617321297E-3</v>
      </c>
      <c r="AO258" s="198">
        <v>0</v>
      </c>
      <c r="AP258" s="198">
        <v>4.1404435371158809E-4</v>
      </c>
      <c r="AQ258" s="198">
        <v>5.1765088810330957E-4</v>
      </c>
      <c r="AS258" s="258">
        <f t="shared" si="25"/>
        <v>26229.296660713742</v>
      </c>
      <c r="AT258" s="3">
        <f t="shared" si="26"/>
        <v>0</v>
      </c>
      <c r="AU258" s="3">
        <f t="shared" si="27"/>
        <v>0</v>
      </c>
      <c r="AV258" s="95">
        <f t="shared" si="28"/>
        <v>13.229491213151928</v>
      </c>
      <c r="AW258" s="95">
        <f t="shared" si="29"/>
        <v>0.47626168367346944</v>
      </c>
      <c r="AX258" s="95">
        <f t="shared" si="32"/>
        <v>0.47626168367346944</v>
      </c>
      <c r="AY258" s="102">
        <f t="shared" si="30"/>
        <v>0</v>
      </c>
      <c r="AZ258" s="102">
        <f t="shared" si="31"/>
        <v>1</v>
      </c>
    </row>
    <row r="259" spans="1:52" x14ac:dyDescent="0.35">
      <c r="A259" t="s">
        <v>982</v>
      </c>
      <c r="B259">
        <v>2045</v>
      </c>
      <c r="C259" t="s">
        <v>837</v>
      </c>
      <c r="D259" t="s">
        <v>993</v>
      </c>
      <c r="E259" t="s">
        <v>983</v>
      </c>
      <c r="F259" t="s">
        <v>978</v>
      </c>
      <c r="G259" s="357"/>
      <c r="H259" s="198">
        <v>10803.855</v>
      </c>
      <c r="I259" s="198">
        <v>7348.3674218223696</v>
      </c>
      <c r="J259" s="198">
        <v>0</v>
      </c>
      <c r="K259" s="198">
        <v>0</v>
      </c>
      <c r="L259" s="198">
        <v>61.624000000000009</v>
      </c>
      <c r="M259" s="198">
        <v>0</v>
      </c>
      <c r="N259" s="198">
        <v>0</v>
      </c>
      <c r="O259" s="198">
        <v>35.823437671406367</v>
      </c>
      <c r="P259" s="198">
        <v>0</v>
      </c>
      <c r="Q259" s="198">
        <v>0</v>
      </c>
      <c r="R259" s="198">
        <v>7.3665430727120906</v>
      </c>
      <c r="S259" s="198">
        <v>2483.17</v>
      </c>
      <c r="T259" s="198">
        <v>86.5</v>
      </c>
      <c r="U259" s="198">
        <v>231.5876491868263</v>
      </c>
      <c r="V259" s="198">
        <v>269.0959834986694</v>
      </c>
      <c r="W259" s="198">
        <v>0</v>
      </c>
      <c r="X259" s="198">
        <v>0</v>
      </c>
      <c r="Y259" s="198">
        <v>148</v>
      </c>
      <c r="Z259" s="271">
        <v>21475.390035251981</v>
      </c>
      <c r="AA259" s="272">
        <v>45.206976674579593</v>
      </c>
      <c r="AB259" s="198">
        <v>2.7252817830942844</v>
      </c>
      <c r="AC259" s="272">
        <v>0</v>
      </c>
      <c r="AD259" s="198">
        <v>0</v>
      </c>
      <c r="AE259" s="198">
        <v>2.7252817830942844</v>
      </c>
      <c r="AF259" s="198">
        <v>204.00242616771686</v>
      </c>
      <c r="AG259" s="198">
        <v>8.9683062745316913E-2</v>
      </c>
      <c r="AH259" s="198">
        <v>4.7386981621900772E-4</v>
      </c>
      <c r="AI259" s="198">
        <v>206.81849353147985</v>
      </c>
      <c r="AJ259" s="198">
        <v>8.7023712614288318E-2</v>
      </c>
      <c r="AK259" s="198">
        <v>2.0307639103777397</v>
      </c>
      <c r="AL259" s="198">
        <v>9.5078384032177624E-2</v>
      </c>
      <c r="AM259" s="198">
        <v>1.708995018410529E-2</v>
      </c>
      <c r="AN259" s="198">
        <v>7.0269390420257339E-3</v>
      </c>
      <c r="AO259" s="198">
        <v>1.4069970327924282E-3</v>
      </c>
      <c r="AP259" s="198">
        <v>1.167591384218371E-3</v>
      </c>
      <c r="AQ259" s="198">
        <v>1.1090049116144799E-3</v>
      </c>
      <c r="AS259" s="258">
        <f t="shared" ref="AS259:AS302" si="33">Z259*USD_CAD_2020</f>
        <v>28809.23573229053</v>
      </c>
      <c r="AT259" s="3">
        <f t="shared" ref="AT259:AT302" si="34">IFERROR(L_100km_to_mpg/AA259, 0)</f>
        <v>5.2030712191751665</v>
      </c>
      <c r="AU259" s="3">
        <f t="shared" ref="AU259:AU302" si="35">AT259 * GSL_PJ_ML * 10</f>
        <v>1.7465778624796515</v>
      </c>
      <c r="AV259" s="95">
        <f t="shared" ref="AV259:AV302" si="36">AC259/km_mile / 10</f>
        <v>0</v>
      </c>
      <c r="AW259" s="95">
        <f t="shared" si="29"/>
        <v>0</v>
      </c>
      <c r="AX259" s="95">
        <f t="shared" si="32"/>
        <v>1.7465778624796515</v>
      </c>
      <c r="AY259" s="102">
        <f t="shared" si="30"/>
        <v>1</v>
      </c>
      <c r="AZ259" s="102">
        <f t="shared" si="31"/>
        <v>0</v>
      </c>
    </row>
    <row r="260" spans="1:52" x14ac:dyDescent="0.35">
      <c r="A260" t="s">
        <v>984</v>
      </c>
      <c r="B260">
        <v>2045</v>
      </c>
      <c r="C260" t="s">
        <v>837</v>
      </c>
      <c r="D260" t="s">
        <v>993</v>
      </c>
      <c r="E260" t="s">
        <v>240</v>
      </c>
      <c r="F260" t="s">
        <v>978</v>
      </c>
      <c r="G260" s="357"/>
      <c r="H260" s="198">
        <v>10803.855</v>
      </c>
      <c r="I260" s="198">
        <v>9024.0857070000002</v>
      </c>
      <c r="J260" s="198">
        <v>0</v>
      </c>
      <c r="K260" s="198">
        <v>0</v>
      </c>
      <c r="L260" s="198">
        <v>61.624000000000009</v>
      </c>
      <c r="M260" s="198">
        <v>0</v>
      </c>
      <c r="N260" s="198">
        <v>0</v>
      </c>
      <c r="O260" s="198">
        <v>35.823437671406367</v>
      </c>
      <c r="P260" s="198">
        <v>0</v>
      </c>
      <c r="Q260" s="198">
        <v>0</v>
      </c>
      <c r="R260" s="198">
        <v>7.3665430727120906</v>
      </c>
      <c r="S260" s="198">
        <v>2483.17</v>
      </c>
      <c r="T260" s="198">
        <v>86.5</v>
      </c>
      <c r="U260" s="198">
        <v>231.5876491868263</v>
      </c>
      <c r="V260" s="198">
        <v>249.55044523917658</v>
      </c>
      <c r="W260" s="198">
        <v>0</v>
      </c>
      <c r="X260" s="198">
        <v>0</v>
      </c>
      <c r="Y260" s="198">
        <v>148</v>
      </c>
      <c r="Z260" s="271">
        <v>23131.56278217012</v>
      </c>
      <c r="AA260" s="272">
        <v>40.625085044200965</v>
      </c>
      <c r="AB260" s="198">
        <v>3.0326521129975199</v>
      </c>
      <c r="AC260" s="272">
        <v>0</v>
      </c>
      <c r="AD260" s="198">
        <v>0</v>
      </c>
      <c r="AE260" s="198">
        <v>3.0326521129975199</v>
      </c>
      <c r="AF260" s="198">
        <v>0</v>
      </c>
      <c r="AG260" s="198">
        <v>0</v>
      </c>
      <c r="AH260" s="198">
        <v>0</v>
      </c>
      <c r="AI260" s="198">
        <v>0</v>
      </c>
      <c r="AJ260" s="198">
        <v>0</v>
      </c>
      <c r="AK260" s="198">
        <v>0</v>
      </c>
      <c r="AL260" s="198">
        <v>0</v>
      </c>
      <c r="AM260" s="198">
        <v>0</v>
      </c>
      <c r="AN260" s="198">
        <v>0</v>
      </c>
      <c r="AO260" s="198">
        <v>0</v>
      </c>
      <c r="AP260" s="198">
        <v>0</v>
      </c>
      <c r="AQ260" s="198">
        <v>0</v>
      </c>
      <c r="AS260" s="258">
        <f t="shared" si="33"/>
        <v>31030.991472281214</v>
      </c>
      <c r="AT260" s="3">
        <f t="shared" si="34"/>
        <v>5.7898985069325777</v>
      </c>
      <c r="AU260" s="3">
        <f t="shared" si="35"/>
        <v>1.9435652775507359</v>
      </c>
      <c r="AV260" s="95">
        <f t="shared" si="36"/>
        <v>0</v>
      </c>
      <c r="AW260" s="95">
        <f t="shared" ref="AW260:AW302" si="37">AV260*3.6/100</f>
        <v>0</v>
      </c>
      <c r="AX260" s="95">
        <f t="shared" si="32"/>
        <v>1.9435652775507359</v>
      </c>
      <c r="AY260" s="102">
        <f t="shared" ref="AY260:AY302" si="38">AU260/AX260</f>
        <v>1</v>
      </c>
      <c r="AZ260" s="102">
        <f t="shared" ref="AZ260:AZ302" si="39">AW260/AX260</f>
        <v>0</v>
      </c>
    </row>
    <row r="261" spans="1:52" x14ac:dyDescent="0.35">
      <c r="A261" t="s">
        <v>985</v>
      </c>
      <c r="B261">
        <v>2045</v>
      </c>
      <c r="C261" t="s">
        <v>837</v>
      </c>
      <c r="D261" t="s">
        <v>993</v>
      </c>
      <c r="E261" t="s">
        <v>986</v>
      </c>
      <c r="F261" t="s">
        <v>978</v>
      </c>
      <c r="G261" s="357"/>
      <c r="H261" s="198">
        <v>10803.855</v>
      </c>
      <c r="I261" s="198">
        <v>5049.8929500000004</v>
      </c>
      <c r="J261" s="198">
        <v>0</v>
      </c>
      <c r="K261" s="198">
        <v>0</v>
      </c>
      <c r="L261" s="198">
        <v>61.624000000000009</v>
      </c>
      <c r="M261" s="198">
        <v>0</v>
      </c>
      <c r="N261" s="198">
        <v>0</v>
      </c>
      <c r="O261" s="198">
        <v>35.823437671406367</v>
      </c>
      <c r="P261" s="198">
        <v>0</v>
      </c>
      <c r="Q261" s="198">
        <v>0</v>
      </c>
      <c r="R261" s="198">
        <v>7.3665430727120906</v>
      </c>
      <c r="S261" s="198">
        <v>2483.17</v>
      </c>
      <c r="T261" s="198">
        <v>86.5</v>
      </c>
      <c r="U261" s="198">
        <v>231.5876491868263</v>
      </c>
      <c r="V261" s="198">
        <v>249.81547499183355</v>
      </c>
      <c r="W261" s="198">
        <v>0</v>
      </c>
      <c r="X261" s="198">
        <v>0</v>
      </c>
      <c r="Y261" s="198">
        <v>148</v>
      </c>
      <c r="Z261" s="271">
        <v>19157.635054922779</v>
      </c>
      <c r="AA261" s="272">
        <v>38.69672059258702</v>
      </c>
      <c r="AB261" s="198">
        <v>3.1837775427306183</v>
      </c>
      <c r="AC261" s="272">
        <v>0</v>
      </c>
      <c r="AD261" s="198">
        <v>0</v>
      </c>
      <c r="AE261" s="198">
        <v>3.1837775427306183</v>
      </c>
      <c r="AF261" s="198">
        <v>238.32337159568789</v>
      </c>
      <c r="AG261" s="198">
        <v>0.10477115537302319</v>
      </c>
      <c r="AH261" s="198">
        <v>5.5359269210796577E-4</v>
      </c>
      <c r="AI261" s="198">
        <v>241.61320829704559</v>
      </c>
      <c r="AJ261" s="198">
        <v>0.10166440168687282</v>
      </c>
      <c r="AK261" s="198">
        <v>2.3724154223448899</v>
      </c>
      <c r="AL261" s="198">
        <v>0.11107417433256002</v>
      </c>
      <c r="AM261" s="198">
        <v>1.9965127987888881E-2</v>
      </c>
      <c r="AN261" s="198">
        <v>8.2091367046592638E-3</v>
      </c>
      <c r="AO261" s="198">
        <v>1.6437072978952843E-3</v>
      </c>
      <c r="AP261" s="198">
        <v>1.3640245391210617E-3</v>
      </c>
      <c r="AQ261" s="198">
        <v>1.2955815997739645E-3</v>
      </c>
      <c r="AS261" s="258">
        <f t="shared" si="33"/>
        <v>25699.967426178908</v>
      </c>
      <c r="AT261" s="3">
        <f t="shared" si="34"/>
        <v>6.0784251388601485</v>
      </c>
      <c r="AU261" s="3">
        <f t="shared" si="35"/>
        <v>2.0404185026619612</v>
      </c>
      <c r="AV261" s="95">
        <f t="shared" si="36"/>
        <v>0</v>
      </c>
      <c r="AW261" s="95">
        <f t="shared" si="37"/>
        <v>0</v>
      </c>
      <c r="AX261" s="95">
        <f t="shared" si="32"/>
        <v>2.0404185026619612</v>
      </c>
      <c r="AY261" s="102">
        <f t="shared" si="38"/>
        <v>1</v>
      </c>
      <c r="AZ261" s="102">
        <f t="shared" si="39"/>
        <v>0</v>
      </c>
    </row>
    <row r="262" spans="1:52" x14ac:dyDescent="0.35">
      <c r="A262" t="s">
        <v>987</v>
      </c>
      <c r="B262">
        <v>2045</v>
      </c>
      <c r="C262" t="s">
        <v>837</v>
      </c>
      <c r="D262" t="s">
        <v>993</v>
      </c>
      <c r="E262" t="s">
        <v>986</v>
      </c>
      <c r="F262" t="s">
        <v>978</v>
      </c>
      <c r="G262" s="357">
        <v>13012.9632</v>
      </c>
      <c r="H262" s="198">
        <v>10803.855</v>
      </c>
      <c r="I262" s="198">
        <v>4563.2020810000004</v>
      </c>
      <c r="J262" s="198">
        <v>0</v>
      </c>
      <c r="K262" s="198">
        <v>0</v>
      </c>
      <c r="L262" s="198">
        <v>61.624000000000009</v>
      </c>
      <c r="M262" s="198">
        <v>1116.9291720000001</v>
      </c>
      <c r="N262" s="198">
        <v>13.33</v>
      </c>
      <c r="O262" s="198">
        <v>0</v>
      </c>
      <c r="P262" s="198">
        <v>234.83025000000001</v>
      </c>
      <c r="Q262" s="198">
        <v>148.75650000000002</v>
      </c>
      <c r="R262" s="198">
        <v>0</v>
      </c>
      <c r="S262" s="198">
        <v>904.12163710000004</v>
      </c>
      <c r="T262" s="198">
        <v>0</v>
      </c>
      <c r="U262" s="198">
        <v>231.5876491868263</v>
      </c>
      <c r="V262" s="198">
        <v>536.05101207758253</v>
      </c>
      <c r="W262" s="198">
        <v>5.2618421052631588</v>
      </c>
      <c r="X262" s="198">
        <v>0</v>
      </c>
      <c r="Y262" s="198">
        <v>148</v>
      </c>
      <c r="Z262" s="271">
        <v>18767.549143469674</v>
      </c>
      <c r="AA262" s="272">
        <v>310.1795046399593</v>
      </c>
      <c r="AB262" s="198">
        <v>0.39719500533410929</v>
      </c>
      <c r="AC262" s="272">
        <v>178.93682124043653</v>
      </c>
      <c r="AD262" s="198">
        <v>0.64417255646557148</v>
      </c>
      <c r="AE262" s="198">
        <v>1.0413675617996807</v>
      </c>
      <c r="AF262" s="198">
        <v>29.732244662736314</v>
      </c>
      <c r="AG262" s="198">
        <v>1.3070818880629869E-2</v>
      </c>
      <c r="AH262" s="198">
        <v>6.9063949771490661E-5</v>
      </c>
      <c r="AI262" s="198">
        <v>30.142671172945128</v>
      </c>
      <c r="AJ262" s="198">
        <v>1.2683233055181806E-2</v>
      </c>
      <c r="AK262" s="198">
        <v>0.29597280076446952</v>
      </c>
      <c r="AL262" s="198">
        <v>1.3857157629381464E-2</v>
      </c>
      <c r="AM262" s="198">
        <v>1.2014461653802086E-2</v>
      </c>
      <c r="AN262" s="198">
        <v>3.4579711587356034E-3</v>
      </c>
      <c r="AO262" s="198">
        <v>2.0506216913487155E-4</v>
      </c>
      <c r="AP262" s="198">
        <v>5.1815118121139084E-4</v>
      </c>
      <c r="AQ262" s="198">
        <v>5.9668800927782531E-4</v>
      </c>
      <c r="AS262" s="258">
        <f t="shared" si="33"/>
        <v>25176.667175964565</v>
      </c>
      <c r="AT262" s="3">
        <f t="shared" si="34"/>
        <v>0.75831934645215826</v>
      </c>
      <c r="AU262" s="3">
        <f t="shared" si="35"/>
        <v>0.25455422911034875</v>
      </c>
      <c r="AV262" s="95">
        <f t="shared" si="36"/>
        <v>11.118646230158731</v>
      </c>
      <c r="AW262" s="95">
        <f t="shared" si="37"/>
        <v>0.40027126428571436</v>
      </c>
      <c r="AX262" s="95">
        <f t="shared" si="32"/>
        <v>0.65482549339606311</v>
      </c>
      <c r="AY262" s="102">
        <f t="shared" si="38"/>
        <v>0.38873597878753441</v>
      </c>
      <c r="AZ262" s="102">
        <f t="shared" si="39"/>
        <v>0.61126402121246559</v>
      </c>
    </row>
    <row r="263" spans="1:52" x14ac:dyDescent="0.35">
      <c r="A263" t="s">
        <v>988</v>
      </c>
      <c r="B263">
        <v>2045</v>
      </c>
      <c r="C263" t="s">
        <v>837</v>
      </c>
      <c r="D263" t="s">
        <v>993</v>
      </c>
      <c r="E263" t="s">
        <v>989</v>
      </c>
      <c r="F263" t="s">
        <v>978</v>
      </c>
      <c r="G263" s="357">
        <v>1404</v>
      </c>
      <c r="H263" s="198">
        <v>10803.855</v>
      </c>
      <c r="I263" s="198">
        <v>0</v>
      </c>
      <c r="J263" s="198">
        <v>3857.3</v>
      </c>
      <c r="K263" s="198">
        <v>2222.7475999999997</v>
      </c>
      <c r="L263" s="198">
        <v>61.624000000000009</v>
      </c>
      <c r="M263" s="198">
        <v>687.75244199999997</v>
      </c>
      <c r="N263" s="198">
        <v>0</v>
      </c>
      <c r="O263" s="198">
        <v>0</v>
      </c>
      <c r="P263" s="198">
        <v>239.33925000000002</v>
      </c>
      <c r="Q263" s="198">
        <v>0</v>
      </c>
      <c r="R263" s="198">
        <v>0</v>
      </c>
      <c r="S263" s="198">
        <v>0</v>
      </c>
      <c r="T263" s="198">
        <v>0</v>
      </c>
      <c r="U263" s="198">
        <v>231.5876491868263</v>
      </c>
      <c r="V263" s="198">
        <v>514.47197628058211</v>
      </c>
      <c r="W263" s="198">
        <v>3.8586842105263162</v>
      </c>
      <c r="X263" s="198">
        <v>182.05211700000001</v>
      </c>
      <c r="Y263" s="198">
        <v>148</v>
      </c>
      <c r="Z263" s="271">
        <v>18952.588718677933</v>
      </c>
      <c r="AA263" s="272">
        <v>83.346041514549469</v>
      </c>
      <c r="AB263" s="198">
        <v>1.4781955778726821</v>
      </c>
      <c r="AC263" s="272">
        <v>0</v>
      </c>
      <c r="AD263" s="198">
        <v>0</v>
      </c>
      <c r="AE263" s="198">
        <v>1.4781955778726821</v>
      </c>
      <c r="AF263" s="198">
        <v>0</v>
      </c>
      <c r="AG263" s="198">
        <v>0</v>
      </c>
      <c r="AH263" s="198">
        <v>0</v>
      </c>
      <c r="AI263" s="198">
        <v>0</v>
      </c>
      <c r="AJ263" s="198">
        <v>0</v>
      </c>
      <c r="AK263" s="198">
        <v>0</v>
      </c>
      <c r="AL263" s="198">
        <v>0</v>
      </c>
      <c r="AM263" s="198">
        <v>1.3819034453932112E-2</v>
      </c>
      <c r="AN263" s="198">
        <v>3.5315310271159901E-3</v>
      </c>
      <c r="AO263" s="198">
        <v>0</v>
      </c>
      <c r="AP263" s="198">
        <v>5.0492617984770156E-4</v>
      </c>
      <c r="AQ263" s="198">
        <v>6.312741209528516E-4</v>
      </c>
      <c r="AS263" s="258">
        <f t="shared" si="33"/>
        <v>25424.897766106445</v>
      </c>
      <c r="AT263" s="3">
        <f t="shared" si="34"/>
        <v>2.8221510580123632</v>
      </c>
      <c r="AU263" s="3">
        <f t="shared" si="35"/>
        <v>0.9473455878006074</v>
      </c>
      <c r="AV263" s="95">
        <f t="shared" si="36"/>
        <v>0</v>
      </c>
      <c r="AW263" s="95">
        <f t="shared" si="37"/>
        <v>0</v>
      </c>
      <c r="AX263" s="95">
        <f t="shared" si="32"/>
        <v>0.9473455878006074</v>
      </c>
      <c r="AY263" s="102">
        <f t="shared" si="38"/>
        <v>1</v>
      </c>
      <c r="AZ263" s="102">
        <f t="shared" si="39"/>
        <v>0</v>
      </c>
    </row>
    <row r="264" spans="1:52" x14ac:dyDescent="0.35">
      <c r="A264" t="s">
        <v>990</v>
      </c>
      <c r="B264">
        <v>2045</v>
      </c>
      <c r="C264" t="s">
        <v>837</v>
      </c>
      <c r="D264" t="s">
        <v>993</v>
      </c>
      <c r="E264" t="s">
        <v>989</v>
      </c>
      <c r="F264" t="s">
        <v>978</v>
      </c>
      <c r="G264" s="357">
        <v>1404</v>
      </c>
      <c r="H264" s="198">
        <v>10803.855</v>
      </c>
      <c r="I264" s="198">
        <v>0</v>
      </c>
      <c r="J264" s="198">
        <v>3936.1</v>
      </c>
      <c r="K264" s="198">
        <v>2616.6527999999998</v>
      </c>
      <c r="L264" s="198">
        <v>61.624000000000009</v>
      </c>
      <c r="M264" s="198">
        <v>687.75244199999997</v>
      </c>
      <c r="N264" s="198">
        <v>0</v>
      </c>
      <c r="O264" s="198">
        <v>0</v>
      </c>
      <c r="P264" s="198">
        <v>247.04100000000003</v>
      </c>
      <c r="Q264" s="198">
        <v>0</v>
      </c>
      <c r="R264" s="198">
        <v>0</v>
      </c>
      <c r="S264" s="198">
        <v>0</v>
      </c>
      <c r="T264" s="198">
        <v>0</v>
      </c>
      <c r="U264" s="198">
        <v>231.5876491868263</v>
      </c>
      <c r="V264" s="198">
        <v>514.47197628058211</v>
      </c>
      <c r="W264" s="198">
        <v>3.8586842105263162</v>
      </c>
      <c r="X264" s="198">
        <v>182.05211700000001</v>
      </c>
      <c r="Y264" s="198">
        <v>148</v>
      </c>
      <c r="Z264" s="271">
        <v>19432.995668677933</v>
      </c>
      <c r="AA264" s="272">
        <v>82.28391055072089</v>
      </c>
      <c r="AB264" s="198">
        <v>1.4972763104648121</v>
      </c>
      <c r="AC264" s="272">
        <v>0</v>
      </c>
      <c r="AD264" s="198">
        <v>0</v>
      </c>
      <c r="AE264" s="198">
        <v>1.4972763104648121</v>
      </c>
      <c r="AF264" s="198">
        <v>0</v>
      </c>
      <c r="AG264" s="198">
        <v>0</v>
      </c>
      <c r="AH264" s="198">
        <v>0</v>
      </c>
      <c r="AI264" s="198">
        <v>0</v>
      </c>
      <c r="AJ264" s="198">
        <v>0</v>
      </c>
      <c r="AK264" s="198">
        <v>0</v>
      </c>
      <c r="AL264" s="198">
        <v>0</v>
      </c>
      <c r="AM264" s="198">
        <v>1.3997412271484764E-2</v>
      </c>
      <c r="AN264" s="198">
        <v>3.5771164693794454E-3</v>
      </c>
      <c r="AO264" s="198">
        <v>0</v>
      </c>
      <c r="AP264" s="198">
        <v>5.1144382985332862E-4</v>
      </c>
      <c r="AQ264" s="198">
        <v>6.3942268591579644E-4</v>
      </c>
      <c r="AS264" s="258">
        <f t="shared" si="33"/>
        <v>26069.363689531445</v>
      </c>
      <c r="AT264" s="3">
        <f t="shared" si="34"/>
        <v>2.858579735298779</v>
      </c>
      <c r="AU264" s="3">
        <f t="shared" si="35"/>
        <v>0.95957404261656043</v>
      </c>
      <c r="AV264" s="95">
        <f t="shared" si="36"/>
        <v>0</v>
      </c>
      <c r="AW264" s="95">
        <f t="shared" si="37"/>
        <v>0</v>
      </c>
      <c r="AX264" s="95">
        <f t="shared" si="32"/>
        <v>0.95957404261656043</v>
      </c>
      <c r="AY264" s="102">
        <f t="shared" si="38"/>
        <v>1</v>
      </c>
      <c r="AZ264" s="102">
        <f t="shared" si="39"/>
        <v>0</v>
      </c>
    </row>
    <row r="265" spans="1:52" x14ac:dyDescent="0.35">
      <c r="A265" t="s">
        <v>991</v>
      </c>
      <c r="B265">
        <v>2045</v>
      </c>
      <c r="C265" t="s">
        <v>837</v>
      </c>
      <c r="D265" t="s">
        <v>993</v>
      </c>
      <c r="E265" t="s">
        <v>986</v>
      </c>
      <c r="F265" t="s">
        <v>978</v>
      </c>
      <c r="G265" s="357">
        <v>1684.8</v>
      </c>
      <c r="H265" s="198">
        <v>10803.855</v>
      </c>
      <c r="I265" s="198">
        <v>4563.2020808156503</v>
      </c>
      <c r="J265" s="198">
        <v>0</v>
      </c>
      <c r="K265" s="198">
        <v>0</v>
      </c>
      <c r="L265" s="198">
        <v>61.624000000000009</v>
      </c>
      <c r="M265" s="198">
        <v>825.30293039999992</v>
      </c>
      <c r="N265" s="198">
        <v>0</v>
      </c>
      <c r="O265" s="198">
        <v>0</v>
      </c>
      <c r="P265" s="198">
        <v>175.79474999999999</v>
      </c>
      <c r="Q265" s="198">
        <v>132.14249999999998</v>
      </c>
      <c r="R265" s="198">
        <v>0</v>
      </c>
      <c r="S265" s="198">
        <v>821.72685606550397</v>
      </c>
      <c r="T265" s="198">
        <v>0</v>
      </c>
      <c r="U265" s="198">
        <v>231.5876491868263</v>
      </c>
      <c r="V265" s="198">
        <v>539.04108296931986</v>
      </c>
      <c r="W265" s="198">
        <v>3.8586842105263162</v>
      </c>
      <c r="X265" s="198">
        <v>218.46254039999999</v>
      </c>
      <c r="Y265" s="198">
        <v>148</v>
      </c>
      <c r="Z265" s="271">
        <v>18524.598074047826</v>
      </c>
      <c r="AA265" s="272">
        <v>58.306142960287083</v>
      </c>
      <c r="AB265" s="198">
        <v>2.1130149199530144</v>
      </c>
      <c r="AC265" s="272">
        <v>0</v>
      </c>
      <c r="AD265" s="198">
        <v>0</v>
      </c>
      <c r="AE265" s="198">
        <v>2.1130149199530144</v>
      </c>
      <c r="AF265" s="198">
        <v>158.17086250419703</v>
      </c>
      <c r="AG265" s="198">
        <v>6.9534699429420782E-2</v>
      </c>
      <c r="AH265" s="198">
        <v>3.674093438694942E-4</v>
      </c>
      <c r="AI265" s="198">
        <v>160.35426694778005</v>
      </c>
      <c r="AJ265" s="198">
        <v>6.7472803834220219E-2</v>
      </c>
      <c r="AK265" s="198">
        <v>1.5745287214514201</v>
      </c>
      <c r="AL265" s="198">
        <v>7.3717897822994885E-2</v>
      </c>
      <c r="AM265" s="198">
        <v>1.3250490259127426E-2</v>
      </c>
      <c r="AN265" s="198">
        <v>5.4482538758037231E-3</v>
      </c>
      <c r="AO265" s="198">
        <v>1.0908984682106784E-3</v>
      </c>
      <c r="AP265" s="198">
        <v>9.0527813694950201E-4</v>
      </c>
      <c r="AQ265" s="198">
        <v>8.5985381000930404E-4</v>
      </c>
      <c r="AS265" s="258">
        <f t="shared" si="33"/>
        <v>24850.748316335157</v>
      </c>
      <c r="AT265" s="3">
        <f t="shared" si="34"/>
        <v>4.0341395828846984</v>
      </c>
      <c r="AU265" s="3">
        <f t="shared" si="35"/>
        <v>1.3541884384846627</v>
      </c>
      <c r="AV265" s="95">
        <f t="shared" si="36"/>
        <v>0</v>
      </c>
      <c r="AW265" s="95">
        <f t="shared" si="37"/>
        <v>0</v>
      </c>
      <c r="AX265" s="95">
        <f t="shared" si="32"/>
        <v>1.3541884384846627</v>
      </c>
      <c r="AY265" s="102">
        <f t="shared" si="38"/>
        <v>1</v>
      </c>
      <c r="AZ265" s="102">
        <f t="shared" si="39"/>
        <v>0</v>
      </c>
    </row>
    <row r="266" spans="1:52" x14ac:dyDescent="0.35">
      <c r="A266" t="s">
        <v>992</v>
      </c>
      <c r="B266">
        <v>2045</v>
      </c>
      <c r="C266" t="s">
        <v>837</v>
      </c>
      <c r="D266" t="s">
        <v>993</v>
      </c>
      <c r="E266" t="s">
        <v>986</v>
      </c>
      <c r="F266" t="s">
        <v>978</v>
      </c>
      <c r="G266" s="357">
        <v>5843.5343999999996</v>
      </c>
      <c r="H266" s="198">
        <v>10803.855</v>
      </c>
      <c r="I266" s="198">
        <v>4563.2020808156503</v>
      </c>
      <c r="J266" s="198">
        <v>0</v>
      </c>
      <c r="K266" s="198">
        <v>0</v>
      </c>
      <c r="L266" s="198">
        <v>61.624000000000009</v>
      </c>
      <c r="M266" s="198">
        <v>1116.9291720000001</v>
      </c>
      <c r="N266" s="198">
        <v>13.33</v>
      </c>
      <c r="O266" s="198">
        <v>0</v>
      </c>
      <c r="P266" s="198">
        <v>179.03700000000001</v>
      </c>
      <c r="Q266" s="198">
        <v>134.946</v>
      </c>
      <c r="R266" s="198">
        <v>0</v>
      </c>
      <c r="S266" s="198">
        <v>827.31246866916899</v>
      </c>
      <c r="T266" s="198">
        <v>0</v>
      </c>
      <c r="U266" s="198">
        <v>231.5876491868263</v>
      </c>
      <c r="V266" s="198">
        <v>539.5623299089666</v>
      </c>
      <c r="W266" s="198">
        <v>3.8586842105263162</v>
      </c>
      <c r="X266" s="198">
        <v>211.882203</v>
      </c>
      <c r="Y266" s="198">
        <v>148</v>
      </c>
      <c r="Z266" s="271">
        <v>18835.126587791139</v>
      </c>
      <c r="AA266" s="272">
        <v>127.53687452516846</v>
      </c>
      <c r="AB266" s="198">
        <v>0.96600885397804748</v>
      </c>
      <c r="AC266" s="272">
        <v>125.67916891242065</v>
      </c>
      <c r="AD266" s="198">
        <v>0.45244500808471433</v>
      </c>
      <c r="AE266" s="198">
        <v>1.4184538620627618</v>
      </c>
      <c r="AF266" s="198">
        <v>72.311109674415491</v>
      </c>
      <c r="AG266" s="198">
        <v>3.1789238529852118E-2</v>
      </c>
      <c r="AH266" s="198">
        <v>1.6796884672261973E-4</v>
      </c>
      <c r="AI266" s="198">
        <v>73.309298567640681</v>
      </c>
      <c r="AJ266" s="198">
        <v>3.084659994167482E-2</v>
      </c>
      <c r="AK266" s="198">
        <v>0.71982865402513496</v>
      </c>
      <c r="AL266" s="198">
        <v>3.3701674948535425E-2</v>
      </c>
      <c r="AM266" s="198">
        <v>6.0577380637480745E-3</v>
      </c>
      <c r="AN266" s="198">
        <v>2.4907829249325138E-3</v>
      </c>
      <c r="AO266" s="198">
        <v>4.9872699389459966E-4</v>
      </c>
      <c r="AP266" s="198">
        <v>4.1386678690627331E-4</v>
      </c>
      <c r="AQ266" s="198">
        <v>3.9310010816876563E-4</v>
      </c>
      <c r="AS266" s="258">
        <f t="shared" si="33"/>
        <v>25267.322317521812</v>
      </c>
      <c r="AT266" s="3">
        <f t="shared" si="34"/>
        <v>1.8442910735985629</v>
      </c>
      <c r="AU266" s="3">
        <f t="shared" si="35"/>
        <v>0.61909549676060949</v>
      </c>
      <c r="AV266" s="95">
        <f t="shared" si="36"/>
        <v>7.8093609126984136</v>
      </c>
      <c r="AW266" s="95">
        <f t="shared" si="37"/>
        <v>0.28113699285714289</v>
      </c>
      <c r="AX266" s="95">
        <f t="shared" si="32"/>
        <v>0.90023248961775237</v>
      </c>
      <c r="AY266" s="102">
        <f t="shared" si="38"/>
        <v>0.68770623577858603</v>
      </c>
      <c r="AZ266" s="102">
        <f t="shared" si="39"/>
        <v>0.31229376422141403</v>
      </c>
    </row>
    <row r="267" spans="1:52" x14ac:dyDescent="0.35">
      <c r="A267" t="s">
        <v>975</v>
      </c>
      <c r="B267">
        <v>2045</v>
      </c>
      <c r="C267" t="s">
        <v>837</v>
      </c>
      <c r="D267" t="s">
        <v>994</v>
      </c>
      <c r="E267" t="s">
        <v>977</v>
      </c>
      <c r="F267" t="s">
        <v>978</v>
      </c>
      <c r="G267" s="357">
        <v>45795.909599999999</v>
      </c>
      <c r="H267" s="198">
        <v>13923.781499999999</v>
      </c>
      <c r="I267" s="198">
        <v>0</v>
      </c>
      <c r="J267" s="198">
        <v>0</v>
      </c>
      <c r="K267" s="198">
        <v>0</v>
      </c>
      <c r="L267" s="198">
        <v>61.624000000000009</v>
      </c>
      <c r="M267" s="198">
        <v>3205.7136720000003</v>
      </c>
      <c r="N267" s="198">
        <v>13.33</v>
      </c>
      <c r="O267" s="198">
        <v>0</v>
      </c>
      <c r="P267" s="198">
        <v>263.85750000000002</v>
      </c>
      <c r="Q267" s="198">
        <v>0</v>
      </c>
      <c r="R267" s="198">
        <v>0</v>
      </c>
      <c r="S267" s="198">
        <v>0</v>
      </c>
      <c r="T267" s="198">
        <v>0</v>
      </c>
      <c r="U267" s="198">
        <v>319.23880923739051</v>
      </c>
      <c r="V267" s="198">
        <v>514.47197628058211</v>
      </c>
      <c r="W267" s="198">
        <v>5.9634210526315794</v>
      </c>
      <c r="X267" s="198">
        <v>0</v>
      </c>
      <c r="Y267" s="198">
        <v>148</v>
      </c>
      <c r="Z267" s="271">
        <v>18455.980878570605</v>
      </c>
      <c r="AA267" s="272">
        <v>0</v>
      </c>
      <c r="AB267" s="198">
        <v>0</v>
      </c>
      <c r="AC267" s="272">
        <v>230.90311930288306</v>
      </c>
      <c r="AD267" s="198">
        <v>0.831251229490379</v>
      </c>
      <c r="AE267" s="198">
        <v>0.831251229490379</v>
      </c>
      <c r="AF267" s="198">
        <v>0</v>
      </c>
      <c r="AG267" s="198">
        <v>0</v>
      </c>
      <c r="AH267" s="198">
        <v>0</v>
      </c>
      <c r="AI267" s="198">
        <v>0</v>
      </c>
      <c r="AJ267" s="198">
        <v>0</v>
      </c>
      <c r="AK267" s="198">
        <v>0</v>
      </c>
      <c r="AL267" s="198">
        <v>0</v>
      </c>
      <c r="AM267" s="198">
        <v>1.2289537219682829E-2</v>
      </c>
      <c r="AN267" s="198">
        <v>3.1406595116967146E-3</v>
      </c>
      <c r="AO267" s="198">
        <v>0</v>
      </c>
      <c r="AP267" s="198">
        <v>4.4904071272974311E-4</v>
      </c>
      <c r="AQ267" s="198">
        <v>5.614044042755147E-4</v>
      </c>
      <c r="AS267" s="258">
        <f t="shared" si="33"/>
        <v>24758.698348602466</v>
      </c>
      <c r="AT267" s="3">
        <f t="shared" si="34"/>
        <v>0</v>
      </c>
      <c r="AU267" s="3">
        <f t="shared" si="35"/>
        <v>0</v>
      </c>
      <c r="AV267" s="95">
        <f t="shared" si="36"/>
        <v>14.347690314220927</v>
      </c>
      <c r="AW267" s="95">
        <f t="shared" si="37"/>
        <v>0.51651685131195335</v>
      </c>
      <c r="AX267" s="95">
        <f t="shared" si="32"/>
        <v>0.51651685131195335</v>
      </c>
      <c r="AY267" s="102">
        <f t="shared" si="38"/>
        <v>0</v>
      </c>
      <c r="AZ267" s="102">
        <f t="shared" si="39"/>
        <v>1</v>
      </c>
    </row>
    <row r="268" spans="1:52" x14ac:dyDescent="0.35">
      <c r="A268" t="s">
        <v>979</v>
      </c>
      <c r="B268">
        <v>2045</v>
      </c>
      <c r="C268" t="s">
        <v>837</v>
      </c>
      <c r="D268" t="s">
        <v>994</v>
      </c>
      <c r="E268" t="s">
        <v>977</v>
      </c>
      <c r="F268" t="s">
        <v>978</v>
      </c>
      <c r="G268" s="357">
        <v>70326.552200000006</v>
      </c>
      <c r="H268" s="198">
        <v>13923.781499999999</v>
      </c>
      <c r="I268" s="198">
        <v>0</v>
      </c>
      <c r="J268" s="198">
        <v>0</v>
      </c>
      <c r="K268" s="198">
        <v>0</v>
      </c>
      <c r="L268" s="198">
        <v>61.624000000000009</v>
      </c>
      <c r="M268" s="198">
        <v>4922.8586540000006</v>
      </c>
      <c r="N268" s="198">
        <v>13.33</v>
      </c>
      <c r="O268" s="198">
        <v>0</v>
      </c>
      <c r="P268" s="198">
        <v>275.75774999999999</v>
      </c>
      <c r="Q268" s="198">
        <v>0</v>
      </c>
      <c r="R268" s="198">
        <v>0</v>
      </c>
      <c r="S268" s="198">
        <v>0</v>
      </c>
      <c r="T268" s="198">
        <v>0</v>
      </c>
      <c r="U268" s="198">
        <v>319.23880923739051</v>
      </c>
      <c r="V268" s="198">
        <v>514.47197628058211</v>
      </c>
      <c r="W268" s="198">
        <v>5.9634210526315794</v>
      </c>
      <c r="X268" s="198">
        <v>0</v>
      </c>
      <c r="Y268" s="198">
        <v>148</v>
      </c>
      <c r="Z268" s="271">
        <v>20185.026110570609</v>
      </c>
      <c r="AA268" s="272">
        <v>0</v>
      </c>
      <c r="AB268" s="198">
        <v>0</v>
      </c>
      <c r="AC268" s="272">
        <v>237.46623342764016</v>
      </c>
      <c r="AD268" s="198">
        <v>0.85487844033950455</v>
      </c>
      <c r="AE268" s="198">
        <v>0.85487844033950455</v>
      </c>
      <c r="AF268" s="198">
        <v>0</v>
      </c>
      <c r="AG268" s="198">
        <v>0</v>
      </c>
      <c r="AH268" s="198">
        <v>0</v>
      </c>
      <c r="AI268" s="198">
        <v>0</v>
      </c>
      <c r="AJ268" s="198">
        <v>0</v>
      </c>
      <c r="AK268" s="198">
        <v>0</v>
      </c>
      <c r="AL268" s="198">
        <v>0</v>
      </c>
      <c r="AM268" s="198">
        <v>1.2638850973246405E-2</v>
      </c>
      <c r="AN268" s="198">
        <v>3.2299285820518507E-3</v>
      </c>
      <c r="AO268" s="198">
        <v>0</v>
      </c>
      <c r="AP268" s="198">
        <v>4.6180409788107907E-4</v>
      </c>
      <c r="AQ268" s="198">
        <v>5.7736157794439143E-4</v>
      </c>
      <c r="AS268" s="258">
        <f t="shared" si="33"/>
        <v>27078.21252733047</v>
      </c>
      <c r="AT268" s="3">
        <f t="shared" si="34"/>
        <v>0</v>
      </c>
      <c r="AU268" s="3">
        <f t="shared" si="35"/>
        <v>0</v>
      </c>
      <c r="AV268" s="95">
        <f t="shared" si="36"/>
        <v>14.755504332685458</v>
      </c>
      <c r="AW268" s="95">
        <f t="shared" si="37"/>
        <v>0.53119815597667652</v>
      </c>
      <c r="AX268" s="95">
        <f t="shared" si="32"/>
        <v>0.53119815597667652</v>
      </c>
      <c r="AY268" s="102">
        <f t="shared" si="38"/>
        <v>0</v>
      </c>
      <c r="AZ268" s="102">
        <f t="shared" si="39"/>
        <v>1</v>
      </c>
    </row>
    <row r="269" spans="1:52" x14ac:dyDescent="0.35">
      <c r="A269" t="s">
        <v>980</v>
      </c>
      <c r="B269">
        <v>2045</v>
      </c>
      <c r="C269" t="s">
        <v>837</v>
      </c>
      <c r="D269" t="s">
        <v>994</v>
      </c>
      <c r="E269" t="s">
        <v>977</v>
      </c>
      <c r="F269" t="s">
        <v>978</v>
      </c>
      <c r="G269" s="357">
        <v>103261.39200000001</v>
      </c>
      <c r="H269" s="198">
        <v>13923.781499999999</v>
      </c>
      <c r="I269" s="198">
        <v>0</v>
      </c>
      <c r="J269" s="198">
        <v>0</v>
      </c>
      <c r="K269" s="198">
        <v>0</v>
      </c>
      <c r="L269" s="198">
        <v>61.624000000000009</v>
      </c>
      <c r="M269" s="198">
        <v>7228.2974400000003</v>
      </c>
      <c r="N269" s="198">
        <v>13.33</v>
      </c>
      <c r="O269" s="198">
        <v>0</v>
      </c>
      <c r="P269" s="198">
        <v>291.16125</v>
      </c>
      <c r="Q269" s="198">
        <v>0</v>
      </c>
      <c r="R269" s="198">
        <v>0</v>
      </c>
      <c r="S269" s="198">
        <v>0</v>
      </c>
      <c r="T269" s="198">
        <v>0</v>
      </c>
      <c r="U269" s="198">
        <v>319.23880923739051</v>
      </c>
      <c r="V269" s="198">
        <v>514.47197628058211</v>
      </c>
      <c r="W269" s="198">
        <v>5.9634210526315794</v>
      </c>
      <c r="X269" s="198">
        <v>0</v>
      </c>
      <c r="Y269" s="198">
        <v>148</v>
      </c>
      <c r="Z269" s="271">
        <v>22505.868396570608</v>
      </c>
      <c r="AA269" s="272">
        <v>0</v>
      </c>
      <c r="AB269" s="198">
        <v>0</v>
      </c>
      <c r="AC269" s="272">
        <v>257.97427604575643</v>
      </c>
      <c r="AD269" s="198">
        <v>0.92870739376472311</v>
      </c>
      <c r="AE269" s="198">
        <v>0.92870739376472311</v>
      </c>
      <c r="AF269" s="198">
        <v>0</v>
      </c>
      <c r="AG269" s="198">
        <v>0</v>
      </c>
      <c r="AH269" s="198">
        <v>0</v>
      </c>
      <c r="AI269" s="198">
        <v>0</v>
      </c>
      <c r="AJ269" s="198">
        <v>0</v>
      </c>
      <c r="AK269" s="198">
        <v>0</v>
      </c>
      <c r="AL269" s="198">
        <v>0</v>
      </c>
      <c r="AM269" s="198">
        <v>1.3730366557007661E-2</v>
      </c>
      <c r="AN269" s="198">
        <v>3.5088714534575044E-3</v>
      </c>
      <c r="AO269" s="198">
        <v>0</v>
      </c>
      <c r="AP269" s="198">
        <v>5.0168639181341526E-4</v>
      </c>
      <c r="AQ269" s="198">
        <v>6.2722363907046072E-4</v>
      </c>
      <c r="AS269" s="258">
        <f t="shared" si="33"/>
        <v>30191.622453999469</v>
      </c>
      <c r="AT269" s="3">
        <f t="shared" si="34"/>
        <v>0</v>
      </c>
      <c r="AU269" s="3">
        <f t="shared" si="35"/>
        <v>0</v>
      </c>
      <c r="AV269" s="95">
        <f t="shared" si="36"/>
        <v>16.029818189180435</v>
      </c>
      <c r="AW269" s="95">
        <f t="shared" si="37"/>
        <v>0.57707345481049577</v>
      </c>
      <c r="AX269" s="95">
        <f t="shared" si="32"/>
        <v>0.57707345481049577</v>
      </c>
      <c r="AY269" s="102">
        <f t="shared" si="38"/>
        <v>0</v>
      </c>
      <c r="AZ269" s="102">
        <f t="shared" si="39"/>
        <v>1</v>
      </c>
    </row>
    <row r="270" spans="1:52" x14ac:dyDescent="0.35">
      <c r="A270" t="s">
        <v>981</v>
      </c>
      <c r="B270">
        <v>2045</v>
      </c>
      <c r="C270" t="s">
        <v>837</v>
      </c>
      <c r="D270" t="s">
        <v>994</v>
      </c>
      <c r="E270" t="s">
        <v>977</v>
      </c>
      <c r="F270" t="s">
        <v>978</v>
      </c>
      <c r="G270" s="357">
        <v>141298.0675</v>
      </c>
      <c r="H270" s="198">
        <v>13923.781499999999</v>
      </c>
      <c r="I270" s="198">
        <v>0</v>
      </c>
      <c r="J270" s="198">
        <v>0</v>
      </c>
      <c r="K270" s="198">
        <v>0</v>
      </c>
      <c r="L270" s="198">
        <v>61.624000000000009</v>
      </c>
      <c r="M270" s="198">
        <v>9890.8647249999995</v>
      </c>
      <c r="N270" s="198">
        <v>13.33</v>
      </c>
      <c r="O270" s="198">
        <v>0</v>
      </c>
      <c r="P270" s="198">
        <v>309.30975000000001</v>
      </c>
      <c r="Q270" s="198">
        <v>0</v>
      </c>
      <c r="R270" s="198">
        <v>0</v>
      </c>
      <c r="S270" s="198">
        <v>0</v>
      </c>
      <c r="T270" s="198">
        <v>0</v>
      </c>
      <c r="U270" s="198">
        <v>319.23880923739051</v>
      </c>
      <c r="V270" s="198">
        <v>514.47197628058211</v>
      </c>
      <c r="W270" s="198">
        <v>5.9634210526315794</v>
      </c>
      <c r="X270" s="198">
        <v>0</v>
      </c>
      <c r="Y270" s="198">
        <v>148</v>
      </c>
      <c r="Z270" s="271">
        <v>25186.584181570608</v>
      </c>
      <c r="AA270" s="272">
        <v>0</v>
      </c>
      <c r="AB270" s="198">
        <v>0</v>
      </c>
      <c r="AC270" s="272">
        <v>278.76171796942828</v>
      </c>
      <c r="AD270" s="198">
        <v>1.0035421846899417</v>
      </c>
      <c r="AE270" s="198">
        <v>1.0035421846899417</v>
      </c>
      <c r="AF270" s="198">
        <v>0</v>
      </c>
      <c r="AG270" s="198">
        <v>0</v>
      </c>
      <c r="AH270" s="198">
        <v>0</v>
      </c>
      <c r="AI270" s="198">
        <v>0</v>
      </c>
      <c r="AJ270" s="198">
        <v>0</v>
      </c>
      <c r="AK270" s="198">
        <v>0</v>
      </c>
      <c r="AL270" s="198">
        <v>0</v>
      </c>
      <c r="AM270" s="198">
        <v>1.483675282841985E-2</v>
      </c>
      <c r="AN270" s="198">
        <v>3.7916146117072851E-3</v>
      </c>
      <c r="AO270" s="198">
        <v>0</v>
      </c>
      <c r="AP270" s="198">
        <v>5.4211203770947397E-4</v>
      </c>
      <c r="AQ270" s="198">
        <v>6.7776501540528077E-4</v>
      </c>
      <c r="AS270" s="258">
        <f t="shared" si="33"/>
        <v>33787.802679576969</v>
      </c>
      <c r="AT270" s="3">
        <f t="shared" si="34"/>
        <v>0</v>
      </c>
      <c r="AU270" s="3">
        <f t="shared" si="35"/>
        <v>0</v>
      </c>
      <c r="AV270" s="95">
        <f t="shared" si="36"/>
        <v>17.321493156786524</v>
      </c>
      <c r="AW270" s="95">
        <f t="shared" si="37"/>
        <v>0.62357375364431489</v>
      </c>
      <c r="AX270" s="95">
        <f t="shared" si="32"/>
        <v>0.62357375364431489</v>
      </c>
      <c r="AY270" s="102">
        <f t="shared" si="38"/>
        <v>0</v>
      </c>
      <c r="AZ270" s="102">
        <f t="shared" si="39"/>
        <v>1</v>
      </c>
    </row>
    <row r="271" spans="1:52" x14ac:dyDescent="0.35">
      <c r="A271" t="s">
        <v>982</v>
      </c>
      <c r="B271">
        <v>2045</v>
      </c>
      <c r="C271" t="s">
        <v>837</v>
      </c>
      <c r="D271" t="s">
        <v>994</v>
      </c>
      <c r="E271" t="s">
        <v>983</v>
      </c>
      <c r="F271" t="s">
        <v>978</v>
      </c>
      <c r="G271" s="357"/>
      <c r="H271" s="198">
        <v>13923.781499999999</v>
      </c>
      <c r="I271" s="198">
        <v>7348.3674218223696</v>
      </c>
      <c r="J271" s="198">
        <v>0</v>
      </c>
      <c r="K271" s="198">
        <v>0</v>
      </c>
      <c r="L271" s="198">
        <v>61.624000000000009</v>
      </c>
      <c r="M271" s="198">
        <v>0</v>
      </c>
      <c r="N271" s="198">
        <v>0</v>
      </c>
      <c r="O271" s="198">
        <v>35.823437671406367</v>
      </c>
      <c r="P271" s="198">
        <v>0</v>
      </c>
      <c r="Q271" s="198">
        <v>0</v>
      </c>
      <c r="R271" s="198">
        <v>7.3665430727120906</v>
      </c>
      <c r="S271" s="198">
        <v>2483.17</v>
      </c>
      <c r="T271" s="198">
        <v>86.5</v>
      </c>
      <c r="U271" s="198">
        <v>319.23880923739051</v>
      </c>
      <c r="V271" s="198">
        <v>269.67989757194937</v>
      </c>
      <c r="W271" s="198">
        <v>0</v>
      </c>
      <c r="X271" s="198">
        <v>0</v>
      </c>
      <c r="Y271" s="198">
        <v>148</v>
      </c>
      <c r="Z271" s="271">
        <v>24683.551609375831</v>
      </c>
      <c r="AA271" s="272">
        <v>41.198571821532958</v>
      </c>
      <c r="AB271" s="198">
        <v>2.9904373999587781</v>
      </c>
      <c r="AC271" s="272">
        <v>0</v>
      </c>
      <c r="AD271" s="198">
        <v>0</v>
      </c>
      <c r="AE271" s="198">
        <v>2.9904373999587781</v>
      </c>
      <c r="AF271" s="198">
        <v>223.8507917524814</v>
      </c>
      <c r="AG271" s="198">
        <v>9.8408754147962199E-2</v>
      </c>
      <c r="AH271" s="198">
        <v>5.1997486275491241E-4</v>
      </c>
      <c r="AI271" s="198">
        <v>226.94084769372012</v>
      </c>
      <c r="AJ271" s="198">
        <v>9.5490663203845652E-2</v>
      </c>
      <c r="AK271" s="198">
        <v>2.2283465826366737</v>
      </c>
      <c r="AL271" s="198">
        <v>0.10432901188465137</v>
      </c>
      <c r="AM271" s="198">
        <v>1.8752712659295963E-2</v>
      </c>
      <c r="AN271" s="198">
        <v>7.7106233376885531E-3</v>
      </c>
      <c r="AO271" s="198">
        <v>1.5438904610136381E-3</v>
      </c>
      <c r="AP271" s="198">
        <v>1.2811918990893794E-3</v>
      </c>
      <c r="AQ271" s="198">
        <v>1.2169052701275055E-3</v>
      </c>
      <c r="AS271" s="258">
        <f t="shared" si="33"/>
        <v>33112.984483977678</v>
      </c>
      <c r="AT271" s="3">
        <f t="shared" si="34"/>
        <v>5.7093027462299064</v>
      </c>
      <c r="AU271" s="3">
        <f t="shared" si="35"/>
        <v>1.9165107235146086</v>
      </c>
      <c r="AV271" s="95">
        <f t="shared" si="36"/>
        <v>0</v>
      </c>
      <c r="AW271" s="95">
        <f t="shared" si="37"/>
        <v>0</v>
      </c>
      <c r="AX271" s="95">
        <f t="shared" ref="AX271:AX302" si="40">AU271+AW271</f>
        <v>1.9165107235146086</v>
      </c>
      <c r="AY271" s="102">
        <f t="shared" si="38"/>
        <v>1</v>
      </c>
      <c r="AZ271" s="102">
        <f t="shared" si="39"/>
        <v>0</v>
      </c>
    </row>
    <row r="272" spans="1:52" x14ac:dyDescent="0.35">
      <c r="A272" t="s">
        <v>984</v>
      </c>
      <c r="B272">
        <v>2045</v>
      </c>
      <c r="C272" t="s">
        <v>837</v>
      </c>
      <c r="D272" t="s">
        <v>994</v>
      </c>
      <c r="E272" t="s">
        <v>240</v>
      </c>
      <c r="F272" t="s">
        <v>978</v>
      </c>
      <c r="G272" s="357"/>
      <c r="H272" s="198">
        <v>13923.781499999999</v>
      </c>
      <c r="I272" s="198">
        <v>9024.0857070000002</v>
      </c>
      <c r="J272" s="198">
        <v>0</v>
      </c>
      <c r="K272" s="198">
        <v>0</v>
      </c>
      <c r="L272" s="198">
        <v>61.624000000000009</v>
      </c>
      <c r="M272" s="198">
        <v>0</v>
      </c>
      <c r="N272" s="198">
        <v>0</v>
      </c>
      <c r="O272" s="198">
        <v>35.823437671406367</v>
      </c>
      <c r="P272" s="198">
        <v>0</v>
      </c>
      <c r="Q272" s="198">
        <v>0</v>
      </c>
      <c r="R272" s="198">
        <v>7.3665430727120906</v>
      </c>
      <c r="S272" s="198">
        <v>2483.17</v>
      </c>
      <c r="T272" s="198">
        <v>86.5</v>
      </c>
      <c r="U272" s="198">
        <v>319.23880923739051</v>
      </c>
      <c r="V272" s="198">
        <v>252.10086702151861</v>
      </c>
      <c r="W272" s="198">
        <v>0</v>
      </c>
      <c r="X272" s="198">
        <v>0</v>
      </c>
      <c r="Y272" s="198">
        <v>148</v>
      </c>
      <c r="Z272" s="271">
        <v>26341.690864003031</v>
      </c>
      <c r="AA272" s="272">
        <v>35.112486023436965</v>
      </c>
      <c r="AB272" s="198">
        <v>3.5087732015831925</v>
      </c>
      <c r="AC272" s="272">
        <v>0</v>
      </c>
      <c r="AD272" s="198">
        <v>0</v>
      </c>
      <c r="AE272" s="198">
        <v>3.5087732015831925</v>
      </c>
      <c r="AF272" s="198">
        <v>0</v>
      </c>
      <c r="AG272" s="198">
        <v>0</v>
      </c>
      <c r="AH272" s="198">
        <v>0</v>
      </c>
      <c r="AI272" s="198">
        <v>0</v>
      </c>
      <c r="AJ272" s="198">
        <v>0</v>
      </c>
      <c r="AK272" s="198">
        <v>0</v>
      </c>
      <c r="AL272" s="198">
        <v>0</v>
      </c>
      <c r="AM272" s="198">
        <v>0</v>
      </c>
      <c r="AN272" s="198">
        <v>0</v>
      </c>
      <c r="AO272" s="198">
        <v>0</v>
      </c>
      <c r="AP272" s="198">
        <v>0</v>
      </c>
      <c r="AQ272" s="198">
        <v>0</v>
      </c>
      <c r="AS272" s="258">
        <f t="shared" si="33"/>
        <v>35337.378294060065</v>
      </c>
      <c r="AT272" s="3">
        <f t="shared" si="34"/>
        <v>6.6989024669009822</v>
      </c>
      <c r="AU272" s="3">
        <f t="shared" si="35"/>
        <v>2.2487016338504757</v>
      </c>
      <c r="AV272" s="95">
        <f t="shared" si="36"/>
        <v>0</v>
      </c>
      <c r="AW272" s="95">
        <f t="shared" si="37"/>
        <v>0</v>
      </c>
      <c r="AX272" s="95">
        <f t="shared" si="40"/>
        <v>2.2487016338504757</v>
      </c>
      <c r="AY272" s="102">
        <f t="shared" si="38"/>
        <v>1</v>
      </c>
      <c r="AZ272" s="102">
        <f t="shared" si="39"/>
        <v>0</v>
      </c>
    </row>
    <row r="273" spans="1:52" x14ac:dyDescent="0.35">
      <c r="A273" t="s">
        <v>985</v>
      </c>
      <c r="B273">
        <v>2045</v>
      </c>
      <c r="C273" t="s">
        <v>837</v>
      </c>
      <c r="D273" t="s">
        <v>994</v>
      </c>
      <c r="E273" t="s">
        <v>986</v>
      </c>
      <c r="F273" t="s">
        <v>978</v>
      </c>
      <c r="G273" s="357"/>
      <c r="H273" s="198">
        <v>13923.781499999999</v>
      </c>
      <c r="I273" s="198">
        <v>5049.8929500000004</v>
      </c>
      <c r="J273" s="198">
        <v>0</v>
      </c>
      <c r="K273" s="198">
        <v>0</v>
      </c>
      <c r="L273" s="198">
        <v>61.624000000000009</v>
      </c>
      <c r="M273" s="198">
        <v>0</v>
      </c>
      <c r="N273" s="198">
        <v>0</v>
      </c>
      <c r="O273" s="198">
        <v>35.823437671406367</v>
      </c>
      <c r="P273" s="198">
        <v>0</v>
      </c>
      <c r="Q273" s="198">
        <v>0</v>
      </c>
      <c r="R273" s="198">
        <v>7.3665430727120906</v>
      </c>
      <c r="S273" s="198">
        <v>2483.17</v>
      </c>
      <c r="T273" s="198">
        <v>86.5</v>
      </c>
      <c r="U273" s="198">
        <v>319.23880923739051</v>
      </c>
      <c r="V273" s="198">
        <v>252.40049425420221</v>
      </c>
      <c r="W273" s="198">
        <v>0</v>
      </c>
      <c r="X273" s="198">
        <v>0</v>
      </c>
      <c r="Y273" s="198">
        <v>148</v>
      </c>
      <c r="Z273" s="271">
        <v>22367.797734235708</v>
      </c>
      <c r="AA273" s="272">
        <v>34.380921797092029</v>
      </c>
      <c r="AB273" s="198">
        <v>3.5834335893350171</v>
      </c>
      <c r="AC273" s="272">
        <v>0</v>
      </c>
      <c r="AD273" s="198">
        <v>0</v>
      </c>
      <c r="AE273" s="198">
        <v>3.5834335893350171</v>
      </c>
      <c r="AF273" s="198">
        <v>268.23983881961118</v>
      </c>
      <c r="AG273" s="198">
        <v>0.11792296173906881</v>
      </c>
      <c r="AH273" s="198">
        <v>6.2308456576670138E-4</v>
      </c>
      <c r="AI273" s="198">
        <v>271.94264505555236</v>
      </c>
      <c r="AJ273" s="198">
        <v>0.11442622072518714</v>
      </c>
      <c r="AK273" s="198">
        <v>2.6702220862440478</v>
      </c>
      <c r="AL273" s="198">
        <v>0.12501719164385297</v>
      </c>
      <c r="AM273" s="198">
        <v>2.2471328252982474E-2</v>
      </c>
      <c r="AN273" s="198">
        <v>9.2396204860748857E-3</v>
      </c>
      <c r="AO273" s="198">
        <v>1.8500400430808074E-3</v>
      </c>
      <c r="AP273" s="198">
        <v>1.5352490193053657E-3</v>
      </c>
      <c r="AQ273" s="198">
        <v>1.458214514061995E-3</v>
      </c>
      <c r="AS273" s="258">
        <f t="shared" si="33"/>
        <v>30006.4006604772</v>
      </c>
      <c r="AT273" s="3">
        <f t="shared" si="34"/>
        <v>6.8414430721087545</v>
      </c>
      <c r="AU273" s="3">
        <f t="shared" si="35"/>
        <v>2.2965499632454005</v>
      </c>
      <c r="AV273" s="95">
        <f t="shared" si="36"/>
        <v>0</v>
      </c>
      <c r="AW273" s="95">
        <f t="shared" si="37"/>
        <v>0</v>
      </c>
      <c r="AX273" s="95">
        <f t="shared" si="40"/>
        <v>2.2965499632454005</v>
      </c>
      <c r="AY273" s="102">
        <f t="shared" si="38"/>
        <v>1</v>
      </c>
      <c r="AZ273" s="102">
        <f t="shared" si="39"/>
        <v>0</v>
      </c>
    </row>
    <row r="274" spans="1:52" x14ac:dyDescent="0.35">
      <c r="A274" t="s">
        <v>987</v>
      </c>
      <c r="B274">
        <v>2045</v>
      </c>
      <c r="C274" t="s">
        <v>837</v>
      </c>
      <c r="D274" t="s">
        <v>994</v>
      </c>
      <c r="E274" t="s">
        <v>986</v>
      </c>
      <c r="F274" t="s">
        <v>978</v>
      </c>
      <c r="G274" s="357">
        <v>16861.534599999999</v>
      </c>
      <c r="H274" s="198">
        <v>13923.781499999999</v>
      </c>
      <c r="I274" s="198">
        <v>4563.2020810000004</v>
      </c>
      <c r="J274" s="198">
        <v>0</v>
      </c>
      <c r="K274" s="198">
        <v>0</v>
      </c>
      <c r="L274" s="198">
        <v>61.624000000000009</v>
      </c>
      <c r="M274" s="198">
        <v>1452.0079236000001</v>
      </c>
      <c r="N274" s="198">
        <v>13.33</v>
      </c>
      <c r="O274" s="198">
        <v>0</v>
      </c>
      <c r="P274" s="198">
        <v>254.74725000000001</v>
      </c>
      <c r="Q274" s="198">
        <v>158.517</v>
      </c>
      <c r="R274" s="198">
        <v>0</v>
      </c>
      <c r="S274" s="198">
        <v>919.29407760000004</v>
      </c>
      <c r="T274" s="198">
        <v>0</v>
      </c>
      <c r="U274" s="198">
        <v>319.23880923739051</v>
      </c>
      <c r="V274" s="198">
        <v>537.46689762810718</v>
      </c>
      <c r="W274" s="198">
        <v>5.9634210526315794</v>
      </c>
      <c r="X274" s="198">
        <v>0</v>
      </c>
      <c r="Y274" s="198">
        <v>148</v>
      </c>
      <c r="Z274" s="271">
        <v>22357.172960118129</v>
      </c>
      <c r="AA274" s="272">
        <v>239.73463222196295</v>
      </c>
      <c r="AB274" s="198">
        <v>0.51390885354407734</v>
      </c>
      <c r="AC274" s="272">
        <v>230.61951085900796</v>
      </c>
      <c r="AD274" s="198">
        <v>0.83023023909242866</v>
      </c>
      <c r="AE274" s="198">
        <v>1.344139092636506</v>
      </c>
      <c r="AF274" s="198">
        <v>38.468922223898574</v>
      </c>
      <c r="AG274" s="198">
        <v>1.6911616348691112E-2</v>
      </c>
      <c r="AH274" s="198">
        <v>8.9358060327161338E-5</v>
      </c>
      <c r="AI274" s="198">
        <v>38.999950596594473</v>
      </c>
      <c r="AJ274" s="198">
        <v>1.6410140286477286E-2</v>
      </c>
      <c r="AK274" s="198">
        <v>0.38294298940932892</v>
      </c>
      <c r="AL274" s="198">
        <v>1.7929016969145273E-2</v>
      </c>
      <c r="AM274" s="198">
        <v>1.5497109886709454E-2</v>
      </c>
      <c r="AN274" s="198">
        <v>4.4618782316510289E-3</v>
      </c>
      <c r="AO274" s="198">
        <v>2.6531870449055135E-4</v>
      </c>
      <c r="AP274" s="198">
        <v>6.6866293975279662E-4</v>
      </c>
      <c r="AQ274" s="198">
        <v>7.6984091558502115E-4</v>
      </c>
      <c r="AS274" s="258">
        <f t="shared" si="33"/>
        <v>29992.147525998469</v>
      </c>
      <c r="AT274" s="3">
        <f t="shared" si="34"/>
        <v>0.9811478511108469</v>
      </c>
      <c r="AU274" s="3">
        <f t="shared" si="35"/>
        <v>0.32935376903054359</v>
      </c>
      <c r="AV274" s="95">
        <f t="shared" si="36"/>
        <v>14.330067658730162</v>
      </c>
      <c r="AW274" s="95">
        <f t="shared" si="37"/>
        <v>0.51588243571428583</v>
      </c>
      <c r="AX274" s="95">
        <f t="shared" si="40"/>
        <v>0.84523620474482941</v>
      </c>
      <c r="AY274" s="102">
        <f t="shared" si="38"/>
        <v>0.38965885178803134</v>
      </c>
      <c r="AZ274" s="102">
        <f t="shared" si="39"/>
        <v>0.61034114821196872</v>
      </c>
    </row>
    <row r="275" spans="1:52" x14ac:dyDescent="0.35">
      <c r="A275" t="s">
        <v>988</v>
      </c>
      <c r="B275">
        <v>2045</v>
      </c>
      <c r="C275" t="s">
        <v>837</v>
      </c>
      <c r="D275" t="s">
        <v>994</v>
      </c>
      <c r="E275" t="s">
        <v>989</v>
      </c>
      <c r="F275" t="s">
        <v>978</v>
      </c>
      <c r="G275" s="357">
        <v>1684.8</v>
      </c>
      <c r="H275" s="198">
        <v>13923.781499999999</v>
      </c>
      <c r="I275" s="198">
        <v>0</v>
      </c>
      <c r="J275" s="198">
        <v>4293.1499999999996</v>
      </c>
      <c r="K275" s="198">
        <v>2507.3098</v>
      </c>
      <c r="L275" s="198">
        <v>61.624000000000009</v>
      </c>
      <c r="M275" s="198">
        <v>825.30293039999992</v>
      </c>
      <c r="N275" s="198">
        <v>0</v>
      </c>
      <c r="O275" s="198">
        <v>0</v>
      </c>
      <c r="P275" s="198">
        <v>271.28474999999997</v>
      </c>
      <c r="Q275" s="198">
        <v>0</v>
      </c>
      <c r="R275" s="198">
        <v>0</v>
      </c>
      <c r="S275" s="198">
        <v>0</v>
      </c>
      <c r="T275" s="198">
        <v>0</v>
      </c>
      <c r="U275" s="198">
        <v>319.23880923739051</v>
      </c>
      <c r="V275" s="198">
        <v>514.47197628058211</v>
      </c>
      <c r="W275" s="198">
        <v>4.5602631578947372</v>
      </c>
      <c r="X275" s="198">
        <v>218.46254039999999</v>
      </c>
      <c r="Y275" s="198">
        <v>148</v>
      </c>
      <c r="Z275" s="271">
        <v>23087.186569475867</v>
      </c>
      <c r="AA275" s="272">
        <v>66.01848637209001</v>
      </c>
      <c r="AB275" s="198">
        <v>1.8661704739126648</v>
      </c>
      <c r="AC275" s="272">
        <v>0</v>
      </c>
      <c r="AD275" s="198">
        <v>0</v>
      </c>
      <c r="AE275" s="198">
        <v>1.8661704739126648</v>
      </c>
      <c r="AF275" s="198">
        <v>0</v>
      </c>
      <c r="AG275" s="198">
        <v>0</v>
      </c>
      <c r="AH275" s="198">
        <v>0</v>
      </c>
      <c r="AI275" s="198">
        <v>0</v>
      </c>
      <c r="AJ275" s="198">
        <v>0</v>
      </c>
      <c r="AK275" s="198">
        <v>0</v>
      </c>
      <c r="AL275" s="198">
        <v>0</v>
      </c>
      <c r="AM275" s="198">
        <v>1.7446050077502752E-2</v>
      </c>
      <c r="AN275" s="198">
        <v>4.4584350198062662E-3</v>
      </c>
      <c r="AO275" s="198">
        <v>0</v>
      </c>
      <c r="AP275" s="198">
        <v>6.3745172996211986E-4</v>
      </c>
      <c r="AQ275" s="198">
        <v>7.9696160853273191E-4</v>
      </c>
      <c r="AS275" s="258">
        <f t="shared" si="33"/>
        <v>30971.460782951875</v>
      </c>
      <c r="AT275" s="3">
        <f t="shared" si="34"/>
        <v>3.5628674961694933</v>
      </c>
      <c r="AU275" s="3">
        <f t="shared" si="35"/>
        <v>1.1959908357249884</v>
      </c>
      <c r="AV275" s="95">
        <f t="shared" si="36"/>
        <v>0</v>
      </c>
      <c r="AW275" s="95">
        <f t="shared" si="37"/>
        <v>0</v>
      </c>
      <c r="AX275" s="95">
        <f t="shared" si="40"/>
        <v>1.1959908357249884</v>
      </c>
      <c r="AY275" s="102">
        <f t="shared" si="38"/>
        <v>1</v>
      </c>
      <c r="AZ275" s="102">
        <f t="shared" si="39"/>
        <v>0</v>
      </c>
    </row>
    <row r="276" spans="1:52" x14ac:dyDescent="0.35">
      <c r="A276" t="s">
        <v>990</v>
      </c>
      <c r="B276">
        <v>2045</v>
      </c>
      <c r="C276" t="s">
        <v>837</v>
      </c>
      <c r="D276" t="s">
        <v>994</v>
      </c>
      <c r="E276" t="s">
        <v>989</v>
      </c>
      <c r="F276" t="s">
        <v>978</v>
      </c>
      <c r="G276" s="357">
        <v>1684.8</v>
      </c>
      <c r="H276" s="198">
        <v>13923.781499999999</v>
      </c>
      <c r="I276" s="198">
        <v>0</v>
      </c>
      <c r="J276" s="198">
        <v>4418.3500000000004</v>
      </c>
      <c r="K276" s="198">
        <v>3003.0882000000001</v>
      </c>
      <c r="L276" s="198">
        <v>61.624000000000009</v>
      </c>
      <c r="M276" s="198">
        <v>825.30293039999992</v>
      </c>
      <c r="N276" s="198">
        <v>0</v>
      </c>
      <c r="O276" s="198">
        <v>0</v>
      </c>
      <c r="P276" s="198">
        <v>276.84449999999998</v>
      </c>
      <c r="Q276" s="198">
        <v>0</v>
      </c>
      <c r="R276" s="198">
        <v>0</v>
      </c>
      <c r="S276" s="198">
        <v>0</v>
      </c>
      <c r="T276" s="198">
        <v>0</v>
      </c>
      <c r="U276" s="198">
        <v>319.23880923739051</v>
      </c>
      <c r="V276" s="198">
        <v>514.47197628058211</v>
      </c>
      <c r="W276" s="198">
        <v>4.5602631578947372</v>
      </c>
      <c r="X276" s="198">
        <v>218.46254039999999</v>
      </c>
      <c r="Y276" s="198">
        <v>148</v>
      </c>
      <c r="Z276" s="271">
        <v>23713.724719475871</v>
      </c>
      <c r="AA276" s="272">
        <v>65.182147669038997</v>
      </c>
      <c r="AB276" s="198">
        <v>1.8901149226557299</v>
      </c>
      <c r="AC276" s="272">
        <v>0</v>
      </c>
      <c r="AD276" s="198">
        <v>0</v>
      </c>
      <c r="AE276" s="198">
        <v>1.8901149226557299</v>
      </c>
      <c r="AF276" s="198">
        <v>0</v>
      </c>
      <c r="AG276" s="198">
        <v>0</v>
      </c>
      <c r="AH276" s="198">
        <v>0</v>
      </c>
      <c r="AI276" s="198">
        <v>0</v>
      </c>
      <c r="AJ276" s="198">
        <v>0</v>
      </c>
      <c r="AK276" s="198">
        <v>0</v>
      </c>
      <c r="AL276" s="198">
        <v>0</v>
      </c>
      <c r="AM276" s="198">
        <v>1.7669896750510002E-2</v>
      </c>
      <c r="AN276" s="198">
        <v>4.5156402806858969E-3</v>
      </c>
      <c r="AO276" s="198">
        <v>0</v>
      </c>
      <c r="AP276" s="198">
        <v>6.456307417338871E-4</v>
      </c>
      <c r="AQ276" s="198">
        <v>8.0718725868230974E-4</v>
      </c>
      <c r="AS276" s="258">
        <f t="shared" si="33"/>
        <v>31811.961711176878</v>
      </c>
      <c r="AT276" s="3">
        <f t="shared" si="34"/>
        <v>3.6085819147249953</v>
      </c>
      <c r="AU276" s="3">
        <f t="shared" si="35"/>
        <v>1.2113363476508903</v>
      </c>
      <c r="AV276" s="95">
        <f t="shared" si="36"/>
        <v>0</v>
      </c>
      <c r="AW276" s="95">
        <f t="shared" si="37"/>
        <v>0</v>
      </c>
      <c r="AX276" s="95">
        <f t="shared" si="40"/>
        <v>1.2113363476508903</v>
      </c>
      <c r="AY276" s="102">
        <f t="shared" si="38"/>
        <v>1</v>
      </c>
      <c r="AZ276" s="102">
        <f t="shared" si="39"/>
        <v>0</v>
      </c>
    </row>
    <row r="277" spans="1:52" x14ac:dyDescent="0.35">
      <c r="A277" t="s">
        <v>991</v>
      </c>
      <c r="B277">
        <v>2045</v>
      </c>
      <c r="C277" t="s">
        <v>837</v>
      </c>
      <c r="D277" t="s">
        <v>994</v>
      </c>
      <c r="E277" t="s">
        <v>986</v>
      </c>
      <c r="F277" t="s">
        <v>978</v>
      </c>
      <c r="G277" s="357">
        <v>1965.6</v>
      </c>
      <c r="H277" s="198">
        <v>13923.781499999999</v>
      </c>
      <c r="I277" s="198">
        <v>4563.2020808156503</v>
      </c>
      <c r="J277" s="198">
        <v>0</v>
      </c>
      <c r="K277" s="198">
        <v>0</v>
      </c>
      <c r="L277" s="198">
        <v>61.624000000000009</v>
      </c>
      <c r="M277" s="198">
        <v>962.8534188000001</v>
      </c>
      <c r="N277" s="198">
        <v>0</v>
      </c>
      <c r="O277" s="198">
        <v>0</v>
      </c>
      <c r="P277" s="198">
        <v>197.74349999999998</v>
      </c>
      <c r="Q277" s="198">
        <v>142.10325</v>
      </c>
      <c r="R277" s="198">
        <v>0</v>
      </c>
      <c r="S277" s="198">
        <v>841.57554205535996</v>
      </c>
      <c r="T277" s="198">
        <v>0</v>
      </c>
      <c r="U277" s="198">
        <v>319.23880923739051</v>
      </c>
      <c r="V277" s="198">
        <v>540.89335371602965</v>
      </c>
      <c r="W277" s="198">
        <v>4.5602631578947372</v>
      </c>
      <c r="X277" s="198">
        <v>254.87296380000001</v>
      </c>
      <c r="Y277" s="198">
        <v>148</v>
      </c>
      <c r="Z277" s="271">
        <v>21960.448681582329</v>
      </c>
      <c r="AA277" s="272">
        <v>48.442681941484096</v>
      </c>
      <c r="AB277" s="198">
        <v>2.5432479182061072</v>
      </c>
      <c r="AC277" s="272">
        <v>0</v>
      </c>
      <c r="AD277" s="198">
        <v>0</v>
      </c>
      <c r="AE277" s="198">
        <v>2.5432479182061072</v>
      </c>
      <c r="AF277" s="198">
        <v>190.37618380546431</v>
      </c>
      <c r="AG277" s="198">
        <v>8.369272639631628E-2</v>
      </c>
      <c r="AH277" s="198">
        <v>4.4221791341934337E-4</v>
      </c>
      <c r="AI277" s="198">
        <v>193.00415332584421</v>
      </c>
      <c r="AJ277" s="198">
        <v>8.1211006257696172E-2</v>
      </c>
      <c r="AK277" s="198">
        <v>1.8951200273948332</v>
      </c>
      <c r="AL277" s="198">
        <v>8.8727669834452086E-2</v>
      </c>
      <c r="AM277" s="198">
        <v>1.5948435313218459E-2</v>
      </c>
      <c r="AN277" s="198">
        <v>6.5575780826972515E-3</v>
      </c>
      <c r="AO277" s="198">
        <v>1.3130173535701925E-3</v>
      </c>
      <c r="AP277" s="198">
        <v>1.0896026882978754E-3</v>
      </c>
      <c r="AQ277" s="198">
        <v>1.0349294705010313E-3</v>
      </c>
      <c r="AS277" s="258">
        <f t="shared" si="33"/>
        <v>29459.941906342694</v>
      </c>
      <c r="AT277" s="3">
        <f t="shared" si="34"/>
        <v>4.855534619770931</v>
      </c>
      <c r="AU277" s="3">
        <f t="shared" si="35"/>
        <v>1.6299160476876715</v>
      </c>
      <c r="AV277" s="95">
        <f t="shared" si="36"/>
        <v>0</v>
      </c>
      <c r="AW277" s="95">
        <f t="shared" si="37"/>
        <v>0</v>
      </c>
      <c r="AX277" s="95">
        <f t="shared" si="40"/>
        <v>1.6299160476876715</v>
      </c>
      <c r="AY277" s="102">
        <f t="shared" si="38"/>
        <v>1</v>
      </c>
      <c r="AZ277" s="102">
        <f t="shared" si="39"/>
        <v>0</v>
      </c>
    </row>
    <row r="278" spans="1:52" x14ac:dyDescent="0.35">
      <c r="A278" t="s">
        <v>992</v>
      </c>
      <c r="B278">
        <v>2045</v>
      </c>
      <c r="C278" t="s">
        <v>837</v>
      </c>
      <c r="D278" t="s">
        <v>994</v>
      </c>
      <c r="E278" t="s">
        <v>986</v>
      </c>
      <c r="F278" t="s">
        <v>978</v>
      </c>
      <c r="G278" s="357">
        <v>7645.2983999999997</v>
      </c>
      <c r="H278" s="198">
        <v>13923.781499999999</v>
      </c>
      <c r="I278" s="198">
        <v>4563.2020808156503</v>
      </c>
      <c r="J278" s="198">
        <v>0</v>
      </c>
      <c r="K278" s="198">
        <v>0</v>
      </c>
      <c r="L278" s="198">
        <v>61.624000000000009</v>
      </c>
      <c r="M278" s="198">
        <v>1116.9291720000001</v>
      </c>
      <c r="N278" s="198">
        <v>13.33</v>
      </c>
      <c r="O278" s="198">
        <v>0</v>
      </c>
      <c r="P278" s="198">
        <v>203.28074999999998</v>
      </c>
      <c r="Q278" s="198">
        <v>145.27574999999999</v>
      </c>
      <c r="R278" s="198">
        <v>0</v>
      </c>
      <c r="S278" s="198">
        <v>847.89564347979501</v>
      </c>
      <c r="T278" s="198">
        <v>0</v>
      </c>
      <c r="U278" s="198">
        <v>319.23880923739051</v>
      </c>
      <c r="V278" s="198">
        <v>541.48314283308787</v>
      </c>
      <c r="W278" s="198">
        <v>4.5602631578947372</v>
      </c>
      <c r="X278" s="198">
        <v>244.40305499999999</v>
      </c>
      <c r="Y278" s="198">
        <v>148</v>
      </c>
      <c r="Z278" s="271">
        <v>22133.00416652382</v>
      </c>
      <c r="AA278" s="272">
        <v>100.42702349008387</v>
      </c>
      <c r="AB278" s="198">
        <v>1.2267788660704944</v>
      </c>
      <c r="AC278" s="272">
        <v>163.97901816420637</v>
      </c>
      <c r="AD278" s="198">
        <v>0.59032446539114292</v>
      </c>
      <c r="AE278" s="198">
        <v>1.8171033314616372</v>
      </c>
      <c r="AF278" s="198">
        <v>91.831188467237922</v>
      </c>
      <c r="AG278" s="198">
        <v>4.0370609271644098E-2</v>
      </c>
      <c r="AH278" s="198">
        <v>2.1331132780924472E-4</v>
      </c>
      <c r="AI278" s="198">
        <v>93.098834238301194</v>
      </c>
      <c r="AJ278" s="198">
        <v>3.9173509375968897E-2</v>
      </c>
      <c r="AK278" s="198">
        <v>0.91414336039830235</v>
      </c>
      <c r="AL278" s="198">
        <v>4.2799299828136184E-2</v>
      </c>
      <c r="AM278" s="198">
        <v>7.692998881111514E-3</v>
      </c>
      <c r="AN278" s="198">
        <v>3.1631592605940004E-3</v>
      </c>
      <c r="AO278" s="198">
        <v>6.3335624050363736E-4</v>
      </c>
      <c r="AP278" s="198">
        <v>5.2558837887903547E-4</v>
      </c>
      <c r="AQ278" s="198">
        <v>4.9921582288357162E-4</v>
      </c>
      <c r="AS278" s="258">
        <f t="shared" si="33"/>
        <v>29691.425089391701</v>
      </c>
      <c r="AT278" s="3">
        <f t="shared" si="34"/>
        <v>2.3421496631795842</v>
      </c>
      <c r="AU278" s="3">
        <f t="shared" si="35"/>
        <v>0.78621771257863604</v>
      </c>
      <c r="AV278" s="95">
        <f t="shared" si="36"/>
        <v>10.189209126984128</v>
      </c>
      <c r="AW278" s="95">
        <f t="shared" si="37"/>
        <v>0.36681152857142862</v>
      </c>
      <c r="AX278" s="95">
        <f t="shared" si="40"/>
        <v>1.1530292411500647</v>
      </c>
      <c r="AY278" s="102">
        <f t="shared" si="38"/>
        <v>0.68187144308191161</v>
      </c>
      <c r="AZ278" s="102">
        <f t="shared" si="39"/>
        <v>0.31812855691808839</v>
      </c>
    </row>
    <row r="279" spans="1:52" x14ac:dyDescent="0.35">
      <c r="A279" t="s">
        <v>975</v>
      </c>
      <c r="B279">
        <v>2045</v>
      </c>
      <c r="C279" t="s">
        <v>837</v>
      </c>
      <c r="D279" t="s">
        <v>995</v>
      </c>
      <c r="E279" t="s">
        <v>977</v>
      </c>
      <c r="F279" t="s">
        <v>978</v>
      </c>
      <c r="G279" s="357">
        <v>55172.577599999997</v>
      </c>
      <c r="H279" s="198">
        <v>14899.465</v>
      </c>
      <c r="I279" s="198">
        <v>0</v>
      </c>
      <c r="J279" s="198">
        <v>0</v>
      </c>
      <c r="K279" s="198">
        <v>0</v>
      </c>
      <c r="L279" s="198">
        <v>61.624000000000009</v>
      </c>
      <c r="M279" s="198">
        <v>3862.0804319999997</v>
      </c>
      <c r="N279" s="198">
        <v>13.33</v>
      </c>
      <c r="O279" s="198">
        <v>0</v>
      </c>
      <c r="P279" s="198">
        <v>412.03575000000001</v>
      </c>
      <c r="Q279" s="198">
        <v>0</v>
      </c>
      <c r="R279" s="198">
        <v>0</v>
      </c>
      <c r="S279" s="198">
        <v>0</v>
      </c>
      <c r="T279" s="198">
        <v>0</v>
      </c>
      <c r="U279" s="198">
        <v>387.61855197352367</v>
      </c>
      <c r="V279" s="198">
        <v>514.47197628058211</v>
      </c>
      <c r="W279" s="198">
        <v>5.9634210526315794</v>
      </c>
      <c r="X279" s="198">
        <v>0</v>
      </c>
      <c r="Y279" s="198">
        <v>148</v>
      </c>
      <c r="Z279" s="271">
        <v>20304.589131306737</v>
      </c>
      <c r="AA279" s="272">
        <v>0</v>
      </c>
      <c r="AB279" s="198">
        <v>0</v>
      </c>
      <c r="AC279" s="272">
        <v>279.79827147238422</v>
      </c>
      <c r="AD279" s="198">
        <v>1.0072737773005831</v>
      </c>
      <c r="AE279" s="198">
        <v>1.0072737773005831</v>
      </c>
      <c r="AF279" s="198">
        <v>0</v>
      </c>
      <c r="AG279" s="198">
        <v>0</v>
      </c>
      <c r="AH279" s="198">
        <v>0</v>
      </c>
      <c r="AI279" s="198">
        <v>0</v>
      </c>
      <c r="AJ279" s="198">
        <v>0</v>
      </c>
      <c r="AK279" s="198">
        <v>0</v>
      </c>
      <c r="AL279" s="198">
        <v>0</v>
      </c>
      <c r="AM279" s="198">
        <v>1.489192212579976E-2</v>
      </c>
      <c r="AN279" s="198">
        <v>3.8057134321488177E-3</v>
      </c>
      <c r="AO279" s="198">
        <v>0</v>
      </c>
      <c r="AP279" s="198">
        <v>5.4412783864432092E-4</v>
      </c>
      <c r="AQ279" s="198">
        <v>6.8028523125850766E-4</v>
      </c>
      <c r="AS279" s="258">
        <f t="shared" si="33"/>
        <v>27238.606319647984</v>
      </c>
      <c r="AT279" s="3">
        <f t="shared" si="34"/>
        <v>0</v>
      </c>
      <c r="AU279" s="3">
        <f t="shared" si="35"/>
        <v>0</v>
      </c>
      <c r="AV279" s="95">
        <f t="shared" si="36"/>
        <v>17.385901765468095</v>
      </c>
      <c r="AW279" s="95">
        <f t="shared" si="37"/>
        <v>0.62589246355685146</v>
      </c>
      <c r="AX279" s="95">
        <f t="shared" si="40"/>
        <v>0.62589246355685146</v>
      </c>
      <c r="AY279" s="102">
        <f t="shared" si="38"/>
        <v>0</v>
      </c>
      <c r="AZ279" s="102">
        <f t="shared" si="39"/>
        <v>1</v>
      </c>
    </row>
    <row r="280" spans="1:52" x14ac:dyDescent="0.35">
      <c r="A280" t="s">
        <v>979</v>
      </c>
      <c r="B280">
        <v>2045</v>
      </c>
      <c r="C280" t="s">
        <v>837</v>
      </c>
      <c r="D280" t="s">
        <v>995</v>
      </c>
      <c r="E280" t="s">
        <v>977</v>
      </c>
      <c r="F280" t="s">
        <v>978</v>
      </c>
      <c r="G280" s="357">
        <v>84659.541100000002</v>
      </c>
      <c r="H280" s="198">
        <v>14899.465</v>
      </c>
      <c r="I280" s="198">
        <v>0</v>
      </c>
      <c r="J280" s="198">
        <v>0</v>
      </c>
      <c r="K280" s="198">
        <v>0</v>
      </c>
      <c r="L280" s="198">
        <v>61.624000000000009</v>
      </c>
      <c r="M280" s="198">
        <v>5926.1678769999999</v>
      </c>
      <c r="N280" s="198">
        <v>13.33</v>
      </c>
      <c r="O280" s="198">
        <v>0</v>
      </c>
      <c r="P280" s="198">
        <v>430.93799999999999</v>
      </c>
      <c r="Q280" s="198">
        <v>0</v>
      </c>
      <c r="R280" s="198">
        <v>0</v>
      </c>
      <c r="S280" s="198">
        <v>0</v>
      </c>
      <c r="T280" s="198">
        <v>0</v>
      </c>
      <c r="U280" s="198">
        <v>387.61855197352367</v>
      </c>
      <c r="V280" s="198">
        <v>514.47197628058211</v>
      </c>
      <c r="W280" s="198">
        <v>5.9634210526315794</v>
      </c>
      <c r="X280" s="198">
        <v>0</v>
      </c>
      <c r="Y280" s="198">
        <v>148</v>
      </c>
      <c r="Z280" s="271">
        <v>22387.578826306737</v>
      </c>
      <c r="AA280" s="272">
        <v>0</v>
      </c>
      <c r="AB280" s="198">
        <v>0</v>
      </c>
      <c r="AC280" s="272">
        <v>287.43683669671202</v>
      </c>
      <c r="AD280" s="198">
        <v>1.0347726121081633</v>
      </c>
      <c r="AE280" s="198">
        <v>1.0347726121081633</v>
      </c>
      <c r="AF280" s="198">
        <v>0</v>
      </c>
      <c r="AG280" s="198">
        <v>0</v>
      </c>
      <c r="AH280" s="198">
        <v>0</v>
      </c>
      <c r="AI280" s="198">
        <v>0</v>
      </c>
      <c r="AJ280" s="198">
        <v>0</v>
      </c>
      <c r="AK280" s="198">
        <v>0</v>
      </c>
      <c r="AL280" s="198">
        <v>0</v>
      </c>
      <c r="AM280" s="198">
        <v>1.529847545393481E-2</v>
      </c>
      <c r="AN280" s="198">
        <v>3.9096103937833306E-3</v>
      </c>
      <c r="AO280" s="198">
        <v>0</v>
      </c>
      <c r="AP280" s="198">
        <v>5.5898266946219973E-4</v>
      </c>
      <c r="AQ280" s="198">
        <v>6.9885719413293856E-4</v>
      </c>
      <c r="AS280" s="258">
        <f t="shared" si="33"/>
        <v>30032.936995490487</v>
      </c>
      <c r="AT280" s="3">
        <f t="shared" si="34"/>
        <v>0</v>
      </c>
      <c r="AU280" s="3">
        <f t="shared" si="35"/>
        <v>0</v>
      </c>
      <c r="AV280" s="95">
        <f t="shared" si="36"/>
        <v>17.860541383219957</v>
      </c>
      <c r="AW280" s="95">
        <f t="shared" si="37"/>
        <v>0.64297948979591846</v>
      </c>
      <c r="AX280" s="95">
        <f t="shared" si="40"/>
        <v>0.64297948979591846</v>
      </c>
      <c r="AY280" s="102">
        <f t="shared" si="38"/>
        <v>0</v>
      </c>
      <c r="AZ280" s="102">
        <f t="shared" si="39"/>
        <v>1</v>
      </c>
    </row>
    <row r="281" spans="1:52" x14ac:dyDescent="0.35">
      <c r="A281" t="s">
        <v>980</v>
      </c>
      <c r="B281">
        <v>2045</v>
      </c>
      <c r="C281" t="s">
        <v>837</v>
      </c>
      <c r="D281" t="s">
        <v>995</v>
      </c>
      <c r="E281" t="s">
        <v>977</v>
      </c>
      <c r="F281" t="s">
        <v>978</v>
      </c>
      <c r="G281" s="357">
        <v>124841.425</v>
      </c>
      <c r="H281" s="198">
        <v>14899.465</v>
      </c>
      <c r="I281" s="198">
        <v>0</v>
      </c>
      <c r="J281" s="198">
        <v>0</v>
      </c>
      <c r="K281" s="198">
        <v>0</v>
      </c>
      <c r="L281" s="198">
        <v>61.624000000000009</v>
      </c>
      <c r="M281" s="198">
        <v>8738.8997500000005</v>
      </c>
      <c r="N281" s="198">
        <v>13.33</v>
      </c>
      <c r="O281" s="198">
        <v>0</v>
      </c>
      <c r="P281" s="198">
        <v>454.84199999999998</v>
      </c>
      <c r="Q281" s="198">
        <v>0</v>
      </c>
      <c r="R281" s="198">
        <v>0</v>
      </c>
      <c r="S281" s="198">
        <v>0</v>
      </c>
      <c r="T281" s="198">
        <v>0</v>
      </c>
      <c r="U281" s="198">
        <v>387.61855197352367</v>
      </c>
      <c r="V281" s="198">
        <v>514.47197628058211</v>
      </c>
      <c r="W281" s="198">
        <v>5.9634210526315794</v>
      </c>
      <c r="X281" s="198">
        <v>0</v>
      </c>
      <c r="Y281" s="198">
        <v>148</v>
      </c>
      <c r="Z281" s="271">
        <v>25224.21469930674</v>
      </c>
      <c r="AA281" s="272">
        <v>0</v>
      </c>
      <c r="AB281" s="198">
        <v>0</v>
      </c>
      <c r="AC281" s="272">
        <v>312.80322757997249</v>
      </c>
      <c r="AD281" s="198">
        <v>1.1260916192879009</v>
      </c>
      <c r="AE281" s="198">
        <v>1.1260916192879009</v>
      </c>
      <c r="AF281" s="198">
        <v>0</v>
      </c>
      <c r="AG281" s="198">
        <v>0</v>
      </c>
      <c r="AH281" s="198">
        <v>0</v>
      </c>
      <c r="AI281" s="198">
        <v>0</v>
      </c>
      <c r="AJ281" s="198">
        <v>0</v>
      </c>
      <c r="AK281" s="198">
        <v>0</v>
      </c>
      <c r="AL281" s="198">
        <v>0</v>
      </c>
      <c r="AM281" s="198">
        <v>1.664857070526804E-2</v>
      </c>
      <c r="AN281" s="198">
        <v>4.2546347357907098E-3</v>
      </c>
      <c r="AO281" s="198">
        <v>0</v>
      </c>
      <c r="AP281" s="198">
        <v>6.0831306515364634E-4</v>
      </c>
      <c r="AQ281" s="198">
        <v>7.6053156044479664E-4</v>
      </c>
      <c r="AS281" s="258">
        <f t="shared" si="33"/>
        <v>33838.284019119987</v>
      </c>
      <c r="AT281" s="3">
        <f t="shared" si="34"/>
        <v>0</v>
      </c>
      <c r="AU281" s="3">
        <f t="shared" si="35"/>
        <v>0</v>
      </c>
      <c r="AV281" s="95">
        <f t="shared" si="36"/>
        <v>19.436739755425982</v>
      </c>
      <c r="AW281" s="95">
        <f t="shared" si="37"/>
        <v>0.6997226311953354</v>
      </c>
      <c r="AX281" s="95">
        <f t="shared" si="40"/>
        <v>0.6997226311953354</v>
      </c>
      <c r="AY281" s="102">
        <f t="shared" si="38"/>
        <v>0</v>
      </c>
      <c r="AZ281" s="102">
        <f t="shared" si="39"/>
        <v>1</v>
      </c>
    </row>
    <row r="282" spans="1:52" x14ac:dyDescent="0.35">
      <c r="A282" t="s">
        <v>981</v>
      </c>
      <c r="B282">
        <v>2045</v>
      </c>
      <c r="C282" t="s">
        <v>837</v>
      </c>
      <c r="D282" t="s">
        <v>995</v>
      </c>
      <c r="E282" t="s">
        <v>977</v>
      </c>
      <c r="F282" t="s">
        <v>978</v>
      </c>
      <c r="G282" s="357">
        <v>170276.55410000001</v>
      </c>
      <c r="H282" s="198">
        <v>14899.465</v>
      </c>
      <c r="I282" s="198">
        <v>0</v>
      </c>
      <c r="J282" s="198">
        <v>0</v>
      </c>
      <c r="K282" s="198">
        <v>0</v>
      </c>
      <c r="L282" s="198">
        <v>61.624000000000009</v>
      </c>
      <c r="M282" s="198">
        <v>11919.358786999999</v>
      </c>
      <c r="N282" s="198">
        <v>13.33</v>
      </c>
      <c r="O282" s="198">
        <v>0</v>
      </c>
      <c r="P282" s="198">
        <v>483.63974999999999</v>
      </c>
      <c r="Q282" s="198">
        <v>0</v>
      </c>
      <c r="R282" s="198">
        <v>0</v>
      </c>
      <c r="S282" s="198">
        <v>0</v>
      </c>
      <c r="T282" s="198">
        <v>0</v>
      </c>
      <c r="U282" s="198">
        <v>387.61855197352367</v>
      </c>
      <c r="V282" s="198">
        <v>514.47197628058211</v>
      </c>
      <c r="W282" s="198">
        <v>5.9634210526315794</v>
      </c>
      <c r="X282" s="198">
        <v>0</v>
      </c>
      <c r="Y282" s="198">
        <v>148</v>
      </c>
      <c r="Z282" s="271">
        <v>28433.471486306735</v>
      </c>
      <c r="AA282" s="272">
        <v>0</v>
      </c>
      <c r="AB282" s="198">
        <v>0</v>
      </c>
      <c r="AC282" s="272">
        <v>337.9650232306447</v>
      </c>
      <c r="AD282" s="198">
        <v>1.2166740836303209</v>
      </c>
      <c r="AE282" s="198">
        <v>1.2166740836303209</v>
      </c>
      <c r="AF282" s="198">
        <v>0</v>
      </c>
      <c r="AG282" s="198">
        <v>0</v>
      </c>
      <c r="AH282" s="198">
        <v>0</v>
      </c>
      <c r="AI282" s="198">
        <v>0</v>
      </c>
      <c r="AJ282" s="198">
        <v>0</v>
      </c>
      <c r="AK282" s="198">
        <v>0</v>
      </c>
      <c r="AL282" s="198">
        <v>0</v>
      </c>
      <c r="AM282" s="198">
        <v>1.7987776624601538E-2</v>
      </c>
      <c r="AN282" s="198">
        <v>4.5968762485092702E-3</v>
      </c>
      <c r="AO282" s="198">
        <v>0</v>
      </c>
      <c r="AP282" s="198">
        <v>6.5724558146892909E-4</v>
      </c>
      <c r="AQ282" s="198">
        <v>8.2170848581685461E-4</v>
      </c>
      <c r="AS282" s="258">
        <f t="shared" si="33"/>
        <v>38143.501998880485</v>
      </c>
      <c r="AT282" s="3">
        <f t="shared" si="34"/>
        <v>0</v>
      </c>
      <c r="AU282" s="3">
        <f t="shared" si="35"/>
        <v>0</v>
      </c>
      <c r="AV282" s="95">
        <f t="shared" si="36"/>
        <v>21.000225137674121</v>
      </c>
      <c r="AW282" s="95">
        <f t="shared" si="37"/>
        <v>0.75600810495626847</v>
      </c>
      <c r="AX282" s="95">
        <f t="shared" si="40"/>
        <v>0.75600810495626847</v>
      </c>
      <c r="AY282" s="102">
        <f t="shared" si="38"/>
        <v>0</v>
      </c>
      <c r="AZ282" s="102">
        <f t="shared" si="39"/>
        <v>1</v>
      </c>
    </row>
    <row r="283" spans="1:52" x14ac:dyDescent="0.35">
      <c r="A283" t="s">
        <v>982</v>
      </c>
      <c r="B283">
        <v>2045</v>
      </c>
      <c r="C283" t="s">
        <v>837</v>
      </c>
      <c r="D283" t="s">
        <v>995</v>
      </c>
      <c r="E283" t="s">
        <v>983</v>
      </c>
      <c r="F283" t="s">
        <v>978</v>
      </c>
      <c r="G283" s="357"/>
      <c r="H283" s="198">
        <v>14899.465</v>
      </c>
      <c r="I283" s="198">
        <v>8592.9565728971102</v>
      </c>
      <c r="J283" s="198">
        <v>0</v>
      </c>
      <c r="K283" s="198">
        <v>0</v>
      </c>
      <c r="L283" s="198">
        <v>61.624000000000009</v>
      </c>
      <c r="M283" s="198">
        <v>0</v>
      </c>
      <c r="N283" s="198">
        <v>0</v>
      </c>
      <c r="O283" s="198">
        <v>35.823437671406367</v>
      </c>
      <c r="P283" s="198">
        <v>0</v>
      </c>
      <c r="Q283" s="198">
        <v>0</v>
      </c>
      <c r="R283" s="198">
        <v>7.3665430727120906</v>
      </c>
      <c r="S283" s="198">
        <v>2483.17</v>
      </c>
      <c r="T283" s="198">
        <v>86.5</v>
      </c>
      <c r="U283" s="198">
        <v>387.61855197352367</v>
      </c>
      <c r="V283" s="198">
        <v>295.28040083506653</v>
      </c>
      <c r="W283" s="198">
        <v>0</v>
      </c>
      <c r="X283" s="198">
        <v>0</v>
      </c>
      <c r="Y283" s="198">
        <v>148</v>
      </c>
      <c r="Z283" s="271">
        <v>26997.804506449815</v>
      </c>
      <c r="AA283" s="272">
        <v>32.687750942471453</v>
      </c>
      <c r="AB283" s="198">
        <v>3.7690494588271903</v>
      </c>
      <c r="AC283" s="272">
        <v>0</v>
      </c>
      <c r="AD283" s="198">
        <v>0</v>
      </c>
      <c r="AE283" s="198">
        <v>3.7690494588271903</v>
      </c>
      <c r="AF283" s="198">
        <v>282.13421405322117</v>
      </c>
      <c r="AG283" s="198">
        <v>0.12403117402502647</v>
      </c>
      <c r="AH283" s="198">
        <v>6.5535930466130486E-4</v>
      </c>
      <c r="AI283" s="198">
        <v>286.02881946219316</v>
      </c>
      <c r="AJ283" s="198">
        <v>0.12035330767213691</v>
      </c>
      <c r="AK283" s="198">
        <v>2.8085351264941867</v>
      </c>
      <c r="AL283" s="198">
        <v>0.13149287317943562</v>
      </c>
      <c r="AM283" s="198">
        <v>2.3635305491108271E-2</v>
      </c>
      <c r="AN283" s="198">
        <v>9.7182173813556323E-3</v>
      </c>
      <c r="AO283" s="198">
        <v>1.9458690245955747E-3</v>
      </c>
      <c r="AP283" s="198">
        <v>1.6147723520255498E-3</v>
      </c>
      <c r="AQ283" s="198">
        <v>1.5337475881893579E-3</v>
      </c>
      <c r="AS283" s="258">
        <f t="shared" si="33"/>
        <v>36217.554745402427</v>
      </c>
      <c r="AT283" s="3">
        <f t="shared" si="34"/>
        <v>7.1958183863855645</v>
      </c>
      <c r="AU283" s="3">
        <f t="shared" si="35"/>
        <v>2.4155074121928828</v>
      </c>
      <c r="AV283" s="95">
        <f t="shared" si="36"/>
        <v>0</v>
      </c>
      <c r="AW283" s="95">
        <f t="shared" si="37"/>
        <v>0</v>
      </c>
      <c r="AX283" s="95">
        <f t="shared" si="40"/>
        <v>2.4155074121928828</v>
      </c>
      <c r="AY283" s="102">
        <f t="shared" si="38"/>
        <v>1</v>
      </c>
      <c r="AZ283" s="102">
        <f t="shared" si="39"/>
        <v>0</v>
      </c>
    </row>
    <row r="284" spans="1:52" x14ac:dyDescent="0.35">
      <c r="A284" t="s">
        <v>984</v>
      </c>
      <c r="B284">
        <v>2045</v>
      </c>
      <c r="C284" t="s">
        <v>837</v>
      </c>
      <c r="D284" t="s">
        <v>995</v>
      </c>
      <c r="E284" t="s">
        <v>240</v>
      </c>
      <c r="F284" t="s">
        <v>978</v>
      </c>
      <c r="G284" s="357"/>
      <c r="H284" s="198">
        <v>14899.465</v>
      </c>
      <c r="I284" s="198">
        <v>9690.7434150000008</v>
      </c>
      <c r="J284" s="198">
        <v>0</v>
      </c>
      <c r="K284" s="198">
        <v>0</v>
      </c>
      <c r="L284" s="198">
        <v>61.624000000000009</v>
      </c>
      <c r="M284" s="198">
        <v>0</v>
      </c>
      <c r="N284" s="198">
        <v>0</v>
      </c>
      <c r="O284" s="198">
        <v>35.823437671406367</v>
      </c>
      <c r="P284" s="198">
        <v>0</v>
      </c>
      <c r="Q284" s="198">
        <v>0</v>
      </c>
      <c r="R284" s="198">
        <v>7.3665430727120906</v>
      </c>
      <c r="S284" s="198">
        <v>2483.17</v>
      </c>
      <c r="T284" s="198">
        <v>86.5</v>
      </c>
      <c r="U284" s="198">
        <v>387.61855197352367</v>
      </c>
      <c r="V284" s="198">
        <v>275.57982669809581</v>
      </c>
      <c r="W284" s="198">
        <v>0</v>
      </c>
      <c r="X284" s="198">
        <v>0</v>
      </c>
      <c r="Y284" s="198">
        <v>148</v>
      </c>
      <c r="Z284" s="271">
        <v>28075.890774415737</v>
      </c>
      <c r="AA284" s="272">
        <v>28.131911784344666</v>
      </c>
      <c r="AB284" s="198">
        <v>4.3794304114291105</v>
      </c>
      <c r="AC284" s="272">
        <v>0</v>
      </c>
      <c r="AD284" s="198">
        <v>0</v>
      </c>
      <c r="AE284" s="198">
        <v>4.3794304114291105</v>
      </c>
      <c r="AF284" s="198">
        <v>0</v>
      </c>
      <c r="AG284" s="198">
        <v>0</v>
      </c>
      <c r="AH284" s="198">
        <v>0</v>
      </c>
      <c r="AI284" s="198">
        <v>0</v>
      </c>
      <c r="AJ284" s="198">
        <v>0</v>
      </c>
      <c r="AK284" s="198">
        <v>0</v>
      </c>
      <c r="AL284" s="198">
        <v>0</v>
      </c>
      <c r="AM284" s="198">
        <v>0</v>
      </c>
      <c r="AN284" s="198">
        <v>0</v>
      </c>
      <c r="AO284" s="198">
        <v>0</v>
      </c>
      <c r="AP284" s="198">
        <v>0</v>
      </c>
      <c r="AQ284" s="198">
        <v>0</v>
      </c>
      <c r="AS284" s="258">
        <f t="shared" si="33"/>
        <v>37663.807473878711</v>
      </c>
      <c r="AT284" s="3">
        <f t="shared" si="34"/>
        <v>8.3611494677132008</v>
      </c>
      <c r="AU284" s="3">
        <f t="shared" si="35"/>
        <v>2.8066881943442725</v>
      </c>
      <c r="AV284" s="95">
        <f t="shared" si="36"/>
        <v>0</v>
      </c>
      <c r="AW284" s="95">
        <f t="shared" si="37"/>
        <v>0</v>
      </c>
      <c r="AX284" s="95">
        <f t="shared" si="40"/>
        <v>2.8066881943442725</v>
      </c>
      <c r="AY284" s="102">
        <f t="shared" si="38"/>
        <v>1</v>
      </c>
      <c r="AZ284" s="102">
        <f t="shared" si="39"/>
        <v>0</v>
      </c>
    </row>
    <row r="285" spans="1:52" x14ac:dyDescent="0.35">
      <c r="A285" t="s">
        <v>985</v>
      </c>
      <c r="B285">
        <v>2045</v>
      </c>
      <c r="C285" t="s">
        <v>837</v>
      </c>
      <c r="D285" t="s">
        <v>995</v>
      </c>
      <c r="E285" t="s">
        <v>986</v>
      </c>
      <c r="F285" t="s">
        <v>978</v>
      </c>
      <c r="G285" s="357"/>
      <c r="H285" s="198">
        <v>14899.465</v>
      </c>
      <c r="I285" s="198">
        <v>6176.9862540000004</v>
      </c>
      <c r="J285" s="198">
        <v>0</v>
      </c>
      <c r="K285" s="198">
        <v>0</v>
      </c>
      <c r="L285" s="198">
        <v>61.624000000000009</v>
      </c>
      <c r="M285" s="198">
        <v>0</v>
      </c>
      <c r="N285" s="198">
        <v>0</v>
      </c>
      <c r="O285" s="198">
        <v>35.823437671406367</v>
      </c>
      <c r="P285" s="198">
        <v>0</v>
      </c>
      <c r="Q285" s="198">
        <v>0</v>
      </c>
      <c r="R285" s="198">
        <v>7.3665430727120906</v>
      </c>
      <c r="S285" s="198">
        <v>2483.17</v>
      </c>
      <c r="T285" s="198">
        <v>86.5</v>
      </c>
      <c r="U285" s="198">
        <v>387.61855197352367</v>
      </c>
      <c r="V285" s="198">
        <v>278.96515747957159</v>
      </c>
      <c r="W285" s="198">
        <v>0</v>
      </c>
      <c r="X285" s="198">
        <v>0</v>
      </c>
      <c r="Y285" s="198">
        <v>148</v>
      </c>
      <c r="Z285" s="271">
        <v>24565.518944197211</v>
      </c>
      <c r="AA285" s="272">
        <v>26.734202705892375</v>
      </c>
      <c r="AB285" s="198">
        <v>4.6083943985674063</v>
      </c>
      <c r="AC285" s="272">
        <v>0</v>
      </c>
      <c r="AD285" s="198">
        <v>0</v>
      </c>
      <c r="AE285" s="198">
        <v>4.6083943985674063</v>
      </c>
      <c r="AF285" s="198">
        <v>344.96382864969326</v>
      </c>
      <c r="AG285" s="198">
        <v>0.1516521801766248</v>
      </c>
      <c r="AH285" s="198">
        <v>8.0130393130738175E-4</v>
      </c>
      <c r="AI285" s="198">
        <v>349.72573956314716</v>
      </c>
      <c r="AJ285" s="198">
        <v>0.14715527482038415</v>
      </c>
      <c r="AK285" s="198">
        <v>3.4339792264607256</v>
      </c>
      <c r="AL285" s="198">
        <v>0.16077555543678232</v>
      </c>
      <c r="AM285" s="198">
        <v>2.889874771437612E-2</v>
      </c>
      <c r="AN285" s="198">
        <v>1.1882406700557202E-2</v>
      </c>
      <c r="AO285" s="198">
        <v>2.3792025048359066E-3</v>
      </c>
      <c r="AP285" s="198">
        <v>1.9743725688204745E-3</v>
      </c>
      <c r="AQ285" s="198">
        <v>1.8753040710767115E-3</v>
      </c>
      <c r="AS285" s="258">
        <f t="shared" si="33"/>
        <v>32954.643663640556</v>
      </c>
      <c r="AT285" s="3">
        <f t="shared" si="34"/>
        <v>8.7982844234806876</v>
      </c>
      <c r="AU285" s="3">
        <f t="shared" si="35"/>
        <v>2.9534265733704483</v>
      </c>
      <c r="AV285" s="95">
        <f t="shared" si="36"/>
        <v>0</v>
      </c>
      <c r="AW285" s="95">
        <f t="shared" si="37"/>
        <v>0</v>
      </c>
      <c r="AX285" s="95">
        <f t="shared" si="40"/>
        <v>2.9534265733704483</v>
      </c>
      <c r="AY285" s="102">
        <f t="shared" si="38"/>
        <v>1</v>
      </c>
      <c r="AZ285" s="102">
        <f t="shared" si="39"/>
        <v>0</v>
      </c>
    </row>
    <row r="286" spans="1:52" x14ac:dyDescent="0.35">
      <c r="A286" t="s">
        <v>987</v>
      </c>
      <c r="B286">
        <v>2045</v>
      </c>
      <c r="C286" t="s">
        <v>837</v>
      </c>
      <c r="D286" t="s">
        <v>995</v>
      </c>
      <c r="E286" t="s">
        <v>986</v>
      </c>
      <c r="F286" t="s">
        <v>978</v>
      </c>
      <c r="G286" s="357">
        <v>20863.284500000002</v>
      </c>
      <c r="H286" s="198">
        <v>14899.465</v>
      </c>
      <c r="I286" s="198">
        <v>5446.9499489999998</v>
      </c>
      <c r="J286" s="198">
        <v>0</v>
      </c>
      <c r="K286" s="198">
        <v>0</v>
      </c>
      <c r="L286" s="198">
        <v>61.624000000000009</v>
      </c>
      <c r="M286" s="198">
        <v>1787.0866752000002</v>
      </c>
      <c r="N286" s="198">
        <v>13.33</v>
      </c>
      <c r="O286" s="198">
        <v>0</v>
      </c>
      <c r="P286" s="198">
        <v>392.60699999999997</v>
      </c>
      <c r="Q286" s="198">
        <v>241.76024999999998</v>
      </c>
      <c r="R286" s="198">
        <v>0</v>
      </c>
      <c r="S286" s="198">
        <v>1048.69352</v>
      </c>
      <c r="T286" s="198">
        <v>0</v>
      </c>
      <c r="U286" s="198">
        <v>387.61855197352367</v>
      </c>
      <c r="V286" s="198">
        <v>549.5423973313716</v>
      </c>
      <c r="W286" s="198">
        <v>5.9634210526315794</v>
      </c>
      <c r="X286" s="198">
        <v>0</v>
      </c>
      <c r="Y286" s="198">
        <v>148</v>
      </c>
      <c r="Z286" s="271">
        <v>24982.640764557524</v>
      </c>
      <c r="AA286" s="272">
        <v>187.57473935728206</v>
      </c>
      <c r="AB286" s="198">
        <v>0.656814187358843</v>
      </c>
      <c r="AC286" s="272">
        <v>284.83754321829372</v>
      </c>
      <c r="AD286" s="198">
        <v>1.0254151555858573</v>
      </c>
      <c r="AE286" s="198">
        <v>1.6822293429447002</v>
      </c>
      <c r="AF286" s="198">
        <v>49.166177455032624</v>
      </c>
      <c r="AG286" s="198">
        <v>2.1614318321988932E-2</v>
      </c>
      <c r="AH286" s="198">
        <v>1.1420632544660574E-4</v>
      </c>
      <c r="AI286" s="198">
        <v>49.844871676140897</v>
      </c>
      <c r="AJ286" s="198">
        <v>2.0973394177539184E-2</v>
      </c>
      <c r="AK286" s="198">
        <v>0.48942995758698604</v>
      </c>
      <c r="AL286" s="198">
        <v>2.2914632876084598E-2</v>
      </c>
      <c r="AM286" s="198">
        <v>1.9278942649347406E-2</v>
      </c>
      <c r="AN286" s="198">
        <v>5.5678029294995261E-3</v>
      </c>
      <c r="AO286" s="198">
        <v>3.3909727003003659E-4</v>
      </c>
      <c r="AP286" s="198">
        <v>8.353264245380338E-4</v>
      </c>
      <c r="AQ286" s="198">
        <v>9.5981626551770369E-4</v>
      </c>
      <c r="AS286" s="258">
        <f t="shared" si="33"/>
        <v>33514.212585653913</v>
      </c>
      <c r="AT286" s="3">
        <f t="shared" si="34"/>
        <v>1.2539807867913564</v>
      </c>
      <c r="AU286" s="3">
        <f t="shared" si="35"/>
        <v>0.42093890126143679</v>
      </c>
      <c r="AV286" s="95">
        <f t="shared" si="36"/>
        <v>17.699028373015878</v>
      </c>
      <c r="AW286" s="95">
        <f t="shared" si="37"/>
        <v>0.63716502142857157</v>
      </c>
      <c r="AX286" s="95">
        <f t="shared" si="40"/>
        <v>1.0581039226900084</v>
      </c>
      <c r="AY286" s="102">
        <f t="shared" si="38"/>
        <v>0.39782377915326833</v>
      </c>
      <c r="AZ286" s="102">
        <f t="shared" si="39"/>
        <v>0.60217622084673161</v>
      </c>
    </row>
    <row r="287" spans="1:52" x14ac:dyDescent="0.35">
      <c r="A287" t="s">
        <v>988</v>
      </c>
      <c r="B287">
        <v>2045</v>
      </c>
      <c r="C287" t="s">
        <v>837</v>
      </c>
      <c r="D287" t="s">
        <v>995</v>
      </c>
      <c r="E287" t="s">
        <v>989</v>
      </c>
      <c r="F287" t="s">
        <v>978</v>
      </c>
      <c r="G287" s="357">
        <v>1965.6</v>
      </c>
      <c r="H287" s="198">
        <v>14899.465</v>
      </c>
      <c r="I287" s="198">
        <v>0</v>
      </c>
      <c r="J287" s="198">
        <v>7602.5000000000009</v>
      </c>
      <c r="K287" s="198">
        <v>2973.9863999999998</v>
      </c>
      <c r="L287" s="198">
        <v>61.624000000000009</v>
      </c>
      <c r="M287" s="198">
        <v>962.8534188000001</v>
      </c>
      <c r="N287" s="198">
        <v>0</v>
      </c>
      <c r="O287" s="198">
        <v>0</v>
      </c>
      <c r="P287" s="198">
        <v>439.53300000000002</v>
      </c>
      <c r="Q287" s="198">
        <v>0</v>
      </c>
      <c r="R287" s="198">
        <v>0</v>
      </c>
      <c r="S287" s="198">
        <v>0</v>
      </c>
      <c r="T287" s="198">
        <v>0</v>
      </c>
      <c r="U287" s="198">
        <v>387.61855197352367</v>
      </c>
      <c r="V287" s="198">
        <v>514.47197628058211</v>
      </c>
      <c r="W287" s="198">
        <v>4.5602631578947372</v>
      </c>
      <c r="X287" s="198">
        <v>254.87296380000001</v>
      </c>
      <c r="Y287" s="198">
        <v>148</v>
      </c>
      <c r="Z287" s="271">
        <v>28249.485574012</v>
      </c>
      <c r="AA287" s="272">
        <v>49.345730375117498</v>
      </c>
      <c r="AB287" s="198">
        <v>2.4967053697136943</v>
      </c>
      <c r="AC287" s="272">
        <v>0</v>
      </c>
      <c r="AD287" s="198">
        <v>0</v>
      </c>
      <c r="AE287" s="198">
        <v>2.4967053697136943</v>
      </c>
      <c r="AF287" s="198">
        <v>0</v>
      </c>
      <c r="AG287" s="198">
        <v>0</v>
      </c>
      <c r="AH287" s="198">
        <v>0</v>
      </c>
      <c r="AI287" s="198">
        <v>0</v>
      </c>
      <c r="AJ287" s="198">
        <v>0</v>
      </c>
      <c r="AK287" s="198">
        <v>0</v>
      </c>
      <c r="AL287" s="198">
        <v>0</v>
      </c>
      <c r="AM287" s="198">
        <v>2.3340658057605511E-2</v>
      </c>
      <c r="AN287" s="198">
        <v>5.9648348369436407E-3</v>
      </c>
      <c r="AO287" s="198">
        <v>0</v>
      </c>
      <c r="AP287" s="198">
        <v>8.528316032097884E-4</v>
      </c>
      <c r="AQ287" s="198">
        <v>1.0662360996996755E-3</v>
      </c>
      <c r="AS287" s="258">
        <f t="shared" si="33"/>
        <v>37896.684897537096</v>
      </c>
      <c r="AT287" s="3">
        <f t="shared" si="34"/>
        <v>4.7666762139979379</v>
      </c>
      <c r="AU287" s="3">
        <f t="shared" si="35"/>
        <v>1.6000878716199705</v>
      </c>
      <c r="AV287" s="95">
        <f t="shared" si="36"/>
        <v>0</v>
      </c>
      <c r="AW287" s="95">
        <f t="shared" si="37"/>
        <v>0</v>
      </c>
      <c r="AX287" s="95">
        <f t="shared" si="40"/>
        <v>1.6000878716199705</v>
      </c>
      <c r="AY287" s="102">
        <f t="shared" si="38"/>
        <v>1</v>
      </c>
      <c r="AZ287" s="102">
        <f t="shared" si="39"/>
        <v>0</v>
      </c>
    </row>
    <row r="288" spans="1:52" x14ac:dyDescent="0.35">
      <c r="A288" t="s">
        <v>990</v>
      </c>
      <c r="B288">
        <v>2045</v>
      </c>
      <c r="C288" t="s">
        <v>837</v>
      </c>
      <c r="D288" t="s">
        <v>995</v>
      </c>
      <c r="E288" t="s">
        <v>989</v>
      </c>
      <c r="F288" t="s">
        <v>978</v>
      </c>
      <c r="G288" s="357">
        <v>2106</v>
      </c>
      <c r="H288" s="198">
        <v>14899.465</v>
      </c>
      <c r="I288" s="198">
        <v>0</v>
      </c>
      <c r="J288" s="198">
        <v>7806.15</v>
      </c>
      <c r="K288" s="198">
        <v>3636.8719999999998</v>
      </c>
      <c r="L288" s="198">
        <v>61.624000000000009</v>
      </c>
      <c r="M288" s="198">
        <v>1031.6286630000002</v>
      </c>
      <c r="N288" s="198">
        <v>0</v>
      </c>
      <c r="O288" s="198">
        <v>0</v>
      </c>
      <c r="P288" s="198">
        <v>448.56450000000001</v>
      </c>
      <c r="Q288" s="198">
        <v>0</v>
      </c>
      <c r="R288" s="198">
        <v>0</v>
      </c>
      <c r="S288" s="198">
        <v>0</v>
      </c>
      <c r="T288" s="198">
        <v>0</v>
      </c>
      <c r="U288" s="198">
        <v>387.61855197352367</v>
      </c>
      <c r="V288" s="198">
        <v>514.47197628058211</v>
      </c>
      <c r="W288" s="198">
        <v>4.5602631578947372</v>
      </c>
      <c r="X288" s="198">
        <v>273.07817550000004</v>
      </c>
      <c r="Y288" s="198">
        <v>148</v>
      </c>
      <c r="Z288" s="271">
        <v>29212.033129911997</v>
      </c>
      <c r="AA288" s="272">
        <v>48.692956006299902</v>
      </c>
      <c r="AB288" s="198">
        <v>2.530176027597506</v>
      </c>
      <c r="AC288" s="272">
        <v>0</v>
      </c>
      <c r="AD288" s="198">
        <v>0</v>
      </c>
      <c r="AE288" s="198">
        <v>2.530176027597506</v>
      </c>
      <c r="AF288" s="198">
        <v>0</v>
      </c>
      <c r="AG288" s="198">
        <v>0</v>
      </c>
      <c r="AH288" s="198">
        <v>0</v>
      </c>
      <c r="AI288" s="198">
        <v>0</v>
      </c>
      <c r="AJ288" s="198">
        <v>0</v>
      </c>
      <c r="AK288" s="198">
        <v>0</v>
      </c>
      <c r="AL288" s="198">
        <v>0</v>
      </c>
      <c r="AM288" s="198">
        <v>2.365356129004368E-2</v>
      </c>
      <c r="AN288" s="198">
        <v>6.0447989963445057E-3</v>
      </c>
      <c r="AO288" s="198">
        <v>0</v>
      </c>
      <c r="AP288" s="198">
        <v>8.6426460414365947E-4</v>
      </c>
      <c r="AQ288" s="198">
        <v>1.0805299864150753E-3</v>
      </c>
      <c r="AS288" s="258">
        <f t="shared" si="33"/>
        <v>39187.942443776941</v>
      </c>
      <c r="AT288" s="3">
        <f t="shared" si="34"/>
        <v>4.8305779425466788</v>
      </c>
      <c r="AU288" s="3">
        <f t="shared" si="35"/>
        <v>1.6215385379199232</v>
      </c>
      <c r="AV288" s="95">
        <f t="shared" si="36"/>
        <v>0</v>
      </c>
      <c r="AW288" s="95">
        <f t="shared" si="37"/>
        <v>0</v>
      </c>
      <c r="AX288" s="95">
        <f t="shared" si="40"/>
        <v>1.6215385379199232</v>
      </c>
      <c r="AY288" s="102">
        <f t="shared" si="38"/>
        <v>1</v>
      </c>
      <c r="AZ288" s="102">
        <f t="shared" si="39"/>
        <v>0</v>
      </c>
    </row>
    <row r="289" spans="1:52" x14ac:dyDescent="0.35">
      <c r="A289" t="s">
        <v>991</v>
      </c>
      <c r="B289">
        <v>2045</v>
      </c>
      <c r="C289" t="s">
        <v>837</v>
      </c>
      <c r="D289" t="s">
        <v>995</v>
      </c>
      <c r="E289" t="s">
        <v>986</v>
      </c>
      <c r="F289" t="s">
        <v>978</v>
      </c>
      <c r="G289" s="357">
        <v>2948.4</v>
      </c>
      <c r="H289" s="198">
        <v>14899.465</v>
      </c>
      <c r="I289" s="198">
        <v>5446.9499494270603</v>
      </c>
      <c r="J289" s="198">
        <v>0</v>
      </c>
      <c r="K289" s="198">
        <v>0</v>
      </c>
      <c r="L289" s="198">
        <v>61.624000000000009</v>
      </c>
      <c r="M289" s="198">
        <v>1444.2801282000003</v>
      </c>
      <c r="N289" s="198">
        <v>0</v>
      </c>
      <c r="O289" s="198">
        <v>0</v>
      </c>
      <c r="P289" s="198">
        <v>307.73474999999996</v>
      </c>
      <c r="Q289" s="198">
        <v>218.90925000000001</v>
      </c>
      <c r="R289" s="198">
        <v>0</v>
      </c>
      <c r="S289" s="198">
        <v>994.60104151406904</v>
      </c>
      <c r="T289" s="198">
        <v>0</v>
      </c>
      <c r="U289" s="198">
        <v>387.61855197352367</v>
      </c>
      <c r="V289" s="198">
        <v>555.17362679269058</v>
      </c>
      <c r="W289" s="198">
        <v>4.5602631578947372</v>
      </c>
      <c r="X289" s="198">
        <v>382.30944570000008</v>
      </c>
      <c r="Y289" s="198">
        <v>148</v>
      </c>
      <c r="Z289" s="271">
        <v>24851.226006765239</v>
      </c>
      <c r="AA289" s="272">
        <v>39.704818083192443</v>
      </c>
      <c r="AB289" s="198">
        <v>3.1029420596225545</v>
      </c>
      <c r="AC289" s="272">
        <v>0</v>
      </c>
      <c r="AD289" s="198">
        <v>0</v>
      </c>
      <c r="AE289" s="198">
        <v>3.1029420596225545</v>
      </c>
      <c r="AF289" s="198">
        <v>232.27238825268802</v>
      </c>
      <c r="AG289" s="198">
        <v>0.10211103642730546</v>
      </c>
      <c r="AH289" s="198">
        <v>5.3953708297352213E-4</v>
      </c>
      <c r="AI289" s="198">
        <v>235.47869664984367</v>
      </c>
      <c r="AJ289" s="198">
        <v>9.9083162603754521E-2</v>
      </c>
      <c r="AK289" s="198">
        <v>2.3121802632534068</v>
      </c>
      <c r="AL289" s="198">
        <v>0.10825402298011941</v>
      </c>
      <c r="AM289" s="198">
        <v>1.9458217330798454E-2</v>
      </c>
      <c r="AN289" s="198">
        <v>8.000708344789581E-3</v>
      </c>
      <c r="AO289" s="198">
        <v>1.6019738941852821E-3</v>
      </c>
      <c r="AP289" s="198">
        <v>1.3293922254272673E-3</v>
      </c>
      <c r="AQ289" s="198">
        <v>1.2626870387947374E-3</v>
      </c>
      <c r="AS289" s="258">
        <f t="shared" si="33"/>
        <v>33337.919688075563</v>
      </c>
      <c r="AT289" s="3">
        <f t="shared" si="34"/>
        <v>5.924095124893614</v>
      </c>
      <c r="AU289" s="3">
        <f t="shared" si="35"/>
        <v>1.988612679801659</v>
      </c>
      <c r="AV289" s="95">
        <f t="shared" si="36"/>
        <v>0</v>
      </c>
      <c r="AW289" s="95">
        <f t="shared" si="37"/>
        <v>0</v>
      </c>
      <c r="AX289" s="95">
        <f t="shared" si="40"/>
        <v>1.988612679801659</v>
      </c>
      <c r="AY289" s="102">
        <f t="shared" si="38"/>
        <v>1</v>
      </c>
      <c r="AZ289" s="102">
        <f t="shared" si="39"/>
        <v>0</v>
      </c>
    </row>
    <row r="290" spans="1:52" x14ac:dyDescent="0.35">
      <c r="A290" t="s">
        <v>992</v>
      </c>
      <c r="B290">
        <v>2045</v>
      </c>
      <c r="C290" t="s">
        <v>837</v>
      </c>
      <c r="D290" t="s">
        <v>995</v>
      </c>
      <c r="E290" t="s">
        <v>986</v>
      </c>
      <c r="F290" t="s">
        <v>978</v>
      </c>
      <c r="G290" s="357">
        <v>9379.7567999999992</v>
      </c>
      <c r="H290" s="198">
        <v>14899.465</v>
      </c>
      <c r="I290" s="198">
        <v>5446.9499494270603</v>
      </c>
      <c r="J290" s="198">
        <v>0</v>
      </c>
      <c r="K290" s="198">
        <v>0</v>
      </c>
      <c r="L290" s="198">
        <v>61.624000000000009</v>
      </c>
      <c r="M290" s="198">
        <v>1116.9291720000001</v>
      </c>
      <c r="N290" s="198">
        <v>13.33</v>
      </c>
      <c r="O290" s="198">
        <v>0</v>
      </c>
      <c r="P290" s="198">
        <v>327.42674999999997</v>
      </c>
      <c r="Q290" s="198">
        <v>224.03025</v>
      </c>
      <c r="R290" s="198">
        <v>0</v>
      </c>
      <c r="S290" s="198">
        <v>1004.80344099115</v>
      </c>
      <c r="T290" s="198">
        <v>0</v>
      </c>
      <c r="U290" s="198">
        <v>387.61855197352367</v>
      </c>
      <c r="V290" s="198">
        <v>556.12571027606555</v>
      </c>
      <c r="W290" s="198">
        <v>4.5602631578947372</v>
      </c>
      <c r="X290" s="198">
        <v>341.21114999999998</v>
      </c>
      <c r="Y290" s="198">
        <v>148</v>
      </c>
      <c r="Z290" s="271">
        <v>24532.074237825691</v>
      </c>
      <c r="AA290" s="272">
        <v>79.907840335837165</v>
      </c>
      <c r="AB290" s="198">
        <v>1.5417980198464498</v>
      </c>
      <c r="AC290" s="272">
        <v>203.63026278396825</v>
      </c>
      <c r="AD290" s="198">
        <v>0.73306894602228567</v>
      </c>
      <c r="AE290" s="198">
        <v>2.2748669658687355</v>
      </c>
      <c r="AF290" s="198">
        <v>115.41211578941372</v>
      </c>
      <c r="AG290" s="198">
        <v>5.0737200612517651E-2</v>
      </c>
      <c r="AH290" s="198">
        <v>2.6808660625248485E-4</v>
      </c>
      <c r="AI290" s="198">
        <v>117.00527474719102</v>
      </c>
      <c r="AJ290" s="198">
        <v>4.9232702695446141E-2</v>
      </c>
      <c r="AK290" s="198">
        <v>1.1488822165908525</v>
      </c>
      <c r="AL290" s="198">
        <v>5.378954394380886E-2</v>
      </c>
      <c r="AM290" s="198">
        <v>9.6684502558891609E-3</v>
      </c>
      <c r="AN290" s="198">
        <v>3.9754130261994147E-3</v>
      </c>
      <c r="AO290" s="198">
        <v>7.9599300613464178E-4</v>
      </c>
      <c r="AP290" s="198">
        <v>6.6055190892360663E-4</v>
      </c>
      <c r="AQ290" s="198">
        <v>6.2740726017175954E-4</v>
      </c>
      <c r="AS290" s="258">
        <f t="shared" si="33"/>
        <v>32909.777590043159</v>
      </c>
      <c r="AT290" s="3">
        <f t="shared" si="34"/>
        <v>2.9435799823004176</v>
      </c>
      <c r="AU290" s="3">
        <f t="shared" si="35"/>
        <v>0.98810710385378464</v>
      </c>
      <c r="AV290" s="95">
        <f t="shared" si="36"/>
        <v>12.653029365079366</v>
      </c>
      <c r="AW290" s="95">
        <f t="shared" si="37"/>
        <v>0.45550905714285717</v>
      </c>
      <c r="AX290" s="95">
        <f t="shared" si="40"/>
        <v>1.4436161609966418</v>
      </c>
      <c r="AY290" s="102">
        <f t="shared" si="38"/>
        <v>0.68446664047569028</v>
      </c>
      <c r="AZ290" s="102">
        <f t="shared" si="39"/>
        <v>0.31553335952430972</v>
      </c>
    </row>
    <row r="291" spans="1:52" x14ac:dyDescent="0.35">
      <c r="A291" t="s">
        <v>975</v>
      </c>
      <c r="B291">
        <v>2045</v>
      </c>
      <c r="C291" t="s">
        <v>837</v>
      </c>
      <c r="D291" t="s">
        <v>996</v>
      </c>
      <c r="E291" t="s">
        <v>977</v>
      </c>
      <c r="F291" t="s">
        <v>978</v>
      </c>
      <c r="G291" s="357">
        <v>42020.398099999999</v>
      </c>
      <c r="H291" s="198">
        <v>12762.987499999999</v>
      </c>
      <c r="I291" s="198">
        <v>0</v>
      </c>
      <c r="J291" s="198">
        <v>0</v>
      </c>
      <c r="K291" s="198">
        <v>0</v>
      </c>
      <c r="L291" s="198">
        <v>61.624000000000009</v>
      </c>
      <c r="M291" s="198">
        <v>2941.4278669999999</v>
      </c>
      <c r="N291" s="198">
        <v>13.33</v>
      </c>
      <c r="O291" s="198">
        <v>0</v>
      </c>
      <c r="P291" s="198">
        <v>272.39850000000001</v>
      </c>
      <c r="Q291" s="198">
        <v>0</v>
      </c>
      <c r="R291" s="198">
        <v>0</v>
      </c>
      <c r="S291" s="198">
        <v>0</v>
      </c>
      <c r="T291" s="198">
        <v>0</v>
      </c>
      <c r="U291" s="198">
        <v>284.23058888315421</v>
      </c>
      <c r="V291" s="198">
        <v>514.47197628058211</v>
      </c>
      <c r="W291" s="198">
        <v>5.9634210526315794</v>
      </c>
      <c r="X291" s="198">
        <v>0</v>
      </c>
      <c r="Y291" s="198">
        <v>148</v>
      </c>
      <c r="Z291" s="271">
        <v>17004.433853216367</v>
      </c>
      <c r="AA291" s="272">
        <v>0</v>
      </c>
      <c r="AB291" s="198">
        <v>0</v>
      </c>
      <c r="AC291" s="272">
        <v>211.52279093140589</v>
      </c>
      <c r="AD291" s="198">
        <v>0.76148204735306124</v>
      </c>
      <c r="AE291" s="198">
        <v>0.76148204735306124</v>
      </c>
      <c r="AF291" s="198">
        <v>0</v>
      </c>
      <c r="AG291" s="198">
        <v>0</v>
      </c>
      <c r="AH291" s="198">
        <v>0</v>
      </c>
      <c r="AI291" s="198">
        <v>0</v>
      </c>
      <c r="AJ291" s="198">
        <v>0</v>
      </c>
      <c r="AK291" s="198">
        <v>0</v>
      </c>
      <c r="AL291" s="198">
        <v>0</v>
      </c>
      <c r="AM291" s="198">
        <v>1.1258042852824486E-2</v>
      </c>
      <c r="AN291" s="198">
        <v>2.8770553957218059E-3</v>
      </c>
      <c r="AO291" s="198">
        <v>0</v>
      </c>
      <c r="AP291" s="198">
        <v>4.113515013793796E-4</v>
      </c>
      <c r="AQ291" s="198">
        <v>5.1428420192874136E-4</v>
      </c>
      <c r="AS291" s="258">
        <f t="shared" si="33"/>
        <v>22811.448014089754</v>
      </c>
      <c r="AT291" s="3">
        <f t="shared" si="34"/>
        <v>0</v>
      </c>
      <c r="AU291" s="3">
        <f t="shared" si="35"/>
        <v>0</v>
      </c>
      <c r="AV291" s="95">
        <f t="shared" si="36"/>
        <v>13.143449546485261</v>
      </c>
      <c r="AW291" s="95">
        <f t="shared" si="37"/>
        <v>0.47316418367346941</v>
      </c>
      <c r="AX291" s="95">
        <f t="shared" si="40"/>
        <v>0.47316418367346941</v>
      </c>
      <c r="AY291" s="102">
        <f t="shared" si="38"/>
        <v>0</v>
      </c>
      <c r="AZ291" s="102">
        <f t="shared" si="39"/>
        <v>1</v>
      </c>
    </row>
    <row r="292" spans="1:52" x14ac:dyDescent="0.35">
      <c r="A292" t="s">
        <v>979</v>
      </c>
      <c r="B292">
        <v>2045</v>
      </c>
      <c r="C292" t="s">
        <v>837</v>
      </c>
      <c r="D292" t="s">
        <v>996</v>
      </c>
      <c r="E292" t="s">
        <v>977</v>
      </c>
      <c r="F292" t="s">
        <v>978</v>
      </c>
      <c r="G292" s="357">
        <v>64545.154600000002</v>
      </c>
      <c r="H292" s="198">
        <v>12762.987499999999</v>
      </c>
      <c r="I292" s="198">
        <v>0</v>
      </c>
      <c r="J292" s="198">
        <v>0</v>
      </c>
      <c r="K292" s="198">
        <v>0</v>
      </c>
      <c r="L292" s="198">
        <v>61.624000000000009</v>
      </c>
      <c r="M292" s="198">
        <v>4518.1608219999998</v>
      </c>
      <c r="N292" s="198">
        <v>13.33</v>
      </c>
      <c r="O292" s="198">
        <v>0</v>
      </c>
      <c r="P292" s="198">
        <v>284.54849999999999</v>
      </c>
      <c r="Q292" s="198">
        <v>0</v>
      </c>
      <c r="R292" s="198">
        <v>0</v>
      </c>
      <c r="S292" s="198">
        <v>0</v>
      </c>
      <c r="T292" s="198">
        <v>0</v>
      </c>
      <c r="U292" s="198">
        <v>284.23058888315421</v>
      </c>
      <c r="V292" s="198">
        <v>514.47197628058211</v>
      </c>
      <c r="W292" s="198">
        <v>5.9634210526315794</v>
      </c>
      <c r="X292" s="198">
        <v>0</v>
      </c>
      <c r="Y292" s="198">
        <v>148</v>
      </c>
      <c r="Z292" s="271">
        <v>18593.316808216368</v>
      </c>
      <c r="AA292" s="272">
        <v>0</v>
      </c>
      <c r="AB292" s="198">
        <v>0</v>
      </c>
      <c r="AC292" s="272">
        <v>217.6532092080094</v>
      </c>
      <c r="AD292" s="198">
        <v>0.78355155314883385</v>
      </c>
      <c r="AE292" s="198">
        <v>0.78355155314883385</v>
      </c>
      <c r="AF292" s="198">
        <v>0</v>
      </c>
      <c r="AG292" s="198">
        <v>0</v>
      </c>
      <c r="AH292" s="198">
        <v>0</v>
      </c>
      <c r="AI292" s="198">
        <v>0</v>
      </c>
      <c r="AJ292" s="198">
        <v>0</v>
      </c>
      <c r="AK292" s="198">
        <v>0</v>
      </c>
      <c r="AL292" s="198">
        <v>0</v>
      </c>
      <c r="AM292" s="198">
        <v>1.1584326897015837E-2</v>
      </c>
      <c r="AN292" s="198">
        <v>2.9604390959040395E-3</v>
      </c>
      <c r="AO292" s="198">
        <v>0</v>
      </c>
      <c r="AP292" s="198">
        <v>4.2327341651230826E-4</v>
      </c>
      <c r="AQ292" s="198">
        <v>5.2918934409800671E-4</v>
      </c>
      <c r="AS292" s="258">
        <f t="shared" si="33"/>
        <v>24942.934498222257</v>
      </c>
      <c r="AT292" s="3">
        <f t="shared" si="34"/>
        <v>0</v>
      </c>
      <c r="AU292" s="3">
        <f t="shared" si="35"/>
        <v>0</v>
      </c>
      <c r="AV292" s="95">
        <f t="shared" si="36"/>
        <v>13.524377024619373</v>
      </c>
      <c r="AW292" s="95">
        <f t="shared" si="37"/>
        <v>0.48687757288629741</v>
      </c>
      <c r="AX292" s="95">
        <f t="shared" si="40"/>
        <v>0.48687757288629741</v>
      </c>
      <c r="AY292" s="102">
        <f t="shared" si="38"/>
        <v>0</v>
      </c>
      <c r="AZ292" s="102">
        <f t="shared" si="39"/>
        <v>1</v>
      </c>
    </row>
    <row r="293" spans="1:52" x14ac:dyDescent="0.35">
      <c r="A293" t="s">
        <v>980</v>
      </c>
      <c r="B293">
        <v>2045</v>
      </c>
      <c r="C293" t="s">
        <v>837</v>
      </c>
      <c r="D293" t="s">
        <v>996</v>
      </c>
      <c r="E293" t="s">
        <v>977</v>
      </c>
      <c r="F293" t="s">
        <v>978</v>
      </c>
      <c r="G293" s="357">
        <v>94794.008400000006</v>
      </c>
      <c r="H293" s="198">
        <v>12762.987499999999</v>
      </c>
      <c r="I293" s="198">
        <v>0</v>
      </c>
      <c r="J293" s="198">
        <v>0</v>
      </c>
      <c r="K293" s="198">
        <v>0</v>
      </c>
      <c r="L293" s="198">
        <v>61.624000000000009</v>
      </c>
      <c r="M293" s="198">
        <v>6635.5805880000007</v>
      </c>
      <c r="N293" s="198">
        <v>13.33</v>
      </c>
      <c r="O293" s="198">
        <v>0</v>
      </c>
      <c r="P293" s="198">
        <v>300.09375</v>
      </c>
      <c r="Q293" s="198">
        <v>0</v>
      </c>
      <c r="R293" s="198">
        <v>0</v>
      </c>
      <c r="S293" s="198">
        <v>0</v>
      </c>
      <c r="T293" s="198">
        <v>0</v>
      </c>
      <c r="U293" s="198">
        <v>284.23058888315421</v>
      </c>
      <c r="V293" s="198">
        <v>514.47197628058211</v>
      </c>
      <c r="W293" s="198">
        <v>5.9634210526315794</v>
      </c>
      <c r="X293" s="198">
        <v>0</v>
      </c>
      <c r="Y293" s="198">
        <v>148</v>
      </c>
      <c r="Z293" s="271">
        <v>20726.28182421637</v>
      </c>
      <c r="AA293" s="272">
        <v>0</v>
      </c>
      <c r="AB293" s="198">
        <v>0</v>
      </c>
      <c r="AC293" s="272">
        <v>236.91886167792356</v>
      </c>
      <c r="AD293" s="198">
        <v>0.8529079020405248</v>
      </c>
      <c r="AE293" s="198">
        <v>0.8529079020405248</v>
      </c>
      <c r="AF293" s="198">
        <v>0</v>
      </c>
      <c r="AG293" s="198">
        <v>0</v>
      </c>
      <c r="AH293" s="198">
        <v>0</v>
      </c>
      <c r="AI293" s="198">
        <v>0</v>
      </c>
      <c r="AJ293" s="198">
        <v>0</v>
      </c>
      <c r="AK293" s="198">
        <v>0</v>
      </c>
      <c r="AL293" s="198">
        <v>0</v>
      </c>
      <c r="AM293" s="198">
        <v>1.2609717778721123E-2</v>
      </c>
      <c r="AN293" s="198">
        <v>3.2224834323398345E-3</v>
      </c>
      <c r="AO293" s="198">
        <v>0</v>
      </c>
      <c r="AP293" s="198">
        <v>4.6073961594006875E-4</v>
      </c>
      <c r="AQ293" s="198">
        <v>5.7603073013257045E-4</v>
      </c>
      <c r="AS293" s="258">
        <f t="shared" si="33"/>
        <v>27804.307067186259</v>
      </c>
      <c r="AT293" s="3">
        <f t="shared" si="34"/>
        <v>0</v>
      </c>
      <c r="AU293" s="3">
        <f t="shared" si="35"/>
        <v>0</v>
      </c>
      <c r="AV293" s="95">
        <f t="shared" si="36"/>
        <v>14.721492144476837</v>
      </c>
      <c r="AW293" s="95">
        <f t="shared" si="37"/>
        <v>0.52997371720116615</v>
      </c>
      <c r="AX293" s="95">
        <f t="shared" si="40"/>
        <v>0.52997371720116615</v>
      </c>
      <c r="AY293" s="102">
        <f t="shared" si="38"/>
        <v>0</v>
      </c>
      <c r="AZ293" s="102">
        <f t="shared" si="39"/>
        <v>1</v>
      </c>
    </row>
    <row r="294" spans="1:52" x14ac:dyDescent="0.35">
      <c r="A294" t="s">
        <v>981</v>
      </c>
      <c r="B294">
        <v>2045</v>
      </c>
      <c r="C294" t="s">
        <v>837</v>
      </c>
      <c r="D294" t="s">
        <v>996</v>
      </c>
      <c r="E294" t="s">
        <v>977</v>
      </c>
      <c r="F294" t="s">
        <v>978</v>
      </c>
      <c r="G294" s="357">
        <v>129062.9549</v>
      </c>
      <c r="H294" s="198">
        <v>12762.987499999999</v>
      </c>
      <c r="I294" s="198">
        <v>0</v>
      </c>
      <c r="J294" s="198">
        <v>0</v>
      </c>
      <c r="K294" s="198">
        <v>0</v>
      </c>
      <c r="L294" s="198">
        <v>61.624000000000009</v>
      </c>
      <c r="M294" s="198">
        <v>9034.4068429999988</v>
      </c>
      <c r="N294" s="198">
        <v>13.33</v>
      </c>
      <c r="O294" s="198">
        <v>0</v>
      </c>
      <c r="P294" s="198">
        <v>319.077</v>
      </c>
      <c r="Q294" s="198">
        <v>0</v>
      </c>
      <c r="R294" s="198">
        <v>0</v>
      </c>
      <c r="S294" s="198">
        <v>0</v>
      </c>
      <c r="T294" s="198">
        <v>0</v>
      </c>
      <c r="U294" s="198">
        <v>284.23058888315421</v>
      </c>
      <c r="V294" s="198">
        <v>514.47197628058211</v>
      </c>
      <c r="W294" s="198">
        <v>5.9634210526315794</v>
      </c>
      <c r="X294" s="198">
        <v>0</v>
      </c>
      <c r="Y294" s="198">
        <v>148</v>
      </c>
      <c r="Z294" s="271">
        <v>23144.091329216368</v>
      </c>
      <c r="AA294" s="272">
        <v>0</v>
      </c>
      <c r="AB294" s="198">
        <v>0</v>
      </c>
      <c r="AC294" s="272">
        <v>256.16078394209592</v>
      </c>
      <c r="AD294" s="198">
        <v>0.92217882219154523</v>
      </c>
      <c r="AE294" s="198">
        <v>0.92217882219154523</v>
      </c>
      <c r="AF294" s="198">
        <v>0</v>
      </c>
      <c r="AG294" s="198">
        <v>0</v>
      </c>
      <c r="AH294" s="198">
        <v>0</v>
      </c>
      <c r="AI294" s="198">
        <v>0</v>
      </c>
      <c r="AJ294" s="198">
        <v>0</v>
      </c>
      <c r="AK294" s="198">
        <v>0</v>
      </c>
      <c r="AL294" s="198">
        <v>0</v>
      </c>
      <c r="AM294" s="198">
        <v>1.3633845649135896E-2</v>
      </c>
      <c r="AN294" s="198">
        <v>3.4842049992236091E-3</v>
      </c>
      <c r="AO294" s="198">
        <v>0</v>
      </c>
      <c r="AP294" s="198">
        <v>4.9815966688559262E-4</v>
      </c>
      <c r="AQ294" s="198">
        <v>6.2281441992613896E-4</v>
      </c>
      <c r="AS294" s="258">
        <f t="shared" si="33"/>
        <v>31047.798518143754</v>
      </c>
      <c r="AT294" s="3">
        <f t="shared" si="34"/>
        <v>0</v>
      </c>
      <c r="AU294" s="3">
        <f t="shared" si="35"/>
        <v>0</v>
      </c>
      <c r="AV294" s="95">
        <f t="shared" si="36"/>
        <v>15.917132734046001</v>
      </c>
      <c r="AW294" s="95">
        <f t="shared" si="37"/>
        <v>0.57301677842565601</v>
      </c>
      <c r="AX294" s="95">
        <f t="shared" si="40"/>
        <v>0.57301677842565601</v>
      </c>
      <c r="AY294" s="102">
        <f t="shared" si="38"/>
        <v>0</v>
      </c>
      <c r="AZ294" s="102">
        <f t="shared" si="39"/>
        <v>1</v>
      </c>
    </row>
    <row r="295" spans="1:52" x14ac:dyDescent="0.35">
      <c r="A295" t="s">
        <v>982</v>
      </c>
      <c r="B295">
        <v>2045</v>
      </c>
      <c r="C295" t="s">
        <v>837</v>
      </c>
      <c r="D295" t="s">
        <v>996</v>
      </c>
      <c r="E295" t="s">
        <v>983</v>
      </c>
      <c r="F295" t="s">
        <v>978</v>
      </c>
      <c r="G295" s="357"/>
      <c r="H295" s="198">
        <v>12762.987499999999</v>
      </c>
      <c r="I295" s="198">
        <v>7348.3674218223696</v>
      </c>
      <c r="J295" s="198">
        <v>0</v>
      </c>
      <c r="K295" s="198">
        <v>0</v>
      </c>
      <c r="L295" s="198">
        <v>61.624000000000009</v>
      </c>
      <c r="M295" s="198">
        <v>0</v>
      </c>
      <c r="N295" s="198">
        <v>0</v>
      </c>
      <c r="O295" s="198">
        <v>35.823437671406367</v>
      </c>
      <c r="P295" s="198">
        <v>0</v>
      </c>
      <c r="Q295" s="198">
        <v>0</v>
      </c>
      <c r="R295" s="198">
        <v>7.3665430727120906</v>
      </c>
      <c r="S295" s="198">
        <v>2483.17</v>
      </c>
      <c r="T295" s="198">
        <v>86.5</v>
      </c>
      <c r="U295" s="198">
        <v>284.23058888315421</v>
      </c>
      <c r="V295" s="198">
        <v>272.85274760345015</v>
      </c>
      <c r="W295" s="198">
        <v>0</v>
      </c>
      <c r="X295" s="198">
        <v>0</v>
      </c>
      <c r="Y295" s="198">
        <v>148</v>
      </c>
      <c r="Z295" s="271">
        <v>23490.922239053092</v>
      </c>
      <c r="AA295" s="272">
        <v>42.218259735920988</v>
      </c>
      <c r="AB295" s="198">
        <v>2.9182100534374951</v>
      </c>
      <c r="AC295" s="272">
        <v>0</v>
      </c>
      <c r="AD295" s="198">
        <v>0</v>
      </c>
      <c r="AE295" s="198">
        <v>2.9182100534374951</v>
      </c>
      <c r="AF295" s="198">
        <v>218.44417507988598</v>
      </c>
      <c r="AG295" s="198">
        <v>9.6031910149599081E-2</v>
      </c>
      <c r="AH295" s="198">
        <v>5.0741602952366889E-4</v>
      </c>
      <c r="AI295" s="198">
        <v>221.45959761089478</v>
      </c>
      <c r="AJ295" s="198">
        <v>9.3184299184700378E-2</v>
      </c>
      <c r="AK295" s="198">
        <v>2.1745258402944883</v>
      </c>
      <c r="AL295" s="198">
        <v>0.10180917726322788</v>
      </c>
      <c r="AM295" s="198">
        <v>1.8299782704809808E-2</v>
      </c>
      <c r="AN295" s="198">
        <v>7.5243904261706593E-3</v>
      </c>
      <c r="AO295" s="198">
        <v>1.5066012299064855E-3</v>
      </c>
      <c r="AP295" s="198">
        <v>1.2502475659102047E-3</v>
      </c>
      <c r="AQ295" s="198">
        <v>1.1875136371074374E-3</v>
      </c>
      <c r="AS295" s="258">
        <f t="shared" si="33"/>
        <v>31513.072183689721</v>
      </c>
      <c r="AT295" s="3">
        <f t="shared" si="34"/>
        <v>5.5714072705203828</v>
      </c>
      <c r="AU295" s="3">
        <f t="shared" si="35"/>
        <v>1.8702216809347658</v>
      </c>
      <c r="AV295" s="95">
        <f t="shared" si="36"/>
        <v>0</v>
      </c>
      <c r="AW295" s="95">
        <f t="shared" si="37"/>
        <v>0</v>
      </c>
      <c r="AX295" s="95">
        <f t="shared" si="40"/>
        <v>1.8702216809347658</v>
      </c>
      <c r="AY295" s="102">
        <f t="shared" si="38"/>
        <v>1</v>
      </c>
      <c r="AZ295" s="102">
        <f t="shared" si="39"/>
        <v>0</v>
      </c>
    </row>
    <row r="296" spans="1:52" x14ac:dyDescent="0.35">
      <c r="A296" t="s">
        <v>984</v>
      </c>
      <c r="B296">
        <v>2045</v>
      </c>
      <c r="C296" t="s">
        <v>837</v>
      </c>
      <c r="D296" t="s">
        <v>996</v>
      </c>
      <c r="E296" t="s">
        <v>240</v>
      </c>
      <c r="F296" t="s">
        <v>978</v>
      </c>
      <c r="G296" s="357"/>
      <c r="H296" s="198">
        <v>12762.987499999999</v>
      </c>
      <c r="I296" s="198">
        <v>9024.0857070000002</v>
      </c>
      <c r="J296" s="198">
        <v>0</v>
      </c>
      <c r="K296" s="198">
        <v>0</v>
      </c>
      <c r="L296" s="198">
        <v>61.624000000000009</v>
      </c>
      <c r="M296" s="198">
        <v>0</v>
      </c>
      <c r="N296" s="198">
        <v>0</v>
      </c>
      <c r="O296" s="198">
        <v>35.823437671406367</v>
      </c>
      <c r="P296" s="198">
        <v>0</v>
      </c>
      <c r="Q296" s="198">
        <v>0</v>
      </c>
      <c r="R296" s="198">
        <v>7.3665430727120906</v>
      </c>
      <c r="S296" s="198">
        <v>2483.17</v>
      </c>
      <c r="T296" s="198">
        <v>86.5</v>
      </c>
      <c r="U296" s="198">
        <v>284.23058888315421</v>
      </c>
      <c r="V296" s="198">
        <v>253.42079352366744</v>
      </c>
      <c r="W296" s="198">
        <v>0</v>
      </c>
      <c r="X296" s="198">
        <v>0</v>
      </c>
      <c r="Y296" s="198">
        <v>148</v>
      </c>
      <c r="Z296" s="271">
        <v>25147.208570150939</v>
      </c>
      <c r="AA296" s="272">
        <v>36.563344828464473</v>
      </c>
      <c r="AB296" s="198">
        <v>3.3695426547542708</v>
      </c>
      <c r="AC296" s="272">
        <v>0</v>
      </c>
      <c r="AD296" s="198">
        <v>0</v>
      </c>
      <c r="AE296" s="198">
        <v>3.3695426547542708</v>
      </c>
      <c r="AF296" s="198">
        <v>0</v>
      </c>
      <c r="AG296" s="198">
        <v>0</v>
      </c>
      <c r="AH296" s="198">
        <v>0</v>
      </c>
      <c r="AI296" s="198">
        <v>0</v>
      </c>
      <c r="AJ296" s="198">
        <v>0</v>
      </c>
      <c r="AK296" s="198">
        <v>0</v>
      </c>
      <c r="AL296" s="198">
        <v>0</v>
      </c>
      <c r="AM296" s="198">
        <v>0</v>
      </c>
      <c r="AN296" s="198">
        <v>0</v>
      </c>
      <c r="AO296" s="198">
        <v>0</v>
      </c>
      <c r="AP296" s="198">
        <v>0</v>
      </c>
      <c r="AQ296" s="198">
        <v>0</v>
      </c>
      <c r="AS296" s="258">
        <f t="shared" si="33"/>
        <v>33734.98029685748</v>
      </c>
      <c r="AT296" s="3">
        <f t="shared" si="34"/>
        <v>6.4330853849649374</v>
      </c>
      <c r="AU296" s="3">
        <f t="shared" si="35"/>
        <v>2.1594715981232238</v>
      </c>
      <c r="AV296" s="95">
        <f t="shared" si="36"/>
        <v>0</v>
      </c>
      <c r="AW296" s="95">
        <f t="shared" si="37"/>
        <v>0</v>
      </c>
      <c r="AX296" s="95">
        <f t="shared" si="40"/>
        <v>2.1594715981232238</v>
      </c>
      <c r="AY296" s="102">
        <f t="shared" si="38"/>
        <v>1</v>
      </c>
      <c r="AZ296" s="102">
        <f t="shared" si="39"/>
        <v>0</v>
      </c>
    </row>
    <row r="297" spans="1:52" x14ac:dyDescent="0.35">
      <c r="A297" t="s">
        <v>985</v>
      </c>
      <c r="B297">
        <v>2045</v>
      </c>
      <c r="C297" t="s">
        <v>837</v>
      </c>
      <c r="D297" t="s">
        <v>996</v>
      </c>
      <c r="E297" t="s">
        <v>986</v>
      </c>
      <c r="F297" t="s">
        <v>978</v>
      </c>
      <c r="G297" s="357"/>
      <c r="H297" s="198">
        <v>12762.987499999999</v>
      </c>
      <c r="I297" s="198">
        <v>6176.9862540000004</v>
      </c>
      <c r="J297" s="198">
        <v>0</v>
      </c>
      <c r="K297" s="198">
        <v>0</v>
      </c>
      <c r="L297" s="198">
        <v>61.624000000000009</v>
      </c>
      <c r="M297" s="198">
        <v>0</v>
      </c>
      <c r="N297" s="198">
        <v>0</v>
      </c>
      <c r="O297" s="198">
        <v>35.823437671406367</v>
      </c>
      <c r="P297" s="198">
        <v>0</v>
      </c>
      <c r="Q297" s="198">
        <v>0</v>
      </c>
      <c r="R297" s="198">
        <v>7.3665430727120906</v>
      </c>
      <c r="S297" s="198">
        <v>2483.17</v>
      </c>
      <c r="T297" s="198">
        <v>86.5</v>
      </c>
      <c r="U297" s="198">
        <v>284.23058888315421</v>
      </c>
      <c r="V297" s="198">
        <v>254.17802138840173</v>
      </c>
      <c r="W297" s="198">
        <v>0</v>
      </c>
      <c r="X297" s="198">
        <v>0</v>
      </c>
      <c r="Y297" s="198">
        <v>148</v>
      </c>
      <c r="Z297" s="271">
        <v>22300.866345015671</v>
      </c>
      <c r="AA297" s="272">
        <v>35.336524697664878</v>
      </c>
      <c r="AB297" s="198">
        <v>3.4865270723168051</v>
      </c>
      <c r="AC297" s="272">
        <v>0</v>
      </c>
      <c r="AD297" s="198">
        <v>0</v>
      </c>
      <c r="AE297" s="198">
        <v>3.4865270723168051</v>
      </c>
      <c r="AF297" s="198">
        <v>260.98584963368103</v>
      </c>
      <c r="AG297" s="198">
        <v>0.11473398021793348</v>
      </c>
      <c r="AH297" s="198">
        <v>6.0623453811278825E-4</v>
      </c>
      <c r="AI297" s="198">
        <v>264.58852116736728</v>
      </c>
      <c r="AJ297" s="198">
        <v>0.11133180130046641</v>
      </c>
      <c r="AK297" s="198">
        <v>2.5980114771753771</v>
      </c>
      <c r="AL297" s="198">
        <v>0.12163636141285311</v>
      </c>
      <c r="AM297" s="198">
        <v>2.1863637863449241E-2</v>
      </c>
      <c r="AN297" s="198">
        <v>8.9897541448817741E-3</v>
      </c>
      <c r="AO297" s="198">
        <v>1.8000095534820165E-3</v>
      </c>
      <c r="AP297" s="198">
        <v>1.49373139898186E-3</v>
      </c>
      <c r="AQ297" s="198">
        <v>1.4187801318974367E-3</v>
      </c>
      <c r="AS297" s="258">
        <f t="shared" si="33"/>
        <v>29916.612201838521</v>
      </c>
      <c r="AT297" s="3">
        <f t="shared" si="34"/>
        <v>6.656430456981858</v>
      </c>
      <c r="AU297" s="3">
        <f t="shared" si="35"/>
        <v>2.2344445404579467</v>
      </c>
      <c r="AV297" s="95">
        <f t="shared" si="36"/>
        <v>0</v>
      </c>
      <c r="AW297" s="95">
        <f t="shared" si="37"/>
        <v>0</v>
      </c>
      <c r="AX297" s="95">
        <f t="shared" si="40"/>
        <v>2.2344445404579467</v>
      </c>
      <c r="AY297" s="102">
        <f t="shared" si="38"/>
        <v>1</v>
      </c>
      <c r="AZ297" s="102">
        <f t="shared" si="39"/>
        <v>0</v>
      </c>
    </row>
    <row r="298" spans="1:52" x14ac:dyDescent="0.35">
      <c r="A298" t="s">
        <v>987</v>
      </c>
      <c r="B298">
        <v>2045</v>
      </c>
      <c r="C298" t="s">
        <v>837</v>
      </c>
      <c r="D298" t="s">
        <v>996</v>
      </c>
      <c r="E298" t="s">
        <v>986</v>
      </c>
      <c r="F298" t="s">
        <v>978</v>
      </c>
      <c r="G298" s="357">
        <v>15639.946599999999</v>
      </c>
      <c r="H298" s="198">
        <v>12762.987499999999</v>
      </c>
      <c r="I298" s="198">
        <v>4563.2020810000004</v>
      </c>
      <c r="J298" s="198">
        <v>0</v>
      </c>
      <c r="K298" s="198">
        <v>0</v>
      </c>
      <c r="L298" s="198">
        <v>61.624000000000009</v>
      </c>
      <c r="M298" s="198">
        <v>1340.3150064000001</v>
      </c>
      <c r="N298" s="198">
        <v>13.33</v>
      </c>
      <c r="O298" s="198">
        <v>0</v>
      </c>
      <c r="P298" s="198">
        <v>264.9015</v>
      </c>
      <c r="Q298" s="198">
        <v>165.18375</v>
      </c>
      <c r="R298" s="198">
        <v>0</v>
      </c>
      <c r="S298" s="198">
        <v>929.65736509999999</v>
      </c>
      <c r="T298" s="198">
        <v>0</v>
      </c>
      <c r="U298" s="198">
        <v>284.23058888315421</v>
      </c>
      <c r="V298" s="198">
        <v>538.43399511224834</v>
      </c>
      <c r="W298" s="198">
        <v>5.9634210526315794</v>
      </c>
      <c r="X298" s="198">
        <v>0</v>
      </c>
      <c r="Y298" s="198">
        <v>148</v>
      </c>
      <c r="Z298" s="271">
        <v>21077.829207548035</v>
      </c>
      <c r="AA298" s="272">
        <v>257.60369267498925</v>
      </c>
      <c r="AB298" s="198">
        <v>0.47826080721381553</v>
      </c>
      <c r="AC298" s="272">
        <v>213.82009595551591</v>
      </c>
      <c r="AD298" s="198">
        <v>0.76975234543985727</v>
      </c>
      <c r="AE298" s="198">
        <v>1.2480131526536729</v>
      </c>
      <c r="AF298" s="198">
        <v>35.800468640630712</v>
      </c>
      <c r="AG298" s="198">
        <v>1.5738517113369131E-2</v>
      </c>
      <c r="AH298" s="198">
        <v>8.3159606549692479E-5</v>
      </c>
      <c r="AI298" s="198">
        <v>36.294661446276145</v>
      </c>
      <c r="AJ298" s="198">
        <v>1.5271826678559915E-2</v>
      </c>
      <c r="AK298" s="198">
        <v>0.35637958359491273</v>
      </c>
      <c r="AL298" s="198">
        <v>1.6685344237756295E-2</v>
      </c>
      <c r="AM298" s="198">
        <v>1.4379436414271781E-2</v>
      </c>
      <c r="AN298" s="198">
        <v>4.1414628828489782E-3</v>
      </c>
      <c r="AO298" s="198">
        <v>2.469144808529584E-4</v>
      </c>
      <c r="AP298" s="198">
        <v>6.2072019078276324E-4</v>
      </c>
      <c r="AQ298" s="198">
        <v>7.1448945810021706E-4</v>
      </c>
      <c r="AS298" s="258">
        <f t="shared" si="33"/>
        <v>28275.907881925687</v>
      </c>
      <c r="AT298" s="3">
        <f t="shared" si="34"/>
        <v>0.91308908191076243</v>
      </c>
      <c r="AU298" s="3">
        <f t="shared" si="35"/>
        <v>0.30650765860360929</v>
      </c>
      <c r="AV298" s="95">
        <f t="shared" si="36"/>
        <v>13.286197817460319</v>
      </c>
      <c r="AW298" s="95">
        <f t="shared" si="37"/>
        <v>0.47830312142857151</v>
      </c>
      <c r="AX298" s="95">
        <f t="shared" si="40"/>
        <v>0.78481078003218085</v>
      </c>
      <c r="AY298" s="102">
        <f t="shared" si="38"/>
        <v>0.39054975594377167</v>
      </c>
      <c r="AZ298" s="102">
        <f t="shared" si="39"/>
        <v>0.60945024405622827</v>
      </c>
    </row>
    <row r="299" spans="1:52" x14ac:dyDescent="0.35">
      <c r="A299" t="s">
        <v>988</v>
      </c>
      <c r="B299">
        <v>2045</v>
      </c>
      <c r="C299" t="s">
        <v>837</v>
      </c>
      <c r="D299" t="s">
        <v>996</v>
      </c>
      <c r="E299" t="s">
        <v>989</v>
      </c>
      <c r="F299" t="s">
        <v>978</v>
      </c>
      <c r="G299" s="357">
        <v>1544.4</v>
      </c>
      <c r="H299" s="198">
        <v>12762.987499999999</v>
      </c>
      <c r="I299" s="198">
        <v>0</v>
      </c>
      <c r="J299" s="198">
        <v>4570.05</v>
      </c>
      <c r="K299" s="198">
        <v>2437.5465999999997</v>
      </c>
      <c r="L299" s="198">
        <v>61.624000000000009</v>
      </c>
      <c r="M299" s="198">
        <v>756.52768620000006</v>
      </c>
      <c r="N299" s="198">
        <v>0</v>
      </c>
      <c r="O299" s="198">
        <v>0</v>
      </c>
      <c r="P299" s="198">
        <v>283.077</v>
      </c>
      <c r="Q299" s="198">
        <v>0</v>
      </c>
      <c r="R299" s="198">
        <v>0</v>
      </c>
      <c r="S299" s="198">
        <v>0</v>
      </c>
      <c r="T299" s="198">
        <v>0</v>
      </c>
      <c r="U299" s="198">
        <v>284.23058888315421</v>
      </c>
      <c r="V299" s="198">
        <v>514.47197628058211</v>
      </c>
      <c r="W299" s="198">
        <v>4.5602631578947372</v>
      </c>
      <c r="X299" s="198">
        <v>200.25732870000002</v>
      </c>
      <c r="Y299" s="198">
        <v>148</v>
      </c>
      <c r="Z299" s="271">
        <v>22023.332943221634</v>
      </c>
      <c r="AA299" s="272">
        <v>69.604779121535614</v>
      </c>
      <c r="AB299" s="198">
        <v>1.7700185469287921</v>
      </c>
      <c r="AC299" s="272">
        <v>0</v>
      </c>
      <c r="AD299" s="198">
        <v>0</v>
      </c>
      <c r="AE299" s="198">
        <v>1.7700185469287921</v>
      </c>
      <c r="AF299" s="198">
        <v>0</v>
      </c>
      <c r="AG299" s="198">
        <v>0</v>
      </c>
      <c r="AH299" s="198">
        <v>0</v>
      </c>
      <c r="AI299" s="198">
        <v>0</v>
      </c>
      <c r="AJ299" s="198">
        <v>0</v>
      </c>
      <c r="AK299" s="198">
        <v>0</v>
      </c>
      <c r="AL299" s="198">
        <v>0</v>
      </c>
      <c r="AM299" s="198">
        <v>1.6547165781208E-2</v>
      </c>
      <c r="AN299" s="198">
        <v>4.2287201440864963E-3</v>
      </c>
      <c r="AO299" s="198">
        <v>0</v>
      </c>
      <c r="AP299" s="198">
        <v>6.0460788581611637E-4</v>
      </c>
      <c r="AQ299" s="198">
        <v>7.5589923215083283E-4</v>
      </c>
      <c r="AS299" s="258">
        <f t="shared" si="33"/>
        <v>29544.301143331821</v>
      </c>
      <c r="AT299" s="3">
        <f t="shared" si="34"/>
        <v>3.3792955341575523</v>
      </c>
      <c r="AU299" s="3">
        <f t="shared" si="35"/>
        <v>1.134369014397538</v>
      </c>
      <c r="AV299" s="95">
        <f t="shared" si="36"/>
        <v>0</v>
      </c>
      <c r="AW299" s="95">
        <f t="shared" si="37"/>
        <v>0</v>
      </c>
      <c r="AX299" s="95">
        <f t="shared" si="40"/>
        <v>1.134369014397538</v>
      </c>
      <c r="AY299" s="102">
        <f t="shared" si="38"/>
        <v>1</v>
      </c>
      <c r="AZ299" s="102">
        <f t="shared" si="39"/>
        <v>0</v>
      </c>
    </row>
    <row r="300" spans="1:52" x14ac:dyDescent="0.35">
      <c r="A300" t="s">
        <v>990</v>
      </c>
      <c r="B300">
        <v>2045</v>
      </c>
      <c r="C300" t="s">
        <v>837</v>
      </c>
      <c r="D300" t="s">
        <v>996</v>
      </c>
      <c r="E300" t="s">
        <v>989</v>
      </c>
      <c r="F300" t="s">
        <v>978</v>
      </c>
      <c r="G300" s="357">
        <v>1544.4</v>
      </c>
      <c r="H300" s="198">
        <v>12762.987499999999</v>
      </c>
      <c r="I300" s="198">
        <v>0</v>
      </c>
      <c r="J300" s="198">
        <v>4697.8499999999995</v>
      </c>
      <c r="K300" s="198">
        <v>2909.3946000000001</v>
      </c>
      <c r="L300" s="198">
        <v>61.624000000000009</v>
      </c>
      <c r="M300" s="198">
        <v>756.52768620000006</v>
      </c>
      <c r="N300" s="198">
        <v>0</v>
      </c>
      <c r="O300" s="198">
        <v>0</v>
      </c>
      <c r="P300" s="198">
        <v>288.74925000000002</v>
      </c>
      <c r="Q300" s="198">
        <v>0</v>
      </c>
      <c r="R300" s="198">
        <v>0</v>
      </c>
      <c r="S300" s="198">
        <v>0</v>
      </c>
      <c r="T300" s="198">
        <v>0</v>
      </c>
      <c r="U300" s="198">
        <v>284.23058888315421</v>
      </c>
      <c r="V300" s="198">
        <v>514.47197628058211</v>
      </c>
      <c r="W300" s="198">
        <v>4.5602631578947372</v>
      </c>
      <c r="X300" s="198">
        <v>200.25732870000002</v>
      </c>
      <c r="Y300" s="198">
        <v>148</v>
      </c>
      <c r="Z300" s="271">
        <v>22628.653193221631</v>
      </c>
      <c r="AA300" s="272">
        <v>68.547087848456485</v>
      </c>
      <c r="AB300" s="198">
        <v>1.7973301837763518</v>
      </c>
      <c r="AC300" s="272">
        <v>0</v>
      </c>
      <c r="AD300" s="198">
        <v>0</v>
      </c>
      <c r="AE300" s="198">
        <v>1.7973301837763518</v>
      </c>
      <c r="AF300" s="198">
        <v>0</v>
      </c>
      <c r="AG300" s="198">
        <v>0</v>
      </c>
      <c r="AH300" s="198">
        <v>0</v>
      </c>
      <c r="AI300" s="198">
        <v>0</v>
      </c>
      <c r="AJ300" s="198">
        <v>0</v>
      </c>
      <c r="AK300" s="198">
        <v>0</v>
      </c>
      <c r="AL300" s="198">
        <v>0</v>
      </c>
      <c r="AM300" s="198">
        <v>1.6802490892606901E-2</v>
      </c>
      <c r="AN300" s="198">
        <v>4.2939698947773268E-3</v>
      </c>
      <c r="AO300" s="198">
        <v>0</v>
      </c>
      <c r="AP300" s="198">
        <v>6.1393707111828872E-4</v>
      </c>
      <c r="AQ300" s="198">
        <v>7.6756286435269538E-4</v>
      </c>
      <c r="AS300" s="258">
        <f t="shared" si="33"/>
        <v>30356.338258706815</v>
      </c>
      <c r="AT300" s="3">
        <f t="shared" si="34"/>
        <v>3.431438542822423</v>
      </c>
      <c r="AU300" s="3">
        <f t="shared" si="35"/>
        <v>1.1518724889380203</v>
      </c>
      <c r="AV300" s="95">
        <f t="shared" si="36"/>
        <v>0</v>
      </c>
      <c r="AW300" s="95">
        <f t="shared" si="37"/>
        <v>0</v>
      </c>
      <c r="AX300" s="95">
        <f t="shared" si="40"/>
        <v>1.1518724889380203</v>
      </c>
      <c r="AY300" s="102">
        <f t="shared" si="38"/>
        <v>1</v>
      </c>
      <c r="AZ300" s="102">
        <f t="shared" si="39"/>
        <v>0</v>
      </c>
    </row>
    <row r="301" spans="1:52" x14ac:dyDescent="0.35">
      <c r="A301" t="s">
        <v>991</v>
      </c>
      <c r="B301">
        <v>2045</v>
      </c>
      <c r="C301" t="s">
        <v>837</v>
      </c>
      <c r="D301" t="s">
        <v>996</v>
      </c>
      <c r="E301" t="s">
        <v>986</v>
      </c>
      <c r="F301" t="s">
        <v>978</v>
      </c>
      <c r="G301" s="357">
        <v>1965.6</v>
      </c>
      <c r="H301" s="198">
        <v>12762.987499999999</v>
      </c>
      <c r="I301" s="198">
        <v>4563.2020808156503</v>
      </c>
      <c r="J301" s="198">
        <v>0</v>
      </c>
      <c r="K301" s="198">
        <v>0</v>
      </c>
      <c r="L301" s="198">
        <v>61.624000000000009</v>
      </c>
      <c r="M301" s="198">
        <v>962.8534188000001</v>
      </c>
      <c r="N301" s="198">
        <v>0</v>
      </c>
      <c r="O301" s="198">
        <v>0</v>
      </c>
      <c r="P301" s="198">
        <v>206.27549999999999</v>
      </c>
      <c r="Q301" s="198">
        <v>148.20525000000001</v>
      </c>
      <c r="R301" s="198">
        <v>0</v>
      </c>
      <c r="S301" s="198">
        <v>853.72958325619595</v>
      </c>
      <c r="T301" s="198">
        <v>0</v>
      </c>
      <c r="U301" s="198">
        <v>284.23058888315421</v>
      </c>
      <c r="V301" s="198">
        <v>542.02756355652605</v>
      </c>
      <c r="W301" s="198">
        <v>4.5602631578947372</v>
      </c>
      <c r="X301" s="198">
        <v>254.87296380000001</v>
      </c>
      <c r="Y301" s="198">
        <v>148</v>
      </c>
      <c r="Z301" s="271">
        <v>20792.568712269422</v>
      </c>
      <c r="AA301" s="272">
        <v>51.077787600914732</v>
      </c>
      <c r="AB301" s="198">
        <v>2.412041628791957</v>
      </c>
      <c r="AC301" s="272">
        <v>0</v>
      </c>
      <c r="AD301" s="198">
        <v>0</v>
      </c>
      <c r="AE301" s="198">
        <v>2.412041628791957</v>
      </c>
      <c r="AF301" s="198">
        <v>180.55466680307944</v>
      </c>
      <c r="AG301" s="198">
        <v>7.9375014386092804E-2</v>
      </c>
      <c r="AH301" s="198">
        <v>4.1940386878104249E-4</v>
      </c>
      <c r="AI301" s="198">
        <v>183.04705924228128</v>
      </c>
      <c r="AJ301" s="198">
        <v>7.7021326315609567E-2</v>
      </c>
      <c r="AK301" s="198">
        <v>1.7973506888223254</v>
      </c>
      <c r="AL301" s="198">
        <v>8.4150204836248632E-2</v>
      </c>
      <c r="AM301" s="198">
        <v>1.5125654724495919E-2</v>
      </c>
      <c r="AN301" s="198">
        <v>6.2192722959845083E-3</v>
      </c>
      <c r="AO301" s="198">
        <v>1.2452787215378707E-3</v>
      </c>
      <c r="AP301" s="198">
        <v>1.0333900302066867E-3</v>
      </c>
      <c r="AQ301" s="198">
        <v>9.8153740649589444E-4</v>
      </c>
      <c r="AS301" s="258">
        <f t="shared" si="33"/>
        <v>27893.230927509427</v>
      </c>
      <c r="AT301" s="3">
        <f t="shared" si="34"/>
        <v>4.6050373418526016</v>
      </c>
      <c r="AU301" s="3">
        <f t="shared" si="35"/>
        <v>1.5458285959128086</v>
      </c>
      <c r="AV301" s="95">
        <f t="shared" si="36"/>
        <v>0</v>
      </c>
      <c r="AW301" s="95">
        <f t="shared" si="37"/>
        <v>0</v>
      </c>
      <c r="AX301" s="95">
        <f t="shared" si="40"/>
        <v>1.5458285959128086</v>
      </c>
      <c r="AY301" s="102">
        <f t="shared" si="38"/>
        <v>1</v>
      </c>
      <c r="AZ301" s="102">
        <f t="shared" si="39"/>
        <v>0</v>
      </c>
    </row>
    <row r="302" spans="1:52" x14ac:dyDescent="0.35">
      <c r="A302" t="s">
        <v>992</v>
      </c>
      <c r="B302">
        <v>2045</v>
      </c>
      <c r="C302" t="s">
        <v>837</v>
      </c>
      <c r="D302" t="s">
        <v>996</v>
      </c>
      <c r="E302" t="s">
        <v>986</v>
      </c>
      <c r="F302" t="s">
        <v>978</v>
      </c>
      <c r="G302" s="357">
        <v>7054.9920000000002</v>
      </c>
      <c r="H302" s="198">
        <v>12762.987499999999</v>
      </c>
      <c r="I302" s="198">
        <v>4563.2020808156503</v>
      </c>
      <c r="J302" s="198">
        <v>0</v>
      </c>
      <c r="K302" s="198">
        <v>0</v>
      </c>
      <c r="L302" s="198">
        <v>61.624000000000009</v>
      </c>
      <c r="M302" s="198">
        <v>1116.9291720000001</v>
      </c>
      <c r="N302" s="198">
        <v>13.33</v>
      </c>
      <c r="O302" s="198">
        <v>0</v>
      </c>
      <c r="P302" s="198">
        <v>220.239</v>
      </c>
      <c r="Q302" s="198">
        <v>151.52850000000001</v>
      </c>
      <c r="R302" s="198">
        <v>0</v>
      </c>
      <c r="S302" s="198">
        <v>860.35047534056605</v>
      </c>
      <c r="T302" s="198">
        <v>0</v>
      </c>
      <c r="U302" s="198">
        <v>284.23058888315421</v>
      </c>
      <c r="V302" s="198">
        <v>542.64542232719066</v>
      </c>
      <c r="W302" s="198">
        <v>4.5602631578947372</v>
      </c>
      <c r="X302" s="198">
        <v>232.13549700000002</v>
      </c>
      <c r="Y302" s="198">
        <v>148</v>
      </c>
      <c r="Z302" s="271">
        <v>20961.762499524455</v>
      </c>
      <c r="AA302" s="272">
        <v>107.57929108918162</v>
      </c>
      <c r="AB302" s="198">
        <v>1.145218087539428</v>
      </c>
      <c r="AC302" s="272">
        <v>152.33367107432539</v>
      </c>
      <c r="AD302" s="198">
        <v>0.5484012158675714</v>
      </c>
      <c r="AE302" s="198">
        <v>1.6936193034069995</v>
      </c>
      <c r="AF302" s="198">
        <v>85.725912747244692</v>
      </c>
      <c r="AG302" s="198">
        <v>3.7686622439921505E-2</v>
      </c>
      <c r="AH302" s="198">
        <v>1.9912960488688571E-4</v>
      </c>
      <c r="AI302" s="198">
        <v>86.909280757377275</v>
      </c>
      <c r="AJ302" s="198">
        <v>3.6569110155486688E-2</v>
      </c>
      <c r="AK302" s="198">
        <v>0.85336774204916266</v>
      </c>
      <c r="AL302" s="198">
        <v>3.9953844700800517E-2</v>
      </c>
      <c r="AM302" s="198">
        <v>7.1815399741025779E-3</v>
      </c>
      <c r="AN302" s="198">
        <v>2.9528607797127899E-3</v>
      </c>
      <c r="AO302" s="198">
        <v>5.9124838431888818E-4</v>
      </c>
      <c r="AP302" s="198">
        <v>4.9064532715728212E-4</v>
      </c>
      <c r="AQ302" s="198">
        <v>4.6602611584221204E-4</v>
      </c>
      <c r="AS302" s="258">
        <f t="shared" si="33"/>
        <v>28120.204393112053</v>
      </c>
      <c r="AT302" s="3">
        <f t="shared" si="34"/>
        <v>2.1864349249749035</v>
      </c>
      <c r="AU302" s="3">
        <f t="shared" si="35"/>
        <v>0.73394706258103237</v>
      </c>
      <c r="AV302" s="95">
        <f t="shared" si="36"/>
        <v>9.4655990079365075</v>
      </c>
      <c r="AW302" s="95">
        <f t="shared" si="37"/>
        <v>0.3407615642857143</v>
      </c>
      <c r="AX302" s="95">
        <f t="shared" si="40"/>
        <v>1.0747086268667467</v>
      </c>
      <c r="AY302" s="102">
        <f t="shared" si="38"/>
        <v>0.68292655723888085</v>
      </c>
      <c r="AZ302" s="102">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tabColor theme="7" tint="0.59999389629810485"/>
  </sheetPr>
  <dimension ref="A1:BB694"/>
  <sheetViews>
    <sheetView topLeftCell="U399" workbookViewId="0">
      <selection activeCell="BA423" sqref="BA423"/>
    </sheetView>
  </sheetViews>
  <sheetFormatPr defaultRowHeight="14.5" x14ac:dyDescent="0.35"/>
  <cols>
    <col min="1" max="1" width="12.26953125" customWidth="1"/>
    <col min="2" max="2" width="6.7265625" bestFit="1" customWidth="1"/>
    <col min="3" max="3" width="8" bestFit="1" customWidth="1"/>
    <col min="4" max="4" width="11.7265625" bestFit="1" customWidth="1"/>
    <col min="5" max="5" width="13.453125" bestFit="1" customWidth="1"/>
    <col min="6" max="6" width="4.54296875" bestFit="1" customWidth="1"/>
    <col min="7" max="7" width="15.1796875" bestFit="1"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33" customWidth="1"/>
    <col min="27" max="27" width="6.54296875" style="33" bestFit="1" customWidth="1"/>
    <col min="28" max="28" width="8.453125" customWidth="1"/>
    <col min="29" max="29" width="8.54296875" style="33"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62"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104" t="s">
        <v>1059</v>
      </c>
      <c r="H1" s="547" t="s">
        <v>1038</v>
      </c>
      <c r="I1" s="547"/>
      <c r="J1" s="547"/>
      <c r="K1" s="547"/>
      <c r="L1" s="547"/>
      <c r="M1" s="547"/>
      <c r="N1" s="547"/>
      <c r="O1" s="547"/>
      <c r="P1" s="547"/>
      <c r="Q1" s="547"/>
      <c r="R1" s="547"/>
      <c r="S1" s="547"/>
      <c r="T1" s="547"/>
      <c r="U1" s="547"/>
      <c r="V1" s="547"/>
      <c r="W1" s="547"/>
      <c r="X1" s="547"/>
      <c r="Y1" s="547"/>
      <c r="Z1" s="547"/>
      <c r="AA1" s="545" t="s">
        <v>1043</v>
      </c>
      <c r="AB1" s="545"/>
      <c r="AC1" s="545"/>
      <c r="AD1" s="545"/>
      <c r="AE1" s="545"/>
      <c r="AF1" s="546" t="s">
        <v>1039</v>
      </c>
      <c r="AG1" s="546"/>
      <c r="AH1" s="546"/>
      <c r="AI1" s="546"/>
      <c r="AJ1" s="546"/>
      <c r="AK1" s="546"/>
      <c r="AL1" s="546"/>
      <c r="AM1" s="546"/>
      <c r="AN1" s="546"/>
      <c r="AO1" s="546"/>
      <c r="AP1" s="546"/>
      <c r="AQ1" s="546"/>
      <c r="AS1" s="474" t="s">
        <v>1041</v>
      </c>
      <c r="AT1" s="474"/>
      <c r="AU1" s="474"/>
      <c r="AV1" s="474"/>
      <c r="AW1" s="474"/>
      <c r="AX1" s="474"/>
      <c r="AY1" s="474"/>
      <c r="AZ1" s="474"/>
    </row>
    <row r="2" spans="1:54" s="270" customFormat="1" ht="58" x14ac:dyDescent="0.35">
      <c r="A2" s="273" t="s">
        <v>953</v>
      </c>
      <c r="B2" s="273" t="s">
        <v>1007</v>
      </c>
      <c r="C2" s="273" t="s">
        <v>1008</v>
      </c>
      <c r="D2" s="273" t="s">
        <v>513</v>
      </c>
      <c r="E2" s="273" t="s">
        <v>1009</v>
      </c>
      <c r="F2" s="273" t="s">
        <v>224</v>
      </c>
      <c r="G2" s="273" t="s">
        <v>956</v>
      </c>
      <c r="H2" s="274" t="s">
        <v>957</v>
      </c>
      <c r="I2" s="274" t="s">
        <v>1010</v>
      </c>
      <c r="J2" s="274" t="s">
        <v>959</v>
      </c>
      <c r="K2" s="274" t="s">
        <v>960</v>
      </c>
      <c r="L2" s="274" t="s">
        <v>961</v>
      </c>
      <c r="M2" s="274" t="s">
        <v>1011</v>
      </c>
      <c r="N2" s="274" t="s">
        <v>963</v>
      </c>
      <c r="O2" s="274" t="s">
        <v>964</v>
      </c>
      <c r="P2" s="274" t="s">
        <v>965</v>
      </c>
      <c r="Q2" s="274" t="s">
        <v>966</v>
      </c>
      <c r="R2" s="274" t="s">
        <v>1012</v>
      </c>
      <c r="S2" s="274" t="s">
        <v>968</v>
      </c>
      <c r="T2" s="274" t="s">
        <v>1013</v>
      </c>
      <c r="U2" s="274" t="s">
        <v>970</v>
      </c>
      <c r="V2" s="274" t="s">
        <v>971</v>
      </c>
      <c r="W2" s="274" t="s">
        <v>1014</v>
      </c>
      <c r="X2" s="274" t="s">
        <v>1015</v>
      </c>
      <c r="Y2" s="274" t="s">
        <v>1016</v>
      </c>
      <c r="Z2" s="274" t="s">
        <v>1040</v>
      </c>
      <c r="AA2" s="275" t="s">
        <v>1034</v>
      </c>
      <c r="AB2" s="275" t="s">
        <v>998</v>
      </c>
      <c r="AC2" s="275" t="s">
        <v>999</v>
      </c>
      <c r="AD2" s="275" t="s">
        <v>1000</v>
      </c>
      <c r="AE2" s="275" t="s">
        <v>1035</v>
      </c>
      <c r="AF2" s="276" t="s">
        <v>18</v>
      </c>
      <c r="AG2" s="276" t="s">
        <v>26</v>
      </c>
      <c r="AH2" s="276" t="s">
        <v>20</v>
      </c>
      <c r="AI2" s="276" t="s">
        <v>1002</v>
      </c>
      <c r="AJ2" s="276" t="s">
        <v>253</v>
      </c>
      <c r="AK2" s="276" t="s">
        <v>250</v>
      </c>
      <c r="AL2" s="276" t="s">
        <v>1003</v>
      </c>
      <c r="AM2" s="276" t="s">
        <v>251</v>
      </c>
      <c r="AN2" s="276" t="s">
        <v>252</v>
      </c>
      <c r="AO2" s="276" t="s">
        <v>1004</v>
      </c>
      <c r="AP2" s="276" t="s">
        <v>1005</v>
      </c>
      <c r="AQ2" s="276" t="s">
        <v>1006</v>
      </c>
      <c r="AR2" s="278"/>
      <c r="AS2" s="263" t="s">
        <v>1062</v>
      </c>
      <c r="AT2" s="263" t="s">
        <v>1061</v>
      </c>
      <c r="AU2" s="263" t="s">
        <v>1044</v>
      </c>
      <c r="AV2" s="263" t="s">
        <v>1042</v>
      </c>
      <c r="AW2" s="263" t="s">
        <v>1045</v>
      </c>
      <c r="AX2" s="263" t="s">
        <v>1046</v>
      </c>
      <c r="AY2" s="263" t="s">
        <v>1047</v>
      </c>
      <c r="AZ2" s="263" t="s">
        <v>1048</v>
      </c>
      <c r="BB2" s="268" t="s">
        <v>1063</v>
      </c>
    </row>
    <row r="3" spans="1:54" ht="15" thickBot="1" x14ac:dyDescent="0.4">
      <c r="A3" t="s">
        <v>1017</v>
      </c>
      <c r="B3">
        <v>2021</v>
      </c>
      <c r="C3" t="s">
        <v>837</v>
      </c>
      <c r="D3" t="s">
        <v>652</v>
      </c>
      <c r="E3" t="s">
        <v>1064</v>
      </c>
      <c r="F3" t="s">
        <v>983</v>
      </c>
      <c r="G3" t="s">
        <v>978</v>
      </c>
      <c r="H3" s="198">
        <v>15000</v>
      </c>
      <c r="I3" s="198">
        <v>13796</v>
      </c>
      <c r="J3" s="198">
        <v>0</v>
      </c>
      <c r="K3" s="198">
        <v>0</v>
      </c>
      <c r="L3" s="198">
        <v>120</v>
      </c>
      <c r="M3" s="198">
        <v>0</v>
      </c>
      <c r="N3" s="198">
        <v>0</v>
      </c>
      <c r="O3" s="198">
        <v>150</v>
      </c>
      <c r="P3" s="198">
        <v>0</v>
      </c>
      <c r="Q3" s="198">
        <v>0</v>
      </c>
      <c r="R3" s="198">
        <v>104.8</v>
      </c>
      <c r="S3" s="198">
        <v>5782</v>
      </c>
      <c r="T3" s="198">
        <v>506</v>
      </c>
      <c r="U3" s="198">
        <v>2000</v>
      </c>
      <c r="V3" s="198">
        <v>1920</v>
      </c>
      <c r="W3" s="198">
        <v>0</v>
      </c>
      <c r="X3" s="198">
        <v>0</v>
      </c>
      <c r="Y3" s="198">
        <v>186</v>
      </c>
      <c r="Z3" s="277">
        <v>39564.800000000003</v>
      </c>
      <c r="AA3" s="272">
        <v>14.107673219999999</v>
      </c>
      <c r="AB3" s="198">
        <v>9.5210730646623265</v>
      </c>
      <c r="AC3" s="272">
        <v>0</v>
      </c>
      <c r="AD3" s="198">
        <v>0</v>
      </c>
      <c r="AE3" s="198">
        <v>9.5210730646623265</v>
      </c>
      <c r="AF3" s="198">
        <v>712.70501896721373</v>
      </c>
      <c r="AG3" s="198">
        <v>0.31331769006703014</v>
      </c>
      <c r="AH3" s="198">
        <v>1.6555165676250337E-3</v>
      </c>
      <c r="AI3" s="198">
        <v>722.54326149014139</v>
      </c>
      <c r="AJ3" s="198">
        <v>0.30402695651459194</v>
      </c>
      <c r="AK3" s="198">
        <v>7.0946981290987177</v>
      </c>
      <c r="AL3" s="198">
        <v>0.33216684118901219</v>
      </c>
      <c r="AM3" s="198">
        <v>5.9705629481572223E-2</v>
      </c>
      <c r="AN3" s="198">
        <v>2.4549388050468864E-2</v>
      </c>
      <c r="AO3" s="198">
        <v>4.9154996133169947E-3</v>
      </c>
      <c r="AP3" s="198">
        <v>4.0791095246640544E-3</v>
      </c>
      <c r="AQ3" s="198">
        <v>3.8744312085637828E-3</v>
      </c>
      <c r="AS3" s="258">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102">
        <f>AU3/AX3</f>
        <v>1</v>
      </c>
      <c r="AZ3" s="102">
        <f>AW3/AX3</f>
        <v>0</v>
      </c>
      <c r="BB3" s="269">
        <f>AVERAGEIF(A:A, "SeriesPHEV", AY:AY)</f>
        <v>0.410014824935303</v>
      </c>
    </row>
    <row r="4" spans="1:54" x14ac:dyDescent="0.35">
      <c r="A4" t="s">
        <v>1020</v>
      </c>
      <c r="B4">
        <v>2021</v>
      </c>
      <c r="C4" t="s">
        <v>837</v>
      </c>
      <c r="D4" t="s">
        <v>652</v>
      </c>
      <c r="E4" t="s">
        <v>1064</v>
      </c>
      <c r="F4" t="s">
        <v>983</v>
      </c>
      <c r="G4" t="s">
        <v>978</v>
      </c>
      <c r="H4" s="198">
        <v>15000</v>
      </c>
      <c r="I4" s="198">
        <v>11736</v>
      </c>
      <c r="J4" s="198">
        <v>0</v>
      </c>
      <c r="K4" s="198">
        <v>0</v>
      </c>
      <c r="L4" s="198">
        <v>150</v>
      </c>
      <c r="M4" s="198">
        <v>581.35175879999997</v>
      </c>
      <c r="N4" s="198">
        <v>75</v>
      </c>
      <c r="O4" s="198">
        <v>150</v>
      </c>
      <c r="P4" s="198">
        <v>1516.7393613000002</v>
      </c>
      <c r="Q4" s="198">
        <v>0</v>
      </c>
      <c r="R4" s="198">
        <v>0</v>
      </c>
      <c r="S4" s="198">
        <v>4786</v>
      </c>
      <c r="T4" s="198">
        <v>392</v>
      </c>
      <c r="U4" s="198">
        <v>2000</v>
      </c>
      <c r="V4" s="198">
        <v>4720</v>
      </c>
      <c r="W4" s="198">
        <v>150</v>
      </c>
      <c r="X4" s="198">
        <v>1500</v>
      </c>
      <c r="Y4" s="198">
        <v>186</v>
      </c>
      <c r="Z4" s="277">
        <v>42943.091120099998</v>
      </c>
      <c r="AA4" s="272">
        <v>22.736588279999999</v>
      </c>
      <c r="AB4" s="198">
        <v>5.9076667900149893</v>
      </c>
      <c r="AC4" s="272">
        <v>0</v>
      </c>
      <c r="AD4" s="198">
        <v>0</v>
      </c>
      <c r="AE4" s="198">
        <v>5.9076667900149893</v>
      </c>
      <c r="AF4" s="198">
        <v>442.22155875020985</v>
      </c>
      <c r="AG4" s="198">
        <v>0.19440839281059016</v>
      </c>
      <c r="AH4" s="198">
        <v>1.0272203753143743E-3</v>
      </c>
      <c r="AI4" s="198">
        <v>448.32602389085986</v>
      </c>
      <c r="AJ4" s="198">
        <v>0.1886436478401593</v>
      </c>
      <c r="AK4" s="198">
        <v>4.4021416743475497</v>
      </c>
      <c r="AL4" s="198">
        <v>0.20610397621248652</v>
      </c>
      <c r="AM4" s="198">
        <v>3.7046345729070784E-2</v>
      </c>
      <c r="AN4" s="198">
        <v>1.5232485195311264E-2</v>
      </c>
      <c r="AO4" s="198">
        <v>3.0499853981484208E-3</v>
      </c>
      <c r="AP4" s="198">
        <v>2.5310193197794059E-3</v>
      </c>
      <c r="AQ4" s="198">
        <v>2.4040198437277377E-3</v>
      </c>
      <c r="AS4" s="258">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102">
        <f t="shared" ref="AY4:AY67" si="6">AU4/AX4</f>
        <v>1</v>
      </c>
      <c r="AZ4" s="102">
        <f t="shared" ref="AZ4:AZ67" si="7">AW4/AX4</f>
        <v>0</v>
      </c>
    </row>
    <row r="5" spans="1:54" x14ac:dyDescent="0.35">
      <c r="A5" t="s">
        <v>1021</v>
      </c>
      <c r="B5">
        <v>2021</v>
      </c>
      <c r="C5" t="s">
        <v>837</v>
      </c>
      <c r="D5" t="s">
        <v>652</v>
      </c>
      <c r="E5" t="s">
        <v>1064</v>
      </c>
      <c r="F5" t="s">
        <v>983</v>
      </c>
      <c r="G5" t="s">
        <v>978</v>
      </c>
      <c r="H5" s="198">
        <v>15000</v>
      </c>
      <c r="I5" s="198">
        <v>11020</v>
      </c>
      <c r="J5" s="198">
        <v>0</v>
      </c>
      <c r="K5" s="198">
        <v>0</v>
      </c>
      <c r="L5" s="198">
        <v>0</v>
      </c>
      <c r="M5" s="198">
        <v>8497.5974999999999</v>
      </c>
      <c r="N5" s="198">
        <v>75</v>
      </c>
      <c r="O5" s="198">
        <v>0</v>
      </c>
      <c r="P5" s="198">
        <v>4798.775259</v>
      </c>
      <c r="Q5" s="198">
        <v>0</v>
      </c>
      <c r="R5" s="198">
        <v>3935.6213174199997</v>
      </c>
      <c r="S5" s="198">
        <v>1500</v>
      </c>
      <c r="T5" s="198">
        <v>0</v>
      </c>
      <c r="U5" s="198">
        <v>2000</v>
      </c>
      <c r="V5" s="198">
        <v>4720</v>
      </c>
      <c r="W5" s="198">
        <v>150</v>
      </c>
      <c r="X5" s="198">
        <v>1500</v>
      </c>
      <c r="Y5" s="198">
        <v>186</v>
      </c>
      <c r="Z5" s="277">
        <v>53382.994076420007</v>
      </c>
      <c r="AA5" s="272">
        <v>120.39168645000005</v>
      </c>
      <c r="AB5" s="198">
        <v>1.1156932132168829</v>
      </c>
      <c r="AC5" s="272">
        <v>398.40000000000003</v>
      </c>
      <c r="AD5" s="198">
        <v>1.4342400000000002</v>
      </c>
      <c r="AE5" s="198">
        <v>2.549933213216883</v>
      </c>
      <c r="AF5" s="198">
        <v>83.515812481114622</v>
      </c>
      <c r="AG5" s="198">
        <v>3.6715023402771663E-2</v>
      </c>
      <c r="AH5" s="198">
        <v>1.9399584335958104E-4</v>
      </c>
      <c r="AI5" s="198">
        <v>84.66867207354349</v>
      </c>
      <c r="AJ5" s="198">
        <v>3.5626321709184852E-2</v>
      </c>
      <c r="AK5" s="198">
        <v>0.83136706321859177</v>
      </c>
      <c r="AL5" s="198">
        <v>3.8923794393065564E-2</v>
      </c>
      <c r="AM5" s="198">
        <v>2.8200747285620099E-2</v>
      </c>
      <c r="AN5" s="198">
        <v>8.295623687669465E-3</v>
      </c>
      <c r="AO5" s="198">
        <v>5.7600540620811682E-4</v>
      </c>
      <c r="AP5" s="198">
        <v>1.2527703720962517E-3</v>
      </c>
      <c r="AQ5" s="198">
        <v>1.4226580644217913E-3</v>
      </c>
      <c r="AS5" s="258">
        <f t="shared" si="0"/>
        <v>71613.286553517435</v>
      </c>
      <c r="AT5" s="3">
        <f t="shared" si="1"/>
        <v>1.9537488524102991</v>
      </c>
      <c r="AU5" s="3">
        <f t="shared" si="2"/>
        <v>0.75413580582786688</v>
      </c>
      <c r="AV5" s="3">
        <f t="shared" si="3"/>
        <v>24.755489828128304</v>
      </c>
      <c r="AW5" s="3">
        <f t="shared" si="4"/>
        <v>0.89119763381261907</v>
      </c>
      <c r="AX5" s="3">
        <f t="shared" si="5"/>
        <v>1.645333439640486</v>
      </c>
      <c r="AY5" s="102">
        <f t="shared" si="6"/>
        <v>0.4583483126633891</v>
      </c>
      <c r="AZ5" s="102">
        <f t="shared" si="7"/>
        <v>0.54165168733661095</v>
      </c>
    </row>
    <row r="6" spans="1:54" x14ac:dyDescent="0.35">
      <c r="A6" t="s">
        <v>246</v>
      </c>
      <c r="B6">
        <v>2021</v>
      </c>
      <c r="C6" t="s">
        <v>837</v>
      </c>
      <c r="D6" t="s">
        <v>652</v>
      </c>
      <c r="E6" t="s">
        <v>1064</v>
      </c>
      <c r="F6" t="s">
        <v>977</v>
      </c>
      <c r="G6" t="s">
        <v>978</v>
      </c>
      <c r="H6" s="198">
        <v>15000</v>
      </c>
      <c r="I6" s="198">
        <v>0</v>
      </c>
      <c r="J6" s="198">
        <v>0</v>
      </c>
      <c r="K6" s="198">
        <v>0</v>
      </c>
      <c r="L6" s="198">
        <v>0</v>
      </c>
      <c r="M6" s="198">
        <v>17933.580000000002</v>
      </c>
      <c r="N6" s="198">
        <v>75</v>
      </c>
      <c r="O6" s="198">
        <v>0</v>
      </c>
      <c r="P6" s="198">
        <v>4790.2320999000003</v>
      </c>
      <c r="Q6" s="198">
        <v>0</v>
      </c>
      <c r="R6" s="198">
        <v>0</v>
      </c>
      <c r="S6" s="198">
        <v>1500</v>
      </c>
      <c r="T6" s="198">
        <v>0</v>
      </c>
      <c r="U6" s="198">
        <v>2000</v>
      </c>
      <c r="V6" s="198">
        <v>4500</v>
      </c>
      <c r="W6" s="198">
        <v>150</v>
      </c>
      <c r="X6" s="198">
        <v>1500</v>
      </c>
      <c r="Y6" s="198">
        <v>186</v>
      </c>
      <c r="Z6" s="277">
        <v>47634.812099900002</v>
      </c>
      <c r="AA6" s="272">
        <v>0</v>
      </c>
      <c r="AB6" s="198">
        <v>0</v>
      </c>
      <c r="AC6" s="272">
        <v>473</v>
      </c>
      <c r="AD6" s="198">
        <v>1.7027999999999999</v>
      </c>
      <c r="AE6" s="198">
        <v>1.7027999999999999</v>
      </c>
      <c r="AF6" s="198">
        <v>0</v>
      </c>
      <c r="AG6" s="198">
        <v>0</v>
      </c>
      <c r="AH6" s="198">
        <v>0</v>
      </c>
      <c r="AI6" s="198">
        <v>0</v>
      </c>
      <c r="AJ6" s="198">
        <v>0</v>
      </c>
      <c r="AK6" s="198">
        <v>0</v>
      </c>
      <c r="AL6" s="198">
        <v>0</v>
      </c>
      <c r="AM6" s="198">
        <v>2.5174848752410928E-2</v>
      </c>
      <c r="AN6" s="198">
        <v>6.4335724589494429E-3</v>
      </c>
      <c r="AO6" s="198">
        <v>0</v>
      </c>
      <c r="AP6" s="198">
        <v>9.1985009887441782E-4</v>
      </c>
      <c r="AQ6" s="198">
        <v>1.150024668458443E-3</v>
      </c>
      <c r="AS6" s="258">
        <f t="shared" si="0"/>
        <v>63902.100432015846</v>
      </c>
      <c r="AT6" s="3">
        <f t="shared" si="1"/>
        <v>0</v>
      </c>
      <c r="AU6" s="3">
        <f t="shared" si="2"/>
        <v>0</v>
      </c>
      <c r="AV6" s="3">
        <f t="shared" si="3"/>
        <v>29.390930443535858</v>
      </c>
      <c r="AW6" s="3">
        <f t="shared" si="4"/>
        <v>1.0580734959672911</v>
      </c>
      <c r="AX6" s="3">
        <f t="shared" si="5"/>
        <v>1.0580734959672911</v>
      </c>
      <c r="AY6" s="102">
        <f t="shared" si="6"/>
        <v>0</v>
      </c>
      <c r="AZ6" s="102">
        <f t="shared" si="7"/>
        <v>1</v>
      </c>
    </row>
    <row r="7" spans="1:54" x14ac:dyDescent="0.35">
      <c r="A7" t="s">
        <v>627</v>
      </c>
      <c r="B7">
        <v>2021</v>
      </c>
      <c r="C7" t="s">
        <v>837</v>
      </c>
      <c r="D7" t="s">
        <v>652</v>
      </c>
      <c r="E7" t="s">
        <v>1064</v>
      </c>
      <c r="F7" t="s">
        <v>989</v>
      </c>
      <c r="G7" t="s">
        <v>978</v>
      </c>
      <c r="H7" s="198">
        <v>15000</v>
      </c>
      <c r="I7" s="198">
        <v>0</v>
      </c>
      <c r="J7" s="198">
        <v>22130.872293600001</v>
      </c>
      <c r="K7" s="198">
        <v>5609.0995999999996</v>
      </c>
      <c r="L7" s="198">
        <v>0</v>
      </c>
      <c r="M7" s="198">
        <v>1566.0904522000001</v>
      </c>
      <c r="N7" s="198">
        <v>75</v>
      </c>
      <c r="O7" s="198">
        <v>0</v>
      </c>
      <c r="P7" s="198">
        <v>4790.2320999000003</v>
      </c>
      <c r="Q7" s="198">
        <v>0</v>
      </c>
      <c r="R7" s="198">
        <v>0</v>
      </c>
      <c r="S7" s="198">
        <v>1500</v>
      </c>
      <c r="T7" s="198">
        <v>0</v>
      </c>
      <c r="U7" s="198">
        <v>2000</v>
      </c>
      <c r="V7" s="198">
        <v>4500</v>
      </c>
      <c r="W7" s="198">
        <v>150</v>
      </c>
      <c r="X7" s="198">
        <v>1500</v>
      </c>
      <c r="Y7" s="198">
        <v>186</v>
      </c>
      <c r="Z7" s="277">
        <v>59007.294445699998</v>
      </c>
      <c r="AA7" s="272">
        <v>43.716949700000001</v>
      </c>
      <c r="AB7" s="198">
        <v>3.0724967872129469</v>
      </c>
      <c r="AC7" s="272">
        <v>0</v>
      </c>
      <c r="AD7" s="198">
        <v>0</v>
      </c>
      <c r="AE7" s="198">
        <v>3.0724967872129469</v>
      </c>
      <c r="AF7" s="198">
        <v>0</v>
      </c>
      <c r="AG7" s="198">
        <v>0</v>
      </c>
      <c r="AH7" s="198">
        <v>0</v>
      </c>
      <c r="AI7" s="198">
        <v>0</v>
      </c>
      <c r="AJ7" s="198">
        <v>0</v>
      </c>
      <c r="AK7" s="198">
        <v>0</v>
      </c>
      <c r="AL7" s="198">
        <v>0</v>
      </c>
      <c r="AM7" s="198">
        <v>2.8723492072135294E-2</v>
      </c>
      <c r="AN7" s="198">
        <v>7.3404479739901428E-3</v>
      </c>
      <c r="AO7" s="198">
        <v>0</v>
      </c>
      <c r="AP7" s="198">
        <v>1.0495120460273706E-3</v>
      </c>
      <c r="AQ7" s="198">
        <v>1.3121319922155604E-3</v>
      </c>
      <c r="AS7" s="258">
        <f t="shared" si="0"/>
        <v>79158.285498906538</v>
      </c>
      <c r="AT7" s="3">
        <f t="shared" si="1"/>
        <v>5.3804101350975122</v>
      </c>
      <c r="AU7" s="3">
        <f t="shared" si="2"/>
        <v>2.0768073275694867</v>
      </c>
      <c r="AV7" s="3">
        <f t="shared" si="3"/>
        <v>0</v>
      </c>
      <c r="AW7" s="3">
        <f t="shared" si="4"/>
        <v>0</v>
      </c>
      <c r="AX7" s="3">
        <f t="shared" si="5"/>
        <v>2.0768073275694867</v>
      </c>
      <c r="AY7" s="102">
        <f t="shared" si="6"/>
        <v>1</v>
      </c>
      <c r="AZ7" s="102">
        <f t="shared" si="7"/>
        <v>0</v>
      </c>
    </row>
    <row r="8" spans="1:54" x14ac:dyDescent="0.35">
      <c r="A8" t="s">
        <v>1065</v>
      </c>
      <c r="B8">
        <v>2021</v>
      </c>
      <c r="C8" t="s">
        <v>837</v>
      </c>
      <c r="D8" t="s">
        <v>652</v>
      </c>
      <c r="E8" t="s">
        <v>1064</v>
      </c>
      <c r="F8" t="s">
        <v>989</v>
      </c>
      <c r="G8" t="s">
        <v>978</v>
      </c>
      <c r="H8" s="198">
        <v>15000</v>
      </c>
      <c r="I8" s="198">
        <v>0</v>
      </c>
      <c r="J8" s="198">
        <v>13277.5518168</v>
      </c>
      <c r="K8" s="198">
        <v>5716.5698000000002</v>
      </c>
      <c r="L8" s="198">
        <v>0</v>
      </c>
      <c r="M8" s="198">
        <v>747.23249999999996</v>
      </c>
      <c r="N8" s="198">
        <v>75</v>
      </c>
      <c r="O8" s="198">
        <v>0</v>
      </c>
      <c r="P8" s="198">
        <v>4799.4600842999998</v>
      </c>
      <c r="Q8" s="198">
        <v>0</v>
      </c>
      <c r="R8" s="198">
        <v>0</v>
      </c>
      <c r="S8" s="198">
        <v>1500</v>
      </c>
      <c r="T8" s="198">
        <v>0</v>
      </c>
      <c r="U8" s="198">
        <v>2000</v>
      </c>
      <c r="V8" s="198">
        <v>4500</v>
      </c>
      <c r="W8" s="198">
        <v>150</v>
      </c>
      <c r="X8" s="198">
        <v>1500</v>
      </c>
      <c r="Y8" s="198">
        <v>186</v>
      </c>
      <c r="Z8" s="277">
        <v>49451.814201099995</v>
      </c>
      <c r="AA8" s="272">
        <v>44.762817810000001</v>
      </c>
      <c r="AB8" s="198">
        <v>3.0007089381668219</v>
      </c>
      <c r="AC8" s="272">
        <v>0</v>
      </c>
      <c r="AD8" s="198">
        <v>0</v>
      </c>
      <c r="AE8" s="198">
        <v>3.0007089381668219</v>
      </c>
      <c r="AF8" s="198">
        <v>0</v>
      </c>
      <c r="AG8" s="198">
        <v>0</v>
      </c>
      <c r="AH8" s="198">
        <v>0</v>
      </c>
      <c r="AI8" s="198">
        <v>0</v>
      </c>
      <c r="AJ8" s="198">
        <v>0</v>
      </c>
      <c r="AK8" s="198">
        <v>0</v>
      </c>
      <c r="AL8" s="198">
        <v>0</v>
      </c>
      <c r="AM8" s="198">
        <v>2.8052377387318177E-2</v>
      </c>
      <c r="AN8" s="198">
        <v>7.1689408878702126E-3</v>
      </c>
      <c r="AO8" s="198">
        <v>0</v>
      </c>
      <c r="AP8" s="198">
        <v>1.0249905517671126E-3</v>
      </c>
      <c r="AQ8" s="198">
        <v>1.2814744716681732E-3</v>
      </c>
      <c r="AS8" s="258">
        <f t="shared" si="0"/>
        <v>66339.608750775646</v>
      </c>
      <c r="AT8" s="3">
        <f t="shared" si="1"/>
        <v>5.2546986706650349</v>
      </c>
      <c r="AU8" s="3">
        <f t="shared" si="2"/>
        <v>2.0282834262427469</v>
      </c>
      <c r="AV8" s="3">
        <f t="shared" si="3"/>
        <v>0</v>
      </c>
      <c r="AW8" s="3">
        <f t="shared" si="4"/>
        <v>0</v>
      </c>
      <c r="AX8" s="3">
        <f t="shared" si="5"/>
        <v>2.0282834262427469</v>
      </c>
      <c r="AY8" s="102">
        <f t="shared" si="6"/>
        <v>1</v>
      </c>
      <c r="AZ8" s="102">
        <f t="shared" si="7"/>
        <v>0</v>
      </c>
    </row>
    <row r="9" spans="1:54" x14ac:dyDescent="0.35">
      <c r="A9" t="s">
        <v>1017</v>
      </c>
      <c r="B9">
        <v>2025</v>
      </c>
      <c r="C9" t="s">
        <v>837</v>
      </c>
      <c r="D9" t="s">
        <v>652</v>
      </c>
      <c r="E9" t="s">
        <v>1064</v>
      </c>
      <c r="F9" t="s">
        <v>983</v>
      </c>
      <c r="G9" t="s">
        <v>978</v>
      </c>
      <c r="H9" s="198">
        <v>15069.875979660001</v>
      </c>
      <c r="I9" s="198">
        <v>14084</v>
      </c>
      <c r="J9" s="198">
        <v>0</v>
      </c>
      <c r="K9" s="198">
        <v>0</v>
      </c>
      <c r="L9" s="198">
        <v>120</v>
      </c>
      <c r="M9" s="198">
        <v>0</v>
      </c>
      <c r="N9" s="198">
        <v>0</v>
      </c>
      <c r="O9" s="198">
        <v>150</v>
      </c>
      <c r="P9" s="198">
        <v>0</v>
      </c>
      <c r="Q9" s="198">
        <v>0</v>
      </c>
      <c r="R9" s="198">
        <v>92</v>
      </c>
      <c r="S9" s="198">
        <v>5736</v>
      </c>
      <c r="T9" s="198">
        <v>506</v>
      </c>
      <c r="U9" s="198">
        <v>2000</v>
      </c>
      <c r="V9" s="198">
        <v>1920</v>
      </c>
      <c r="W9" s="198">
        <v>0</v>
      </c>
      <c r="X9" s="198">
        <v>0</v>
      </c>
      <c r="Y9" s="198">
        <v>186</v>
      </c>
      <c r="Z9" s="277">
        <v>39863.875979659999</v>
      </c>
      <c r="AA9" s="272">
        <v>15.121873519999999</v>
      </c>
      <c r="AB9" s="198">
        <v>8.8825096521505635</v>
      </c>
      <c r="AC9" s="272">
        <v>0</v>
      </c>
      <c r="AD9" s="198">
        <v>0</v>
      </c>
      <c r="AE9" s="198">
        <v>8.8825096521505635</v>
      </c>
      <c r="AF9" s="198">
        <v>664.90501302932148</v>
      </c>
      <c r="AG9" s="198">
        <v>0.29230396482716386</v>
      </c>
      <c r="AH9" s="198">
        <v>1.5444836723082184E-3</v>
      </c>
      <c r="AI9" s="198">
        <v>674.08342008245575</v>
      </c>
      <c r="AJ9" s="198">
        <v>0.28363634617802391</v>
      </c>
      <c r="AK9" s="198">
        <v>6.6188678715962483</v>
      </c>
      <c r="AL9" s="198">
        <v>0.30988893299606302</v>
      </c>
      <c r="AM9" s="198">
        <v>5.5701266711852437E-2</v>
      </c>
      <c r="AN9" s="198">
        <v>2.2902899161861761E-2</v>
      </c>
      <c r="AO9" s="198">
        <v>4.5858247766717543E-3</v>
      </c>
      <c r="AP9" s="198">
        <v>3.8055300572670051E-3</v>
      </c>
      <c r="AQ9" s="198">
        <v>3.6145791942708634E-3</v>
      </c>
      <c r="AS9" s="258">
        <f t="shared" si="0"/>
        <v>53477.389626713884</v>
      </c>
      <c r="AT9" s="3">
        <f t="shared" si="1"/>
        <v>15.554628130590801</v>
      </c>
      <c r="AU9" s="3">
        <f t="shared" si="2"/>
        <v>6.0039968827848433</v>
      </c>
      <c r="AV9" s="3">
        <f t="shared" si="3"/>
        <v>0</v>
      </c>
      <c r="AW9" s="3">
        <f t="shared" si="4"/>
        <v>0</v>
      </c>
      <c r="AX9" s="3">
        <f t="shared" si="5"/>
        <v>6.0039968827848433</v>
      </c>
      <c r="AY9" s="102">
        <f t="shared" si="6"/>
        <v>1</v>
      </c>
      <c r="AZ9" s="102">
        <f t="shared" si="7"/>
        <v>0</v>
      </c>
    </row>
    <row r="10" spans="1:54" x14ac:dyDescent="0.35">
      <c r="A10" t="s">
        <v>1020</v>
      </c>
      <c r="B10">
        <v>2025</v>
      </c>
      <c r="C10" t="s">
        <v>837</v>
      </c>
      <c r="D10" t="s">
        <v>652</v>
      </c>
      <c r="E10" t="s">
        <v>1064</v>
      </c>
      <c r="F10" t="s">
        <v>983</v>
      </c>
      <c r="G10" t="s">
        <v>978</v>
      </c>
      <c r="H10" s="198">
        <v>15069.875979660001</v>
      </c>
      <c r="I10" s="198">
        <v>12025</v>
      </c>
      <c r="J10" s="198">
        <v>0</v>
      </c>
      <c r="K10" s="198">
        <v>0</v>
      </c>
      <c r="L10" s="198">
        <v>150</v>
      </c>
      <c r="M10" s="198">
        <v>545.75879399999997</v>
      </c>
      <c r="N10" s="198">
        <v>50</v>
      </c>
      <c r="O10" s="198">
        <v>150</v>
      </c>
      <c r="P10" s="198">
        <v>1295.4318612</v>
      </c>
      <c r="Q10" s="198">
        <v>0</v>
      </c>
      <c r="R10" s="198">
        <v>0</v>
      </c>
      <c r="S10" s="198">
        <v>4741</v>
      </c>
      <c r="T10" s="198">
        <v>392</v>
      </c>
      <c r="U10" s="198">
        <v>2000</v>
      </c>
      <c r="V10" s="198">
        <v>4720</v>
      </c>
      <c r="W10" s="198">
        <v>93.32</v>
      </c>
      <c r="X10" s="198">
        <v>1500</v>
      </c>
      <c r="Y10" s="198">
        <v>186</v>
      </c>
      <c r="Z10" s="277">
        <v>42918.386634859999</v>
      </c>
      <c r="AA10" s="272">
        <v>24.774910479999999</v>
      </c>
      <c r="AB10" s="198">
        <v>5.4216215073080667</v>
      </c>
      <c r="AC10" s="272">
        <v>0</v>
      </c>
      <c r="AD10" s="198">
        <v>0</v>
      </c>
      <c r="AE10" s="198">
        <v>5.4216215073080667</v>
      </c>
      <c r="AF10" s="198">
        <v>405.83837903108144</v>
      </c>
      <c r="AG10" s="198">
        <v>0.17841370563494768</v>
      </c>
      <c r="AH10" s="198">
        <v>9.4270721039352084E-4</v>
      </c>
      <c r="AI10" s="198">
        <v>411.44060757130632</v>
      </c>
      <c r="AJ10" s="198">
        <v>0.17312324724811731</v>
      </c>
      <c r="AK10" s="198">
        <v>4.0399614311692185</v>
      </c>
      <c r="AL10" s="198">
        <v>0.18914705075512425</v>
      </c>
      <c r="AM10" s="198">
        <v>3.3998407816665452E-2</v>
      </c>
      <c r="AN10" s="198">
        <v>1.3979253109575214E-2</v>
      </c>
      <c r="AO10" s="198">
        <v>2.7990519809826782E-3</v>
      </c>
      <c r="AP10" s="198">
        <v>2.3227831337273921E-3</v>
      </c>
      <c r="AQ10" s="198">
        <v>2.2062323675361875E-3</v>
      </c>
      <c r="AS10" s="258">
        <f t="shared" si="0"/>
        <v>57575.015670664681</v>
      </c>
      <c r="AT10" s="3">
        <f t="shared" si="1"/>
        <v>9.4940855359017284</v>
      </c>
      <c r="AU10" s="3">
        <f t="shared" si="2"/>
        <v>3.664662342543676</v>
      </c>
      <c r="AV10" s="3">
        <f t="shared" si="3"/>
        <v>0</v>
      </c>
      <c r="AW10" s="3">
        <f t="shared" si="4"/>
        <v>0</v>
      </c>
      <c r="AX10" s="3">
        <f t="shared" si="5"/>
        <v>3.664662342543676</v>
      </c>
      <c r="AY10" s="102">
        <f t="shared" si="6"/>
        <v>1</v>
      </c>
      <c r="AZ10" s="102">
        <f t="shared" si="7"/>
        <v>0</v>
      </c>
    </row>
    <row r="11" spans="1:54" x14ac:dyDescent="0.35">
      <c r="A11" t="s">
        <v>1021</v>
      </c>
      <c r="B11">
        <v>2025</v>
      </c>
      <c r="C11" t="s">
        <v>837</v>
      </c>
      <c r="D11" t="s">
        <v>652</v>
      </c>
      <c r="E11" t="s">
        <v>1064</v>
      </c>
      <c r="F11" t="s">
        <v>983</v>
      </c>
      <c r="G11" t="s">
        <v>978</v>
      </c>
      <c r="H11" s="198">
        <v>15069.875979660001</v>
      </c>
      <c r="I11" s="198">
        <v>11267</v>
      </c>
      <c r="J11" s="198">
        <v>0</v>
      </c>
      <c r="K11" s="198">
        <v>0</v>
      </c>
      <c r="L11" s="198">
        <v>0</v>
      </c>
      <c r="M11" s="198">
        <v>7149.6</v>
      </c>
      <c r="N11" s="198">
        <v>50</v>
      </c>
      <c r="O11" s="198">
        <v>0</v>
      </c>
      <c r="P11" s="198">
        <v>3862.6384713000002</v>
      </c>
      <c r="Q11" s="198">
        <v>0</v>
      </c>
      <c r="R11" s="198">
        <v>3351.1418185999996</v>
      </c>
      <c r="S11" s="198">
        <v>1500</v>
      </c>
      <c r="T11" s="198">
        <v>0</v>
      </c>
      <c r="U11" s="198">
        <v>2000</v>
      </c>
      <c r="V11" s="198">
        <v>4720</v>
      </c>
      <c r="W11" s="198">
        <v>93.32</v>
      </c>
      <c r="X11" s="198">
        <v>1500</v>
      </c>
      <c r="Y11" s="198">
        <v>186</v>
      </c>
      <c r="Z11" s="277">
        <v>50749.576269559999</v>
      </c>
      <c r="AA11" s="272">
        <v>135.02638475000003</v>
      </c>
      <c r="AB11" s="198">
        <v>0.99476993143741832</v>
      </c>
      <c r="AC11" s="272">
        <v>368.8</v>
      </c>
      <c r="AD11" s="198">
        <v>1.32768</v>
      </c>
      <c r="AE11" s="198">
        <v>2.3224499314374185</v>
      </c>
      <c r="AF11" s="198">
        <v>74.46403551764611</v>
      </c>
      <c r="AG11" s="198">
        <v>3.2735702682811396E-2</v>
      </c>
      <c r="AH11" s="198">
        <v>1.7296979986239315E-4</v>
      </c>
      <c r="AI11" s="198">
        <v>75.491943587832154</v>
      </c>
      <c r="AJ11" s="198">
        <v>3.1764998822417269E-2</v>
      </c>
      <c r="AK11" s="198">
        <v>0.7412601839646753</v>
      </c>
      <c r="AL11" s="198">
        <v>3.4705078260745016E-2</v>
      </c>
      <c r="AM11" s="198">
        <v>2.5867026397624459E-2</v>
      </c>
      <c r="AN11" s="198">
        <v>7.5812235414441983E-3</v>
      </c>
      <c r="AO11" s="198">
        <v>5.1357564216879834E-4</v>
      </c>
      <c r="AP11" s="198">
        <v>1.143399700868258E-3</v>
      </c>
      <c r="AQ11" s="198">
        <v>1.3014827702401341E-3</v>
      </c>
      <c r="AS11" s="258">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102">
        <f t="shared" si="6"/>
        <v>0.4490496005636308</v>
      </c>
      <c r="AZ11" s="102">
        <f t="shared" si="7"/>
        <v>0.55095039943636925</v>
      </c>
    </row>
    <row r="12" spans="1:54" x14ac:dyDescent="0.35">
      <c r="A12" t="s">
        <v>246</v>
      </c>
      <c r="B12">
        <v>2025</v>
      </c>
      <c r="C12" t="s">
        <v>837</v>
      </c>
      <c r="D12" t="s">
        <v>652</v>
      </c>
      <c r="E12" t="s">
        <v>1064</v>
      </c>
      <c r="F12" t="s">
        <v>977</v>
      </c>
      <c r="G12" t="s">
        <v>978</v>
      </c>
      <c r="H12" s="198">
        <v>15069.875979660001</v>
      </c>
      <c r="I12" s="198">
        <v>0</v>
      </c>
      <c r="J12" s="198">
        <v>0</v>
      </c>
      <c r="K12" s="198">
        <v>0</v>
      </c>
      <c r="L12" s="198">
        <v>0</v>
      </c>
      <c r="M12" s="198">
        <v>15570.24</v>
      </c>
      <c r="N12" s="198">
        <v>50</v>
      </c>
      <c r="O12" s="198">
        <v>0</v>
      </c>
      <c r="P12" s="198">
        <v>3898.5020102000003</v>
      </c>
      <c r="Q12" s="198">
        <v>0</v>
      </c>
      <c r="R12" s="198">
        <v>0</v>
      </c>
      <c r="S12" s="198">
        <v>1500</v>
      </c>
      <c r="T12" s="198">
        <v>0</v>
      </c>
      <c r="U12" s="198">
        <v>2000</v>
      </c>
      <c r="V12" s="198">
        <v>4500</v>
      </c>
      <c r="W12" s="198">
        <v>93.32</v>
      </c>
      <c r="X12" s="198">
        <v>1500</v>
      </c>
      <c r="Y12" s="198">
        <v>186</v>
      </c>
      <c r="Z12" s="277">
        <v>44367.937989860002</v>
      </c>
      <c r="AA12" s="272">
        <v>0</v>
      </c>
      <c r="AB12" s="198">
        <v>0</v>
      </c>
      <c r="AC12" s="272">
        <v>437</v>
      </c>
      <c r="AD12" s="198">
        <v>1.5731999999999999</v>
      </c>
      <c r="AE12" s="198">
        <v>1.5731999999999999</v>
      </c>
      <c r="AF12" s="198">
        <v>0</v>
      </c>
      <c r="AG12" s="198">
        <v>0</v>
      </c>
      <c r="AH12" s="198">
        <v>0</v>
      </c>
      <c r="AI12" s="198">
        <v>0</v>
      </c>
      <c r="AJ12" s="198">
        <v>0</v>
      </c>
      <c r="AK12" s="198">
        <v>0</v>
      </c>
      <c r="AL12" s="198">
        <v>0</v>
      </c>
      <c r="AM12" s="198">
        <v>2.3258792610578387E-2</v>
      </c>
      <c r="AN12" s="198">
        <v>5.9439136671477939E-3</v>
      </c>
      <c r="AO12" s="198">
        <v>0</v>
      </c>
      <c r="AP12" s="198">
        <v>8.4984036619052976E-4</v>
      </c>
      <c r="AQ12" s="198">
        <v>1.0624963638823249E-3</v>
      </c>
      <c r="AS12" s="258">
        <f t="shared" si="0"/>
        <v>59519.588813397189</v>
      </c>
      <c r="AT12" s="3">
        <f t="shared" si="1"/>
        <v>0</v>
      </c>
      <c r="AU12" s="3">
        <f t="shared" si="2"/>
        <v>0</v>
      </c>
      <c r="AV12" s="3">
        <f t="shared" si="3"/>
        <v>27.153988591596555</v>
      </c>
      <c r="AW12" s="3">
        <f t="shared" si="4"/>
        <v>0.97754358929747598</v>
      </c>
      <c r="AX12" s="3">
        <f t="shared" si="5"/>
        <v>0.97754358929747598</v>
      </c>
      <c r="AY12" s="102">
        <f t="shared" si="6"/>
        <v>0</v>
      </c>
      <c r="AZ12" s="102">
        <f t="shared" si="7"/>
        <v>1</v>
      </c>
    </row>
    <row r="13" spans="1:54" x14ac:dyDescent="0.35">
      <c r="A13" t="s">
        <v>627</v>
      </c>
      <c r="B13">
        <v>2025</v>
      </c>
      <c r="C13" t="s">
        <v>837</v>
      </c>
      <c r="D13" t="s">
        <v>652</v>
      </c>
      <c r="E13" t="s">
        <v>1064</v>
      </c>
      <c r="F13" t="s">
        <v>989</v>
      </c>
      <c r="G13" t="s">
        <v>978</v>
      </c>
      <c r="H13" s="198">
        <v>15069.875979660001</v>
      </c>
      <c r="I13" s="198">
        <v>0</v>
      </c>
      <c r="J13" s="198">
        <v>16499.074545471696</v>
      </c>
      <c r="K13" s="198">
        <v>5337.5501850000001</v>
      </c>
      <c r="L13" s="198">
        <v>0</v>
      </c>
      <c r="M13" s="198">
        <v>1613.5477386</v>
      </c>
      <c r="N13" s="198">
        <v>50</v>
      </c>
      <c r="O13" s="198">
        <v>0</v>
      </c>
      <c r="P13" s="198">
        <v>3898.5020102000003</v>
      </c>
      <c r="Q13" s="198">
        <v>0</v>
      </c>
      <c r="R13" s="198">
        <v>0</v>
      </c>
      <c r="S13" s="198">
        <v>1500</v>
      </c>
      <c r="T13" s="198">
        <v>0</v>
      </c>
      <c r="U13" s="198">
        <v>2000</v>
      </c>
      <c r="V13" s="198">
        <v>4500</v>
      </c>
      <c r="W13" s="198">
        <v>93.32</v>
      </c>
      <c r="X13" s="198">
        <v>1500</v>
      </c>
      <c r="Y13" s="198">
        <v>186</v>
      </c>
      <c r="Z13" s="277">
        <v>52247.870458931691</v>
      </c>
      <c r="AA13" s="272">
        <v>46.852604970000002</v>
      </c>
      <c r="AB13" s="198">
        <v>2.8668670095506115</v>
      </c>
      <c r="AC13" s="272">
        <v>0</v>
      </c>
      <c r="AD13" s="198">
        <v>0</v>
      </c>
      <c r="AE13" s="198">
        <v>2.8668670095506115</v>
      </c>
      <c r="AF13" s="198">
        <v>0</v>
      </c>
      <c r="AG13" s="198">
        <v>0</v>
      </c>
      <c r="AH13" s="198">
        <v>0</v>
      </c>
      <c r="AI13" s="198">
        <v>0</v>
      </c>
      <c r="AJ13" s="198">
        <v>0</v>
      </c>
      <c r="AK13" s="198">
        <v>0</v>
      </c>
      <c r="AL13" s="198">
        <v>0</v>
      </c>
      <c r="AM13" s="198">
        <v>2.6801144972193582E-2</v>
      </c>
      <c r="AN13" s="198">
        <v>6.8491814928939264E-3</v>
      </c>
      <c r="AO13" s="198">
        <v>0</v>
      </c>
      <c r="AP13" s="198">
        <v>9.7927245144855475E-4</v>
      </c>
      <c r="AQ13" s="198">
        <v>1.2243163072827633E-3</v>
      </c>
      <c r="AS13" s="258">
        <f t="shared" si="0"/>
        <v>70090.518220656857</v>
      </c>
      <c r="AT13" s="3">
        <f t="shared" si="1"/>
        <v>5.0203210556176705</v>
      </c>
      <c r="AU13" s="3">
        <f t="shared" si="2"/>
        <v>1.9378150165627097</v>
      </c>
      <c r="AV13" s="3">
        <f t="shared" si="3"/>
        <v>0</v>
      </c>
      <c r="AW13" s="3">
        <f t="shared" si="4"/>
        <v>0</v>
      </c>
      <c r="AX13" s="3">
        <f t="shared" si="5"/>
        <v>1.9378150165627097</v>
      </c>
      <c r="AY13" s="102">
        <f t="shared" si="6"/>
        <v>1</v>
      </c>
      <c r="AZ13" s="102">
        <f t="shared" si="7"/>
        <v>0</v>
      </c>
    </row>
    <row r="14" spans="1:54" x14ac:dyDescent="0.35">
      <c r="A14" t="s">
        <v>1065</v>
      </c>
      <c r="B14">
        <v>2025</v>
      </c>
      <c r="C14" t="s">
        <v>837</v>
      </c>
      <c r="D14" t="s">
        <v>652</v>
      </c>
      <c r="E14" t="s">
        <v>1064</v>
      </c>
      <c r="F14" t="s">
        <v>989</v>
      </c>
      <c r="G14" t="s">
        <v>978</v>
      </c>
      <c r="H14" s="198">
        <v>15069.875979660001</v>
      </c>
      <c r="I14" s="198">
        <v>0</v>
      </c>
      <c r="J14" s="198">
        <v>9594.9117030188681</v>
      </c>
      <c r="K14" s="198">
        <v>5437.5182070000001</v>
      </c>
      <c r="L14" s="198">
        <v>0</v>
      </c>
      <c r="M14" s="198">
        <v>730.84799999999996</v>
      </c>
      <c r="N14" s="198">
        <v>50</v>
      </c>
      <c r="O14" s="198">
        <v>0</v>
      </c>
      <c r="P14" s="198">
        <v>3843.8942831999998</v>
      </c>
      <c r="Q14" s="198">
        <v>0</v>
      </c>
      <c r="R14" s="198">
        <v>0</v>
      </c>
      <c r="S14" s="198">
        <v>1500</v>
      </c>
      <c r="T14" s="198">
        <v>0</v>
      </c>
      <c r="U14" s="198">
        <v>2000</v>
      </c>
      <c r="V14" s="198">
        <v>4500</v>
      </c>
      <c r="W14" s="198">
        <v>93.32</v>
      </c>
      <c r="X14" s="198">
        <v>1500</v>
      </c>
      <c r="Y14" s="198">
        <v>186</v>
      </c>
      <c r="Z14" s="277">
        <v>44506.368172878872</v>
      </c>
      <c r="AA14" s="272">
        <v>48.342687189999999</v>
      </c>
      <c r="AB14" s="198">
        <v>2.7785006442046729</v>
      </c>
      <c r="AC14" s="272">
        <v>0</v>
      </c>
      <c r="AD14" s="198">
        <v>0</v>
      </c>
      <c r="AE14" s="198">
        <v>2.7785006442046729</v>
      </c>
      <c r="AF14" s="198">
        <v>0</v>
      </c>
      <c r="AG14" s="198">
        <v>0</v>
      </c>
      <c r="AH14" s="198">
        <v>0</v>
      </c>
      <c r="AI14" s="198">
        <v>0</v>
      </c>
      <c r="AJ14" s="198">
        <v>0</v>
      </c>
      <c r="AK14" s="198">
        <v>0</v>
      </c>
      <c r="AL14" s="198">
        <v>0</v>
      </c>
      <c r="AM14" s="198">
        <v>2.5975044647200286E-2</v>
      </c>
      <c r="AN14" s="198">
        <v>6.6380669653956391E-3</v>
      </c>
      <c r="AO14" s="198">
        <v>0</v>
      </c>
      <c r="AP14" s="198">
        <v>9.4908802122223594E-4</v>
      </c>
      <c r="AQ14" s="198">
        <v>1.1865788113515176E-3</v>
      </c>
      <c r="AS14" s="258">
        <f t="shared" si="0"/>
        <v>59705.292903917005</v>
      </c>
      <c r="AT14" s="3">
        <f t="shared" si="1"/>
        <v>4.8655780825126316</v>
      </c>
      <c r="AU14" s="3">
        <f t="shared" si="2"/>
        <v>1.8780851200743247</v>
      </c>
      <c r="AV14" s="3">
        <f t="shared" si="3"/>
        <v>0</v>
      </c>
      <c r="AW14" s="3">
        <f t="shared" si="4"/>
        <v>0</v>
      </c>
      <c r="AX14" s="3">
        <f t="shared" si="5"/>
        <v>1.8780851200743247</v>
      </c>
      <c r="AY14" s="102">
        <f t="shared" si="6"/>
        <v>1</v>
      </c>
      <c r="AZ14" s="102">
        <f t="shared" si="7"/>
        <v>0</v>
      </c>
    </row>
    <row r="15" spans="1:54" x14ac:dyDescent="0.35">
      <c r="A15" t="s">
        <v>1017</v>
      </c>
      <c r="B15">
        <v>2030</v>
      </c>
      <c r="C15" t="s">
        <v>837</v>
      </c>
      <c r="D15" t="s">
        <v>652</v>
      </c>
      <c r="E15" t="s">
        <v>1064</v>
      </c>
      <c r="F15" t="s">
        <v>983</v>
      </c>
      <c r="G15" t="s">
        <v>978</v>
      </c>
      <c r="H15" s="198">
        <v>15148.01686014</v>
      </c>
      <c r="I15" s="198">
        <v>14242</v>
      </c>
      <c r="J15" s="198">
        <v>0</v>
      </c>
      <c r="K15" s="198">
        <v>0</v>
      </c>
      <c r="L15" s="198">
        <v>120</v>
      </c>
      <c r="M15" s="198">
        <v>0</v>
      </c>
      <c r="N15" s="198">
        <v>0</v>
      </c>
      <c r="O15" s="198">
        <v>150</v>
      </c>
      <c r="P15" s="198">
        <v>0</v>
      </c>
      <c r="Q15" s="198">
        <v>0</v>
      </c>
      <c r="R15" s="198">
        <v>73.2</v>
      </c>
      <c r="S15" s="198">
        <v>5692</v>
      </c>
      <c r="T15" s="198">
        <v>506</v>
      </c>
      <c r="U15" s="198">
        <v>2000</v>
      </c>
      <c r="V15" s="198">
        <v>1920</v>
      </c>
      <c r="W15" s="198">
        <v>0</v>
      </c>
      <c r="X15" s="198">
        <v>0</v>
      </c>
      <c r="Y15" s="198">
        <v>186</v>
      </c>
      <c r="Z15" s="277">
        <v>40037.216860140004</v>
      </c>
      <c r="AA15" s="272">
        <v>16.104930889999999</v>
      </c>
      <c r="AB15" s="198">
        <v>8.3403144302471457</v>
      </c>
      <c r="AC15" s="272">
        <v>0</v>
      </c>
      <c r="AD15" s="198">
        <v>0</v>
      </c>
      <c r="AE15" s="198">
        <v>8.3403144302471457</v>
      </c>
      <c r="AF15" s="198">
        <v>624.31869956589128</v>
      </c>
      <c r="AG15" s="198">
        <v>0.27446150596371172</v>
      </c>
      <c r="AH15" s="198">
        <v>1.4502072008798295E-3</v>
      </c>
      <c r="AI15" s="198">
        <v>632.93684959215136</v>
      </c>
      <c r="AJ15" s="198">
        <v>0.26632296542434974</v>
      </c>
      <c r="AK15" s="198">
        <v>6.2148470852500539</v>
      </c>
      <c r="AL15" s="198">
        <v>0.29097307414861057</v>
      </c>
      <c r="AM15" s="198">
        <v>5.2301218544404372E-2</v>
      </c>
      <c r="AN15" s="198">
        <v>2.1504888579313087E-2</v>
      </c>
      <c r="AO15" s="198">
        <v>4.3059025047273896E-3</v>
      </c>
      <c r="AP15" s="198">
        <v>3.5732375752250125E-3</v>
      </c>
      <c r="AQ15" s="198">
        <v>3.3939424997922176E-3</v>
      </c>
      <c r="AS15" s="258">
        <f t="shared" si="0"/>
        <v>53709.92641787781</v>
      </c>
      <c r="AT15" s="3">
        <f t="shared" si="1"/>
        <v>14.605161664337212</v>
      </c>
      <c r="AU15" s="3">
        <f t="shared" si="2"/>
        <v>5.6375082945759027</v>
      </c>
      <c r="AV15" s="3">
        <f t="shared" si="3"/>
        <v>0</v>
      </c>
      <c r="AW15" s="3">
        <f t="shared" si="4"/>
        <v>0</v>
      </c>
      <c r="AX15" s="3">
        <f t="shared" si="5"/>
        <v>5.6375082945759027</v>
      </c>
      <c r="AY15" s="102">
        <f t="shared" si="6"/>
        <v>1</v>
      </c>
      <c r="AZ15" s="102">
        <f t="shared" si="7"/>
        <v>0</v>
      </c>
    </row>
    <row r="16" spans="1:54" x14ac:dyDescent="0.35">
      <c r="A16" t="s">
        <v>1020</v>
      </c>
      <c r="B16">
        <v>2030</v>
      </c>
      <c r="C16" t="s">
        <v>837</v>
      </c>
      <c r="D16" t="s">
        <v>652</v>
      </c>
      <c r="E16" t="s">
        <v>1064</v>
      </c>
      <c r="F16" t="s">
        <v>983</v>
      </c>
      <c r="G16" t="s">
        <v>978</v>
      </c>
      <c r="H16" s="198">
        <v>15148.01686014</v>
      </c>
      <c r="I16" s="198">
        <v>12177</v>
      </c>
      <c r="J16" s="198">
        <v>0</v>
      </c>
      <c r="K16" s="198">
        <v>0</v>
      </c>
      <c r="L16" s="198">
        <v>150</v>
      </c>
      <c r="M16" s="198">
        <v>563.55527638000001</v>
      </c>
      <c r="N16" s="198">
        <v>40</v>
      </c>
      <c r="O16" s="198">
        <v>150</v>
      </c>
      <c r="P16" s="198">
        <v>1042.0125444600001</v>
      </c>
      <c r="Q16" s="198">
        <v>0</v>
      </c>
      <c r="R16" s="198">
        <v>0</v>
      </c>
      <c r="S16" s="198">
        <v>4694</v>
      </c>
      <c r="T16" s="198">
        <v>392</v>
      </c>
      <c r="U16" s="198">
        <v>2000</v>
      </c>
      <c r="V16" s="198">
        <v>4720</v>
      </c>
      <c r="W16" s="198">
        <v>69.311999999999998</v>
      </c>
      <c r="X16" s="198">
        <v>1500</v>
      </c>
      <c r="Y16" s="198">
        <v>186</v>
      </c>
      <c r="Z16" s="277">
        <v>42831.896680979997</v>
      </c>
      <c r="AA16" s="272">
        <v>27.02388234</v>
      </c>
      <c r="AB16" s="198">
        <v>4.9704252634782602</v>
      </c>
      <c r="AC16" s="272">
        <v>0</v>
      </c>
      <c r="AD16" s="198">
        <v>0</v>
      </c>
      <c r="AE16" s="198">
        <v>4.9704252634782602</v>
      </c>
      <c r="AF16" s="198">
        <v>372.06384276476803</v>
      </c>
      <c r="AG16" s="198">
        <v>0.16356582410693327</v>
      </c>
      <c r="AH16" s="198">
        <v>8.6425356847338918E-4</v>
      </c>
      <c r="AI16" s="198">
        <v>377.19984464733733</v>
      </c>
      <c r="AJ16" s="198">
        <v>0.15871564635368421</v>
      </c>
      <c r="AK16" s="198">
        <v>3.7037492074823049</v>
      </c>
      <c r="AL16" s="198">
        <v>0.17340592262267152</v>
      </c>
      <c r="AM16" s="198">
        <v>3.1169004494726451E-2</v>
      </c>
      <c r="AN16" s="198">
        <v>1.2815876712664355E-2</v>
      </c>
      <c r="AO16" s="198">
        <v>2.5661102792424498E-3</v>
      </c>
      <c r="AP16" s="198">
        <v>2.1294773074618857E-3</v>
      </c>
      <c r="AQ16" s="198">
        <v>2.0226260874027882E-3</v>
      </c>
      <c r="AS16" s="258">
        <f t="shared" si="0"/>
        <v>57458.989397534664</v>
      </c>
      <c r="AT16" s="3">
        <f t="shared" si="1"/>
        <v>8.7039721488599451</v>
      </c>
      <c r="AU16" s="3">
        <f t="shared" si="2"/>
        <v>3.3596831252317632</v>
      </c>
      <c r="AV16" s="3">
        <f t="shared" si="3"/>
        <v>0</v>
      </c>
      <c r="AW16" s="3">
        <f t="shared" si="4"/>
        <v>0</v>
      </c>
      <c r="AX16" s="3">
        <f t="shared" si="5"/>
        <v>3.3596831252317632</v>
      </c>
      <c r="AY16" s="102">
        <f t="shared" si="6"/>
        <v>1</v>
      </c>
      <c r="AZ16" s="102">
        <f t="shared" si="7"/>
        <v>0</v>
      </c>
    </row>
    <row r="17" spans="1:52" x14ac:dyDescent="0.35">
      <c r="A17" t="s">
        <v>1021</v>
      </c>
      <c r="B17">
        <v>2030</v>
      </c>
      <c r="C17" t="s">
        <v>837</v>
      </c>
      <c r="D17" t="s">
        <v>652</v>
      </c>
      <c r="E17" t="s">
        <v>1064</v>
      </c>
      <c r="F17" t="s">
        <v>983</v>
      </c>
      <c r="G17" t="s">
        <v>978</v>
      </c>
      <c r="H17" s="198">
        <v>15148.01686014</v>
      </c>
      <c r="I17" s="198">
        <v>11422</v>
      </c>
      <c r="J17" s="198">
        <v>0</v>
      </c>
      <c r="K17" s="198">
        <v>0</v>
      </c>
      <c r="L17" s="198">
        <v>0</v>
      </c>
      <c r="M17" s="198">
        <v>5250.4875000000002</v>
      </c>
      <c r="N17" s="198">
        <v>40</v>
      </c>
      <c r="O17" s="198">
        <v>0</v>
      </c>
      <c r="P17" s="198">
        <v>2935.5804474299998</v>
      </c>
      <c r="Q17" s="198">
        <v>0</v>
      </c>
      <c r="R17" s="198">
        <v>2609.3090538599999</v>
      </c>
      <c r="S17" s="198">
        <v>1500</v>
      </c>
      <c r="T17" s="198">
        <v>0</v>
      </c>
      <c r="U17" s="198">
        <v>2000</v>
      </c>
      <c r="V17" s="198">
        <v>4720</v>
      </c>
      <c r="W17" s="198">
        <v>69.311999999999998</v>
      </c>
      <c r="X17" s="198">
        <v>1500</v>
      </c>
      <c r="Y17" s="198">
        <v>186</v>
      </c>
      <c r="Z17" s="277">
        <v>47380.705861429997</v>
      </c>
      <c r="AA17" s="272">
        <v>146.81873610000002</v>
      </c>
      <c r="AB17" s="198">
        <v>0.91487088819858042</v>
      </c>
      <c r="AC17" s="272">
        <v>346.40000000000003</v>
      </c>
      <c r="AD17" s="198">
        <v>1.2470400000000001</v>
      </c>
      <c r="AE17" s="198">
        <v>2.1619108881985807</v>
      </c>
      <c r="AF17" s="198">
        <v>68.483149882144701</v>
      </c>
      <c r="AG17" s="198">
        <v>3.0106399925008614E-2</v>
      </c>
      <c r="AH17" s="198">
        <v>1.5907701814325861E-4</v>
      </c>
      <c r="AI17" s="198">
        <v>69.42849728302437</v>
      </c>
      <c r="AJ17" s="198">
        <v>2.9213662142259865E-2</v>
      </c>
      <c r="AK17" s="198">
        <v>0.68172281997917328</v>
      </c>
      <c r="AL17" s="198">
        <v>3.1917596994040724E-2</v>
      </c>
      <c r="AM17" s="198">
        <v>2.4173775344187659E-2</v>
      </c>
      <c r="AN17" s="198">
        <v>7.0705331414771576E-3</v>
      </c>
      <c r="AO17" s="198">
        <v>4.723256997014327E-4</v>
      </c>
      <c r="AP17" s="198">
        <v>1.0656069742853076E-3</v>
      </c>
      <c r="AQ17" s="198">
        <v>1.2145072206163629E-3</v>
      </c>
      <c r="AS17" s="258">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102">
        <f t="shared" si="6"/>
        <v>0.44384301867433024</v>
      </c>
      <c r="AZ17" s="102">
        <f t="shared" si="7"/>
        <v>0.55615698132566982</v>
      </c>
    </row>
    <row r="18" spans="1:52" x14ac:dyDescent="0.35">
      <c r="A18" t="s">
        <v>246</v>
      </c>
      <c r="B18">
        <v>2030</v>
      </c>
      <c r="C18" t="s">
        <v>837</v>
      </c>
      <c r="D18" t="s">
        <v>652</v>
      </c>
      <c r="E18" t="s">
        <v>1064</v>
      </c>
      <c r="F18" t="s">
        <v>977</v>
      </c>
      <c r="G18" t="s">
        <v>978</v>
      </c>
      <c r="H18" s="198">
        <v>15148.01686014</v>
      </c>
      <c r="I18" s="198">
        <v>0</v>
      </c>
      <c r="J18" s="198">
        <v>0</v>
      </c>
      <c r="K18" s="198">
        <v>0</v>
      </c>
      <c r="L18" s="198">
        <v>0</v>
      </c>
      <c r="M18" s="198">
        <v>11357.4375</v>
      </c>
      <c r="N18" s="198">
        <v>40</v>
      </c>
      <c r="O18" s="198">
        <v>0</v>
      </c>
      <c r="P18" s="198">
        <v>3044.84960103</v>
      </c>
      <c r="Q18" s="198">
        <v>0</v>
      </c>
      <c r="R18" s="198">
        <v>0</v>
      </c>
      <c r="S18" s="198">
        <v>1500</v>
      </c>
      <c r="T18" s="198">
        <v>0</v>
      </c>
      <c r="U18" s="198">
        <v>2000</v>
      </c>
      <c r="V18" s="198">
        <v>4500</v>
      </c>
      <c r="W18" s="198">
        <v>69.311999999999998</v>
      </c>
      <c r="X18" s="198">
        <v>1500</v>
      </c>
      <c r="Y18" s="198">
        <v>186</v>
      </c>
      <c r="Z18" s="277">
        <v>39345.615961169999</v>
      </c>
      <c r="AA18" s="272">
        <v>0</v>
      </c>
      <c r="AB18" s="198">
        <v>0</v>
      </c>
      <c r="AC18" s="272">
        <v>405</v>
      </c>
      <c r="AD18" s="198">
        <v>1.458</v>
      </c>
      <c r="AE18" s="198">
        <v>1.458</v>
      </c>
      <c r="AF18" s="198">
        <v>0</v>
      </c>
      <c r="AG18" s="198">
        <v>0</v>
      </c>
      <c r="AH18" s="198">
        <v>0</v>
      </c>
      <c r="AI18" s="198">
        <v>0</v>
      </c>
      <c r="AJ18" s="198">
        <v>0</v>
      </c>
      <c r="AK18" s="198">
        <v>0</v>
      </c>
      <c r="AL18" s="198">
        <v>0</v>
      </c>
      <c r="AM18" s="198">
        <v>2.1555631595616125E-2</v>
      </c>
      <c r="AN18" s="198">
        <v>5.5086614077685513E-3</v>
      </c>
      <c r="AO18" s="198">
        <v>0</v>
      </c>
      <c r="AP18" s="198">
        <v>7.8760949269374039E-4</v>
      </c>
      <c r="AQ18" s="198">
        <v>9.8469342648133075E-4</v>
      </c>
      <c r="AS18" s="258">
        <f t="shared" si="0"/>
        <v>52782.143811909547</v>
      </c>
      <c r="AT18" s="3">
        <f t="shared" si="1"/>
        <v>0</v>
      </c>
      <c r="AU18" s="3">
        <f t="shared" si="2"/>
        <v>0</v>
      </c>
      <c r="AV18" s="3">
        <f t="shared" si="3"/>
        <v>25.165595834317173</v>
      </c>
      <c r="AW18" s="3">
        <f t="shared" si="4"/>
        <v>0.90596145003541817</v>
      </c>
      <c r="AX18" s="3">
        <f t="shared" si="5"/>
        <v>0.90596145003541817</v>
      </c>
      <c r="AY18" s="102">
        <f t="shared" si="6"/>
        <v>0</v>
      </c>
      <c r="AZ18" s="102">
        <f t="shared" si="7"/>
        <v>1</v>
      </c>
    </row>
    <row r="19" spans="1:52" x14ac:dyDescent="0.35">
      <c r="A19" t="s">
        <v>627</v>
      </c>
      <c r="B19">
        <v>2030</v>
      </c>
      <c r="C19" t="s">
        <v>837</v>
      </c>
      <c r="D19" t="s">
        <v>652</v>
      </c>
      <c r="E19" t="s">
        <v>1064</v>
      </c>
      <c r="F19" t="s">
        <v>989</v>
      </c>
      <c r="G19" t="s">
        <v>978</v>
      </c>
      <c r="H19" s="198">
        <v>15148.01686014</v>
      </c>
      <c r="I19" s="198">
        <v>0</v>
      </c>
      <c r="J19" s="198">
        <v>14092.828486</v>
      </c>
      <c r="K19" s="198">
        <v>4731.9393</v>
      </c>
      <c r="L19" s="198">
        <v>0</v>
      </c>
      <c r="M19" s="198">
        <v>1521.5992461500002</v>
      </c>
      <c r="N19" s="198">
        <v>40</v>
      </c>
      <c r="O19" s="198">
        <v>0</v>
      </c>
      <c r="P19" s="198">
        <v>3044.84960103</v>
      </c>
      <c r="Q19" s="198">
        <v>0</v>
      </c>
      <c r="R19" s="198">
        <v>0</v>
      </c>
      <c r="S19" s="198">
        <v>1500</v>
      </c>
      <c r="T19" s="198">
        <v>0</v>
      </c>
      <c r="U19" s="198">
        <v>2000</v>
      </c>
      <c r="V19" s="198">
        <v>4500</v>
      </c>
      <c r="W19" s="198">
        <v>69.311999999999998</v>
      </c>
      <c r="X19" s="198">
        <v>1500</v>
      </c>
      <c r="Y19" s="198">
        <v>186</v>
      </c>
      <c r="Z19" s="277">
        <v>48334.545493319994</v>
      </c>
      <c r="AA19" s="272">
        <v>50.159794669999997</v>
      </c>
      <c r="AB19" s="198">
        <v>2.6778456407903795</v>
      </c>
      <c r="AC19" s="272">
        <v>0</v>
      </c>
      <c r="AD19" s="198">
        <v>0</v>
      </c>
      <c r="AE19" s="198">
        <v>2.6778456407903795</v>
      </c>
      <c r="AF19" s="198">
        <v>0</v>
      </c>
      <c r="AG19" s="198">
        <v>0</v>
      </c>
      <c r="AH19" s="198">
        <v>0</v>
      </c>
      <c r="AI19" s="198">
        <v>0</v>
      </c>
      <c r="AJ19" s="198">
        <v>0</v>
      </c>
      <c r="AK19" s="198">
        <v>0</v>
      </c>
      <c r="AL19" s="198">
        <v>0</v>
      </c>
      <c r="AM19" s="198">
        <v>2.5034062965909813E-2</v>
      </c>
      <c r="AN19" s="198">
        <v>6.3975938690658514E-3</v>
      </c>
      <c r="AO19" s="198">
        <v>0</v>
      </c>
      <c r="AP19" s="198">
        <v>9.1470600363449694E-4</v>
      </c>
      <c r="AQ19" s="198">
        <v>1.1435933635860005E-3</v>
      </c>
      <c r="AS19" s="258">
        <f t="shared" si="0"/>
        <v>64840.792779288771</v>
      </c>
      <c r="AT19" s="3">
        <f t="shared" si="1"/>
        <v>4.6893158313127552</v>
      </c>
      <c r="AU19" s="3">
        <f t="shared" si="2"/>
        <v>1.8100489061660401</v>
      </c>
      <c r="AV19" s="3">
        <f t="shared" si="3"/>
        <v>0</v>
      </c>
      <c r="AW19" s="3">
        <f t="shared" si="4"/>
        <v>0</v>
      </c>
      <c r="AX19" s="3">
        <f t="shared" si="5"/>
        <v>1.8100489061660401</v>
      </c>
      <c r="AY19" s="102">
        <f t="shared" si="6"/>
        <v>1</v>
      </c>
      <c r="AZ19" s="102">
        <f t="shared" si="7"/>
        <v>0</v>
      </c>
    </row>
    <row r="20" spans="1:52" x14ac:dyDescent="0.35">
      <c r="A20" t="s">
        <v>1065</v>
      </c>
      <c r="B20">
        <v>2030</v>
      </c>
      <c r="C20" t="s">
        <v>837</v>
      </c>
      <c r="D20" t="s">
        <v>652</v>
      </c>
      <c r="E20" t="s">
        <v>1064</v>
      </c>
      <c r="F20" t="s">
        <v>989</v>
      </c>
      <c r="G20" t="s">
        <v>978</v>
      </c>
      <c r="H20" s="198">
        <v>15148.01686014</v>
      </c>
      <c r="I20" s="198">
        <v>0</v>
      </c>
      <c r="J20" s="198">
        <v>7652.4517080000005</v>
      </c>
      <c r="K20" s="198">
        <v>4821.6415500000003</v>
      </c>
      <c r="L20" s="198">
        <v>0</v>
      </c>
      <c r="M20" s="198">
        <v>633.03750000000002</v>
      </c>
      <c r="N20" s="198">
        <v>40</v>
      </c>
      <c r="O20" s="198">
        <v>0</v>
      </c>
      <c r="P20" s="198">
        <v>2941.82592084</v>
      </c>
      <c r="Q20" s="198">
        <v>0</v>
      </c>
      <c r="R20" s="198">
        <v>0</v>
      </c>
      <c r="S20" s="198">
        <v>1500</v>
      </c>
      <c r="T20" s="198">
        <v>0</v>
      </c>
      <c r="U20" s="198">
        <v>2000</v>
      </c>
      <c r="V20" s="198">
        <v>4500</v>
      </c>
      <c r="W20" s="198">
        <v>69.311999999999998</v>
      </c>
      <c r="X20" s="198">
        <v>1500</v>
      </c>
      <c r="Y20" s="198">
        <v>186</v>
      </c>
      <c r="Z20" s="277">
        <v>40992.285538980002</v>
      </c>
      <c r="AA20" s="272">
        <v>52.120571290000001</v>
      </c>
      <c r="AB20" s="198">
        <v>2.5771050503771256</v>
      </c>
      <c r="AC20" s="272">
        <v>0</v>
      </c>
      <c r="AD20" s="198">
        <v>0</v>
      </c>
      <c r="AE20" s="198">
        <v>2.5771050503771256</v>
      </c>
      <c r="AF20" s="198">
        <v>0</v>
      </c>
      <c r="AG20" s="198">
        <v>0</v>
      </c>
      <c r="AH20" s="198">
        <v>0</v>
      </c>
      <c r="AI20" s="198">
        <v>0</v>
      </c>
      <c r="AJ20" s="198">
        <v>0</v>
      </c>
      <c r="AK20" s="198">
        <v>0</v>
      </c>
      <c r="AL20" s="198">
        <v>0</v>
      </c>
      <c r="AM20" s="198">
        <v>2.409228116743245E-2</v>
      </c>
      <c r="AN20" s="198">
        <v>6.1569162983438584E-3</v>
      </c>
      <c r="AO20" s="198">
        <v>0</v>
      </c>
      <c r="AP20" s="198">
        <v>8.802947510002752E-4</v>
      </c>
      <c r="AQ20" s="198">
        <v>1.1005713652730848E-3</v>
      </c>
      <c r="AS20" s="258">
        <f t="shared" si="0"/>
        <v>54991.151050541666</v>
      </c>
      <c r="AT20" s="3">
        <f t="shared" si="1"/>
        <v>4.5129037042339011</v>
      </c>
      <c r="AU20" s="3">
        <f t="shared" si="2"/>
        <v>1.7419548410315719</v>
      </c>
      <c r="AV20" s="3">
        <f t="shared" si="3"/>
        <v>0</v>
      </c>
      <c r="AW20" s="3">
        <f t="shared" si="4"/>
        <v>0</v>
      </c>
      <c r="AX20" s="3">
        <f t="shared" si="5"/>
        <v>1.7419548410315719</v>
      </c>
      <c r="AY20" s="102">
        <f t="shared" si="6"/>
        <v>1</v>
      </c>
      <c r="AZ20" s="102">
        <f t="shared" si="7"/>
        <v>0</v>
      </c>
    </row>
    <row r="21" spans="1:52" x14ac:dyDescent="0.35">
      <c r="A21" t="s">
        <v>1017</v>
      </c>
      <c r="B21">
        <v>2035</v>
      </c>
      <c r="C21" t="s">
        <v>837</v>
      </c>
      <c r="D21" t="s">
        <v>652</v>
      </c>
      <c r="E21" t="s">
        <v>1064</v>
      </c>
      <c r="F21" t="s">
        <v>983</v>
      </c>
      <c r="G21" t="s">
        <v>978</v>
      </c>
      <c r="H21" s="198">
        <v>15148.01686014</v>
      </c>
      <c r="I21" s="198">
        <v>14100</v>
      </c>
      <c r="J21" s="198">
        <v>0</v>
      </c>
      <c r="K21" s="198">
        <v>0</v>
      </c>
      <c r="L21" s="198">
        <v>120</v>
      </c>
      <c r="M21" s="198">
        <v>0</v>
      </c>
      <c r="N21" s="198">
        <v>0</v>
      </c>
      <c r="O21" s="198">
        <v>150</v>
      </c>
      <c r="P21" s="198">
        <v>0</v>
      </c>
      <c r="Q21" s="198">
        <v>0</v>
      </c>
      <c r="R21" s="198">
        <v>62.6</v>
      </c>
      <c r="S21" s="198">
        <v>5650</v>
      </c>
      <c r="T21" s="198">
        <v>506</v>
      </c>
      <c r="U21" s="198">
        <v>2000</v>
      </c>
      <c r="V21" s="198">
        <v>1920</v>
      </c>
      <c r="W21" s="198">
        <v>0</v>
      </c>
      <c r="X21" s="198">
        <v>0</v>
      </c>
      <c r="Y21" s="198">
        <v>186</v>
      </c>
      <c r="Z21" s="277">
        <v>39842.616860139999</v>
      </c>
      <c r="AA21" s="272">
        <v>16.88394422</v>
      </c>
      <c r="AB21" s="198">
        <v>7.9554981792044801</v>
      </c>
      <c r="AC21" s="272">
        <v>0</v>
      </c>
      <c r="AD21" s="198">
        <v>0</v>
      </c>
      <c r="AE21" s="198">
        <v>7.9554981792044801</v>
      </c>
      <c r="AF21" s="198">
        <v>595.51307317949374</v>
      </c>
      <c r="AG21" s="198">
        <v>0.26179804481200186</v>
      </c>
      <c r="AH21" s="198">
        <v>1.3832956590015316E-3</v>
      </c>
      <c r="AI21" s="198">
        <v>603.73358781541413</v>
      </c>
      <c r="AJ21" s="198">
        <v>0.25403501081804764</v>
      </c>
      <c r="AK21" s="198">
        <v>5.9280984049513794</v>
      </c>
      <c r="AL21" s="198">
        <v>0.27754778083566894</v>
      </c>
      <c r="AM21" s="198">
        <v>4.9888077047936304E-2</v>
      </c>
      <c r="AN21" s="198">
        <v>2.0512668121512399E-2</v>
      </c>
      <c r="AO21" s="198">
        <v>4.1072311868673361E-3</v>
      </c>
      <c r="AP21" s="198">
        <v>3.4083709027173037E-3</v>
      </c>
      <c r="AQ21" s="198">
        <v>3.2373483761596734E-3</v>
      </c>
      <c r="AS21" s="258">
        <f t="shared" si="0"/>
        <v>53448.870517877804</v>
      </c>
      <c r="AT21" s="3">
        <f t="shared" si="1"/>
        <v>13.931289761239695</v>
      </c>
      <c r="AU21" s="3">
        <f t="shared" si="2"/>
        <v>5.3773976206577787</v>
      </c>
      <c r="AV21" s="3">
        <f t="shared" si="3"/>
        <v>0</v>
      </c>
      <c r="AW21" s="3">
        <f t="shared" si="4"/>
        <v>0</v>
      </c>
      <c r="AX21" s="3">
        <f t="shared" si="5"/>
        <v>5.3773976206577787</v>
      </c>
      <c r="AY21" s="102">
        <f t="shared" si="6"/>
        <v>1</v>
      </c>
      <c r="AZ21" s="102">
        <f t="shared" si="7"/>
        <v>0</v>
      </c>
    </row>
    <row r="22" spans="1:52" x14ac:dyDescent="0.35">
      <c r="A22" t="s">
        <v>1020</v>
      </c>
      <c r="B22">
        <v>2035</v>
      </c>
      <c r="C22" t="s">
        <v>837</v>
      </c>
      <c r="D22" t="s">
        <v>652</v>
      </c>
      <c r="E22" t="s">
        <v>1064</v>
      </c>
      <c r="F22" t="s">
        <v>983</v>
      </c>
      <c r="G22" t="s">
        <v>978</v>
      </c>
      <c r="H22" s="198">
        <v>15148.01686014</v>
      </c>
      <c r="I22" s="198">
        <v>12005</v>
      </c>
      <c r="J22" s="198">
        <v>0</v>
      </c>
      <c r="K22" s="198">
        <v>0</v>
      </c>
      <c r="L22" s="198">
        <v>150</v>
      </c>
      <c r="M22" s="198">
        <v>533.89447236000001</v>
      </c>
      <c r="N22" s="198">
        <v>35</v>
      </c>
      <c r="O22" s="198">
        <v>150</v>
      </c>
      <c r="P22" s="198">
        <v>901.64751931000001</v>
      </c>
      <c r="Q22" s="198">
        <v>0</v>
      </c>
      <c r="R22" s="198">
        <v>0</v>
      </c>
      <c r="S22" s="198">
        <v>4638</v>
      </c>
      <c r="T22" s="198">
        <v>392</v>
      </c>
      <c r="U22" s="198">
        <v>2000</v>
      </c>
      <c r="V22" s="198">
        <v>4720</v>
      </c>
      <c r="W22" s="198">
        <v>56</v>
      </c>
      <c r="X22" s="198">
        <v>1500</v>
      </c>
      <c r="Y22" s="198">
        <v>186</v>
      </c>
      <c r="Z22" s="277">
        <v>42415.558851809998</v>
      </c>
      <c r="AA22" s="272">
        <v>29.201353050000002</v>
      </c>
      <c r="AB22" s="198">
        <v>4.5997932790994422</v>
      </c>
      <c r="AC22" s="272">
        <v>0</v>
      </c>
      <c r="AD22" s="198">
        <v>0</v>
      </c>
      <c r="AE22" s="198">
        <v>4.5997932790994422</v>
      </c>
      <c r="AF22" s="198">
        <v>344.31998724947272</v>
      </c>
      <c r="AG22" s="198">
        <v>0.1513691361473026</v>
      </c>
      <c r="AH22" s="198">
        <v>7.9980837553518774E-4</v>
      </c>
      <c r="AI22" s="198">
        <v>349.07301051983006</v>
      </c>
      <c r="AJ22" s="198">
        <v>0.14688062382708708</v>
      </c>
      <c r="AK22" s="198">
        <v>3.4275700385694989</v>
      </c>
      <c r="AL22" s="198">
        <v>0.16047548351579616</v>
      </c>
      <c r="AM22" s="198">
        <v>2.884481101537241E-2</v>
      </c>
      <c r="AN22" s="198">
        <v>1.1860229345331227E-2</v>
      </c>
      <c r="AO22" s="198">
        <v>2.3747619550016879E-3</v>
      </c>
      <c r="AP22" s="198">
        <v>1.9706875946472625E-3</v>
      </c>
      <c r="AQ22" s="198">
        <v>1.87180399860915E-3</v>
      </c>
      <c r="AS22" s="258">
        <f t="shared" si="0"/>
        <v>56900.472199703108</v>
      </c>
      <c r="AT22" s="3">
        <f t="shared" si="1"/>
        <v>8.0549390584292855</v>
      </c>
      <c r="AU22" s="3">
        <f t="shared" si="2"/>
        <v>3.1091600899618816</v>
      </c>
      <c r="AV22" s="3">
        <f t="shared" si="3"/>
        <v>0</v>
      </c>
      <c r="AW22" s="3">
        <f t="shared" si="4"/>
        <v>0</v>
      </c>
      <c r="AX22" s="3">
        <f t="shared" si="5"/>
        <v>3.1091600899618816</v>
      </c>
      <c r="AY22" s="102">
        <f t="shared" si="6"/>
        <v>1</v>
      </c>
      <c r="AZ22" s="102">
        <f t="shared" si="7"/>
        <v>0</v>
      </c>
    </row>
    <row r="23" spans="1:52" x14ac:dyDescent="0.35">
      <c r="A23" t="s">
        <v>1021</v>
      </c>
      <c r="B23">
        <v>2035</v>
      </c>
      <c r="C23" t="s">
        <v>837</v>
      </c>
      <c r="D23" t="s">
        <v>652</v>
      </c>
      <c r="E23" t="s">
        <v>1064</v>
      </c>
      <c r="F23" t="s">
        <v>983</v>
      </c>
      <c r="G23" t="s">
        <v>978</v>
      </c>
      <c r="H23" s="198">
        <v>15148.01686014</v>
      </c>
      <c r="I23" s="198">
        <v>11003</v>
      </c>
      <c r="J23" s="198">
        <v>0</v>
      </c>
      <c r="K23" s="198">
        <v>0</v>
      </c>
      <c r="L23" s="198">
        <v>0</v>
      </c>
      <c r="M23" s="198">
        <v>4245.0749999999998</v>
      </c>
      <c r="N23" s="198">
        <v>35</v>
      </c>
      <c r="O23" s="198">
        <v>0</v>
      </c>
      <c r="P23" s="198">
        <v>2474.6239064699998</v>
      </c>
      <c r="Q23" s="198">
        <v>0</v>
      </c>
      <c r="R23" s="198">
        <v>2042.8803058200003</v>
      </c>
      <c r="S23" s="198">
        <v>1500</v>
      </c>
      <c r="T23" s="198">
        <v>0</v>
      </c>
      <c r="U23" s="198">
        <v>2000</v>
      </c>
      <c r="V23" s="198">
        <v>4720</v>
      </c>
      <c r="W23" s="198">
        <v>56</v>
      </c>
      <c r="X23" s="198">
        <v>1500</v>
      </c>
      <c r="Y23" s="198">
        <v>186</v>
      </c>
      <c r="Z23" s="277">
        <v>44910.596072430002</v>
      </c>
      <c r="AA23" s="272">
        <v>162.90124745000003</v>
      </c>
      <c r="AB23" s="198">
        <v>0.82454977848605782</v>
      </c>
      <c r="AC23" s="272">
        <v>326.40000000000003</v>
      </c>
      <c r="AD23" s="198">
        <v>1.1750400000000001</v>
      </c>
      <c r="AE23" s="198">
        <v>1.9995897784860579</v>
      </c>
      <c r="AF23" s="198">
        <v>61.722114883923503</v>
      </c>
      <c r="AG23" s="198">
        <v>2.7134129754700656E-2</v>
      </c>
      <c r="AH23" s="198">
        <v>1.4337205584333295E-4</v>
      </c>
      <c r="AI23" s="198">
        <v>62.574132365343786</v>
      </c>
      <c r="AJ23" s="198">
        <v>2.6329527979185599E-2</v>
      </c>
      <c r="AK23" s="198">
        <v>0.61441937595100993</v>
      </c>
      <c r="AL23" s="198">
        <v>2.876651544029793E-2</v>
      </c>
      <c r="AM23" s="198">
        <v>2.2542905704219865E-2</v>
      </c>
      <c r="AN23" s="198">
        <v>6.5656141275408442E-3</v>
      </c>
      <c r="AO23" s="198">
        <v>4.2569509652771228E-4</v>
      </c>
      <c r="AP23" s="198">
        <v>9.8801644144412212E-4</v>
      </c>
      <c r="AQ23" s="198">
        <v>1.1291258168589836E-3</v>
      </c>
      <c r="AS23" s="258">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102">
        <f t="shared" si="6"/>
        <v>0.4328937060487088</v>
      </c>
      <c r="AZ23" s="102">
        <f t="shared" si="7"/>
        <v>0.5671062939512912</v>
      </c>
    </row>
    <row r="24" spans="1:52" x14ac:dyDescent="0.35">
      <c r="A24" t="s">
        <v>246</v>
      </c>
      <c r="B24">
        <v>2035</v>
      </c>
      <c r="C24" t="s">
        <v>837</v>
      </c>
      <c r="D24" t="s">
        <v>652</v>
      </c>
      <c r="E24" t="s">
        <v>1064</v>
      </c>
      <c r="F24" t="s">
        <v>977</v>
      </c>
      <c r="G24" t="s">
        <v>978</v>
      </c>
      <c r="H24" s="198">
        <v>15148.01686014</v>
      </c>
      <c r="I24" s="198">
        <v>0</v>
      </c>
      <c r="J24" s="198">
        <v>0</v>
      </c>
      <c r="K24" s="198">
        <v>0</v>
      </c>
      <c r="L24" s="198">
        <v>0</v>
      </c>
      <c r="M24" s="198">
        <v>9216.28125</v>
      </c>
      <c r="N24" s="198">
        <v>35</v>
      </c>
      <c r="O24" s="198">
        <v>0</v>
      </c>
      <c r="P24" s="198">
        <v>2563.2200881999997</v>
      </c>
      <c r="Q24" s="198">
        <v>0</v>
      </c>
      <c r="R24" s="198">
        <v>0</v>
      </c>
      <c r="S24" s="198">
        <v>1500</v>
      </c>
      <c r="T24" s="198">
        <v>0</v>
      </c>
      <c r="U24" s="198">
        <v>2000</v>
      </c>
      <c r="V24" s="198">
        <v>4500</v>
      </c>
      <c r="W24" s="198">
        <v>56</v>
      </c>
      <c r="X24" s="198">
        <v>1500</v>
      </c>
      <c r="Y24" s="198">
        <v>186</v>
      </c>
      <c r="Z24" s="277">
        <v>36704.518198339996</v>
      </c>
      <c r="AA24" s="272">
        <v>0</v>
      </c>
      <c r="AB24" s="198">
        <v>0</v>
      </c>
      <c r="AC24" s="272">
        <v>380</v>
      </c>
      <c r="AD24" s="198">
        <v>1.3679999999999999</v>
      </c>
      <c r="AE24" s="198">
        <v>1.3679999999999999</v>
      </c>
      <c r="AF24" s="198">
        <v>0</v>
      </c>
      <c r="AG24" s="198">
        <v>0</v>
      </c>
      <c r="AH24" s="198">
        <v>0</v>
      </c>
      <c r="AI24" s="198">
        <v>0</v>
      </c>
      <c r="AJ24" s="198">
        <v>0</v>
      </c>
      <c r="AK24" s="198">
        <v>0</v>
      </c>
      <c r="AL24" s="198">
        <v>0</v>
      </c>
      <c r="AM24" s="198">
        <v>2.0225037052676857E-2</v>
      </c>
      <c r="AN24" s="198">
        <v>5.1686205801285169E-3</v>
      </c>
      <c r="AO24" s="198">
        <v>0</v>
      </c>
      <c r="AP24" s="198">
        <v>7.3899162277437367E-4</v>
      </c>
      <c r="AQ24" s="198">
        <v>9.2390988163680425E-4</v>
      </c>
      <c r="AS24" s="258">
        <f t="shared" si="0"/>
        <v>49239.111163073103</v>
      </c>
      <c r="AT24" s="3">
        <f t="shared" si="1"/>
        <v>0</v>
      </c>
      <c r="AU24" s="3">
        <f t="shared" si="2"/>
        <v>0</v>
      </c>
      <c r="AV24" s="3">
        <f t="shared" si="3"/>
        <v>23.612163992692658</v>
      </c>
      <c r="AW24" s="3">
        <f t="shared" si="4"/>
        <v>0.85003790373693577</v>
      </c>
      <c r="AX24" s="3">
        <f t="shared" si="5"/>
        <v>0.85003790373693577</v>
      </c>
      <c r="AY24" s="102">
        <f t="shared" si="6"/>
        <v>0</v>
      </c>
      <c r="AZ24" s="102">
        <f t="shared" si="7"/>
        <v>1</v>
      </c>
    </row>
    <row r="25" spans="1:52" x14ac:dyDescent="0.35">
      <c r="A25" t="s">
        <v>627</v>
      </c>
      <c r="B25">
        <v>2035</v>
      </c>
      <c r="C25" t="s">
        <v>837</v>
      </c>
      <c r="D25" t="s">
        <v>652</v>
      </c>
      <c r="E25" t="s">
        <v>1064</v>
      </c>
      <c r="F25" t="s">
        <v>989</v>
      </c>
      <c r="G25" t="s">
        <v>978</v>
      </c>
      <c r="H25" s="198">
        <v>15148.01686014</v>
      </c>
      <c r="I25" s="198">
        <v>0</v>
      </c>
      <c r="J25" s="198">
        <v>11942.64646</v>
      </c>
      <c r="K25" s="198">
        <v>4512.748383000001</v>
      </c>
      <c r="L25" s="198">
        <v>0</v>
      </c>
      <c r="M25" s="198">
        <v>1409.4814069800002</v>
      </c>
      <c r="N25" s="198">
        <v>35</v>
      </c>
      <c r="O25" s="198">
        <v>0</v>
      </c>
      <c r="P25" s="198">
        <v>2563.2200881999997</v>
      </c>
      <c r="Q25" s="198">
        <v>0</v>
      </c>
      <c r="R25" s="198">
        <v>0</v>
      </c>
      <c r="S25" s="198">
        <v>1500</v>
      </c>
      <c r="T25" s="198">
        <v>0</v>
      </c>
      <c r="U25" s="198">
        <v>2000</v>
      </c>
      <c r="V25" s="198">
        <v>4500</v>
      </c>
      <c r="W25" s="198">
        <v>56</v>
      </c>
      <c r="X25" s="198">
        <v>1500</v>
      </c>
      <c r="Y25" s="198">
        <v>186</v>
      </c>
      <c r="Z25" s="277">
        <v>45353.113198320003</v>
      </c>
      <c r="AA25" s="272">
        <v>52.846562550000002</v>
      </c>
      <c r="AB25" s="198">
        <v>2.5417015037243895</v>
      </c>
      <c r="AC25" s="272">
        <v>0</v>
      </c>
      <c r="AD25" s="198">
        <v>0</v>
      </c>
      <c r="AE25" s="198">
        <v>2.5417015037243895</v>
      </c>
      <c r="AF25" s="198">
        <v>0</v>
      </c>
      <c r="AG25" s="198">
        <v>0</v>
      </c>
      <c r="AH25" s="198">
        <v>0</v>
      </c>
      <c r="AI25" s="198">
        <v>0</v>
      </c>
      <c r="AJ25" s="198">
        <v>0</v>
      </c>
      <c r="AK25" s="198">
        <v>0</v>
      </c>
      <c r="AL25" s="198">
        <v>0</v>
      </c>
      <c r="AM25" s="198">
        <v>2.3761308163380013E-2</v>
      </c>
      <c r="AN25" s="198">
        <v>6.0723343084193469E-3</v>
      </c>
      <c r="AO25" s="198">
        <v>0</v>
      </c>
      <c r="AP25" s="198">
        <v>8.6820150851462795E-4</v>
      </c>
      <c r="AQ25" s="198">
        <v>1.0854520244183497E-3</v>
      </c>
      <c r="AS25" s="258">
        <f t="shared" si="0"/>
        <v>60841.201355546284</v>
      </c>
      <c r="AT25" s="3">
        <f t="shared" si="1"/>
        <v>4.4509066984041352</v>
      </c>
      <c r="AU25" s="3">
        <f t="shared" si="2"/>
        <v>1.7180243538081674</v>
      </c>
      <c r="AV25" s="3">
        <f t="shared" si="3"/>
        <v>0</v>
      </c>
      <c r="AW25" s="3">
        <f t="shared" si="4"/>
        <v>0</v>
      </c>
      <c r="AX25" s="3">
        <f t="shared" si="5"/>
        <v>1.7180243538081674</v>
      </c>
      <c r="AY25" s="102">
        <f t="shared" si="6"/>
        <v>1</v>
      </c>
      <c r="AZ25" s="102">
        <f t="shared" si="7"/>
        <v>0</v>
      </c>
    </row>
    <row r="26" spans="1:52" x14ac:dyDescent="0.35">
      <c r="A26" t="s">
        <v>1065</v>
      </c>
      <c r="B26">
        <v>2035</v>
      </c>
      <c r="C26" t="s">
        <v>837</v>
      </c>
      <c r="D26" t="s">
        <v>652</v>
      </c>
      <c r="E26" t="s">
        <v>1064</v>
      </c>
      <c r="F26" t="s">
        <v>989</v>
      </c>
      <c r="G26" t="s">
        <v>978</v>
      </c>
      <c r="H26" s="198">
        <v>15148.01686014</v>
      </c>
      <c r="I26" s="198">
        <v>0</v>
      </c>
      <c r="J26" s="198">
        <v>6080.2414045000005</v>
      </c>
      <c r="K26" s="198">
        <v>4601.8638022500008</v>
      </c>
      <c r="L26" s="198">
        <v>0</v>
      </c>
      <c r="M26" s="198">
        <v>580.90500000000009</v>
      </c>
      <c r="N26" s="198">
        <v>35</v>
      </c>
      <c r="O26" s="198">
        <v>0</v>
      </c>
      <c r="P26" s="198">
        <v>2466.75535064</v>
      </c>
      <c r="Q26" s="198">
        <v>0</v>
      </c>
      <c r="R26" s="198">
        <v>0</v>
      </c>
      <c r="S26" s="198">
        <v>1500</v>
      </c>
      <c r="T26" s="198">
        <v>0</v>
      </c>
      <c r="U26" s="198">
        <v>2000</v>
      </c>
      <c r="V26" s="198">
        <v>4500</v>
      </c>
      <c r="W26" s="198">
        <v>56</v>
      </c>
      <c r="X26" s="198">
        <v>1500</v>
      </c>
      <c r="Y26" s="198">
        <v>186</v>
      </c>
      <c r="Z26" s="277">
        <v>38654.782417530005</v>
      </c>
      <c r="AA26" s="272">
        <v>55.30335736</v>
      </c>
      <c r="AB26" s="198">
        <v>2.4287890267788983</v>
      </c>
      <c r="AC26" s="272">
        <v>0</v>
      </c>
      <c r="AD26" s="198">
        <v>0</v>
      </c>
      <c r="AE26" s="198">
        <v>2.4287890267788983</v>
      </c>
      <c r="AF26" s="198">
        <v>0</v>
      </c>
      <c r="AG26" s="198">
        <v>0</v>
      </c>
      <c r="AH26" s="198">
        <v>0</v>
      </c>
      <c r="AI26" s="198">
        <v>0</v>
      </c>
      <c r="AJ26" s="198">
        <v>0</v>
      </c>
      <c r="AK26" s="198">
        <v>0</v>
      </c>
      <c r="AL26" s="198">
        <v>0</v>
      </c>
      <c r="AM26" s="198">
        <v>2.2705736470063156E-2</v>
      </c>
      <c r="AN26" s="198">
        <v>5.802577097905038E-3</v>
      </c>
      <c r="AO26" s="198">
        <v>0</v>
      </c>
      <c r="AP26" s="198">
        <v>8.2963254883523482E-4</v>
      </c>
      <c r="AQ26" s="198">
        <v>1.0372319338597285E-3</v>
      </c>
      <c r="AS26" s="258">
        <f t="shared" si="0"/>
        <v>51855.390613116499</v>
      </c>
      <c r="AT26" s="3">
        <f t="shared" si="1"/>
        <v>4.253179742963586</v>
      </c>
      <c r="AU26" s="3">
        <f t="shared" si="2"/>
        <v>1.6417028876734125</v>
      </c>
      <c r="AV26" s="3">
        <f t="shared" si="3"/>
        <v>0</v>
      </c>
      <c r="AW26" s="3">
        <f t="shared" si="4"/>
        <v>0</v>
      </c>
      <c r="AX26" s="3">
        <f t="shared" si="5"/>
        <v>1.6417028876734125</v>
      </c>
      <c r="AY26" s="102">
        <f t="shared" si="6"/>
        <v>1</v>
      </c>
      <c r="AZ26" s="102">
        <f t="shared" si="7"/>
        <v>0</v>
      </c>
    </row>
    <row r="27" spans="1:52" x14ac:dyDescent="0.35">
      <c r="A27" t="s">
        <v>1017</v>
      </c>
      <c r="B27">
        <v>2050</v>
      </c>
      <c r="C27" t="s">
        <v>837</v>
      </c>
      <c r="D27" t="s">
        <v>652</v>
      </c>
      <c r="E27" t="s">
        <v>1064</v>
      </c>
      <c r="F27" t="s">
        <v>983</v>
      </c>
      <c r="G27" t="s">
        <v>978</v>
      </c>
      <c r="H27" s="198">
        <v>15191.595428099999</v>
      </c>
      <c r="I27" s="198">
        <v>14336</v>
      </c>
      <c r="J27" s="198">
        <v>0</v>
      </c>
      <c r="K27" s="198">
        <v>0</v>
      </c>
      <c r="L27" s="198">
        <v>120</v>
      </c>
      <c r="M27" s="198">
        <v>0</v>
      </c>
      <c r="N27" s="198">
        <v>0</v>
      </c>
      <c r="O27" s="198">
        <v>150</v>
      </c>
      <c r="P27" s="198">
        <v>0</v>
      </c>
      <c r="Q27" s="198">
        <v>0</v>
      </c>
      <c r="R27" s="198">
        <v>44</v>
      </c>
      <c r="S27" s="198">
        <v>5607</v>
      </c>
      <c r="T27" s="198">
        <v>506</v>
      </c>
      <c r="U27" s="198">
        <v>2000</v>
      </c>
      <c r="V27" s="198">
        <v>1920</v>
      </c>
      <c r="W27" s="198">
        <v>0</v>
      </c>
      <c r="X27" s="198">
        <v>0</v>
      </c>
      <c r="Y27" s="198">
        <v>186</v>
      </c>
      <c r="Z27" s="277">
        <v>40060.595428100001</v>
      </c>
      <c r="AA27" s="272">
        <v>18.85472759</v>
      </c>
      <c r="AB27" s="198">
        <v>7.1239526988042803</v>
      </c>
      <c r="AC27" s="272">
        <v>0</v>
      </c>
      <c r="AD27" s="198">
        <v>0</v>
      </c>
      <c r="AE27" s="198">
        <v>7.1239526988042803</v>
      </c>
      <c r="AF27" s="198">
        <v>533.26729128539762</v>
      </c>
      <c r="AG27" s="198">
        <v>0.23443370180830603</v>
      </c>
      <c r="AH27" s="198">
        <v>1.2387071961059294E-3</v>
      </c>
      <c r="AI27" s="198">
        <v>540.62855969460998</v>
      </c>
      <c r="AJ27" s="198">
        <v>0.22748209604756284</v>
      </c>
      <c r="AK27" s="198">
        <v>5.3084661298927882</v>
      </c>
      <c r="AL27" s="198">
        <v>0.24853720254752404</v>
      </c>
      <c r="AM27" s="198">
        <v>4.4673544398867601E-2</v>
      </c>
      <c r="AN27" s="198">
        <v>1.8368589135738744E-2</v>
      </c>
      <c r="AO27" s="198">
        <v>3.6779243787373388E-3</v>
      </c>
      <c r="AP27" s="198">
        <v>3.0521122051676386E-3</v>
      </c>
      <c r="AQ27" s="198">
        <v>2.8989657444203633E-3</v>
      </c>
      <c r="AS27" s="258">
        <f t="shared" si="0"/>
        <v>53741.288766796148</v>
      </c>
      <c r="AT27" s="3">
        <f t="shared" si="1"/>
        <v>12.475126894232055</v>
      </c>
      <c r="AU27" s="3">
        <f t="shared" si="2"/>
        <v>4.8153271397089785</v>
      </c>
      <c r="AV27" s="3">
        <f t="shared" si="3"/>
        <v>0</v>
      </c>
      <c r="AW27" s="3">
        <f t="shared" si="4"/>
        <v>0</v>
      </c>
      <c r="AX27" s="3">
        <f t="shared" si="5"/>
        <v>4.8153271397089785</v>
      </c>
      <c r="AY27" s="102">
        <f t="shared" si="6"/>
        <v>1</v>
      </c>
      <c r="AZ27" s="102">
        <f t="shared" si="7"/>
        <v>0</v>
      </c>
    </row>
    <row r="28" spans="1:52" x14ac:dyDescent="0.35">
      <c r="A28" t="s">
        <v>1020</v>
      </c>
      <c r="B28">
        <v>2050</v>
      </c>
      <c r="C28" t="s">
        <v>837</v>
      </c>
      <c r="D28" t="s">
        <v>652</v>
      </c>
      <c r="E28" t="s">
        <v>1064</v>
      </c>
      <c r="F28" t="s">
        <v>983</v>
      </c>
      <c r="G28" t="s">
        <v>978</v>
      </c>
      <c r="H28" s="198">
        <v>15191.595428099999</v>
      </c>
      <c r="I28" s="198">
        <v>12228</v>
      </c>
      <c r="J28" s="198">
        <v>0</v>
      </c>
      <c r="K28" s="198">
        <v>0</v>
      </c>
      <c r="L28" s="198">
        <v>150</v>
      </c>
      <c r="M28" s="198">
        <v>514.31834170000002</v>
      </c>
      <c r="N28" s="198">
        <v>28.89</v>
      </c>
      <c r="O28" s="198">
        <v>150</v>
      </c>
      <c r="P28" s="198">
        <v>623.50807199999997</v>
      </c>
      <c r="Q28" s="198">
        <v>0</v>
      </c>
      <c r="R28" s="198">
        <v>0</v>
      </c>
      <c r="S28" s="198">
        <v>4589</v>
      </c>
      <c r="T28" s="198">
        <v>392</v>
      </c>
      <c r="U28" s="198">
        <v>2000</v>
      </c>
      <c r="V28" s="198">
        <v>4720</v>
      </c>
      <c r="W28" s="198">
        <v>40.445999999999998</v>
      </c>
      <c r="X28" s="198">
        <v>1500</v>
      </c>
      <c r="Y28" s="198">
        <v>186</v>
      </c>
      <c r="Z28" s="277">
        <v>42313.757841800005</v>
      </c>
      <c r="AA28" s="272">
        <v>33.767206280000003</v>
      </c>
      <c r="AB28" s="198">
        <v>3.9778294474884222</v>
      </c>
      <c r="AC28" s="272">
        <v>0</v>
      </c>
      <c r="AD28" s="198">
        <v>0</v>
      </c>
      <c r="AE28" s="198">
        <v>3.9778294474884222</v>
      </c>
      <c r="AF28" s="198">
        <v>297.76255182231642</v>
      </c>
      <c r="AG28" s="198">
        <v>0.13090166680827642</v>
      </c>
      <c r="AH28" s="198">
        <v>6.9166180206572893E-4</v>
      </c>
      <c r="AI28" s="198">
        <v>301.87289217507396</v>
      </c>
      <c r="AJ28" s="198">
        <v>0.12702007139747931</v>
      </c>
      <c r="AK28" s="198">
        <v>2.9641090817498936</v>
      </c>
      <c r="AL28" s="198">
        <v>0.13877669390700384</v>
      </c>
      <c r="AM28" s="198">
        <v>2.4944542439666071E-2</v>
      </c>
      <c r="AN28" s="198">
        <v>1.0256541257667451E-2</v>
      </c>
      <c r="AO28" s="198">
        <v>2.0536570802656431E-3</v>
      </c>
      <c r="AP28" s="198">
        <v>1.7042198790556858E-3</v>
      </c>
      <c r="AQ28" s="198">
        <v>1.6187068882912482E-3</v>
      </c>
      <c r="AS28" s="258">
        <f t="shared" si="0"/>
        <v>56763.906144774701</v>
      </c>
      <c r="AT28" s="3">
        <f t="shared" si="1"/>
        <v>6.9657855995254137</v>
      </c>
      <c r="AU28" s="3">
        <f t="shared" si="2"/>
        <v>2.6887531270160689</v>
      </c>
      <c r="AV28" s="3">
        <f t="shared" si="3"/>
        <v>0</v>
      </c>
      <c r="AW28" s="3">
        <f t="shared" si="4"/>
        <v>0</v>
      </c>
      <c r="AX28" s="3">
        <f t="shared" si="5"/>
        <v>2.6887531270160689</v>
      </c>
      <c r="AY28" s="102">
        <f t="shared" si="6"/>
        <v>1</v>
      </c>
      <c r="AZ28" s="102">
        <f t="shared" si="7"/>
        <v>0</v>
      </c>
    </row>
    <row r="29" spans="1:52" x14ac:dyDescent="0.35">
      <c r="A29" t="s">
        <v>1021</v>
      </c>
      <c r="B29">
        <v>2050</v>
      </c>
      <c r="C29" t="s">
        <v>837</v>
      </c>
      <c r="D29" t="s">
        <v>652</v>
      </c>
      <c r="E29" t="s">
        <v>1064</v>
      </c>
      <c r="F29" t="s">
        <v>983</v>
      </c>
      <c r="G29" t="s">
        <v>978</v>
      </c>
      <c r="H29" s="198">
        <v>15191.595428099999</v>
      </c>
      <c r="I29" s="198">
        <v>11076</v>
      </c>
      <c r="J29" s="198">
        <v>0</v>
      </c>
      <c r="K29" s="198">
        <v>0</v>
      </c>
      <c r="L29" s="198">
        <v>0</v>
      </c>
      <c r="M29" s="198">
        <v>3006.3074999999999</v>
      </c>
      <c r="N29" s="198">
        <v>28.89</v>
      </c>
      <c r="O29" s="198">
        <v>0</v>
      </c>
      <c r="P29" s="198">
        <v>1703.2657575999999</v>
      </c>
      <c r="Q29" s="198">
        <v>0</v>
      </c>
      <c r="R29" s="198">
        <v>1343.5870557999999</v>
      </c>
      <c r="S29" s="198">
        <v>1500</v>
      </c>
      <c r="T29" s="198">
        <v>0</v>
      </c>
      <c r="U29" s="198">
        <v>2000</v>
      </c>
      <c r="V29" s="198">
        <v>4720</v>
      </c>
      <c r="W29" s="198">
        <v>40.445999999999998</v>
      </c>
      <c r="X29" s="198">
        <v>1500</v>
      </c>
      <c r="Y29" s="198">
        <v>186</v>
      </c>
      <c r="Z29" s="277">
        <v>42296.0917415</v>
      </c>
      <c r="AA29" s="272">
        <v>194.80799680000004</v>
      </c>
      <c r="AB29" s="198">
        <v>0.68950037835407785</v>
      </c>
      <c r="AC29" s="272">
        <v>293.60000000000002</v>
      </c>
      <c r="AD29" s="198">
        <v>1.0569600000000001</v>
      </c>
      <c r="AE29" s="198">
        <v>1.746460378354078</v>
      </c>
      <c r="AF29" s="198">
        <v>51.612919772312701</v>
      </c>
      <c r="AG29" s="198">
        <v>2.2689949376405165E-2</v>
      </c>
      <c r="AH29" s="198">
        <v>1.1988977418790438E-4</v>
      </c>
      <c r="AI29" s="198">
        <v>52.325389038731295</v>
      </c>
      <c r="AJ29" s="198">
        <v>2.2017129804904455E-2</v>
      </c>
      <c r="AK29" s="198">
        <v>0.51378631495619409</v>
      </c>
      <c r="AL29" s="198">
        <v>2.4054973753593972E-2</v>
      </c>
      <c r="AM29" s="198">
        <v>1.9950285339446653E-2</v>
      </c>
      <c r="AN29" s="198">
        <v>5.7712655960627792E-3</v>
      </c>
      <c r="AO29" s="198">
        <v>3.5597235943505423E-4</v>
      </c>
      <c r="AP29" s="198">
        <v>8.6637063563112888E-4</v>
      </c>
      <c r="AQ29" s="198">
        <v>9.9442185651857774E-4</v>
      </c>
      <c r="AS29" s="258">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102">
        <f t="shared" si="6"/>
        <v>0.41507619620116787</v>
      </c>
      <c r="AZ29" s="102">
        <f t="shared" si="7"/>
        <v>0.58492380379883224</v>
      </c>
    </row>
    <row r="30" spans="1:52" x14ac:dyDescent="0.35">
      <c r="A30" t="s">
        <v>246</v>
      </c>
      <c r="B30">
        <v>2050</v>
      </c>
      <c r="C30" t="s">
        <v>837</v>
      </c>
      <c r="D30" t="s">
        <v>652</v>
      </c>
      <c r="E30" t="s">
        <v>1064</v>
      </c>
      <c r="F30" t="s">
        <v>977</v>
      </c>
      <c r="G30" t="s">
        <v>978</v>
      </c>
      <c r="H30" s="198">
        <v>15191.595428099999</v>
      </c>
      <c r="I30" s="198">
        <v>0</v>
      </c>
      <c r="J30" s="198">
        <v>0</v>
      </c>
      <c r="K30" s="198">
        <v>0</v>
      </c>
      <c r="L30" s="198">
        <v>0</v>
      </c>
      <c r="M30" s="198">
        <v>6360.165</v>
      </c>
      <c r="N30" s="198">
        <v>28.89</v>
      </c>
      <c r="O30" s="198">
        <v>0</v>
      </c>
      <c r="P30" s="198">
        <v>1762.9681552999998</v>
      </c>
      <c r="Q30" s="198">
        <v>0</v>
      </c>
      <c r="R30" s="198">
        <v>0</v>
      </c>
      <c r="S30" s="198">
        <v>1500</v>
      </c>
      <c r="T30" s="198">
        <v>0</v>
      </c>
      <c r="U30" s="198">
        <v>2000</v>
      </c>
      <c r="V30" s="198">
        <v>4500</v>
      </c>
      <c r="W30" s="198">
        <v>40.445999999999998</v>
      </c>
      <c r="X30" s="198">
        <v>1500</v>
      </c>
      <c r="Y30" s="198">
        <v>186</v>
      </c>
      <c r="Z30" s="277">
        <v>33070.064583400002</v>
      </c>
      <c r="AA30" s="272">
        <v>0</v>
      </c>
      <c r="AB30" s="198">
        <v>0</v>
      </c>
      <c r="AC30" s="272">
        <v>339</v>
      </c>
      <c r="AD30" s="198">
        <v>1.2203999999999999</v>
      </c>
      <c r="AE30" s="198">
        <v>1.2203999999999999</v>
      </c>
      <c r="AF30" s="198">
        <v>0</v>
      </c>
      <c r="AG30" s="198">
        <v>0</v>
      </c>
      <c r="AH30" s="198">
        <v>0</v>
      </c>
      <c r="AI30" s="198">
        <v>0</v>
      </c>
      <c r="AJ30" s="198">
        <v>0</v>
      </c>
      <c r="AK30" s="198">
        <v>0</v>
      </c>
      <c r="AL30" s="198">
        <v>0</v>
      </c>
      <c r="AM30" s="198">
        <v>1.8042862002256459E-2</v>
      </c>
      <c r="AN30" s="198">
        <v>4.6109536227988612E-3</v>
      </c>
      <c r="AO30" s="198">
        <v>0</v>
      </c>
      <c r="AP30" s="198">
        <v>6.5925831610661237E-4</v>
      </c>
      <c r="AQ30" s="198">
        <v>8.2422486809178056E-4</v>
      </c>
      <c r="AS30" s="258">
        <f t="shared" si="0"/>
        <v>44363.491638631102</v>
      </c>
      <c r="AT30" s="3">
        <f t="shared" si="1"/>
        <v>0</v>
      </c>
      <c r="AU30" s="3">
        <f t="shared" si="2"/>
        <v>0</v>
      </c>
      <c r="AV30" s="3">
        <f t="shared" si="3"/>
        <v>21.064535772428449</v>
      </c>
      <c r="AW30" s="3">
        <f t="shared" si="4"/>
        <v>0.7583232878074242</v>
      </c>
      <c r="AX30" s="3">
        <f t="shared" si="5"/>
        <v>0.7583232878074242</v>
      </c>
      <c r="AY30" s="102">
        <f t="shared" si="6"/>
        <v>0</v>
      </c>
      <c r="AZ30" s="102">
        <f t="shared" si="7"/>
        <v>1</v>
      </c>
    </row>
    <row r="31" spans="1:52" x14ac:dyDescent="0.35">
      <c r="A31" t="s">
        <v>627</v>
      </c>
      <c r="B31">
        <v>2050</v>
      </c>
      <c r="C31" t="s">
        <v>837</v>
      </c>
      <c r="D31" t="s">
        <v>652</v>
      </c>
      <c r="E31" t="s">
        <v>1064</v>
      </c>
      <c r="F31" t="s">
        <v>989</v>
      </c>
      <c r="G31" t="s">
        <v>978</v>
      </c>
      <c r="H31" s="198">
        <v>15191.595428099999</v>
      </c>
      <c r="I31" s="198">
        <v>0</v>
      </c>
      <c r="J31" s="198">
        <v>9872.6216720000011</v>
      </c>
      <c r="K31" s="198">
        <v>4050.0746550000003</v>
      </c>
      <c r="L31" s="198">
        <v>0</v>
      </c>
      <c r="M31" s="198">
        <v>1341.26155773</v>
      </c>
      <c r="N31" s="198">
        <v>28.89</v>
      </c>
      <c r="O31" s="198">
        <v>0</v>
      </c>
      <c r="P31" s="198">
        <v>1762.9681552999998</v>
      </c>
      <c r="Q31" s="198">
        <v>0</v>
      </c>
      <c r="R31" s="198">
        <v>0</v>
      </c>
      <c r="S31" s="198">
        <v>1500</v>
      </c>
      <c r="T31" s="198">
        <v>0</v>
      </c>
      <c r="U31" s="198">
        <v>2000</v>
      </c>
      <c r="V31" s="198">
        <v>4500</v>
      </c>
      <c r="W31" s="198">
        <v>40.445999999999998</v>
      </c>
      <c r="X31" s="198">
        <v>1500</v>
      </c>
      <c r="Y31" s="198">
        <v>186</v>
      </c>
      <c r="Z31" s="277">
        <v>41973.857468130002</v>
      </c>
      <c r="AA31" s="272">
        <v>58.348797450000006</v>
      </c>
      <c r="AB31" s="198">
        <v>2.3020215217820224</v>
      </c>
      <c r="AC31" s="272">
        <v>0</v>
      </c>
      <c r="AD31" s="198">
        <v>0</v>
      </c>
      <c r="AE31" s="198">
        <v>2.3020215217820224</v>
      </c>
      <c r="AF31" s="198">
        <v>0</v>
      </c>
      <c r="AG31" s="198">
        <v>0</v>
      </c>
      <c r="AH31" s="198">
        <v>0</v>
      </c>
      <c r="AI31" s="198">
        <v>0</v>
      </c>
      <c r="AJ31" s="198">
        <v>0</v>
      </c>
      <c r="AK31" s="198">
        <v>0</v>
      </c>
      <c r="AL31" s="198">
        <v>0</v>
      </c>
      <c r="AM31" s="198">
        <v>2.1520639893254343E-2</v>
      </c>
      <c r="AN31" s="198">
        <v>5.4997190838316744E-3</v>
      </c>
      <c r="AO31" s="198">
        <v>0</v>
      </c>
      <c r="AP31" s="198">
        <v>7.8633094992298989E-4</v>
      </c>
      <c r="AQ31" s="198">
        <v>9.8309495328679532E-4</v>
      </c>
      <c r="AS31" s="258">
        <f t="shared" si="0"/>
        <v>56307.929793496391</v>
      </c>
      <c r="AT31" s="3">
        <f t="shared" si="1"/>
        <v>4.0311905218438762</v>
      </c>
      <c r="AU31" s="3">
        <f t="shared" si="2"/>
        <v>1.5560163267074609</v>
      </c>
      <c r="AV31" s="3">
        <f t="shared" si="3"/>
        <v>0</v>
      </c>
      <c r="AW31" s="3">
        <f t="shared" si="4"/>
        <v>0</v>
      </c>
      <c r="AX31" s="3">
        <f t="shared" si="5"/>
        <v>1.5560163267074609</v>
      </c>
      <c r="AY31" s="102">
        <f t="shared" si="6"/>
        <v>1</v>
      </c>
      <c r="AZ31" s="102">
        <f t="shared" si="7"/>
        <v>0</v>
      </c>
    </row>
    <row r="32" spans="1:52" x14ac:dyDescent="0.35">
      <c r="A32" t="s">
        <v>1065</v>
      </c>
      <c r="B32">
        <v>2050</v>
      </c>
      <c r="C32" t="s">
        <v>837</v>
      </c>
      <c r="D32" t="s">
        <v>652</v>
      </c>
      <c r="E32" t="s">
        <v>1064</v>
      </c>
      <c r="F32" t="s">
        <v>989</v>
      </c>
      <c r="G32" t="s">
        <v>978</v>
      </c>
      <c r="H32" s="198">
        <v>15191.595428099999</v>
      </c>
      <c r="I32" s="198">
        <v>0</v>
      </c>
      <c r="J32" s="198">
        <v>4613.6438319999997</v>
      </c>
      <c r="K32" s="198">
        <v>4132.3350419999997</v>
      </c>
      <c r="L32" s="198">
        <v>0</v>
      </c>
      <c r="M32" s="198">
        <v>469.1925</v>
      </c>
      <c r="N32" s="198">
        <v>28.89</v>
      </c>
      <c r="O32" s="198">
        <v>0</v>
      </c>
      <c r="P32" s="198">
        <v>1679.6485398</v>
      </c>
      <c r="Q32" s="198">
        <v>0</v>
      </c>
      <c r="R32" s="198">
        <v>0</v>
      </c>
      <c r="S32" s="198">
        <v>1500</v>
      </c>
      <c r="T32" s="198">
        <v>0</v>
      </c>
      <c r="U32" s="198">
        <v>2000</v>
      </c>
      <c r="V32" s="198">
        <v>4500</v>
      </c>
      <c r="W32" s="198">
        <v>40.445999999999998</v>
      </c>
      <c r="X32" s="198">
        <v>1500</v>
      </c>
      <c r="Y32" s="198">
        <v>186</v>
      </c>
      <c r="Z32" s="277">
        <v>35841.751341900002</v>
      </c>
      <c r="AA32" s="272">
        <v>61.945100970000006</v>
      </c>
      <c r="AB32" s="198">
        <v>2.1683746639633572</v>
      </c>
      <c r="AC32" s="272">
        <v>0</v>
      </c>
      <c r="AD32" s="198">
        <v>0</v>
      </c>
      <c r="AE32" s="198">
        <v>2.1683746639633572</v>
      </c>
      <c r="AF32" s="198">
        <v>0</v>
      </c>
      <c r="AG32" s="198">
        <v>0</v>
      </c>
      <c r="AH32" s="198">
        <v>0</v>
      </c>
      <c r="AI32" s="198">
        <v>0</v>
      </c>
      <c r="AJ32" s="198">
        <v>0</v>
      </c>
      <c r="AK32" s="198">
        <v>0</v>
      </c>
      <c r="AL32" s="198">
        <v>0</v>
      </c>
      <c r="AM32" s="198">
        <v>2.0271231113724784E-2</v>
      </c>
      <c r="AN32" s="198">
        <v>5.1804257290630085E-3</v>
      </c>
      <c r="AO32" s="198">
        <v>0</v>
      </c>
      <c r="AP32" s="198">
        <v>7.4067948243305016E-4</v>
      </c>
      <c r="AQ32" s="198">
        <v>9.2602009529743178E-4</v>
      </c>
      <c r="AS32" s="258">
        <f t="shared" si="0"/>
        <v>48081.70942515885</v>
      </c>
      <c r="AT32" s="3">
        <f t="shared" si="1"/>
        <v>3.7971545054925775</v>
      </c>
      <c r="AU32" s="3">
        <f t="shared" si="2"/>
        <v>1.4656797721569146</v>
      </c>
      <c r="AV32" s="3">
        <f t="shared" si="3"/>
        <v>0</v>
      </c>
      <c r="AW32" s="3">
        <f t="shared" si="4"/>
        <v>0</v>
      </c>
      <c r="AX32" s="3">
        <f t="shared" si="5"/>
        <v>1.4656797721569146</v>
      </c>
      <c r="AY32" s="102">
        <f t="shared" si="6"/>
        <v>1</v>
      </c>
      <c r="AZ32" s="102">
        <f t="shared" si="7"/>
        <v>0</v>
      </c>
    </row>
    <row r="33" spans="1:52" x14ac:dyDescent="0.35">
      <c r="A33" t="s">
        <v>1017</v>
      </c>
      <c r="B33">
        <v>2021</v>
      </c>
      <c r="C33" t="s">
        <v>837</v>
      </c>
      <c r="D33" t="s">
        <v>1018</v>
      </c>
      <c r="E33" t="s">
        <v>1019</v>
      </c>
      <c r="F33" t="s">
        <v>983</v>
      </c>
      <c r="G33" t="s">
        <v>978</v>
      </c>
      <c r="H33" s="198">
        <v>16000</v>
      </c>
      <c r="I33" s="198">
        <v>13811</v>
      </c>
      <c r="J33" s="198">
        <v>0</v>
      </c>
      <c r="K33" s="198">
        <v>0</v>
      </c>
      <c r="L33" s="198">
        <v>120</v>
      </c>
      <c r="M33" s="198">
        <v>0</v>
      </c>
      <c r="N33" s="198">
        <v>0</v>
      </c>
      <c r="O33" s="198">
        <v>150</v>
      </c>
      <c r="P33" s="198">
        <v>0</v>
      </c>
      <c r="Q33" s="198">
        <v>0</v>
      </c>
      <c r="R33" s="198">
        <v>104.8</v>
      </c>
      <c r="S33" s="198">
        <v>5789</v>
      </c>
      <c r="T33" s="198">
        <v>506</v>
      </c>
      <c r="U33" s="198">
        <v>2000</v>
      </c>
      <c r="V33" s="198">
        <v>1920</v>
      </c>
      <c r="W33" s="198">
        <v>0</v>
      </c>
      <c r="X33" s="198">
        <v>0</v>
      </c>
      <c r="Y33" s="198">
        <v>186</v>
      </c>
      <c r="Z33" s="277">
        <v>40586.800000000003</v>
      </c>
      <c r="AA33" s="272">
        <v>11.822638299999999</v>
      </c>
      <c r="AB33" s="198">
        <v>11.361270140523542</v>
      </c>
      <c r="AC33" s="272">
        <v>0</v>
      </c>
      <c r="AD33" s="198">
        <v>0</v>
      </c>
      <c r="AE33" s="198">
        <v>11.361270140523542</v>
      </c>
      <c r="AF33" s="198">
        <v>850.45395576750002</v>
      </c>
      <c r="AG33" s="198">
        <v>0.37387455095457839</v>
      </c>
      <c r="AH33" s="198">
        <v>1.9754885630181213E-3</v>
      </c>
      <c r="AI33" s="198">
        <v>862.19369668239983</v>
      </c>
      <c r="AJ33" s="198">
        <v>0.36278813947805649</v>
      </c>
      <c r="AK33" s="198">
        <v>8.4659346129086988</v>
      </c>
      <c r="AL33" s="198">
        <v>0.39636679488149607</v>
      </c>
      <c r="AM33" s="198">
        <v>7.1245308259191079E-2</v>
      </c>
      <c r="AN33" s="198">
        <v>2.929420114011164E-2</v>
      </c>
      <c r="AO33" s="198">
        <v>5.8655488308149047E-3</v>
      </c>
      <c r="AP33" s="198">
        <v>4.8675044217964449E-3</v>
      </c>
      <c r="AQ33" s="198">
        <v>4.6232666530775538E-3</v>
      </c>
      <c r="AS33" s="258">
        <f t="shared" si="0"/>
        <v>54447.192199999998</v>
      </c>
      <c r="AT33" s="3">
        <f t="shared" si="1"/>
        <v>19.895315518654424</v>
      </c>
      <c r="AU33" s="3">
        <f t="shared" si="2"/>
        <v>7.6794772175299206</v>
      </c>
      <c r="AV33" s="3">
        <f t="shared" si="3"/>
        <v>0</v>
      </c>
      <c r="AW33" s="3">
        <f t="shared" si="4"/>
        <v>0</v>
      </c>
      <c r="AX33" s="3">
        <f t="shared" si="5"/>
        <v>7.6794772175299206</v>
      </c>
      <c r="AY33" s="102">
        <f t="shared" si="6"/>
        <v>1</v>
      </c>
      <c r="AZ33" s="102">
        <f t="shared" si="7"/>
        <v>0</v>
      </c>
    </row>
    <row r="34" spans="1:52" x14ac:dyDescent="0.35">
      <c r="A34" t="s">
        <v>1020</v>
      </c>
      <c r="B34">
        <v>2021</v>
      </c>
      <c r="C34" t="s">
        <v>837</v>
      </c>
      <c r="D34" t="s">
        <v>1018</v>
      </c>
      <c r="E34" t="s">
        <v>1019</v>
      </c>
      <c r="F34" t="s">
        <v>983</v>
      </c>
      <c r="G34" t="s">
        <v>978</v>
      </c>
      <c r="H34" s="198">
        <v>16000</v>
      </c>
      <c r="I34" s="198">
        <v>13699</v>
      </c>
      <c r="J34" s="198">
        <v>0</v>
      </c>
      <c r="K34" s="198">
        <v>0</v>
      </c>
      <c r="L34" s="198">
        <v>150</v>
      </c>
      <c r="M34" s="198">
        <v>688.1306532000001</v>
      </c>
      <c r="N34" s="198">
        <v>75</v>
      </c>
      <c r="O34" s="198">
        <v>150</v>
      </c>
      <c r="P34" s="198">
        <v>1676.7426438</v>
      </c>
      <c r="Q34" s="198">
        <v>0</v>
      </c>
      <c r="R34" s="198">
        <v>0</v>
      </c>
      <c r="S34" s="198">
        <v>5735</v>
      </c>
      <c r="T34" s="198">
        <v>392</v>
      </c>
      <c r="U34" s="198">
        <v>2000</v>
      </c>
      <c r="V34" s="198">
        <v>4720</v>
      </c>
      <c r="W34" s="198">
        <v>225</v>
      </c>
      <c r="X34" s="198">
        <v>1500</v>
      </c>
      <c r="Y34" s="198">
        <v>186</v>
      </c>
      <c r="Z34" s="277">
        <v>47196.873296999998</v>
      </c>
      <c r="AA34" s="272">
        <v>15.761154570000002</v>
      </c>
      <c r="AB34" s="198">
        <v>8.5222302023271119</v>
      </c>
      <c r="AC34" s="272">
        <v>0</v>
      </c>
      <c r="AD34" s="198">
        <v>0</v>
      </c>
      <c r="AE34" s="198">
        <v>8.5222302023271119</v>
      </c>
      <c r="AF34" s="198">
        <v>637.93610202779382</v>
      </c>
      <c r="AG34" s="198">
        <v>0.28044795613668672</v>
      </c>
      <c r="AH34" s="198">
        <v>1.4818385697964764E-3</v>
      </c>
      <c r="AI34" s="198">
        <v>646.74222787067822</v>
      </c>
      <c r="AJ34" s="198">
        <v>0.27213190084075239</v>
      </c>
      <c r="AK34" s="198">
        <v>6.3504029705020555</v>
      </c>
      <c r="AL34" s="198">
        <v>0.29731966837847074</v>
      </c>
      <c r="AM34" s="198">
        <v>5.3441992867938652E-2</v>
      </c>
      <c r="AN34" s="198">
        <v>2.197394504500361E-2</v>
      </c>
      <c r="AO34" s="198">
        <v>4.3998212154905915E-3</v>
      </c>
      <c r="AP34" s="198">
        <v>3.6511756766909238E-3</v>
      </c>
      <c r="AQ34" s="198">
        <v>3.4679698851394166E-3</v>
      </c>
      <c r="AS34" s="258">
        <f t="shared" si="0"/>
        <v>63314.605527925494</v>
      </c>
      <c r="AT34" s="3">
        <f t="shared" si="1"/>
        <v>14.923723905933885</v>
      </c>
      <c r="AU34" s="3">
        <f t="shared" si="2"/>
        <v>5.7604714853035439</v>
      </c>
      <c r="AV34" s="3">
        <f t="shared" si="3"/>
        <v>0</v>
      </c>
      <c r="AW34" s="3">
        <f t="shared" si="4"/>
        <v>0</v>
      </c>
      <c r="AX34" s="3">
        <f t="shared" si="5"/>
        <v>5.7604714853035439</v>
      </c>
      <c r="AY34" s="102">
        <f t="shared" si="6"/>
        <v>1</v>
      </c>
      <c r="AZ34" s="102">
        <f t="shared" si="7"/>
        <v>0</v>
      </c>
    </row>
    <row r="35" spans="1:52" x14ac:dyDescent="0.35">
      <c r="A35" t="s">
        <v>1021</v>
      </c>
      <c r="B35">
        <v>2021</v>
      </c>
      <c r="C35" t="s">
        <v>837</v>
      </c>
      <c r="D35" t="s">
        <v>1018</v>
      </c>
      <c r="E35" t="s">
        <v>1019</v>
      </c>
      <c r="F35" t="s">
        <v>983</v>
      </c>
      <c r="G35" t="s">
        <v>978</v>
      </c>
      <c r="H35" s="198">
        <v>16000</v>
      </c>
      <c r="I35" s="198">
        <v>11209</v>
      </c>
      <c r="J35" s="198">
        <v>0</v>
      </c>
      <c r="K35" s="198">
        <v>0</v>
      </c>
      <c r="L35" s="198">
        <v>0</v>
      </c>
      <c r="M35" s="198">
        <v>10913.070000000002</v>
      </c>
      <c r="N35" s="198">
        <v>75</v>
      </c>
      <c r="O35" s="198">
        <v>0</v>
      </c>
      <c r="P35" s="198">
        <v>6174.0979245000008</v>
      </c>
      <c r="Q35" s="198">
        <v>0</v>
      </c>
      <c r="R35" s="198">
        <v>4100.3771328000003</v>
      </c>
      <c r="S35" s="198">
        <v>1500</v>
      </c>
      <c r="T35" s="198">
        <v>0</v>
      </c>
      <c r="U35" s="198">
        <v>2000</v>
      </c>
      <c r="V35" s="198">
        <v>4720</v>
      </c>
      <c r="W35" s="198">
        <v>225</v>
      </c>
      <c r="X35" s="198">
        <v>1500</v>
      </c>
      <c r="Y35" s="198">
        <v>186</v>
      </c>
      <c r="Z35" s="277">
        <v>58602.545057299998</v>
      </c>
      <c r="AA35" s="272">
        <v>93.812502900000027</v>
      </c>
      <c r="AB35" s="198">
        <v>1.4317940929811817</v>
      </c>
      <c r="AC35" s="272">
        <v>540.80000000000007</v>
      </c>
      <c r="AD35" s="198">
        <v>1.9468800000000002</v>
      </c>
      <c r="AE35" s="198">
        <v>3.378674092981182</v>
      </c>
      <c r="AF35" s="198">
        <v>107.17771298097782</v>
      </c>
      <c r="AG35" s="198">
        <v>4.7117211979970521E-2</v>
      </c>
      <c r="AH35" s="198">
        <v>2.4895921145229349E-4</v>
      </c>
      <c r="AI35" s="198">
        <v>108.65720352095968</v>
      </c>
      <c r="AJ35" s="198">
        <v>4.5720056708763189E-2</v>
      </c>
      <c r="AK35" s="198">
        <v>1.0669119755451066</v>
      </c>
      <c r="AL35" s="198">
        <v>4.9951777270129928E-2</v>
      </c>
      <c r="AM35" s="198">
        <v>3.7762048564799859E-2</v>
      </c>
      <c r="AN35" s="198">
        <v>1.1047539158574768E-2</v>
      </c>
      <c r="AO35" s="198">
        <v>7.3920064078913396E-4</v>
      </c>
      <c r="AP35" s="198">
        <v>1.6651247326340307E-3</v>
      </c>
      <c r="AQ35" s="198">
        <v>1.8975127622806363E-3</v>
      </c>
      <c r="AS35" s="258">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102">
        <f t="shared" si="6"/>
        <v>0.44444670236391681</v>
      </c>
      <c r="AZ35" s="102">
        <f t="shared" si="7"/>
        <v>0.5555532976360833</v>
      </c>
    </row>
    <row r="36" spans="1:52" x14ac:dyDescent="0.35">
      <c r="A36" t="s">
        <v>246</v>
      </c>
      <c r="B36">
        <v>2021</v>
      </c>
      <c r="C36" t="s">
        <v>837</v>
      </c>
      <c r="D36" t="s">
        <v>1018</v>
      </c>
      <c r="E36" t="s">
        <v>1019</v>
      </c>
      <c r="F36" t="s">
        <v>977</v>
      </c>
      <c r="G36" t="s">
        <v>978</v>
      </c>
      <c r="H36" s="198">
        <v>16000</v>
      </c>
      <c r="I36" s="198">
        <v>0</v>
      </c>
      <c r="J36" s="198">
        <v>0</v>
      </c>
      <c r="K36" s="198">
        <v>0</v>
      </c>
      <c r="L36" s="198">
        <v>0</v>
      </c>
      <c r="M36" s="198">
        <v>22868.79</v>
      </c>
      <c r="N36" s="198">
        <v>75</v>
      </c>
      <c r="O36" s="198">
        <v>0</v>
      </c>
      <c r="P36" s="198">
        <v>6157.3432715999998</v>
      </c>
      <c r="Q36" s="198">
        <v>0</v>
      </c>
      <c r="R36" s="198">
        <v>0</v>
      </c>
      <c r="S36" s="198">
        <v>1500</v>
      </c>
      <c r="T36" s="198">
        <v>0</v>
      </c>
      <c r="U36" s="198">
        <v>2000</v>
      </c>
      <c r="V36" s="198">
        <v>4500</v>
      </c>
      <c r="W36" s="198">
        <v>225</v>
      </c>
      <c r="X36" s="198">
        <v>1500</v>
      </c>
      <c r="Y36" s="198">
        <v>186</v>
      </c>
      <c r="Z36" s="277">
        <v>55012.133271600003</v>
      </c>
      <c r="AA36" s="272">
        <v>0</v>
      </c>
      <c r="AB36" s="198">
        <v>0</v>
      </c>
      <c r="AC36" s="272">
        <v>655</v>
      </c>
      <c r="AD36" s="198">
        <v>2.3580000000000001</v>
      </c>
      <c r="AE36" s="198">
        <v>2.3580000000000001</v>
      </c>
      <c r="AF36" s="198">
        <v>0</v>
      </c>
      <c r="AG36" s="198">
        <v>0</v>
      </c>
      <c r="AH36" s="198">
        <v>0</v>
      </c>
      <c r="AI36" s="198">
        <v>0</v>
      </c>
      <c r="AJ36" s="198">
        <v>0</v>
      </c>
      <c r="AK36" s="198">
        <v>0</v>
      </c>
      <c r="AL36" s="198">
        <v>0</v>
      </c>
      <c r="AM36" s="198">
        <v>3.4861577025008798E-2</v>
      </c>
      <c r="AN36" s="198">
        <v>8.909069684168892E-3</v>
      </c>
      <c r="AO36" s="198">
        <v>0</v>
      </c>
      <c r="AP36" s="198">
        <v>1.2737881918874075E-3</v>
      </c>
      <c r="AQ36" s="198">
        <v>1.5925288749265968E-3</v>
      </c>
      <c r="AS36" s="258">
        <f t="shared" si="0"/>
        <v>73798.776783851397</v>
      </c>
      <c r="AT36" s="3">
        <f t="shared" si="1"/>
        <v>0</v>
      </c>
      <c r="AU36" s="3">
        <f t="shared" si="2"/>
        <v>0</v>
      </c>
      <c r="AV36" s="3">
        <f t="shared" si="3"/>
        <v>40.699914250562344</v>
      </c>
      <c r="AW36" s="3">
        <f t="shared" si="4"/>
        <v>1.4651969130202445</v>
      </c>
      <c r="AX36" s="3">
        <f t="shared" si="5"/>
        <v>1.4651969130202445</v>
      </c>
      <c r="AY36" s="102">
        <f t="shared" si="6"/>
        <v>0</v>
      </c>
      <c r="AZ36" s="102">
        <f t="shared" si="7"/>
        <v>1</v>
      </c>
    </row>
    <row r="37" spans="1:52" x14ac:dyDescent="0.35">
      <c r="A37" t="s">
        <v>627</v>
      </c>
      <c r="B37">
        <v>2021</v>
      </c>
      <c r="C37" t="s">
        <v>837</v>
      </c>
      <c r="D37" t="s">
        <v>1018</v>
      </c>
      <c r="E37" t="s">
        <v>1019</v>
      </c>
      <c r="F37" t="s">
        <v>989</v>
      </c>
      <c r="G37" t="s">
        <v>978</v>
      </c>
      <c r="H37" s="198">
        <v>16000</v>
      </c>
      <c r="I37" s="198">
        <v>0</v>
      </c>
      <c r="J37" s="198">
        <v>28446.9259122</v>
      </c>
      <c r="K37" s="198">
        <v>6161.6224999999995</v>
      </c>
      <c r="L37" s="198">
        <v>0</v>
      </c>
      <c r="M37" s="198">
        <v>1993.2060302</v>
      </c>
      <c r="N37" s="198">
        <v>75</v>
      </c>
      <c r="O37" s="198">
        <v>0</v>
      </c>
      <c r="P37" s="198">
        <v>6157.3432715999998</v>
      </c>
      <c r="Q37" s="198">
        <v>0</v>
      </c>
      <c r="R37" s="198">
        <v>0</v>
      </c>
      <c r="S37" s="198">
        <v>1500</v>
      </c>
      <c r="T37" s="198">
        <v>0</v>
      </c>
      <c r="U37" s="198">
        <v>2000</v>
      </c>
      <c r="V37" s="198">
        <v>4500</v>
      </c>
      <c r="W37" s="198">
        <v>225</v>
      </c>
      <c r="X37" s="198">
        <v>1500</v>
      </c>
      <c r="Y37" s="198">
        <v>186</v>
      </c>
      <c r="Z37" s="277">
        <v>68745.097714000003</v>
      </c>
      <c r="AA37" s="272">
        <v>31.517111159999999</v>
      </c>
      <c r="AB37" s="198">
        <v>4.2618178683353669</v>
      </c>
      <c r="AC37" s="272">
        <v>0</v>
      </c>
      <c r="AD37" s="198">
        <v>0</v>
      </c>
      <c r="AE37" s="198">
        <v>4.2618178683353669</v>
      </c>
      <c r="AF37" s="198">
        <v>0</v>
      </c>
      <c r="AG37" s="198">
        <v>0</v>
      </c>
      <c r="AH37" s="198">
        <v>0</v>
      </c>
      <c r="AI37" s="198">
        <v>0</v>
      </c>
      <c r="AJ37" s="198">
        <v>0</v>
      </c>
      <c r="AK37" s="198">
        <v>0</v>
      </c>
      <c r="AL37" s="198">
        <v>0</v>
      </c>
      <c r="AM37" s="198">
        <v>3.9841959237671684E-2</v>
      </c>
      <c r="AN37" s="198">
        <v>1.0181834027405003E-2</v>
      </c>
      <c r="AO37" s="198">
        <v>0</v>
      </c>
      <c r="AP37" s="198">
        <v>1.4557636673234566E-3</v>
      </c>
      <c r="AQ37" s="198">
        <v>1.8200401684101697E-3</v>
      </c>
      <c r="AS37" s="258">
        <f t="shared" si="0"/>
        <v>92221.548583330994</v>
      </c>
      <c r="AT37" s="3">
        <f t="shared" si="1"/>
        <v>7.4630926053892859</v>
      </c>
      <c r="AU37" s="3">
        <f t="shared" si="2"/>
        <v>2.8807107673997452</v>
      </c>
      <c r="AV37" s="3">
        <f t="shared" si="3"/>
        <v>0</v>
      </c>
      <c r="AW37" s="3">
        <f t="shared" si="4"/>
        <v>0</v>
      </c>
      <c r="AX37" s="3">
        <f t="shared" si="5"/>
        <v>2.8807107673997452</v>
      </c>
      <c r="AY37" s="102">
        <f t="shared" si="6"/>
        <v>1</v>
      </c>
      <c r="AZ37" s="102">
        <f t="shared" si="7"/>
        <v>0</v>
      </c>
    </row>
    <row r="38" spans="1:52" x14ac:dyDescent="0.35">
      <c r="A38" t="s">
        <v>1065</v>
      </c>
      <c r="B38">
        <v>2021</v>
      </c>
      <c r="C38" t="s">
        <v>837</v>
      </c>
      <c r="D38" t="s">
        <v>1018</v>
      </c>
      <c r="E38" t="s">
        <v>1019</v>
      </c>
      <c r="F38" t="s">
        <v>989</v>
      </c>
      <c r="G38" t="s">
        <v>978</v>
      </c>
      <c r="H38" s="198">
        <v>16000</v>
      </c>
      <c r="I38" s="198">
        <v>0</v>
      </c>
      <c r="J38" s="198">
        <v>13903.7523354</v>
      </c>
      <c r="K38" s="198">
        <v>6357.8992999999991</v>
      </c>
      <c r="L38" s="198">
        <v>0</v>
      </c>
      <c r="M38" s="198">
        <v>1477.0875000000001</v>
      </c>
      <c r="N38" s="198">
        <v>75</v>
      </c>
      <c r="O38" s="198">
        <v>0</v>
      </c>
      <c r="P38" s="198">
        <v>6185.6613413999994</v>
      </c>
      <c r="Q38" s="198">
        <v>0</v>
      </c>
      <c r="R38" s="198">
        <v>0</v>
      </c>
      <c r="S38" s="198">
        <v>1500</v>
      </c>
      <c r="T38" s="198">
        <v>0</v>
      </c>
      <c r="U38" s="198">
        <v>2000</v>
      </c>
      <c r="V38" s="198">
        <v>4500</v>
      </c>
      <c r="W38" s="198">
        <v>225</v>
      </c>
      <c r="X38" s="198">
        <v>1500</v>
      </c>
      <c r="Y38" s="198">
        <v>186</v>
      </c>
      <c r="Z38" s="277">
        <v>53910.400476800001</v>
      </c>
      <c r="AA38" s="272">
        <v>32.603882069999997</v>
      </c>
      <c r="AB38" s="198">
        <v>4.1197605613839716</v>
      </c>
      <c r="AC38" s="272">
        <v>0</v>
      </c>
      <c r="AD38" s="198">
        <v>0</v>
      </c>
      <c r="AE38" s="198">
        <v>4.1197605613839716</v>
      </c>
      <c r="AF38" s="198">
        <v>0</v>
      </c>
      <c r="AG38" s="198">
        <v>0</v>
      </c>
      <c r="AH38" s="198">
        <v>0</v>
      </c>
      <c r="AI38" s="198">
        <v>0</v>
      </c>
      <c r="AJ38" s="198">
        <v>0</v>
      </c>
      <c r="AK38" s="198">
        <v>0</v>
      </c>
      <c r="AL38" s="198">
        <v>0</v>
      </c>
      <c r="AM38" s="198">
        <v>3.851392467405914E-2</v>
      </c>
      <c r="AN38" s="198">
        <v>9.8424474167040192E-3</v>
      </c>
      <c r="AO38" s="198">
        <v>0</v>
      </c>
      <c r="AP38" s="198">
        <v>1.4072393350956149E-3</v>
      </c>
      <c r="AQ38" s="198">
        <v>1.7593735672424618E-3</v>
      </c>
      <c r="AS38" s="258">
        <f t="shared" si="0"/>
        <v>72320.802239627199</v>
      </c>
      <c r="AT38" s="3">
        <f t="shared" si="1"/>
        <v>7.2143286108207958</v>
      </c>
      <c r="AU38" s="3">
        <f t="shared" si="2"/>
        <v>2.784689298072494</v>
      </c>
      <c r="AV38" s="3">
        <f t="shared" si="3"/>
        <v>0</v>
      </c>
      <c r="AW38" s="3">
        <f t="shared" si="4"/>
        <v>0</v>
      </c>
      <c r="AX38" s="3">
        <f t="shared" si="5"/>
        <v>2.784689298072494</v>
      </c>
      <c r="AY38" s="102">
        <f t="shared" si="6"/>
        <v>1</v>
      </c>
      <c r="AZ38" s="102">
        <f t="shared" si="7"/>
        <v>0</v>
      </c>
    </row>
    <row r="39" spans="1:52" x14ac:dyDescent="0.35">
      <c r="A39" t="s">
        <v>1017</v>
      </c>
      <c r="B39">
        <v>2025</v>
      </c>
      <c r="C39" t="s">
        <v>837</v>
      </c>
      <c r="D39" t="s">
        <v>1018</v>
      </c>
      <c r="E39" t="s">
        <v>1019</v>
      </c>
      <c r="F39" t="s">
        <v>983</v>
      </c>
      <c r="G39" t="s">
        <v>978</v>
      </c>
      <c r="H39" s="198">
        <v>16121.118364743999</v>
      </c>
      <c r="I39" s="198">
        <v>14020</v>
      </c>
      <c r="J39" s="198">
        <v>0</v>
      </c>
      <c r="K39" s="198">
        <v>0</v>
      </c>
      <c r="L39" s="198">
        <v>120</v>
      </c>
      <c r="M39" s="198">
        <v>0</v>
      </c>
      <c r="N39" s="198">
        <v>0</v>
      </c>
      <c r="O39" s="198">
        <v>150</v>
      </c>
      <c r="P39" s="198">
        <v>0</v>
      </c>
      <c r="Q39" s="198">
        <v>0</v>
      </c>
      <c r="R39" s="198">
        <v>92</v>
      </c>
      <c r="S39" s="198">
        <v>5705</v>
      </c>
      <c r="T39" s="198">
        <v>506</v>
      </c>
      <c r="U39" s="198">
        <v>2000</v>
      </c>
      <c r="V39" s="198">
        <v>1920</v>
      </c>
      <c r="W39" s="198">
        <v>0</v>
      </c>
      <c r="X39" s="198">
        <v>0</v>
      </c>
      <c r="Y39" s="198">
        <v>186</v>
      </c>
      <c r="Z39" s="277">
        <v>40820.118364743998</v>
      </c>
      <c r="AA39" s="272">
        <v>12.79396156</v>
      </c>
      <c r="AB39" s="198">
        <v>10.498717451203598</v>
      </c>
      <c r="AC39" s="272">
        <v>0</v>
      </c>
      <c r="AD39" s="198">
        <v>0</v>
      </c>
      <c r="AE39" s="198">
        <v>10.498717451203598</v>
      </c>
      <c r="AF39" s="198">
        <v>785.88711265780535</v>
      </c>
      <c r="AG39" s="198">
        <v>0.3454898285243011</v>
      </c>
      <c r="AH39" s="198">
        <v>1.8255085914413208E-3</v>
      </c>
      <c r="AI39" s="198">
        <v>796.7355672136257</v>
      </c>
      <c r="AJ39" s="198">
        <v>0.33524510234490751</v>
      </c>
      <c r="AK39" s="198">
        <v>7.8231970864128551</v>
      </c>
      <c r="AL39" s="198">
        <v>0.3662744512743572</v>
      </c>
      <c r="AM39" s="198">
        <v>6.5836332723858734E-2</v>
      </c>
      <c r="AN39" s="198">
        <v>2.7070172342067562E-2</v>
      </c>
      <c r="AO39" s="198">
        <v>5.4202337510940984E-3</v>
      </c>
      <c r="AP39" s="198">
        <v>4.4979613181321768E-3</v>
      </c>
      <c r="AQ39" s="198">
        <v>4.2722661895966728E-3</v>
      </c>
      <c r="AS39" s="258">
        <f t="shared" si="0"/>
        <v>54760.188786304068</v>
      </c>
      <c r="AT39" s="3">
        <f t="shared" si="1"/>
        <v>18.384854303206783</v>
      </c>
      <c r="AU39" s="3">
        <f t="shared" si="2"/>
        <v>7.0964478867753202</v>
      </c>
      <c r="AV39" s="3">
        <f t="shared" si="3"/>
        <v>0</v>
      </c>
      <c r="AW39" s="3">
        <f t="shared" si="4"/>
        <v>0</v>
      </c>
      <c r="AX39" s="3">
        <f t="shared" si="5"/>
        <v>7.0964478867753202</v>
      </c>
      <c r="AY39" s="102">
        <f t="shared" si="6"/>
        <v>1</v>
      </c>
      <c r="AZ39" s="102">
        <f t="shared" si="7"/>
        <v>0</v>
      </c>
    </row>
    <row r="40" spans="1:52" x14ac:dyDescent="0.35">
      <c r="A40" t="s">
        <v>1020</v>
      </c>
      <c r="B40">
        <v>2025</v>
      </c>
      <c r="C40" t="s">
        <v>837</v>
      </c>
      <c r="D40" t="s">
        <v>1018</v>
      </c>
      <c r="E40" t="s">
        <v>1019</v>
      </c>
      <c r="F40" t="s">
        <v>983</v>
      </c>
      <c r="G40" t="s">
        <v>978</v>
      </c>
      <c r="H40" s="198">
        <v>16121.118364743999</v>
      </c>
      <c r="I40" s="198">
        <v>13964</v>
      </c>
      <c r="J40" s="198">
        <v>0</v>
      </c>
      <c r="K40" s="198">
        <v>0</v>
      </c>
      <c r="L40" s="198">
        <v>150</v>
      </c>
      <c r="M40" s="198">
        <v>664.40201000000002</v>
      </c>
      <c r="N40" s="198">
        <v>50</v>
      </c>
      <c r="O40" s="198">
        <v>150</v>
      </c>
      <c r="P40" s="198">
        <v>1412.4906027</v>
      </c>
      <c r="Q40" s="198">
        <v>0</v>
      </c>
      <c r="R40" s="198">
        <v>0</v>
      </c>
      <c r="S40" s="198">
        <v>5678</v>
      </c>
      <c r="T40" s="198">
        <v>392</v>
      </c>
      <c r="U40" s="198">
        <v>2000</v>
      </c>
      <c r="V40" s="198">
        <v>4720</v>
      </c>
      <c r="W40" s="198">
        <v>139.97999999999999</v>
      </c>
      <c r="X40" s="198">
        <v>1500</v>
      </c>
      <c r="Y40" s="198">
        <v>186</v>
      </c>
      <c r="Z40" s="277">
        <v>47127.990977444002</v>
      </c>
      <c r="AA40" s="272">
        <v>17.357237569999999</v>
      </c>
      <c r="AB40" s="198">
        <v>7.7385693984022605</v>
      </c>
      <c r="AC40" s="272">
        <v>0</v>
      </c>
      <c r="AD40" s="198">
        <v>0</v>
      </c>
      <c r="AE40" s="198">
        <v>7.7385693984022605</v>
      </c>
      <c r="AF40" s="198">
        <v>579.27475321427846</v>
      </c>
      <c r="AG40" s="198">
        <v>0.25465939310243019</v>
      </c>
      <c r="AH40" s="198">
        <v>1.3455762561386665E-3</v>
      </c>
      <c r="AI40" s="198">
        <v>587.27111265873646</v>
      </c>
      <c r="AJ40" s="198">
        <v>0.24710803981805571</v>
      </c>
      <c r="AK40" s="198">
        <v>5.766452316863119</v>
      </c>
      <c r="AL40" s="198">
        <v>0.2699796687759583</v>
      </c>
      <c r="AM40" s="198">
        <v>4.8527739896598004E-2</v>
      </c>
      <c r="AN40" s="198">
        <v>1.9953333182786387E-2</v>
      </c>
      <c r="AO40" s="198">
        <v>3.9952361070156456E-3</v>
      </c>
      <c r="AP40" s="198">
        <v>3.3154321919297213E-3</v>
      </c>
      <c r="AQ40" s="198">
        <v>3.1490730701445083E-3</v>
      </c>
      <c r="AS40" s="258">
        <f t="shared" si="0"/>
        <v>63222.199896241123</v>
      </c>
      <c r="AT40" s="3">
        <f t="shared" si="1"/>
        <v>13.551414405249059</v>
      </c>
      <c r="AU40" s="3">
        <f t="shared" si="2"/>
        <v>5.2307679208625748</v>
      </c>
      <c r="AV40" s="3">
        <f t="shared" si="3"/>
        <v>0</v>
      </c>
      <c r="AW40" s="3">
        <f t="shared" si="4"/>
        <v>0</v>
      </c>
      <c r="AX40" s="3">
        <f t="shared" si="5"/>
        <v>5.2307679208625748</v>
      </c>
      <c r="AY40" s="102">
        <f t="shared" si="6"/>
        <v>1</v>
      </c>
      <c r="AZ40" s="102">
        <f t="shared" si="7"/>
        <v>0</v>
      </c>
    </row>
    <row r="41" spans="1:52" x14ac:dyDescent="0.35">
      <c r="A41" t="s">
        <v>1021</v>
      </c>
      <c r="B41">
        <v>2025</v>
      </c>
      <c r="C41" t="s">
        <v>837</v>
      </c>
      <c r="D41" t="s">
        <v>1018</v>
      </c>
      <c r="E41" t="s">
        <v>1019</v>
      </c>
      <c r="F41" t="s">
        <v>983</v>
      </c>
      <c r="G41" t="s">
        <v>978</v>
      </c>
      <c r="H41" s="198">
        <v>16121.118364743999</v>
      </c>
      <c r="I41" s="198">
        <v>11267</v>
      </c>
      <c r="J41" s="198">
        <v>0</v>
      </c>
      <c r="K41" s="198">
        <v>0</v>
      </c>
      <c r="L41" s="198">
        <v>0</v>
      </c>
      <c r="M41" s="198">
        <v>9342.1440000000002</v>
      </c>
      <c r="N41" s="198">
        <v>50</v>
      </c>
      <c r="O41" s="198">
        <v>0</v>
      </c>
      <c r="P41" s="198">
        <v>5176.9487118000006</v>
      </c>
      <c r="Q41" s="198">
        <v>0</v>
      </c>
      <c r="R41" s="198">
        <v>3351.1418185999996</v>
      </c>
      <c r="S41" s="198">
        <v>1500</v>
      </c>
      <c r="T41" s="198">
        <v>0</v>
      </c>
      <c r="U41" s="198">
        <v>2000</v>
      </c>
      <c r="V41" s="198">
        <v>4720</v>
      </c>
      <c r="W41" s="198">
        <v>139.97999999999999</v>
      </c>
      <c r="X41" s="198">
        <v>1500</v>
      </c>
      <c r="Y41" s="198">
        <v>186</v>
      </c>
      <c r="Z41" s="277">
        <v>55354.332895144005</v>
      </c>
      <c r="AA41" s="272">
        <v>105.62813585000004</v>
      </c>
      <c r="AB41" s="198">
        <v>1.2716326613085824</v>
      </c>
      <c r="AC41" s="272">
        <v>502.40000000000003</v>
      </c>
      <c r="AD41" s="198">
        <v>1.80864</v>
      </c>
      <c r="AE41" s="198">
        <v>3.0802726613085825</v>
      </c>
      <c r="AF41" s="198">
        <v>95.188743310983554</v>
      </c>
      <c r="AG41" s="198">
        <v>4.1846649568708628E-2</v>
      </c>
      <c r="AH41" s="198">
        <v>2.2111046984220727E-4</v>
      </c>
      <c r="AI41" s="198">
        <v>96.502737063270075</v>
      </c>
      <c r="AJ41" s="198">
        <v>4.0605781007722025E-2</v>
      </c>
      <c r="AK41" s="198">
        <v>0.94756649821033501</v>
      </c>
      <c r="AL41" s="198">
        <v>4.4364138515791275E-2</v>
      </c>
      <c r="AM41" s="198">
        <v>3.4713900162115605E-2</v>
      </c>
      <c r="AN41" s="198">
        <v>1.0112271951600964E-2</v>
      </c>
      <c r="AO41" s="198">
        <v>6.5651316952321747E-4</v>
      </c>
      <c r="AP41" s="198">
        <v>1.5218297863309645E-3</v>
      </c>
      <c r="AQ41" s="198">
        <v>1.7389743936537629E-3</v>
      </c>
      <c r="AS41" s="258">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102">
        <f t="shared" si="6"/>
        <v>0.43337160503107464</v>
      </c>
      <c r="AZ41" s="102">
        <f t="shared" si="7"/>
        <v>0.56662839496892536</v>
      </c>
    </row>
    <row r="42" spans="1:52" x14ac:dyDescent="0.35">
      <c r="A42" t="s">
        <v>246</v>
      </c>
      <c r="B42">
        <v>2025</v>
      </c>
      <c r="C42" t="s">
        <v>837</v>
      </c>
      <c r="D42" t="s">
        <v>1018</v>
      </c>
      <c r="E42" t="s">
        <v>1019</v>
      </c>
      <c r="F42" t="s">
        <v>977</v>
      </c>
      <c r="G42" t="s">
        <v>978</v>
      </c>
      <c r="H42" s="198">
        <v>16121.118364743999</v>
      </c>
      <c r="I42" s="198">
        <v>0</v>
      </c>
      <c r="J42" s="198">
        <v>0</v>
      </c>
      <c r="K42" s="198">
        <v>0</v>
      </c>
      <c r="L42" s="198">
        <v>0</v>
      </c>
      <c r="M42" s="198">
        <v>19796.448</v>
      </c>
      <c r="N42" s="198">
        <v>50</v>
      </c>
      <c r="O42" s="198">
        <v>0</v>
      </c>
      <c r="P42" s="198">
        <v>5166.4256069000003</v>
      </c>
      <c r="Q42" s="198">
        <v>0</v>
      </c>
      <c r="R42" s="198">
        <v>0</v>
      </c>
      <c r="S42" s="198">
        <v>1500</v>
      </c>
      <c r="T42" s="198">
        <v>0</v>
      </c>
      <c r="U42" s="198">
        <v>2000</v>
      </c>
      <c r="V42" s="198">
        <v>4500</v>
      </c>
      <c r="W42" s="198">
        <v>139.97999999999999</v>
      </c>
      <c r="X42" s="198">
        <v>1500</v>
      </c>
      <c r="Y42" s="198">
        <v>186</v>
      </c>
      <c r="Z42" s="277">
        <v>50959.971971644009</v>
      </c>
      <c r="AA42" s="272">
        <v>0</v>
      </c>
      <c r="AB42" s="198">
        <v>0</v>
      </c>
      <c r="AC42" s="272">
        <v>607</v>
      </c>
      <c r="AD42" s="198">
        <v>2.1852</v>
      </c>
      <c r="AE42" s="198">
        <v>2.1852</v>
      </c>
      <c r="AF42" s="198">
        <v>0</v>
      </c>
      <c r="AG42" s="198">
        <v>0</v>
      </c>
      <c r="AH42" s="198">
        <v>0</v>
      </c>
      <c r="AI42" s="198">
        <v>0</v>
      </c>
      <c r="AJ42" s="198">
        <v>0</v>
      </c>
      <c r="AK42" s="198">
        <v>0</v>
      </c>
      <c r="AL42" s="198">
        <v>0</v>
      </c>
      <c r="AM42" s="198">
        <v>3.2306835502565405E-2</v>
      </c>
      <c r="AN42" s="198">
        <v>8.2561912951000255E-3</v>
      </c>
      <c r="AO42" s="198">
        <v>0</v>
      </c>
      <c r="AP42" s="198">
        <v>1.1804418816422234E-3</v>
      </c>
      <c r="AQ42" s="198">
        <v>1.4758244688251058E-3</v>
      </c>
      <c r="AS42" s="258">
        <f t="shared" si="0"/>
        <v>68362.802399960434</v>
      </c>
      <c r="AT42" s="3">
        <f t="shared" si="1"/>
        <v>0</v>
      </c>
      <c r="AU42" s="3">
        <f t="shared" si="2"/>
        <v>0</v>
      </c>
      <c r="AV42" s="3">
        <f t="shared" si="3"/>
        <v>37.717325114643266</v>
      </c>
      <c r="AW42" s="3">
        <f t="shared" si="4"/>
        <v>1.3578237041271575</v>
      </c>
      <c r="AX42" s="3">
        <f t="shared" si="5"/>
        <v>1.3578237041271575</v>
      </c>
      <c r="AY42" s="102">
        <f t="shared" si="6"/>
        <v>0</v>
      </c>
      <c r="AZ42" s="102">
        <f t="shared" si="7"/>
        <v>1</v>
      </c>
    </row>
    <row r="43" spans="1:52" x14ac:dyDescent="0.35">
      <c r="A43" t="s">
        <v>627</v>
      </c>
      <c r="B43">
        <v>2025</v>
      </c>
      <c r="C43" t="s">
        <v>837</v>
      </c>
      <c r="D43" t="s">
        <v>1018</v>
      </c>
      <c r="E43" t="s">
        <v>1019</v>
      </c>
      <c r="F43" t="s">
        <v>989</v>
      </c>
      <c r="G43" t="s">
        <v>978</v>
      </c>
      <c r="H43" s="198">
        <v>16121.118364743999</v>
      </c>
      <c r="I43" s="198">
        <v>0</v>
      </c>
      <c r="J43" s="198">
        <v>21865.126908301889</v>
      </c>
      <c r="K43" s="198">
        <v>5841.759</v>
      </c>
      <c r="L43" s="198">
        <v>0</v>
      </c>
      <c r="M43" s="198">
        <v>2016.9346740000001</v>
      </c>
      <c r="N43" s="198">
        <v>50</v>
      </c>
      <c r="O43" s="198">
        <v>0</v>
      </c>
      <c r="P43" s="198">
        <v>5166.4256069000003</v>
      </c>
      <c r="Q43" s="198">
        <v>0</v>
      </c>
      <c r="R43" s="198">
        <v>0</v>
      </c>
      <c r="S43" s="198">
        <v>1500</v>
      </c>
      <c r="T43" s="198">
        <v>0</v>
      </c>
      <c r="U43" s="198">
        <v>2000</v>
      </c>
      <c r="V43" s="198">
        <v>4500</v>
      </c>
      <c r="W43" s="198">
        <v>139.97999999999999</v>
      </c>
      <c r="X43" s="198">
        <v>1500</v>
      </c>
      <c r="Y43" s="198">
        <v>186</v>
      </c>
      <c r="Z43" s="277">
        <v>60887.344553945884</v>
      </c>
      <c r="AA43" s="272">
        <v>33.584047290000001</v>
      </c>
      <c r="AB43" s="198">
        <v>3.9995235339010269</v>
      </c>
      <c r="AC43" s="272">
        <v>0</v>
      </c>
      <c r="AD43" s="198">
        <v>0</v>
      </c>
      <c r="AE43" s="198">
        <v>3.9995235339010269</v>
      </c>
      <c r="AF43" s="198">
        <v>0</v>
      </c>
      <c r="AG43" s="198">
        <v>0</v>
      </c>
      <c r="AH43" s="198">
        <v>0</v>
      </c>
      <c r="AI43" s="198">
        <v>0</v>
      </c>
      <c r="AJ43" s="198">
        <v>0</v>
      </c>
      <c r="AK43" s="198">
        <v>0</v>
      </c>
      <c r="AL43" s="198">
        <v>0</v>
      </c>
      <c r="AM43" s="198">
        <v>3.7389878810103576E-2</v>
      </c>
      <c r="AN43" s="198">
        <v>9.5551912514709302E-3</v>
      </c>
      <c r="AO43" s="198">
        <v>0</v>
      </c>
      <c r="AP43" s="198">
        <v>1.366168434957639E-3</v>
      </c>
      <c r="AQ43" s="198">
        <v>1.7080254743605217E-3</v>
      </c>
      <c r="AS43" s="258">
        <f t="shared" si="0"/>
        <v>81680.372719118401</v>
      </c>
      <c r="AT43" s="3">
        <f t="shared" si="1"/>
        <v>7.0037752510986335</v>
      </c>
      <c r="AU43" s="3">
        <f t="shared" si="2"/>
        <v>2.7034169137494284</v>
      </c>
      <c r="AV43" s="3">
        <f t="shared" si="3"/>
        <v>0</v>
      </c>
      <c r="AW43" s="3">
        <f t="shared" si="4"/>
        <v>0</v>
      </c>
      <c r="AX43" s="3">
        <f t="shared" si="5"/>
        <v>2.7034169137494284</v>
      </c>
      <c r="AY43" s="102">
        <f t="shared" si="6"/>
        <v>1</v>
      </c>
      <c r="AZ43" s="102">
        <f t="shared" si="7"/>
        <v>0</v>
      </c>
    </row>
    <row r="44" spans="1:52" x14ac:dyDescent="0.35">
      <c r="A44" t="s">
        <v>1065</v>
      </c>
      <c r="B44">
        <v>2025</v>
      </c>
      <c r="C44" t="s">
        <v>837</v>
      </c>
      <c r="D44" t="s">
        <v>1018</v>
      </c>
      <c r="E44" t="s">
        <v>1019</v>
      </c>
      <c r="F44" t="s">
        <v>989</v>
      </c>
      <c r="G44" t="s">
        <v>978</v>
      </c>
      <c r="H44" s="198">
        <v>16121.118364743999</v>
      </c>
      <c r="I44" s="198">
        <v>0</v>
      </c>
      <c r="J44" s="198">
        <v>10062.248333207546</v>
      </c>
      <c r="K44" s="198">
        <v>6031.5114419999991</v>
      </c>
      <c r="L44" s="198">
        <v>0</v>
      </c>
      <c r="M44" s="198">
        <v>1382.2560000000001</v>
      </c>
      <c r="N44" s="198">
        <v>50</v>
      </c>
      <c r="O44" s="198">
        <v>0</v>
      </c>
      <c r="P44" s="198">
        <v>5164.4332249999998</v>
      </c>
      <c r="Q44" s="198">
        <v>0</v>
      </c>
      <c r="R44" s="198">
        <v>0</v>
      </c>
      <c r="S44" s="198">
        <v>1500</v>
      </c>
      <c r="T44" s="198">
        <v>0</v>
      </c>
      <c r="U44" s="198">
        <v>2000</v>
      </c>
      <c r="V44" s="198">
        <v>4500</v>
      </c>
      <c r="W44" s="198">
        <v>139.97999999999999</v>
      </c>
      <c r="X44" s="198">
        <v>1500</v>
      </c>
      <c r="Y44" s="198">
        <v>186</v>
      </c>
      <c r="Z44" s="277">
        <v>48637.547364951548</v>
      </c>
      <c r="AA44" s="272">
        <v>35.039112539999998</v>
      </c>
      <c r="AB44" s="198">
        <v>3.8334357739986307</v>
      </c>
      <c r="AC44" s="272">
        <v>0</v>
      </c>
      <c r="AD44" s="198">
        <v>0</v>
      </c>
      <c r="AE44" s="198">
        <v>3.8334357739986307</v>
      </c>
      <c r="AF44" s="198">
        <v>0</v>
      </c>
      <c r="AG44" s="198">
        <v>0</v>
      </c>
      <c r="AH44" s="198">
        <v>0</v>
      </c>
      <c r="AI44" s="198">
        <v>0</v>
      </c>
      <c r="AJ44" s="198">
        <v>0</v>
      </c>
      <c r="AK44" s="198">
        <v>0</v>
      </c>
      <c r="AL44" s="198">
        <v>0</v>
      </c>
      <c r="AM44" s="198">
        <v>3.583719355598404E-2</v>
      </c>
      <c r="AN44" s="198">
        <v>9.1583939087514915E-3</v>
      </c>
      <c r="AO44" s="198">
        <v>0</v>
      </c>
      <c r="AP44" s="198">
        <v>1.3094357134001387E-3</v>
      </c>
      <c r="AQ44" s="198">
        <v>1.6370964943237243E-3</v>
      </c>
      <c r="AS44" s="258">
        <f t="shared" si="0"/>
        <v>65247.269790082501</v>
      </c>
      <c r="AT44" s="3">
        <f t="shared" si="1"/>
        <v>6.7129302710766705</v>
      </c>
      <c r="AU44" s="3">
        <f t="shared" si="2"/>
        <v>2.5911524263721168</v>
      </c>
      <c r="AV44" s="3">
        <f t="shared" si="3"/>
        <v>0</v>
      </c>
      <c r="AW44" s="3">
        <f t="shared" si="4"/>
        <v>0</v>
      </c>
      <c r="AX44" s="3">
        <f t="shared" si="5"/>
        <v>2.5911524263721168</v>
      </c>
      <c r="AY44" s="102">
        <f t="shared" si="6"/>
        <v>1</v>
      </c>
      <c r="AZ44" s="102">
        <f t="shared" si="7"/>
        <v>0</v>
      </c>
    </row>
    <row r="45" spans="1:52" x14ac:dyDescent="0.35">
      <c r="A45" t="s">
        <v>1017</v>
      </c>
      <c r="B45">
        <v>2030</v>
      </c>
      <c r="C45" t="s">
        <v>837</v>
      </c>
      <c r="D45" t="s">
        <v>1018</v>
      </c>
      <c r="E45" t="s">
        <v>1019</v>
      </c>
      <c r="F45" t="s">
        <v>983</v>
      </c>
      <c r="G45" t="s">
        <v>978</v>
      </c>
      <c r="H45" s="198">
        <v>16256.562557576</v>
      </c>
      <c r="I45" s="198">
        <v>14289</v>
      </c>
      <c r="J45" s="198">
        <v>0</v>
      </c>
      <c r="K45" s="198">
        <v>0</v>
      </c>
      <c r="L45" s="198">
        <v>120</v>
      </c>
      <c r="M45" s="198">
        <v>0</v>
      </c>
      <c r="N45" s="198">
        <v>0</v>
      </c>
      <c r="O45" s="198">
        <v>150</v>
      </c>
      <c r="P45" s="198">
        <v>0</v>
      </c>
      <c r="Q45" s="198">
        <v>0</v>
      </c>
      <c r="R45" s="198">
        <v>73.2</v>
      </c>
      <c r="S45" s="198">
        <v>5715</v>
      </c>
      <c r="T45" s="198">
        <v>506</v>
      </c>
      <c r="U45" s="198">
        <v>2000</v>
      </c>
      <c r="V45" s="198">
        <v>1920</v>
      </c>
      <c r="W45" s="198">
        <v>0</v>
      </c>
      <c r="X45" s="198">
        <v>0</v>
      </c>
      <c r="Y45" s="198">
        <v>186</v>
      </c>
      <c r="Z45" s="277">
        <v>41215.762557576003</v>
      </c>
      <c r="AA45" s="272">
        <v>13.557719949999999</v>
      </c>
      <c r="AB45" s="198">
        <v>9.9072844103111901</v>
      </c>
      <c r="AC45" s="272">
        <v>0</v>
      </c>
      <c r="AD45" s="198">
        <v>0</v>
      </c>
      <c r="AE45" s="198">
        <v>9.9072844103111901</v>
      </c>
      <c r="AF45" s="198">
        <v>741.6150759068712</v>
      </c>
      <c r="AG45" s="198">
        <v>0.326027060730879</v>
      </c>
      <c r="AH45" s="198">
        <v>1.7226706874373815E-3</v>
      </c>
      <c r="AI45" s="198">
        <v>751.85239538864516</v>
      </c>
      <c r="AJ45" s="198">
        <v>0.31635945928939274</v>
      </c>
      <c r="AK45" s="198">
        <v>7.3824863744784803</v>
      </c>
      <c r="AL45" s="198">
        <v>0.34564080592431906</v>
      </c>
      <c r="AM45" s="198">
        <v>6.2127519466901128E-2</v>
      </c>
      <c r="AN45" s="198">
        <v>2.5545205657311689E-2</v>
      </c>
      <c r="AO45" s="198">
        <v>5.1148911847609382E-3</v>
      </c>
      <c r="AP45" s="198">
        <v>4.2445738969958593E-3</v>
      </c>
      <c r="AQ45" s="198">
        <v>4.031593041113635E-3</v>
      </c>
      <c r="AS45" s="258">
        <f t="shared" si="0"/>
        <v>55290.945470988205</v>
      </c>
      <c r="AT45" s="3">
        <f t="shared" si="1"/>
        <v>17.349164911864708</v>
      </c>
      <c r="AU45" s="3">
        <f t="shared" si="2"/>
        <v>6.6966777460207583</v>
      </c>
      <c r="AV45" s="3">
        <f t="shared" si="3"/>
        <v>0</v>
      </c>
      <c r="AW45" s="3">
        <f t="shared" si="4"/>
        <v>0</v>
      </c>
      <c r="AX45" s="3">
        <f t="shared" si="5"/>
        <v>6.6966777460207583</v>
      </c>
      <c r="AY45" s="102">
        <f t="shared" si="6"/>
        <v>1</v>
      </c>
      <c r="AZ45" s="102">
        <f t="shared" si="7"/>
        <v>0</v>
      </c>
    </row>
    <row r="46" spans="1:52" x14ac:dyDescent="0.35">
      <c r="A46" t="s">
        <v>1020</v>
      </c>
      <c r="B46">
        <v>2030</v>
      </c>
      <c r="C46" t="s">
        <v>837</v>
      </c>
      <c r="D46" t="s">
        <v>1018</v>
      </c>
      <c r="E46" t="s">
        <v>1019</v>
      </c>
      <c r="F46" t="s">
        <v>983</v>
      </c>
      <c r="G46" t="s">
        <v>978</v>
      </c>
      <c r="H46" s="198">
        <v>16256.562557576</v>
      </c>
      <c r="I46" s="198">
        <v>14096</v>
      </c>
      <c r="J46" s="198">
        <v>0</v>
      </c>
      <c r="K46" s="198">
        <v>0</v>
      </c>
      <c r="L46" s="198">
        <v>150</v>
      </c>
      <c r="M46" s="198">
        <v>676.26633157999993</v>
      </c>
      <c r="N46" s="198">
        <v>40</v>
      </c>
      <c r="O46" s="198">
        <v>150</v>
      </c>
      <c r="P46" s="198">
        <v>1134.2512514100001</v>
      </c>
      <c r="Q46" s="198">
        <v>0</v>
      </c>
      <c r="R46" s="198">
        <v>0</v>
      </c>
      <c r="S46" s="198">
        <v>5621</v>
      </c>
      <c r="T46" s="198">
        <v>392</v>
      </c>
      <c r="U46" s="198">
        <v>2000</v>
      </c>
      <c r="V46" s="198">
        <v>4720</v>
      </c>
      <c r="W46" s="198">
        <v>103.96800000000002</v>
      </c>
      <c r="X46" s="198">
        <v>1500</v>
      </c>
      <c r="Y46" s="198">
        <v>186</v>
      </c>
      <c r="Z46" s="277">
        <v>47026.048140566003</v>
      </c>
      <c r="AA46" s="272">
        <v>18.703005810000001</v>
      </c>
      <c r="AB46" s="198">
        <v>7.1817433446009291</v>
      </c>
      <c r="AC46" s="272">
        <v>0</v>
      </c>
      <c r="AD46" s="198">
        <v>0</v>
      </c>
      <c r="AE46" s="198">
        <v>7.1817433446009291</v>
      </c>
      <c r="AF46" s="198">
        <v>537.59324100019364</v>
      </c>
      <c r="AG46" s="198">
        <v>0.23633546556177326</v>
      </c>
      <c r="AH46" s="198">
        <v>1.2487557873645339E-3</v>
      </c>
      <c r="AI46" s="198">
        <v>545.01422519827167</v>
      </c>
      <c r="AJ46" s="198">
        <v>0.22932746726121092</v>
      </c>
      <c r="AK46" s="198">
        <v>5.3515292577386022</v>
      </c>
      <c r="AL46" s="198">
        <v>0.25055337615885709</v>
      </c>
      <c r="AM46" s="198">
        <v>4.5035943349280218E-2</v>
      </c>
      <c r="AN46" s="198">
        <v>1.8517598074092003E-2</v>
      </c>
      <c r="AO46" s="198">
        <v>3.7077602906285204E-3</v>
      </c>
      <c r="AP46" s="198">
        <v>3.0768714284300385E-3</v>
      </c>
      <c r="AQ46" s="198">
        <v>2.9224826190538144E-3</v>
      </c>
      <c r="AS46" s="258">
        <f t="shared" si="0"/>
        <v>63085.443580569292</v>
      </c>
      <c r="AT46" s="3">
        <f t="shared" si="1"/>
        <v>12.57632712254545</v>
      </c>
      <c r="AU46" s="3">
        <f t="shared" si="2"/>
        <v>4.8543898450484768</v>
      </c>
      <c r="AV46" s="3">
        <f t="shared" si="3"/>
        <v>0</v>
      </c>
      <c r="AW46" s="3">
        <f t="shared" si="4"/>
        <v>0</v>
      </c>
      <c r="AX46" s="3">
        <f t="shared" si="5"/>
        <v>4.8543898450484768</v>
      </c>
      <c r="AY46" s="102">
        <f t="shared" si="6"/>
        <v>1</v>
      </c>
      <c r="AZ46" s="102">
        <f t="shared" si="7"/>
        <v>0</v>
      </c>
    </row>
    <row r="47" spans="1:52" x14ac:dyDescent="0.35">
      <c r="A47" t="s">
        <v>1021</v>
      </c>
      <c r="B47">
        <v>2030</v>
      </c>
      <c r="C47" t="s">
        <v>837</v>
      </c>
      <c r="D47" t="s">
        <v>1018</v>
      </c>
      <c r="E47" t="s">
        <v>1019</v>
      </c>
      <c r="F47" t="s">
        <v>983</v>
      </c>
      <c r="G47" t="s">
        <v>978</v>
      </c>
      <c r="H47" s="198">
        <v>16256.562557576</v>
      </c>
      <c r="I47" s="198">
        <v>11516</v>
      </c>
      <c r="J47" s="198">
        <v>0</v>
      </c>
      <c r="K47" s="198">
        <v>0</v>
      </c>
      <c r="L47" s="198">
        <v>0</v>
      </c>
      <c r="M47" s="198">
        <v>6777.2250000000004</v>
      </c>
      <c r="N47" s="198">
        <v>40</v>
      </c>
      <c r="O47" s="198">
        <v>0</v>
      </c>
      <c r="P47" s="198">
        <v>4052.8830165899999</v>
      </c>
      <c r="Q47" s="198">
        <v>0</v>
      </c>
      <c r="R47" s="198">
        <v>2666.3432730599998</v>
      </c>
      <c r="S47" s="198">
        <v>1500</v>
      </c>
      <c r="T47" s="198">
        <v>0</v>
      </c>
      <c r="U47" s="198">
        <v>2000</v>
      </c>
      <c r="V47" s="198">
        <v>4720</v>
      </c>
      <c r="W47" s="198">
        <v>103.96800000000002</v>
      </c>
      <c r="X47" s="198">
        <v>1500</v>
      </c>
      <c r="Y47" s="198">
        <v>186</v>
      </c>
      <c r="Z47" s="277">
        <v>51318.981847226001</v>
      </c>
      <c r="AA47" s="272">
        <v>116.30558695000002</v>
      </c>
      <c r="AB47" s="198">
        <v>1.1548902423556358</v>
      </c>
      <c r="AC47" s="272">
        <v>472.8</v>
      </c>
      <c r="AD47" s="198">
        <v>1.70208</v>
      </c>
      <c r="AE47" s="198">
        <v>2.8569702423556356</v>
      </c>
      <c r="AF47" s="198">
        <v>86.449927071567458</v>
      </c>
      <c r="AG47" s="198">
        <v>3.8004911899985894E-2</v>
      </c>
      <c r="AH47" s="198">
        <v>2.0081139142860406E-4</v>
      </c>
      <c r="AI47" s="198">
        <v>87.643289438864912</v>
      </c>
      <c r="AJ47" s="198">
        <v>3.6877961455307466E-2</v>
      </c>
      <c r="AK47" s="198">
        <v>0.86057501986468443</v>
      </c>
      <c r="AL47" s="198">
        <v>4.0291282413017541E-2</v>
      </c>
      <c r="AM47" s="198">
        <v>3.2406397017134651E-2</v>
      </c>
      <c r="AN47" s="198">
        <v>9.4086518532985417E-3</v>
      </c>
      <c r="AO47" s="198">
        <v>5.962418837843497E-4</v>
      </c>
      <c r="AP47" s="198">
        <v>1.4142503204913909E-3</v>
      </c>
      <c r="AQ47" s="198">
        <v>1.6195004271799991E-3</v>
      </c>
      <c r="AS47" s="258">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102">
        <f t="shared" si="6"/>
        <v>0.42465804940345986</v>
      </c>
      <c r="AZ47" s="102">
        <f t="shared" si="7"/>
        <v>0.57534195059654025</v>
      </c>
    </row>
    <row r="48" spans="1:52" x14ac:dyDescent="0.35">
      <c r="A48" t="s">
        <v>246</v>
      </c>
      <c r="B48">
        <v>2030</v>
      </c>
      <c r="C48" t="s">
        <v>837</v>
      </c>
      <c r="D48" t="s">
        <v>1018</v>
      </c>
      <c r="E48" t="s">
        <v>1019</v>
      </c>
      <c r="F48" t="s">
        <v>977</v>
      </c>
      <c r="G48" t="s">
        <v>978</v>
      </c>
      <c r="H48" s="198">
        <v>16256.562557576</v>
      </c>
      <c r="I48" s="198">
        <v>0</v>
      </c>
      <c r="J48" s="198">
        <v>0</v>
      </c>
      <c r="K48" s="198">
        <v>0</v>
      </c>
      <c r="L48" s="198">
        <v>0</v>
      </c>
      <c r="M48" s="198">
        <v>14373.674999999999</v>
      </c>
      <c r="N48" s="198">
        <v>40</v>
      </c>
      <c r="O48" s="198">
        <v>0</v>
      </c>
      <c r="P48" s="198">
        <v>4047.4101527100001</v>
      </c>
      <c r="Q48" s="198">
        <v>0</v>
      </c>
      <c r="R48" s="198">
        <v>0</v>
      </c>
      <c r="S48" s="198">
        <v>1500</v>
      </c>
      <c r="T48" s="198">
        <v>0</v>
      </c>
      <c r="U48" s="198">
        <v>2000</v>
      </c>
      <c r="V48" s="198">
        <v>4500</v>
      </c>
      <c r="W48" s="198">
        <v>103.96800000000002</v>
      </c>
      <c r="X48" s="198">
        <v>1500</v>
      </c>
      <c r="Y48" s="198">
        <v>186</v>
      </c>
      <c r="Z48" s="277">
        <v>44507.615710286002</v>
      </c>
      <c r="AA48" s="272">
        <v>0</v>
      </c>
      <c r="AB48" s="198">
        <v>0</v>
      </c>
      <c r="AC48" s="272">
        <v>564</v>
      </c>
      <c r="AD48" s="198">
        <v>2.0303999999999998</v>
      </c>
      <c r="AE48" s="198">
        <v>2.0303999999999998</v>
      </c>
      <c r="AF48" s="198">
        <v>0</v>
      </c>
      <c r="AG48" s="198">
        <v>0</v>
      </c>
      <c r="AH48" s="198">
        <v>0</v>
      </c>
      <c r="AI48" s="198">
        <v>0</v>
      </c>
      <c r="AJ48" s="198">
        <v>0</v>
      </c>
      <c r="AK48" s="198">
        <v>0</v>
      </c>
      <c r="AL48" s="198">
        <v>0</v>
      </c>
      <c r="AM48" s="198">
        <v>3.0018212888709858E-2</v>
      </c>
      <c r="AN48" s="198">
        <v>7.6713210715591666E-3</v>
      </c>
      <c r="AO48" s="198">
        <v>0</v>
      </c>
      <c r="AP48" s="198">
        <v>1.0968191453809126E-3</v>
      </c>
      <c r="AQ48" s="198">
        <v>1.3712767716925198E-3</v>
      </c>
      <c r="AS48" s="258">
        <f t="shared" si="0"/>
        <v>59706.966475348665</v>
      </c>
      <c r="AT48" s="3">
        <f t="shared" si="1"/>
        <v>0</v>
      </c>
      <c r="AU48" s="3">
        <f t="shared" si="2"/>
        <v>0</v>
      </c>
      <c r="AV48" s="3">
        <f t="shared" si="3"/>
        <v>35.045422347049097</v>
      </c>
      <c r="AW48" s="3">
        <f t="shared" si="4"/>
        <v>1.2616352044937675</v>
      </c>
      <c r="AX48" s="3">
        <f t="shared" si="5"/>
        <v>1.2616352044937675</v>
      </c>
      <c r="AY48" s="102">
        <f t="shared" si="6"/>
        <v>0</v>
      </c>
      <c r="AZ48" s="102">
        <f t="shared" si="7"/>
        <v>1</v>
      </c>
    </row>
    <row r="49" spans="1:52" x14ac:dyDescent="0.35">
      <c r="A49" t="s">
        <v>627</v>
      </c>
      <c r="B49">
        <v>2030</v>
      </c>
      <c r="C49" t="s">
        <v>837</v>
      </c>
      <c r="D49" t="s">
        <v>1018</v>
      </c>
      <c r="E49" t="s">
        <v>1019</v>
      </c>
      <c r="F49" t="s">
        <v>989</v>
      </c>
      <c r="G49" t="s">
        <v>978</v>
      </c>
      <c r="H49" s="198">
        <v>16256.562557576</v>
      </c>
      <c r="I49" s="198">
        <v>0</v>
      </c>
      <c r="J49" s="198">
        <v>18733.095073</v>
      </c>
      <c r="K49" s="198">
        <v>5156.4843000000001</v>
      </c>
      <c r="L49" s="198">
        <v>0</v>
      </c>
      <c r="M49" s="198">
        <v>1961.172362</v>
      </c>
      <c r="N49" s="198">
        <v>40</v>
      </c>
      <c r="O49" s="198">
        <v>0</v>
      </c>
      <c r="P49" s="198">
        <v>4047.4101527100001</v>
      </c>
      <c r="Q49" s="198">
        <v>0</v>
      </c>
      <c r="R49" s="198">
        <v>0</v>
      </c>
      <c r="S49" s="198">
        <v>1500</v>
      </c>
      <c r="T49" s="198">
        <v>0</v>
      </c>
      <c r="U49" s="198">
        <v>2000</v>
      </c>
      <c r="V49" s="198">
        <v>4500</v>
      </c>
      <c r="W49" s="198">
        <v>103.96800000000002</v>
      </c>
      <c r="X49" s="198">
        <v>1500</v>
      </c>
      <c r="Y49" s="198">
        <v>186</v>
      </c>
      <c r="Z49" s="277">
        <v>55984.692445286004</v>
      </c>
      <c r="AA49" s="272">
        <v>35.963496910000003</v>
      </c>
      <c r="AB49" s="198">
        <v>3.7349034170993245</v>
      </c>
      <c r="AC49" s="272">
        <v>0</v>
      </c>
      <c r="AD49" s="198">
        <v>0</v>
      </c>
      <c r="AE49" s="198">
        <v>3.7349034170993245</v>
      </c>
      <c r="AF49" s="198">
        <v>0</v>
      </c>
      <c r="AG49" s="198">
        <v>0</v>
      </c>
      <c r="AH49" s="198">
        <v>0</v>
      </c>
      <c r="AI49" s="198">
        <v>0</v>
      </c>
      <c r="AJ49" s="198">
        <v>0</v>
      </c>
      <c r="AK49" s="198">
        <v>0</v>
      </c>
      <c r="AL49" s="198">
        <v>0</v>
      </c>
      <c r="AM49" s="198">
        <v>3.4916055612398661E-2</v>
      </c>
      <c r="AN49" s="198">
        <v>8.9229919898352276E-3</v>
      </c>
      <c r="AO49" s="198">
        <v>0</v>
      </c>
      <c r="AP49" s="198">
        <v>1.2757787553458087E-3</v>
      </c>
      <c r="AQ49" s="198">
        <v>1.5950175381164967E-3</v>
      </c>
      <c r="AS49" s="258">
        <f t="shared" si="0"/>
        <v>75103.464915351171</v>
      </c>
      <c r="AT49" s="3">
        <f t="shared" si="1"/>
        <v>6.540385097424279</v>
      </c>
      <c r="AU49" s="3">
        <f t="shared" si="2"/>
        <v>2.524550982991344</v>
      </c>
      <c r="AV49" s="3">
        <f t="shared" si="3"/>
        <v>0</v>
      </c>
      <c r="AW49" s="3">
        <f t="shared" si="4"/>
        <v>0</v>
      </c>
      <c r="AX49" s="3">
        <f t="shared" si="5"/>
        <v>2.524550982991344</v>
      </c>
      <c r="AY49" s="102">
        <f t="shared" si="6"/>
        <v>1</v>
      </c>
      <c r="AZ49" s="102">
        <f t="shared" si="7"/>
        <v>0</v>
      </c>
    </row>
    <row r="50" spans="1:52" x14ac:dyDescent="0.35">
      <c r="A50" t="s">
        <v>1065</v>
      </c>
      <c r="B50">
        <v>2030</v>
      </c>
      <c r="C50" t="s">
        <v>837</v>
      </c>
      <c r="D50" t="s">
        <v>1018</v>
      </c>
      <c r="E50" t="s">
        <v>1019</v>
      </c>
      <c r="F50" t="s">
        <v>989</v>
      </c>
      <c r="G50" t="s">
        <v>978</v>
      </c>
      <c r="H50" s="198">
        <v>16256.562557576</v>
      </c>
      <c r="I50" s="198">
        <v>0</v>
      </c>
      <c r="J50" s="198">
        <v>7998.8466249999992</v>
      </c>
      <c r="K50" s="198">
        <v>5326.9596600000004</v>
      </c>
      <c r="L50" s="198">
        <v>0</v>
      </c>
      <c r="M50" s="198">
        <v>1104.7124999999999</v>
      </c>
      <c r="N50" s="198">
        <v>40</v>
      </c>
      <c r="O50" s="198">
        <v>0</v>
      </c>
      <c r="P50" s="198">
        <v>4002.8391357</v>
      </c>
      <c r="Q50" s="198">
        <v>0</v>
      </c>
      <c r="R50" s="198">
        <v>0</v>
      </c>
      <c r="S50" s="198">
        <v>1500</v>
      </c>
      <c r="T50" s="198">
        <v>0</v>
      </c>
      <c r="U50" s="198">
        <v>2000</v>
      </c>
      <c r="V50" s="198">
        <v>4500</v>
      </c>
      <c r="W50" s="198">
        <v>103.96800000000002</v>
      </c>
      <c r="X50" s="198">
        <v>1500</v>
      </c>
      <c r="Y50" s="198">
        <v>186</v>
      </c>
      <c r="Z50" s="277">
        <v>44519.888478276007</v>
      </c>
      <c r="AA50" s="272">
        <v>37.645171339999997</v>
      </c>
      <c r="AB50" s="198">
        <v>3.568058869671757</v>
      </c>
      <c r="AC50" s="272">
        <v>0</v>
      </c>
      <c r="AD50" s="198">
        <v>0</v>
      </c>
      <c r="AE50" s="198">
        <v>3.568058869671757</v>
      </c>
      <c r="AF50" s="198">
        <v>0</v>
      </c>
      <c r="AG50" s="198">
        <v>0</v>
      </c>
      <c r="AH50" s="198">
        <v>0</v>
      </c>
      <c r="AI50" s="198">
        <v>0</v>
      </c>
      <c r="AJ50" s="198">
        <v>0</v>
      </c>
      <c r="AK50" s="198">
        <v>0</v>
      </c>
      <c r="AL50" s="198">
        <v>0</v>
      </c>
      <c r="AM50" s="198">
        <v>3.3356295467079883E-2</v>
      </c>
      <c r="AN50" s="198">
        <v>8.5243866193648737E-3</v>
      </c>
      <c r="AO50" s="198">
        <v>0</v>
      </c>
      <c r="AP50" s="198">
        <v>1.218787528188805E-3</v>
      </c>
      <c r="AQ50" s="198">
        <v>1.5237653664893227E-3</v>
      </c>
      <c r="AS50" s="258">
        <f t="shared" si="0"/>
        <v>59723.430393607261</v>
      </c>
      <c r="AT50" s="3">
        <f t="shared" si="1"/>
        <v>6.2482148671083229</v>
      </c>
      <c r="AU50" s="3">
        <f t="shared" si="2"/>
        <v>2.4117749566323705</v>
      </c>
      <c r="AV50" s="3">
        <f t="shared" si="3"/>
        <v>0</v>
      </c>
      <c r="AW50" s="3">
        <f t="shared" si="4"/>
        <v>0</v>
      </c>
      <c r="AX50" s="3">
        <f t="shared" si="5"/>
        <v>2.4117749566323705</v>
      </c>
      <c r="AY50" s="102">
        <f t="shared" si="6"/>
        <v>1</v>
      </c>
      <c r="AZ50" s="102">
        <f t="shared" si="7"/>
        <v>0</v>
      </c>
    </row>
    <row r="51" spans="1:52" x14ac:dyDescent="0.35">
      <c r="A51" t="s">
        <v>1017</v>
      </c>
      <c r="B51">
        <v>2035</v>
      </c>
      <c r="C51" t="s">
        <v>837</v>
      </c>
      <c r="D51" t="s">
        <v>1018</v>
      </c>
      <c r="E51" t="s">
        <v>1019</v>
      </c>
      <c r="F51" t="s">
        <v>983</v>
      </c>
      <c r="G51" t="s">
        <v>978</v>
      </c>
      <c r="H51" s="198">
        <v>16256.562557576</v>
      </c>
      <c r="I51" s="198">
        <v>14195</v>
      </c>
      <c r="J51" s="198">
        <v>0</v>
      </c>
      <c r="K51" s="198">
        <v>0</v>
      </c>
      <c r="L51" s="198">
        <v>120</v>
      </c>
      <c r="M51" s="198">
        <v>0</v>
      </c>
      <c r="N51" s="198">
        <v>0</v>
      </c>
      <c r="O51" s="198">
        <v>150</v>
      </c>
      <c r="P51" s="198">
        <v>0</v>
      </c>
      <c r="Q51" s="198">
        <v>0</v>
      </c>
      <c r="R51" s="198">
        <v>62.6</v>
      </c>
      <c r="S51" s="198">
        <v>5697</v>
      </c>
      <c r="T51" s="198">
        <v>506</v>
      </c>
      <c r="U51" s="198">
        <v>2000</v>
      </c>
      <c r="V51" s="198">
        <v>1920</v>
      </c>
      <c r="W51" s="198">
        <v>0</v>
      </c>
      <c r="X51" s="198">
        <v>0</v>
      </c>
      <c r="Y51" s="198">
        <v>186</v>
      </c>
      <c r="Z51" s="277">
        <v>41093.162557575997</v>
      </c>
      <c r="AA51" s="272">
        <v>14.187955990000001</v>
      </c>
      <c r="AB51" s="198">
        <v>9.4671979243995388</v>
      </c>
      <c r="AC51" s="272">
        <v>0</v>
      </c>
      <c r="AD51" s="198">
        <v>0</v>
      </c>
      <c r="AE51" s="198">
        <v>9.4671979243995388</v>
      </c>
      <c r="AF51" s="198">
        <v>708.67216651433603</v>
      </c>
      <c r="AG51" s="198">
        <v>0.31154477703668854</v>
      </c>
      <c r="AH51" s="198">
        <v>1.6461488013362524E-3</v>
      </c>
      <c r="AI51" s="198">
        <v>718.45473918868015</v>
      </c>
      <c r="AJ51" s="198">
        <v>0.30230661524479485</v>
      </c>
      <c r="AK51" s="198">
        <v>7.0545526692086993</v>
      </c>
      <c r="AL51" s="198">
        <v>0.33028726994340069</v>
      </c>
      <c r="AM51" s="198">
        <v>5.9367784247011807E-2</v>
      </c>
      <c r="AN51" s="198">
        <v>2.4410474955736561E-2</v>
      </c>
      <c r="AO51" s="198">
        <v>4.8876851821777114E-3</v>
      </c>
      <c r="AP51" s="198">
        <v>4.0560278198713247E-3</v>
      </c>
      <c r="AQ51" s="198">
        <v>3.852507679211338E-3</v>
      </c>
      <c r="AS51" s="258">
        <f t="shared" si="0"/>
        <v>55126.477570988194</v>
      </c>
      <c r="AT51" s="3">
        <f t="shared" si="1"/>
        <v>16.578506404108751</v>
      </c>
      <c r="AU51" s="3">
        <f t="shared" si="2"/>
        <v>6.399208000076877</v>
      </c>
      <c r="AV51" s="3">
        <f t="shared" si="3"/>
        <v>0</v>
      </c>
      <c r="AW51" s="3">
        <f t="shared" si="4"/>
        <v>0</v>
      </c>
      <c r="AX51" s="3">
        <f t="shared" si="5"/>
        <v>6.399208000076877</v>
      </c>
      <c r="AY51" s="102">
        <f t="shared" si="6"/>
        <v>1</v>
      </c>
      <c r="AZ51" s="102">
        <f t="shared" si="7"/>
        <v>0</v>
      </c>
    </row>
    <row r="52" spans="1:52" x14ac:dyDescent="0.35">
      <c r="A52" t="s">
        <v>1020</v>
      </c>
      <c r="B52">
        <v>2035</v>
      </c>
      <c r="C52" t="s">
        <v>837</v>
      </c>
      <c r="D52" t="s">
        <v>1018</v>
      </c>
      <c r="E52" t="s">
        <v>1019</v>
      </c>
      <c r="F52" t="s">
        <v>983</v>
      </c>
      <c r="G52" t="s">
        <v>978</v>
      </c>
      <c r="H52" s="198">
        <v>16256.562557576</v>
      </c>
      <c r="I52" s="198">
        <v>13905</v>
      </c>
      <c r="J52" s="198">
        <v>0</v>
      </c>
      <c r="K52" s="198">
        <v>0</v>
      </c>
      <c r="L52" s="198">
        <v>150</v>
      </c>
      <c r="M52" s="198">
        <v>640.67336676000002</v>
      </c>
      <c r="N52" s="198">
        <v>35</v>
      </c>
      <c r="O52" s="198">
        <v>150</v>
      </c>
      <c r="P52" s="198">
        <v>964.79472323999994</v>
      </c>
      <c r="Q52" s="198">
        <v>0</v>
      </c>
      <c r="R52" s="198">
        <v>0</v>
      </c>
      <c r="S52" s="198">
        <v>5556</v>
      </c>
      <c r="T52" s="198">
        <v>392</v>
      </c>
      <c r="U52" s="198">
        <v>2000</v>
      </c>
      <c r="V52" s="198">
        <v>4720</v>
      </c>
      <c r="W52" s="198">
        <v>84</v>
      </c>
      <c r="X52" s="198">
        <v>1500</v>
      </c>
      <c r="Y52" s="198">
        <v>186</v>
      </c>
      <c r="Z52" s="277">
        <v>46540.030647576001</v>
      </c>
      <c r="AA52" s="272">
        <v>19.939094600000001</v>
      </c>
      <c r="AB52" s="198">
        <v>6.7365239091648625</v>
      </c>
      <c r="AC52" s="272">
        <v>0</v>
      </c>
      <c r="AD52" s="198">
        <v>0</v>
      </c>
      <c r="AE52" s="198">
        <v>6.7365239091648625</v>
      </c>
      <c r="AF52" s="198">
        <v>504.26610192437477</v>
      </c>
      <c r="AG52" s="198">
        <v>0.22168426772552149</v>
      </c>
      <c r="AH52" s="198">
        <v>1.1713413881064591E-3</v>
      </c>
      <c r="AI52" s="198">
        <v>511.22703537481198</v>
      </c>
      <c r="AJ52" s="198">
        <v>0.2151107178446815</v>
      </c>
      <c r="AK52" s="198">
        <v>5.0197706971042733</v>
      </c>
      <c r="AL52" s="198">
        <v>0.23502076418325529</v>
      </c>
      <c r="AM52" s="198">
        <v>4.2244019952662179E-2</v>
      </c>
      <c r="AN52" s="198">
        <v>1.7369632438926665E-2</v>
      </c>
      <c r="AO52" s="198">
        <v>3.4779042704232168E-3</v>
      </c>
      <c r="AP52" s="198">
        <v>2.8861262437939383E-3</v>
      </c>
      <c r="AQ52" s="198">
        <v>2.7413084947090576E-3</v>
      </c>
      <c r="AS52" s="258">
        <f t="shared" si="0"/>
        <v>62433.451113723204</v>
      </c>
      <c r="AT52" s="3">
        <f t="shared" si="1"/>
        <v>11.796680037890393</v>
      </c>
      <c r="AU52" s="3">
        <f t="shared" si="2"/>
        <v>4.5534505601847473</v>
      </c>
      <c r="AV52" s="3">
        <f t="shared" si="3"/>
        <v>0</v>
      </c>
      <c r="AW52" s="3">
        <f t="shared" si="4"/>
        <v>0</v>
      </c>
      <c r="AX52" s="3">
        <f t="shared" si="5"/>
        <v>4.5534505601847473</v>
      </c>
      <c r="AY52" s="102">
        <f t="shared" si="6"/>
        <v>1</v>
      </c>
      <c r="AZ52" s="102">
        <f t="shared" si="7"/>
        <v>0</v>
      </c>
    </row>
    <row r="53" spans="1:52" x14ac:dyDescent="0.35">
      <c r="A53" t="s">
        <v>1021</v>
      </c>
      <c r="B53">
        <v>2035</v>
      </c>
      <c r="C53" t="s">
        <v>837</v>
      </c>
      <c r="D53" t="s">
        <v>1018</v>
      </c>
      <c r="E53" t="s">
        <v>1019</v>
      </c>
      <c r="F53" t="s">
        <v>983</v>
      </c>
      <c r="G53" t="s">
        <v>978</v>
      </c>
      <c r="H53" s="198">
        <v>16256.562557576</v>
      </c>
      <c r="I53" s="198">
        <v>11177</v>
      </c>
      <c r="J53" s="198">
        <v>0</v>
      </c>
      <c r="K53" s="198">
        <v>0</v>
      </c>
      <c r="L53" s="198">
        <v>0</v>
      </c>
      <c r="M53" s="198">
        <v>5529.7687500000002</v>
      </c>
      <c r="N53" s="198">
        <v>35</v>
      </c>
      <c r="O53" s="198">
        <v>0</v>
      </c>
      <c r="P53" s="198">
        <v>3352.82579781</v>
      </c>
      <c r="Q53" s="198">
        <v>0</v>
      </c>
      <c r="R53" s="198">
        <v>2133.0825206899999</v>
      </c>
      <c r="S53" s="198">
        <v>1500</v>
      </c>
      <c r="T53" s="198">
        <v>0</v>
      </c>
      <c r="U53" s="198">
        <v>2000</v>
      </c>
      <c r="V53" s="198">
        <v>4720</v>
      </c>
      <c r="W53" s="198">
        <v>84</v>
      </c>
      <c r="X53" s="198">
        <v>1500</v>
      </c>
      <c r="Y53" s="198">
        <v>186</v>
      </c>
      <c r="Z53" s="277">
        <v>48474.239626076</v>
      </c>
      <c r="AA53" s="272">
        <v>128.29840090000002</v>
      </c>
      <c r="AB53" s="198">
        <v>1.0469357884257151</v>
      </c>
      <c r="AC53" s="272">
        <v>444.8</v>
      </c>
      <c r="AD53" s="198">
        <v>1.60128</v>
      </c>
      <c r="AE53" s="198">
        <v>2.6482157884257154</v>
      </c>
      <c r="AF53" s="198">
        <v>78.368938656376884</v>
      </c>
      <c r="AG53" s="198">
        <v>3.4452366939133838E-2</v>
      </c>
      <c r="AH53" s="198">
        <v>1.8204035734283261E-4</v>
      </c>
      <c r="AI53" s="198">
        <v>79.450750351604114</v>
      </c>
      <c r="AJ53" s="198">
        <v>3.3430759249463191E-2</v>
      </c>
      <c r="AK53" s="198">
        <v>0.780131958759823</v>
      </c>
      <c r="AL53" s="198">
        <v>3.6525016813473143E-2</v>
      </c>
      <c r="AM53" s="198">
        <v>3.0239160310370158E-2</v>
      </c>
      <c r="AN53" s="198">
        <v>8.7494534907403224E-3</v>
      </c>
      <c r="AO53" s="198">
        <v>5.4050761171811677E-4</v>
      </c>
      <c r="AP53" s="198">
        <v>1.3135474226662861E-3</v>
      </c>
      <c r="AQ53" s="198">
        <v>1.507492713516628E-3</v>
      </c>
      <c r="AS53" s="258">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102">
        <f t="shared" si="6"/>
        <v>0.41562237596604934</v>
      </c>
      <c r="AZ53" s="102">
        <f t="shared" si="7"/>
        <v>0.58437762403395066</v>
      </c>
    </row>
    <row r="54" spans="1:52" x14ac:dyDescent="0.35">
      <c r="A54" t="s">
        <v>246</v>
      </c>
      <c r="B54">
        <v>2035</v>
      </c>
      <c r="C54" t="s">
        <v>837</v>
      </c>
      <c r="D54" t="s">
        <v>1018</v>
      </c>
      <c r="E54" t="s">
        <v>1019</v>
      </c>
      <c r="F54" t="s">
        <v>977</v>
      </c>
      <c r="G54" t="s">
        <v>978</v>
      </c>
      <c r="H54" s="198">
        <v>16256.562557576</v>
      </c>
      <c r="I54" s="198">
        <v>0</v>
      </c>
      <c r="J54" s="198">
        <v>0</v>
      </c>
      <c r="K54" s="198">
        <v>0</v>
      </c>
      <c r="L54" s="198">
        <v>0</v>
      </c>
      <c r="M54" s="198">
        <v>11662.785</v>
      </c>
      <c r="N54" s="198">
        <v>35</v>
      </c>
      <c r="O54" s="198">
        <v>0</v>
      </c>
      <c r="P54" s="198">
        <v>3417.8556452600001</v>
      </c>
      <c r="Q54" s="198">
        <v>0</v>
      </c>
      <c r="R54" s="198">
        <v>0</v>
      </c>
      <c r="S54" s="198">
        <v>1500</v>
      </c>
      <c r="T54" s="198">
        <v>0</v>
      </c>
      <c r="U54" s="198">
        <v>2000</v>
      </c>
      <c r="V54" s="198">
        <v>4500</v>
      </c>
      <c r="W54" s="198">
        <v>84</v>
      </c>
      <c r="X54" s="198">
        <v>1500</v>
      </c>
      <c r="Y54" s="198">
        <v>186</v>
      </c>
      <c r="Z54" s="277">
        <v>41142.203202835997</v>
      </c>
      <c r="AA54" s="272">
        <v>0</v>
      </c>
      <c r="AB54" s="198">
        <v>0</v>
      </c>
      <c r="AC54" s="272">
        <v>530</v>
      </c>
      <c r="AD54" s="198">
        <v>1.9079999999999999</v>
      </c>
      <c r="AE54" s="198">
        <v>1.9079999999999999</v>
      </c>
      <c r="AF54" s="198">
        <v>0</v>
      </c>
      <c r="AG54" s="198">
        <v>0</v>
      </c>
      <c r="AH54" s="198">
        <v>0</v>
      </c>
      <c r="AI54" s="198">
        <v>0</v>
      </c>
      <c r="AJ54" s="198">
        <v>0</v>
      </c>
      <c r="AK54" s="198">
        <v>0</v>
      </c>
      <c r="AL54" s="198">
        <v>0</v>
      </c>
      <c r="AM54" s="198">
        <v>2.8208604310312458E-2</v>
      </c>
      <c r="AN54" s="198">
        <v>7.2088655459687208E-3</v>
      </c>
      <c r="AO54" s="198">
        <v>0</v>
      </c>
      <c r="AP54" s="198">
        <v>1.0306988422905739E-3</v>
      </c>
      <c r="AQ54" s="198">
        <v>1.2886111507039639E-3</v>
      </c>
      <c r="AS54" s="258">
        <f t="shared" si="0"/>
        <v>55192.265596604484</v>
      </c>
      <c r="AT54" s="3">
        <f t="shared" si="1"/>
        <v>0</v>
      </c>
      <c r="AU54" s="3">
        <f t="shared" si="2"/>
        <v>0</v>
      </c>
      <c r="AV54" s="3">
        <f t="shared" si="3"/>
        <v>32.932755042439759</v>
      </c>
      <c r="AW54" s="3">
        <f t="shared" si="4"/>
        <v>1.1855791815278314</v>
      </c>
      <c r="AX54" s="3">
        <f t="shared" si="5"/>
        <v>1.1855791815278314</v>
      </c>
      <c r="AY54" s="102">
        <f t="shared" si="6"/>
        <v>0</v>
      </c>
      <c r="AZ54" s="102">
        <f t="shared" si="7"/>
        <v>1</v>
      </c>
    </row>
    <row r="55" spans="1:52" x14ac:dyDescent="0.35">
      <c r="A55" t="s">
        <v>627</v>
      </c>
      <c r="B55">
        <v>2035</v>
      </c>
      <c r="C55" t="s">
        <v>837</v>
      </c>
      <c r="D55" t="s">
        <v>1018</v>
      </c>
      <c r="E55" t="s">
        <v>1019</v>
      </c>
      <c r="F55" t="s">
        <v>989</v>
      </c>
      <c r="G55" t="s">
        <v>978</v>
      </c>
      <c r="H55" s="198">
        <v>16256.562557576</v>
      </c>
      <c r="I55" s="198">
        <v>0</v>
      </c>
      <c r="J55" s="198">
        <v>15924.594934500001</v>
      </c>
      <c r="K55" s="198">
        <v>4897.7846775000007</v>
      </c>
      <c r="L55" s="198">
        <v>0</v>
      </c>
      <c r="M55" s="198">
        <v>1964.7316584</v>
      </c>
      <c r="N55" s="198">
        <v>35</v>
      </c>
      <c r="O55" s="198">
        <v>0</v>
      </c>
      <c r="P55" s="198">
        <v>3417.8556452600001</v>
      </c>
      <c r="Q55" s="198">
        <v>0</v>
      </c>
      <c r="R55" s="198">
        <v>0</v>
      </c>
      <c r="S55" s="198">
        <v>1500</v>
      </c>
      <c r="T55" s="198">
        <v>0</v>
      </c>
      <c r="U55" s="198">
        <v>2000</v>
      </c>
      <c r="V55" s="198">
        <v>4500</v>
      </c>
      <c r="W55" s="198">
        <v>84</v>
      </c>
      <c r="X55" s="198">
        <v>1500</v>
      </c>
      <c r="Y55" s="198">
        <v>186</v>
      </c>
      <c r="Z55" s="277">
        <v>52266.529473236005</v>
      </c>
      <c r="AA55" s="272">
        <v>37.954237149999997</v>
      </c>
      <c r="AB55" s="198">
        <v>3.5390037473062481</v>
      </c>
      <c r="AC55" s="272">
        <v>0</v>
      </c>
      <c r="AD55" s="198">
        <v>0</v>
      </c>
      <c r="AE55" s="198">
        <v>3.5390037473062481</v>
      </c>
      <c r="AF55" s="198">
        <v>0</v>
      </c>
      <c r="AG55" s="198">
        <v>0</v>
      </c>
      <c r="AH55" s="198">
        <v>0</v>
      </c>
      <c r="AI55" s="198">
        <v>0</v>
      </c>
      <c r="AJ55" s="198">
        <v>0</v>
      </c>
      <c r="AK55" s="198">
        <v>0</v>
      </c>
      <c r="AL55" s="198">
        <v>0</v>
      </c>
      <c r="AM55" s="198">
        <v>3.3084671236130681E-2</v>
      </c>
      <c r="AN55" s="198">
        <v>8.4549715381222988E-3</v>
      </c>
      <c r="AO55" s="198">
        <v>0</v>
      </c>
      <c r="AP55" s="198">
        <v>1.2088627982270654E-3</v>
      </c>
      <c r="AQ55" s="198">
        <v>1.5113571661773855E-3</v>
      </c>
      <c r="AS55" s="258">
        <f t="shared" si="0"/>
        <v>70115.549288346097</v>
      </c>
      <c r="AT55" s="3">
        <f t="shared" si="1"/>
        <v>6.1973349197305145</v>
      </c>
      <c r="AU55" s="3">
        <f t="shared" si="2"/>
        <v>2.3921355899507697</v>
      </c>
      <c r="AV55" s="3">
        <f t="shared" si="3"/>
        <v>0</v>
      </c>
      <c r="AW55" s="3">
        <f t="shared" si="4"/>
        <v>0</v>
      </c>
      <c r="AX55" s="3">
        <f t="shared" si="5"/>
        <v>2.3921355899507697</v>
      </c>
      <c r="AY55" s="102">
        <f t="shared" si="6"/>
        <v>1</v>
      </c>
      <c r="AZ55" s="102">
        <f t="shared" si="7"/>
        <v>0</v>
      </c>
    </row>
    <row r="56" spans="1:52" x14ac:dyDescent="0.35">
      <c r="A56" t="s">
        <v>1065</v>
      </c>
      <c r="B56">
        <v>2035</v>
      </c>
      <c r="C56" t="s">
        <v>837</v>
      </c>
      <c r="D56" t="s">
        <v>1018</v>
      </c>
      <c r="E56" t="s">
        <v>1019</v>
      </c>
      <c r="F56" t="s">
        <v>989</v>
      </c>
      <c r="G56" t="s">
        <v>978</v>
      </c>
      <c r="H56" s="198">
        <v>16256.562557576</v>
      </c>
      <c r="I56" s="198">
        <v>0</v>
      </c>
      <c r="J56" s="198">
        <v>6378.376351500001</v>
      </c>
      <c r="K56" s="198">
        <v>5064.9595425000007</v>
      </c>
      <c r="L56" s="198">
        <v>0</v>
      </c>
      <c r="M56" s="198">
        <v>1027.7549999999999</v>
      </c>
      <c r="N56" s="198">
        <v>35</v>
      </c>
      <c r="O56" s="198">
        <v>0</v>
      </c>
      <c r="P56" s="198">
        <v>3415.5641706000001</v>
      </c>
      <c r="Q56" s="198">
        <v>0</v>
      </c>
      <c r="R56" s="198">
        <v>0</v>
      </c>
      <c r="S56" s="198">
        <v>1500</v>
      </c>
      <c r="T56" s="198">
        <v>0</v>
      </c>
      <c r="U56" s="198">
        <v>2000</v>
      </c>
      <c r="V56" s="198">
        <v>4500</v>
      </c>
      <c r="W56" s="198">
        <v>84</v>
      </c>
      <c r="X56" s="198">
        <v>1500</v>
      </c>
      <c r="Y56" s="198">
        <v>186</v>
      </c>
      <c r="Z56" s="277">
        <v>41948.217622176002</v>
      </c>
      <c r="AA56" s="272">
        <v>39.854045579999998</v>
      </c>
      <c r="AB56" s="198">
        <v>3.3703024509864581</v>
      </c>
      <c r="AC56" s="272">
        <v>0</v>
      </c>
      <c r="AD56" s="198">
        <v>0</v>
      </c>
      <c r="AE56" s="198">
        <v>3.3703024509864581</v>
      </c>
      <c r="AF56" s="198">
        <v>0</v>
      </c>
      <c r="AG56" s="198">
        <v>0</v>
      </c>
      <c r="AH56" s="198">
        <v>0</v>
      </c>
      <c r="AI56" s="198">
        <v>0</v>
      </c>
      <c r="AJ56" s="198">
        <v>0</v>
      </c>
      <c r="AK56" s="198">
        <v>0</v>
      </c>
      <c r="AL56" s="198">
        <v>0</v>
      </c>
      <c r="AM56" s="198">
        <v>3.1507553119175399E-2</v>
      </c>
      <c r="AN56" s="198">
        <v>8.0519302415670603E-3</v>
      </c>
      <c r="AO56" s="198">
        <v>0</v>
      </c>
      <c r="AP56" s="198">
        <v>1.1512373375903247E-3</v>
      </c>
      <c r="AQ56" s="198">
        <v>1.4393120564963344E-3</v>
      </c>
      <c r="AS56" s="258">
        <f t="shared" si="0"/>
        <v>56273.5339401491</v>
      </c>
      <c r="AT56" s="3">
        <f t="shared" si="1"/>
        <v>5.9019132391283868</v>
      </c>
      <c r="AU56" s="3">
        <f t="shared" si="2"/>
        <v>2.2781045225057093</v>
      </c>
      <c r="AV56" s="3">
        <f t="shared" si="3"/>
        <v>0</v>
      </c>
      <c r="AW56" s="3">
        <f t="shared" si="4"/>
        <v>0</v>
      </c>
      <c r="AX56" s="3">
        <f t="shared" si="5"/>
        <v>2.2781045225057093</v>
      </c>
      <c r="AY56" s="102">
        <f t="shared" si="6"/>
        <v>1</v>
      </c>
      <c r="AZ56" s="102">
        <f t="shared" si="7"/>
        <v>0</v>
      </c>
    </row>
    <row r="57" spans="1:52" x14ac:dyDescent="0.35">
      <c r="A57" t="s">
        <v>1017</v>
      </c>
      <c r="B57">
        <v>2050</v>
      </c>
      <c r="C57" t="s">
        <v>837</v>
      </c>
      <c r="D57" t="s">
        <v>1018</v>
      </c>
      <c r="E57" t="s">
        <v>1019</v>
      </c>
      <c r="F57" t="s">
        <v>983</v>
      </c>
      <c r="G57" t="s">
        <v>978</v>
      </c>
      <c r="H57" s="198">
        <v>16332.09874204</v>
      </c>
      <c r="I57" s="198">
        <v>14473</v>
      </c>
      <c r="J57" s="198">
        <v>0</v>
      </c>
      <c r="K57" s="198">
        <v>0</v>
      </c>
      <c r="L57" s="198">
        <v>120</v>
      </c>
      <c r="M57" s="198">
        <v>0</v>
      </c>
      <c r="N57" s="198">
        <v>0</v>
      </c>
      <c r="O57" s="198">
        <v>150</v>
      </c>
      <c r="P57" s="198">
        <v>0</v>
      </c>
      <c r="Q57" s="198">
        <v>0</v>
      </c>
      <c r="R57" s="198">
        <v>44</v>
      </c>
      <c r="S57" s="198">
        <v>5674</v>
      </c>
      <c r="T57" s="198">
        <v>506</v>
      </c>
      <c r="U57" s="198">
        <v>2000</v>
      </c>
      <c r="V57" s="198">
        <v>1920</v>
      </c>
      <c r="W57" s="198">
        <v>0</v>
      </c>
      <c r="X57" s="198">
        <v>0</v>
      </c>
      <c r="Y57" s="198">
        <v>186</v>
      </c>
      <c r="Z57" s="277">
        <v>41405.098742039998</v>
      </c>
      <c r="AA57" s="272">
        <v>15.78374361</v>
      </c>
      <c r="AB57" s="198">
        <v>8.5100335395019773</v>
      </c>
      <c r="AC57" s="272">
        <v>0</v>
      </c>
      <c r="AD57" s="198">
        <v>0</v>
      </c>
      <c r="AE57" s="198">
        <v>8.5100335395019773</v>
      </c>
      <c r="AF57" s="198">
        <v>637.02311430560246</v>
      </c>
      <c r="AG57" s="198">
        <v>0.28004659063965248</v>
      </c>
      <c r="AH57" s="198">
        <v>1.4797178238217723E-3</v>
      </c>
      <c r="AI57" s="198">
        <v>645.81663718598145</v>
      </c>
      <c r="AJ57" s="198">
        <v>0.27174243693755823</v>
      </c>
      <c r="AK57" s="198">
        <v>6.3413145368413693</v>
      </c>
      <c r="AL57" s="198">
        <v>0.29689415678580067</v>
      </c>
      <c r="AM57" s="198">
        <v>5.3365508901624815E-2</v>
      </c>
      <c r="AN57" s="198">
        <v>2.1942496845144051E-2</v>
      </c>
      <c r="AO57" s="198">
        <v>4.3935243736332149E-3</v>
      </c>
      <c r="AP57" s="198">
        <v>3.6459502653154166E-3</v>
      </c>
      <c r="AQ57" s="198">
        <v>3.4630066703033265E-3</v>
      </c>
      <c r="AS57" s="258">
        <f t="shared" si="0"/>
        <v>55544.939962446653</v>
      </c>
      <c r="AT57" s="3">
        <f t="shared" si="1"/>
        <v>14.902365690507319</v>
      </c>
      <c r="AU57" s="3">
        <f t="shared" si="2"/>
        <v>5.7522273371460741</v>
      </c>
      <c r="AV57" s="3">
        <f t="shared" si="3"/>
        <v>0</v>
      </c>
      <c r="AW57" s="3">
        <f t="shared" si="4"/>
        <v>0</v>
      </c>
      <c r="AX57" s="3">
        <f t="shared" si="5"/>
        <v>5.7522273371460741</v>
      </c>
      <c r="AY57" s="102">
        <f t="shared" si="6"/>
        <v>1</v>
      </c>
      <c r="AZ57" s="102">
        <f t="shared" si="7"/>
        <v>0</v>
      </c>
    </row>
    <row r="58" spans="1:52" x14ac:dyDescent="0.35">
      <c r="A58" t="s">
        <v>1020</v>
      </c>
      <c r="B58">
        <v>2050</v>
      </c>
      <c r="C58" t="s">
        <v>837</v>
      </c>
      <c r="D58" t="s">
        <v>1018</v>
      </c>
      <c r="E58" t="s">
        <v>1019</v>
      </c>
      <c r="F58" t="s">
        <v>983</v>
      </c>
      <c r="G58" t="s">
        <v>978</v>
      </c>
      <c r="H58" s="198">
        <v>16332.09874204</v>
      </c>
      <c r="I58" s="198">
        <v>14050</v>
      </c>
      <c r="J58" s="198">
        <v>0</v>
      </c>
      <c r="K58" s="198">
        <v>0</v>
      </c>
      <c r="L58" s="198">
        <v>150</v>
      </c>
      <c r="M58" s="198">
        <v>605.08040194</v>
      </c>
      <c r="N58" s="198">
        <v>28.89</v>
      </c>
      <c r="O58" s="198">
        <v>150</v>
      </c>
      <c r="P58" s="198">
        <v>662.23176910000007</v>
      </c>
      <c r="Q58" s="198">
        <v>0</v>
      </c>
      <c r="R58" s="198">
        <v>0</v>
      </c>
      <c r="S58" s="198">
        <v>5469</v>
      </c>
      <c r="T58" s="198">
        <v>392</v>
      </c>
      <c r="U58" s="198">
        <v>2000</v>
      </c>
      <c r="V58" s="198">
        <v>4720</v>
      </c>
      <c r="W58" s="198">
        <v>60.668999999999997</v>
      </c>
      <c r="X58" s="198">
        <v>1500</v>
      </c>
      <c r="Y58" s="198">
        <v>186</v>
      </c>
      <c r="Z58" s="277">
        <v>46305.969913079993</v>
      </c>
      <c r="AA58" s="272">
        <v>22.76695797</v>
      </c>
      <c r="AB58" s="198">
        <v>5.8997863340808907</v>
      </c>
      <c r="AC58" s="272">
        <v>0</v>
      </c>
      <c r="AD58" s="198">
        <v>0</v>
      </c>
      <c r="AE58" s="198">
        <v>5.8997863340808907</v>
      </c>
      <c r="AF58" s="198">
        <v>441.63166300444277</v>
      </c>
      <c r="AG58" s="198">
        <v>0.19414906424193221</v>
      </c>
      <c r="AH58" s="198">
        <v>1.0258501279409181E-3</v>
      </c>
      <c r="AI58" s="198">
        <v>447.72798517253659</v>
      </c>
      <c r="AJ58" s="198">
        <v>0.1883920090787172</v>
      </c>
      <c r="AK58" s="198">
        <v>4.3962694942274743</v>
      </c>
      <c r="AL58" s="198">
        <v>0.20582904647116629</v>
      </c>
      <c r="AM58" s="198">
        <v>3.6996928233904887E-2</v>
      </c>
      <c r="AN58" s="198">
        <v>1.5212166018110656E-2</v>
      </c>
      <c r="AO58" s="198">
        <v>3.0459169094566793E-3</v>
      </c>
      <c r="AP58" s="198">
        <v>2.5276430991957423E-3</v>
      </c>
      <c r="AQ58" s="198">
        <v>2.4008130324574719E-3</v>
      </c>
      <c r="AS58" s="258">
        <f t="shared" si="0"/>
        <v>62119.458638396805</v>
      </c>
      <c r="AT58" s="3">
        <f t="shared" si="1"/>
        <v>10.331425021795662</v>
      </c>
      <c r="AU58" s="3">
        <f t="shared" si="2"/>
        <v>3.9878705620479815</v>
      </c>
      <c r="AV58" s="3">
        <f t="shared" si="3"/>
        <v>0</v>
      </c>
      <c r="AW58" s="3">
        <f t="shared" si="4"/>
        <v>0</v>
      </c>
      <c r="AX58" s="3">
        <f t="shared" si="5"/>
        <v>3.9878705620479815</v>
      </c>
      <c r="AY58" s="102">
        <f t="shared" si="6"/>
        <v>1</v>
      </c>
      <c r="AZ58" s="102">
        <f t="shared" si="7"/>
        <v>0</v>
      </c>
    </row>
    <row r="59" spans="1:52" x14ac:dyDescent="0.35">
      <c r="A59" t="s">
        <v>1021</v>
      </c>
      <c r="B59">
        <v>2050</v>
      </c>
      <c r="C59" t="s">
        <v>837</v>
      </c>
      <c r="D59" t="s">
        <v>1018</v>
      </c>
      <c r="E59" t="s">
        <v>1019</v>
      </c>
      <c r="F59" t="s">
        <v>983</v>
      </c>
      <c r="G59" t="s">
        <v>978</v>
      </c>
      <c r="H59" s="198">
        <v>16332.09874204</v>
      </c>
      <c r="I59" s="198">
        <v>11200</v>
      </c>
      <c r="J59" s="198">
        <v>0</v>
      </c>
      <c r="K59" s="198">
        <v>0</v>
      </c>
      <c r="L59" s="198">
        <v>0</v>
      </c>
      <c r="M59" s="198">
        <v>3857.8049999999998</v>
      </c>
      <c r="N59" s="198">
        <v>28.89</v>
      </c>
      <c r="O59" s="198">
        <v>0</v>
      </c>
      <c r="P59" s="198">
        <v>2315.7369025999997</v>
      </c>
      <c r="Q59" s="198">
        <v>0</v>
      </c>
      <c r="R59" s="198">
        <v>1389.0558099</v>
      </c>
      <c r="S59" s="198">
        <v>1500</v>
      </c>
      <c r="T59" s="198">
        <v>0</v>
      </c>
      <c r="U59" s="198">
        <v>2000</v>
      </c>
      <c r="V59" s="198">
        <v>4720</v>
      </c>
      <c r="W59" s="198">
        <v>60.668999999999997</v>
      </c>
      <c r="X59" s="198">
        <v>1500</v>
      </c>
      <c r="Y59" s="198">
        <v>186</v>
      </c>
      <c r="Z59" s="277">
        <v>45090.255454539998</v>
      </c>
      <c r="AA59" s="272">
        <v>155.11071420000005</v>
      </c>
      <c r="AB59" s="198">
        <v>0.86596331009608585</v>
      </c>
      <c r="AC59" s="272">
        <v>400</v>
      </c>
      <c r="AD59" s="198">
        <v>1.44</v>
      </c>
      <c r="AE59" s="198">
        <v>2.3059633100960859</v>
      </c>
      <c r="AF59" s="198">
        <v>64.822146952910799</v>
      </c>
      <c r="AG59" s="198">
        <v>2.8496958500310341E-2</v>
      </c>
      <c r="AH59" s="198">
        <v>1.5057300758885935E-4</v>
      </c>
      <c r="AI59" s="198">
        <v>65.716957548609614</v>
      </c>
      <c r="AJ59" s="198">
        <v>2.7651945094190087E-2</v>
      </c>
      <c r="AK59" s="198">
        <v>0.64527897583408855</v>
      </c>
      <c r="AL59" s="198">
        <v>3.0211331784417875E-2</v>
      </c>
      <c r="AM59" s="198">
        <v>2.6719875859970314E-2</v>
      </c>
      <c r="AN59" s="198">
        <v>7.6734760756163398E-3</v>
      </c>
      <c r="AO59" s="198">
        <v>4.4707590069050483E-4</v>
      </c>
      <c r="AP59" s="198">
        <v>1.1488902332690092E-3</v>
      </c>
      <c r="AQ59" s="198">
        <v>1.324925072409108E-3</v>
      </c>
      <c r="AS59" s="258">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102">
        <f t="shared" si="6"/>
        <v>0.39546663617328731</v>
      </c>
      <c r="AZ59" s="102">
        <f t="shared" si="7"/>
        <v>0.60453336382671263</v>
      </c>
    </row>
    <row r="60" spans="1:52" x14ac:dyDescent="0.35">
      <c r="A60" t="s">
        <v>246</v>
      </c>
      <c r="B60">
        <v>2050</v>
      </c>
      <c r="C60" t="s">
        <v>837</v>
      </c>
      <c r="D60" t="s">
        <v>1018</v>
      </c>
      <c r="E60" t="s">
        <v>1019</v>
      </c>
      <c r="F60" t="s">
        <v>977</v>
      </c>
      <c r="G60" t="s">
        <v>978</v>
      </c>
      <c r="H60" s="198">
        <v>16332.09874204</v>
      </c>
      <c r="I60" s="198">
        <v>0</v>
      </c>
      <c r="J60" s="198">
        <v>0</v>
      </c>
      <c r="K60" s="198">
        <v>0</v>
      </c>
      <c r="L60" s="198">
        <v>0</v>
      </c>
      <c r="M60" s="198">
        <v>8080.5375000000004</v>
      </c>
      <c r="N60" s="198">
        <v>28.89</v>
      </c>
      <c r="O60" s="198">
        <v>0</v>
      </c>
      <c r="P60" s="198">
        <v>2316.0017451999997</v>
      </c>
      <c r="Q60" s="198">
        <v>0</v>
      </c>
      <c r="R60" s="198">
        <v>0</v>
      </c>
      <c r="S60" s="198">
        <v>1500</v>
      </c>
      <c r="T60" s="198">
        <v>0</v>
      </c>
      <c r="U60" s="198">
        <v>2000</v>
      </c>
      <c r="V60" s="198">
        <v>4500</v>
      </c>
      <c r="W60" s="198">
        <v>60.668999999999997</v>
      </c>
      <c r="X60" s="198">
        <v>1500</v>
      </c>
      <c r="Y60" s="198">
        <v>186</v>
      </c>
      <c r="Z60" s="277">
        <v>36504.19698724</v>
      </c>
      <c r="AA60" s="272">
        <v>0</v>
      </c>
      <c r="AB60" s="198">
        <v>0</v>
      </c>
      <c r="AC60" s="272">
        <v>473</v>
      </c>
      <c r="AD60" s="198">
        <v>1.7027999999999999</v>
      </c>
      <c r="AE60" s="198">
        <v>1.7027999999999999</v>
      </c>
      <c r="AF60" s="198">
        <v>0</v>
      </c>
      <c r="AG60" s="198">
        <v>0</v>
      </c>
      <c r="AH60" s="198">
        <v>0</v>
      </c>
      <c r="AI60" s="198">
        <v>0</v>
      </c>
      <c r="AJ60" s="198">
        <v>0</v>
      </c>
      <c r="AK60" s="198">
        <v>0</v>
      </c>
      <c r="AL60" s="198">
        <v>0</v>
      </c>
      <c r="AM60" s="198">
        <v>2.5174848752410928E-2</v>
      </c>
      <c r="AN60" s="198">
        <v>6.4335724589494429E-3</v>
      </c>
      <c r="AO60" s="198">
        <v>0</v>
      </c>
      <c r="AP60" s="198">
        <v>9.1985009887441782E-4</v>
      </c>
      <c r="AQ60" s="198">
        <v>1.150024668458443E-3</v>
      </c>
      <c r="AS60" s="258">
        <f t="shared" si="0"/>
        <v>48970.380258382458</v>
      </c>
      <c r="AT60" s="3">
        <f t="shared" si="1"/>
        <v>0</v>
      </c>
      <c r="AU60" s="3">
        <f t="shared" si="2"/>
        <v>0</v>
      </c>
      <c r="AV60" s="3">
        <f t="shared" si="3"/>
        <v>29.390930443535858</v>
      </c>
      <c r="AW60" s="3">
        <f t="shared" si="4"/>
        <v>1.0580734959672911</v>
      </c>
      <c r="AX60" s="3">
        <f t="shared" si="5"/>
        <v>1.0580734959672911</v>
      </c>
      <c r="AY60" s="102">
        <f t="shared" si="6"/>
        <v>0</v>
      </c>
      <c r="AZ60" s="102">
        <f t="shared" si="7"/>
        <v>1</v>
      </c>
    </row>
    <row r="61" spans="1:52" x14ac:dyDescent="0.35">
      <c r="A61" t="s">
        <v>627</v>
      </c>
      <c r="B61">
        <v>2050</v>
      </c>
      <c r="C61" t="s">
        <v>837</v>
      </c>
      <c r="D61" t="s">
        <v>1018</v>
      </c>
      <c r="E61" t="s">
        <v>1019</v>
      </c>
      <c r="F61" t="s">
        <v>989</v>
      </c>
      <c r="G61" t="s">
        <v>978</v>
      </c>
      <c r="H61" s="198">
        <v>16332.09874204</v>
      </c>
      <c r="I61" s="198">
        <v>0</v>
      </c>
      <c r="J61" s="198">
        <v>12969.609775999999</v>
      </c>
      <c r="K61" s="198">
        <v>4368.8860379999996</v>
      </c>
      <c r="L61" s="198">
        <v>0</v>
      </c>
      <c r="M61" s="198">
        <v>1815.2412065000001</v>
      </c>
      <c r="N61" s="198">
        <v>28.89</v>
      </c>
      <c r="O61" s="198">
        <v>0</v>
      </c>
      <c r="P61" s="198">
        <v>2316.0017451999997</v>
      </c>
      <c r="Q61" s="198">
        <v>0</v>
      </c>
      <c r="R61" s="198">
        <v>0</v>
      </c>
      <c r="S61" s="198">
        <v>1500</v>
      </c>
      <c r="T61" s="198">
        <v>0</v>
      </c>
      <c r="U61" s="198">
        <v>2000</v>
      </c>
      <c r="V61" s="198">
        <v>4500</v>
      </c>
      <c r="W61" s="198">
        <v>60.668999999999997</v>
      </c>
      <c r="X61" s="198">
        <v>1500</v>
      </c>
      <c r="Y61" s="198">
        <v>186</v>
      </c>
      <c r="Z61" s="277">
        <v>47577.396507740006</v>
      </c>
      <c r="AA61" s="272">
        <v>41.972639450000003</v>
      </c>
      <c r="AB61" s="198">
        <v>3.2001844358634917</v>
      </c>
      <c r="AC61" s="272">
        <v>0</v>
      </c>
      <c r="AD61" s="198">
        <v>0</v>
      </c>
      <c r="AE61" s="198">
        <v>3.2001844358634917</v>
      </c>
      <c r="AF61" s="198">
        <v>0</v>
      </c>
      <c r="AG61" s="198">
        <v>0</v>
      </c>
      <c r="AH61" s="198">
        <v>0</v>
      </c>
      <c r="AI61" s="198">
        <v>0</v>
      </c>
      <c r="AJ61" s="198">
        <v>0</v>
      </c>
      <c r="AK61" s="198">
        <v>0</v>
      </c>
      <c r="AL61" s="198">
        <v>0</v>
      </c>
      <c r="AM61" s="198">
        <v>2.9917190688513805E-2</v>
      </c>
      <c r="AN61" s="198">
        <v>7.6455042870646516E-3</v>
      </c>
      <c r="AO61" s="198">
        <v>0</v>
      </c>
      <c r="AP61" s="198">
        <v>1.0931279501823809E-3</v>
      </c>
      <c r="AQ61" s="198">
        <v>1.3666619267959435E-3</v>
      </c>
      <c r="AS61" s="258">
        <f t="shared" si="0"/>
        <v>63825.077415133215</v>
      </c>
      <c r="AT61" s="3">
        <f t="shared" si="1"/>
        <v>5.6040106679883372</v>
      </c>
      <c r="AU61" s="3">
        <f t="shared" si="2"/>
        <v>2.1631158455999042</v>
      </c>
      <c r="AV61" s="3">
        <f t="shared" si="3"/>
        <v>0</v>
      </c>
      <c r="AW61" s="3">
        <f t="shared" si="4"/>
        <v>0</v>
      </c>
      <c r="AX61" s="3">
        <f t="shared" si="5"/>
        <v>2.1631158455999042</v>
      </c>
      <c r="AY61" s="102">
        <f t="shared" si="6"/>
        <v>1</v>
      </c>
      <c r="AZ61" s="102">
        <f t="shared" si="7"/>
        <v>0</v>
      </c>
    </row>
    <row r="62" spans="1:52" x14ac:dyDescent="0.35">
      <c r="A62" t="s">
        <v>1065</v>
      </c>
      <c r="B62">
        <v>2050</v>
      </c>
      <c r="C62" t="s">
        <v>837</v>
      </c>
      <c r="D62" t="s">
        <v>1018</v>
      </c>
      <c r="E62" t="s">
        <v>1019</v>
      </c>
      <c r="F62" t="s">
        <v>989</v>
      </c>
      <c r="G62" t="s">
        <v>978</v>
      </c>
      <c r="H62" s="198">
        <v>16332.09874204</v>
      </c>
      <c r="I62" s="198">
        <v>0</v>
      </c>
      <c r="J62" s="198">
        <v>4816.7540879999997</v>
      </c>
      <c r="K62" s="198">
        <v>4521.4510769999997</v>
      </c>
      <c r="L62" s="198">
        <v>0</v>
      </c>
      <c r="M62" s="198">
        <v>808.05375000000004</v>
      </c>
      <c r="N62" s="198">
        <v>28.89</v>
      </c>
      <c r="O62" s="198">
        <v>0</v>
      </c>
      <c r="P62" s="198">
        <v>2338.91383</v>
      </c>
      <c r="Q62" s="198">
        <v>0</v>
      </c>
      <c r="R62" s="198">
        <v>0</v>
      </c>
      <c r="S62" s="198">
        <v>1500</v>
      </c>
      <c r="T62" s="198">
        <v>0</v>
      </c>
      <c r="U62" s="198">
        <v>2000</v>
      </c>
      <c r="V62" s="198">
        <v>4500</v>
      </c>
      <c r="W62" s="198">
        <v>60.668999999999997</v>
      </c>
      <c r="X62" s="198">
        <v>1500</v>
      </c>
      <c r="Y62" s="198">
        <v>186</v>
      </c>
      <c r="Z62" s="277">
        <v>38592.830487039995</v>
      </c>
      <c r="AA62" s="272">
        <v>44.684232289999997</v>
      </c>
      <c r="AB62" s="198">
        <v>3.0059862420431438</v>
      </c>
      <c r="AC62" s="272">
        <v>0</v>
      </c>
      <c r="AD62" s="198">
        <v>0</v>
      </c>
      <c r="AE62" s="198">
        <v>3.0059862420431438</v>
      </c>
      <c r="AF62" s="198">
        <v>0</v>
      </c>
      <c r="AG62" s="198">
        <v>0</v>
      </c>
      <c r="AH62" s="198">
        <v>0</v>
      </c>
      <c r="AI62" s="198">
        <v>0</v>
      </c>
      <c r="AJ62" s="198">
        <v>0</v>
      </c>
      <c r="AK62" s="198">
        <v>0</v>
      </c>
      <c r="AL62" s="198">
        <v>0</v>
      </c>
      <c r="AM62" s="198">
        <v>2.8101712702064359E-2</v>
      </c>
      <c r="AN62" s="198">
        <v>7.1815488016386811E-3</v>
      </c>
      <c r="AO62" s="198">
        <v>0</v>
      </c>
      <c r="AP62" s="198">
        <v>1.026793187985252E-3</v>
      </c>
      <c r="AQ62" s="198">
        <v>1.2837281824865485E-3</v>
      </c>
      <c r="AS62" s="258">
        <f t="shared" si="0"/>
        <v>51772.28209836415</v>
      </c>
      <c r="AT62" s="3">
        <f t="shared" si="1"/>
        <v>5.2639400340345013</v>
      </c>
      <c r="AU62" s="3">
        <f t="shared" si="2"/>
        <v>2.0318505392844171</v>
      </c>
      <c r="AV62" s="3">
        <f t="shared" si="3"/>
        <v>0</v>
      </c>
      <c r="AW62" s="3">
        <f t="shared" si="4"/>
        <v>0</v>
      </c>
      <c r="AX62" s="3">
        <f t="shared" si="5"/>
        <v>2.0318505392844171</v>
      </c>
      <c r="AY62" s="102">
        <f t="shared" si="6"/>
        <v>1</v>
      </c>
      <c r="AZ62" s="102">
        <f t="shared" si="7"/>
        <v>0</v>
      </c>
    </row>
    <row r="63" spans="1:52" x14ac:dyDescent="0.35">
      <c r="A63" t="s">
        <v>1017</v>
      </c>
      <c r="B63">
        <v>2021</v>
      </c>
      <c r="C63" t="s">
        <v>837</v>
      </c>
      <c r="D63" t="s">
        <v>652</v>
      </c>
      <c r="E63" t="s">
        <v>1019</v>
      </c>
      <c r="F63" t="s">
        <v>983</v>
      </c>
      <c r="G63" t="s">
        <v>978</v>
      </c>
      <c r="H63" s="198">
        <v>16000</v>
      </c>
      <c r="I63" s="198">
        <v>14881</v>
      </c>
      <c r="J63" s="198">
        <v>0</v>
      </c>
      <c r="K63" s="198">
        <v>0</v>
      </c>
      <c r="L63" s="198">
        <v>120</v>
      </c>
      <c r="M63" s="198">
        <v>0</v>
      </c>
      <c r="N63" s="198">
        <v>0</v>
      </c>
      <c r="O63" s="198">
        <v>150</v>
      </c>
      <c r="P63" s="198">
        <v>0</v>
      </c>
      <c r="Q63" s="198">
        <v>0</v>
      </c>
      <c r="R63" s="198">
        <v>104.8</v>
      </c>
      <c r="S63" s="198">
        <v>6124</v>
      </c>
      <c r="T63" s="198">
        <v>506</v>
      </c>
      <c r="U63" s="198">
        <v>2000</v>
      </c>
      <c r="V63" s="198">
        <v>1920</v>
      </c>
      <c r="W63" s="198">
        <v>0</v>
      </c>
      <c r="X63" s="198">
        <v>0</v>
      </c>
      <c r="Y63" s="198">
        <v>186</v>
      </c>
      <c r="Z63" s="277">
        <v>41991.8</v>
      </c>
      <c r="AA63" s="272">
        <v>11.745996890000001</v>
      </c>
      <c r="AB63" s="198">
        <v>11.43540124843333</v>
      </c>
      <c r="AC63" s="272">
        <v>0</v>
      </c>
      <c r="AD63" s="198">
        <v>0</v>
      </c>
      <c r="AE63" s="198">
        <v>11.43540124843333</v>
      </c>
      <c r="AF63" s="198">
        <v>856.00307951753177</v>
      </c>
      <c r="AG63" s="198">
        <v>0.3763140435763303</v>
      </c>
      <c r="AH63" s="198">
        <v>1.9883784207565887E-3</v>
      </c>
      <c r="AI63" s="198">
        <v>867.8194210228437</v>
      </c>
      <c r="AJ63" s="198">
        <v>0.36515529441613981</v>
      </c>
      <c r="AK63" s="198">
        <v>8.5211739571531648</v>
      </c>
      <c r="AL63" s="198">
        <v>0.39895304705927087</v>
      </c>
      <c r="AM63" s="198">
        <v>7.1710176497451705E-2</v>
      </c>
      <c r="AN63" s="198">
        <v>2.9485342760633707E-2</v>
      </c>
      <c r="AO63" s="198">
        <v>5.903820927855916E-3</v>
      </c>
      <c r="AP63" s="198">
        <v>4.8992643827057919E-3</v>
      </c>
      <c r="AQ63" s="198">
        <v>4.6534329879077217E-3</v>
      </c>
      <c r="AS63" s="258">
        <f t="shared" si="0"/>
        <v>56331.9997</v>
      </c>
      <c r="AT63" s="3">
        <f t="shared" si="1"/>
        <v>20.025130386479109</v>
      </c>
      <c r="AU63" s="3">
        <f t="shared" si="2"/>
        <v>7.7295850089354703</v>
      </c>
      <c r="AV63" s="3">
        <f t="shared" si="3"/>
        <v>0</v>
      </c>
      <c r="AW63" s="3">
        <f t="shared" si="4"/>
        <v>0</v>
      </c>
      <c r="AX63" s="3">
        <f t="shared" si="5"/>
        <v>7.7295850089354703</v>
      </c>
      <c r="AY63" s="102">
        <f t="shared" si="6"/>
        <v>1</v>
      </c>
      <c r="AZ63" s="102">
        <f t="shared" si="7"/>
        <v>0</v>
      </c>
    </row>
    <row r="64" spans="1:52" x14ac:dyDescent="0.35">
      <c r="A64" t="s">
        <v>1020</v>
      </c>
      <c r="B64">
        <v>2021</v>
      </c>
      <c r="C64" t="s">
        <v>837</v>
      </c>
      <c r="D64" t="s">
        <v>652</v>
      </c>
      <c r="E64" t="s">
        <v>1019</v>
      </c>
      <c r="F64" t="s">
        <v>983</v>
      </c>
      <c r="G64" t="s">
        <v>978</v>
      </c>
      <c r="H64" s="198">
        <v>16000</v>
      </c>
      <c r="I64" s="198">
        <v>13085</v>
      </c>
      <c r="J64" s="198">
        <v>0</v>
      </c>
      <c r="K64" s="198">
        <v>0</v>
      </c>
      <c r="L64" s="198">
        <v>150</v>
      </c>
      <c r="M64" s="198">
        <v>688.1306532000001</v>
      </c>
      <c r="N64" s="198">
        <v>75</v>
      </c>
      <c r="O64" s="198">
        <v>150</v>
      </c>
      <c r="P64" s="198">
        <v>1653.0088175999999</v>
      </c>
      <c r="Q64" s="198">
        <v>0</v>
      </c>
      <c r="R64" s="198">
        <v>0</v>
      </c>
      <c r="S64" s="198">
        <v>5438</v>
      </c>
      <c r="T64" s="198">
        <v>392</v>
      </c>
      <c r="U64" s="198">
        <v>2000</v>
      </c>
      <c r="V64" s="198">
        <v>4720</v>
      </c>
      <c r="W64" s="198">
        <v>150</v>
      </c>
      <c r="X64" s="198">
        <v>1500</v>
      </c>
      <c r="Y64" s="198">
        <v>186</v>
      </c>
      <c r="Z64" s="277">
        <v>46187.139470800001</v>
      </c>
      <c r="AA64" s="272">
        <v>17.60387523</v>
      </c>
      <c r="AB64" s="198">
        <v>7.630148802185075</v>
      </c>
      <c r="AC64" s="272">
        <v>0</v>
      </c>
      <c r="AD64" s="198">
        <v>0</v>
      </c>
      <c r="AE64" s="198">
        <v>7.630148802185075</v>
      </c>
      <c r="AF64" s="198">
        <v>571.15887146874263</v>
      </c>
      <c r="AG64" s="198">
        <v>0.25109150841845068</v>
      </c>
      <c r="AH64" s="198">
        <v>1.3267241696048992E-3</v>
      </c>
      <c r="AI64" s="198">
        <v>579.04319857054134</v>
      </c>
      <c r="AJ64" s="198">
        <v>0.24364595275417733</v>
      </c>
      <c r="AK64" s="198">
        <v>5.6856619063795799</v>
      </c>
      <c r="AL64" s="198">
        <v>0.26619714061755589</v>
      </c>
      <c r="AM64" s="198">
        <v>4.7847845949565891E-2</v>
      </c>
      <c r="AN64" s="198">
        <v>1.9673778633512138E-2</v>
      </c>
      <c r="AO64" s="198">
        <v>3.9392611769671418E-3</v>
      </c>
      <c r="AP64" s="198">
        <v>3.2689815992606309E-3</v>
      </c>
      <c r="AQ64" s="198">
        <v>3.1049532384005373E-3</v>
      </c>
      <c r="AS64" s="258">
        <f t="shared" si="0"/>
        <v>61960.0476000782</v>
      </c>
      <c r="AT64" s="3">
        <f t="shared" si="1"/>
        <v>13.361553417544197</v>
      </c>
      <c r="AU64" s="3">
        <f t="shared" si="2"/>
        <v>5.1574826729754477</v>
      </c>
      <c r="AV64" s="3">
        <f t="shared" si="3"/>
        <v>0</v>
      </c>
      <c r="AW64" s="3">
        <f t="shared" si="4"/>
        <v>0</v>
      </c>
      <c r="AX64" s="3">
        <f t="shared" si="5"/>
        <v>5.1574826729754477</v>
      </c>
      <c r="AY64" s="102">
        <f t="shared" si="6"/>
        <v>1</v>
      </c>
      <c r="AZ64" s="102">
        <f t="shared" si="7"/>
        <v>0</v>
      </c>
    </row>
    <row r="65" spans="1:52" x14ac:dyDescent="0.35">
      <c r="A65" t="s">
        <v>1021</v>
      </c>
      <c r="B65">
        <v>2021</v>
      </c>
      <c r="C65" t="s">
        <v>837</v>
      </c>
      <c r="D65" t="s">
        <v>652</v>
      </c>
      <c r="E65" t="s">
        <v>1019</v>
      </c>
      <c r="F65" t="s">
        <v>983</v>
      </c>
      <c r="G65" t="s">
        <v>978</v>
      </c>
      <c r="H65" s="198">
        <v>16000</v>
      </c>
      <c r="I65" s="198">
        <v>11017</v>
      </c>
      <c r="J65" s="198">
        <v>0</v>
      </c>
      <c r="K65" s="198">
        <v>0</v>
      </c>
      <c r="L65" s="198">
        <v>0</v>
      </c>
      <c r="M65" s="198">
        <v>10426.5</v>
      </c>
      <c r="N65" s="198">
        <v>75</v>
      </c>
      <c r="O65" s="198">
        <v>0</v>
      </c>
      <c r="P65" s="198">
        <v>6125.0778288000001</v>
      </c>
      <c r="Q65" s="198">
        <v>0</v>
      </c>
      <c r="R65" s="198">
        <v>3932.9313660399998</v>
      </c>
      <c r="S65" s="198">
        <v>1500</v>
      </c>
      <c r="T65" s="198">
        <v>0</v>
      </c>
      <c r="U65" s="198">
        <v>2000</v>
      </c>
      <c r="V65" s="198">
        <v>4720</v>
      </c>
      <c r="W65" s="198">
        <v>150</v>
      </c>
      <c r="X65" s="198">
        <v>1500</v>
      </c>
      <c r="Y65" s="198">
        <v>186</v>
      </c>
      <c r="Z65" s="277">
        <v>57632.50919484</v>
      </c>
      <c r="AA65" s="272">
        <v>99.670695400000028</v>
      </c>
      <c r="AB65" s="198">
        <v>1.3476397145715107</v>
      </c>
      <c r="AC65" s="272">
        <v>508</v>
      </c>
      <c r="AD65" s="198">
        <v>1.8288</v>
      </c>
      <c r="AE65" s="198">
        <v>3.1764397145715106</v>
      </c>
      <c r="AF65" s="198">
        <v>100.87829195424024</v>
      </c>
      <c r="AG65" s="198">
        <v>4.4347875448964701E-2</v>
      </c>
      <c r="AH65" s="198">
        <v>2.3432651545792263E-4</v>
      </c>
      <c r="AI65" s="198">
        <v>102.27082473446775</v>
      </c>
      <c r="AJ65" s="198">
        <v>4.3032838642951932E-2</v>
      </c>
      <c r="AK65" s="198">
        <v>1.0042037170322586</v>
      </c>
      <c r="AL65" s="198">
        <v>4.7015837816801451E-2</v>
      </c>
      <c r="AM65" s="198">
        <v>3.5488585430390414E-2</v>
      </c>
      <c r="AN65" s="198">
        <v>1.0384419704913082E-2</v>
      </c>
      <c r="AO65" s="198">
        <v>6.9575377175217835E-4</v>
      </c>
      <c r="AP65" s="198">
        <v>1.5652838606195177E-3</v>
      </c>
      <c r="AQ65" s="198">
        <v>1.7835196250987374E-3</v>
      </c>
      <c r="AS65" s="258">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102">
        <f t="shared" si="6"/>
        <v>0.44493922924357049</v>
      </c>
      <c r="AZ65" s="102">
        <f t="shared" si="7"/>
        <v>0.55506077075642946</v>
      </c>
    </row>
    <row r="66" spans="1:52" x14ac:dyDescent="0.35">
      <c r="A66" t="s">
        <v>246</v>
      </c>
      <c r="B66">
        <v>2021</v>
      </c>
      <c r="C66" t="s">
        <v>837</v>
      </c>
      <c r="D66" t="s">
        <v>652</v>
      </c>
      <c r="E66" t="s">
        <v>1019</v>
      </c>
      <c r="F66" t="s">
        <v>977</v>
      </c>
      <c r="G66" t="s">
        <v>978</v>
      </c>
      <c r="H66" s="198">
        <v>16000</v>
      </c>
      <c r="I66" s="198">
        <v>0</v>
      </c>
      <c r="J66" s="198">
        <v>0</v>
      </c>
      <c r="K66" s="198">
        <v>0</v>
      </c>
      <c r="L66" s="198">
        <v>0</v>
      </c>
      <c r="M66" s="198">
        <v>21895.65</v>
      </c>
      <c r="N66" s="198">
        <v>75</v>
      </c>
      <c r="O66" s="198">
        <v>0</v>
      </c>
      <c r="P66" s="198">
        <v>6110.5853492999995</v>
      </c>
      <c r="Q66" s="198">
        <v>0</v>
      </c>
      <c r="R66" s="198">
        <v>0</v>
      </c>
      <c r="S66" s="198">
        <v>1500</v>
      </c>
      <c r="T66" s="198">
        <v>0</v>
      </c>
      <c r="U66" s="198">
        <v>2000</v>
      </c>
      <c r="V66" s="198">
        <v>4500</v>
      </c>
      <c r="W66" s="198">
        <v>150</v>
      </c>
      <c r="X66" s="198">
        <v>1500</v>
      </c>
      <c r="Y66" s="198">
        <v>186</v>
      </c>
      <c r="Z66" s="277">
        <v>53917.235349299997</v>
      </c>
      <c r="AA66" s="272">
        <v>0</v>
      </c>
      <c r="AB66" s="198">
        <v>0</v>
      </c>
      <c r="AC66" s="272">
        <v>613</v>
      </c>
      <c r="AD66" s="198">
        <v>2.2067999999999999</v>
      </c>
      <c r="AE66" s="198">
        <v>2.2067999999999999</v>
      </c>
      <c r="AF66" s="198">
        <v>0</v>
      </c>
      <c r="AG66" s="198">
        <v>0</v>
      </c>
      <c r="AH66" s="198">
        <v>0</v>
      </c>
      <c r="AI66" s="198">
        <v>0</v>
      </c>
      <c r="AJ66" s="198">
        <v>0</v>
      </c>
      <c r="AK66" s="198">
        <v>0</v>
      </c>
      <c r="AL66" s="198">
        <v>0</v>
      </c>
      <c r="AM66" s="198">
        <v>3.2626178192870822E-2</v>
      </c>
      <c r="AN66" s="198">
        <v>8.3378010937336343E-3</v>
      </c>
      <c r="AO66" s="198">
        <v>0</v>
      </c>
      <c r="AP66" s="198">
        <v>1.1921101704228713E-3</v>
      </c>
      <c r="AQ66" s="198">
        <v>1.490412519587792E-3</v>
      </c>
      <c r="AS66" s="258">
        <f t="shared" si="0"/>
        <v>72329.971221085943</v>
      </c>
      <c r="AT66" s="3">
        <f t="shared" si="1"/>
        <v>0</v>
      </c>
      <c r="AU66" s="3">
        <f t="shared" si="2"/>
        <v>0</v>
      </c>
      <c r="AV66" s="3">
        <f t="shared" si="3"/>
        <v>38.090148756633155</v>
      </c>
      <c r="AW66" s="3">
        <f t="shared" si="4"/>
        <v>1.3712453552387935</v>
      </c>
      <c r="AX66" s="3">
        <f t="shared" si="5"/>
        <v>1.3712453552387935</v>
      </c>
      <c r="AY66" s="102">
        <f t="shared" si="6"/>
        <v>0</v>
      </c>
      <c r="AZ66" s="102">
        <f t="shared" si="7"/>
        <v>1</v>
      </c>
    </row>
    <row r="67" spans="1:52" x14ac:dyDescent="0.35">
      <c r="A67" t="s">
        <v>627</v>
      </c>
      <c r="B67">
        <v>2021</v>
      </c>
      <c r="C67" t="s">
        <v>837</v>
      </c>
      <c r="D67" t="s">
        <v>652</v>
      </c>
      <c r="E67" t="s">
        <v>1019</v>
      </c>
      <c r="F67" t="s">
        <v>989</v>
      </c>
      <c r="G67" t="s">
        <v>978</v>
      </c>
      <c r="H67" s="198">
        <v>16000</v>
      </c>
      <c r="I67" s="198">
        <v>0</v>
      </c>
      <c r="J67" s="198">
        <v>28230.904306799999</v>
      </c>
      <c r="K67" s="198">
        <v>6064.1948000000002</v>
      </c>
      <c r="L67" s="198">
        <v>0</v>
      </c>
      <c r="M67" s="198">
        <v>2040.6633160000001</v>
      </c>
      <c r="N67" s="198">
        <v>75</v>
      </c>
      <c r="O67" s="198">
        <v>0</v>
      </c>
      <c r="P67" s="198">
        <v>6110.5853492999995</v>
      </c>
      <c r="Q67" s="198">
        <v>0</v>
      </c>
      <c r="R67" s="198">
        <v>0</v>
      </c>
      <c r="S67" s="198">
        <v>1500</v>
      </c>
      <c r="T67" s="198">
        <v>0</v>
      </c>
      <c r="U67" s="198">
        <v>2000</v>
      </c>
      <c r="V67" s="198">
        <v>4500</v>
      </c>
      <c r="W67" s="198">
        <v>150</v>
      </c>
      <c r="X67" s="198">
        <v>1500</v>
      </c>
      <c r="Y67" s="198">
        <v>186</v>
      </c>
      <c r="Z67" s="277">
        <v>68357.347772099994</v>
      </c>
      <c r="AA67" s="272">
        <v>33.219505269999999</v>
      </c>
      <c r="AB67" s="198">
        <v>4.0434132419576532</v>
      </c>
      <c r="AC67" s="272">
        <v>0</v>
      </c>
      <c r="AD67" s="198">
        <v>0</v>
      </c>
      <c r="AE67" s="198">
        <v>4.0434132419576532</v>
      </c>
      <c r="AF67" s="198">
        <v>0</v>
      </c>
      <c r="AG67" s="198">
        <v>0</v>
      </c>
      <c r="AH67" s="198">
        <v>0</v>
      </c>
      <c r="AI67" s="198">
        <v>0</v>
      </c>
      <c r="AJ67" s="198">
        <v>0</v>
      </c>
      <c r="AK67" s="198">
        <v>0</v>
      </c>
      <c r="AL67" s="198">
        <v>0</v>
      </c>
      <c r="AM67" s="198">
        <v>3.7800185400710749E-2</v>
      </c>
      <c r="AN67" s="198">
        <v>9.6600473801816515E-3</v>
      </c>
      <c r="AO67" s="198">
        <v>0</v>
      </c>
      <c r="AP67" s="198">
        <v>1.3811604041905304E-3</v>
      </c>
      <c r="AQ67" s="198">
        <v>1.7267688918670178E-3</v>
      </c>
      <c r="AS67" s="258">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102">
        <f t="shared" si="6"/>
        <v>1</v>
      </c>
      <c r="AZ67" s="102">
        <f t="shared" si="7"/>
        <v>0</v>
      </c>
    </row>
    <row r="68" spans="1:52" x14ac:dyDescent="0.35">
      <c r="A68" t="s">
        <v>1065</v>
      </c>
      <c r="B68">
        <v>2021</v>
      </c>
      <c r="C68" t="s">
        <v>837</v>
      </c>
      <c r="D68" t="s">
        <v>652</v>
      </c>
      <c r="E68" t="s">
        <v>1019</v>
      </c>
      <c r="F68" t="s">
        <v>989</v>
      </c>
      <c r="G68" t="s">
        <v>978</v>
      </c>
      <c r="H68" s="198">
        <v>16000</v>
      </c>
      <c r="I68" s="198">
        <v>0</v>
      </c>
      <c r="J68" s="198">
        <v>13356.907192799999</v>
      </c>
      <c r="K68" s="198">
        <v>6258.8029999999999</v>
      </c>
      <c r="L68" s="198">
        <v>0</v>
      </c>
      <c r="M68" s="198">
        <v>1494.4649999999999</v>
      </c>
      <c r="N68" s="198">
        <v>75</v>
      </c>
      <c r="O68" s="198">
        <v>0</v>
      </c>
      <c r="P68" s="198">
        <v>6121.9462310999997</v>
      </c>
      <c r="Q68" s="198">
        <v>0</v>
      </c>
      <c r="R68" s="198">
        <v>0</v>
      </c>
      <c r="S68" s="198">
        <v>1500</v>
      </c>
      <c r="T68" s="198">
        <v>0</v>
      </c>
      <c r="U68" s="198">
        <v>2000</v>
      </c>
      <c r="V68" s="198">
        <v>4500</v>
      </c>
      <c r="W68" s="198">
        <v>150</v>
      </c>
      <c r="X68" s="198">
        <v>1500</v>
      </c>
      <c r="Y68" s="198">
        <v>186</v>
      </c>
      <c r="Z68" s="277">
        <v>53143.121423899996</v>
      </c>
      <c r="AA68" s="272">
        <v>34.662550670000002</v>
      </c>
      <c r="AB68" s="198">
        <v>3.8750808842308433</v>
      </c>
      <c r="AC68" s="272">
        <v>0</v>
      </c>
      <c r="AD68" s="198">
        <v>0</v>
      </c>
      <c r="AE68" s="198">
        <v>3.8750808842308433</v>
      </c>
      <c r="AF68" s="198">
        <v>0</v>
      </c>
      <c r="AG68" s="198">
        <v>0</v>
      </c>
      <c r="AH68" s="198">
        <v>0</v>
      </c>
      <c r="AI68" s="198">
        <v>0</v>
      </c>
      <c r="AJ68" s="198">
        <v>0</v>
      </c>
      <c r="AK68" s="198">
        <v>0</v>
      </c>
      <c r="AL68" s="198">
        <v>0</v>
      </c>
      <c r="AM68" s="198">
        <v>3.622651633691467E-2</v>
      </c>
      <c r="AN68" s="198">
        <v>9.2578875083226524E-3</v>
      </c>
      <c r="AO68" s="198">
        <v>0</v>
      </c>
      <c r="AP68" s="198">
        <v>1.3236609666302621E-3</v>
      </c>
      <c r="AQ68" s="198">
        <v>1.6548813400825372E-3</v>
      </c>
      <c r="AS68" s="258">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102">
        <f t="shared" ref="AY68:AY131" si="14">AU68/AX68</f>
        <v>1</v>
      </c>
      <c r="AZ68" s="102">
        <f t="shared" ref="AZ68:AZ131" si="15">AW68/AX68</f>
        <v>0</v>
      </c>
    </row>
    <row r="69" spans="1:52" x14ac:dyDescent="0.35">
      <c r="A69" t="s">
        <v>1017</v>
      </c>
      <c r="B69">
        <v>2025</v>
      </c>
      <c r="C69" t="s">
        <v>837</v>
      </c>
      <c r="D69" t="s">
        <v>652</v>
      </c>
      <c r="E69" t="s">
        <v>1019</v>
      </c>
      <c r="F69" t="s">
        <v>983</v>
      </c>
      <c r="G69" t="s">
        <v>978</v>
      </c>
      <c r="H69" s="198">
        <v>16121.118364743999</v>
      </c>
      <c r="I69" s="198">
        <v>15171</v>
      </c>
      <c r="J69" s="198">
        <v>0</v>
      </c>
      <c r="K69" s="198">
        <v>0</v>
      </c>
      <c r="L69" s="198">
        <v>120</v>
      </c>
      <c r="M69" s="198">
        <v>0</v>
      </c>
      <c r="N69" s="198">
        <v>0</v>
      </c>
      <c r="O69" s="198">
        <v>150</v>
      </c>
      <c r="P69" s="198">
        <v>0</v>
      </c>
      <c r="Q69" s="198">
        <v>0</v>
      </c>
      <c r="R69" s="198">
        <v>92</v>
      </c>
      <c r="S69" s="198">
        <v>6095</v>
      </c>
      <c r="T69" s="198">
        <v>506</v>
      </c>
      <c r="U69" s="198">
        <v>2000</v>
      </c>
      <c r="V69" s="198">
        <v>1920</v>
      </c>
      <c r="W69" s="198">
        <v>0</v>
      </c>
      <c r="X69" s="198">
        <v>0</v>
      </c>
      <c r="Y69" s="198">
        <v>186</v>
      </c>
      <c r="Z69" s="277">
        <v>42361.118364743998</v>
      </c>
      <c r="AA69" s="272">
        <v>12.55106915</v>
      </c>
      <c r="AB69" s="198">
        <v>10.701892077457003</v>
      </c>
      <c r="AC69" s="272">
        <v>0</v>
      </c>
      <c r="AD69" s="198">
        <v>0</v>
      </c>
      <c r="AE69" s="198">
        <v>10.701892077457003</v>
      </c>
      <c r="AF69" s="198">
        <v>801.09585802444178</v>
      </c>
      <c r="AG69" s="198">
        <v>0.35217586109075816</v>
      </c>
      <c r="AH69" s="198">
        <v>1.8608364329145619E-3</v>
      </c>
      <c r="AI69" s="198">
        <v>812.15425543376307</v>
      </c>
      <c r="AJ69" s="198">
        <v>0.3417328756075742</v>
      </c>
      <c r="AK69" s="198">
        <v>7.9745941643441638</v>
      </c>
      <c r="AL69" s="198">
        <v>0.3733627146826945</v>
      </c>
      <c r="AM69" s="198">
        <v>6.711041904509138E-2</v>
      </c>
      <c r="AN69" s="198">
        <v>2.75940432028444E-2</v>
      </c>
      <c r="AO69" s="198">
        <v>5.5251278938027769E-3</v>
      </c>
      <c r="AP69" s="198">
        <v>4.5850073419880736E-3</v>
      </c>
      <c r="AQ69" s="198">
        <v>4.3549444872421489E-3</v>
      </c>
      <c r="AS69" s="258">
        <f t="shared" si="8"/>
        <v>56827.440286304067</v>
      </c>
      <c r="AT69" s="3">
        <f t="shared" si="9"/>
        <v>18.74064403839478</v>
      </c>
      <c r="AU69" s="3">
        <f t="shared" si="10"/>
        <v>7.2337806756444065</v>
      </c>
      <c r="AV69" s="3">
        <f t="shared" si="11"/>
        <v>0</v>
      </c>
      <c r="AW69" s="3">
        <f t="shared" si="12"/>
        <v>0</v>
      </c>
      <c r="AX69" s="3">
        <f t="shared" si="13"/>
        <v>7.2337806756444065</v>
      </c>
      <c r="AY69" s="102">
        <f t="shared" si="14"/>
        <v>1</v>
      </c>
      <c r="AZ69" s="102">
        <f t="shared" si="15"/>
        <v>0</v>
      </c>
    </row>
    <row r="70" spans="1:52" x14ac:dyDescent="0.35">
      <c r="A70" t="s">
        <v>1020</v>
      </c>
      <c r="B70">
        <v>2025</v>
      </c>
      <c r="C70" t="s">
        <v>837</v>
      </c>
      <c r="D70" t="s">
        <v>652</v>
      </c>
      <c r="E70" t="s">
        <v>1019</v>
      </c>
      <c r="F70" t="s">
        <v>983</v>
      </c>
      <c r="G70" t="s">
        <v>978</v>
      </c>
      <c r="H70" s="198">
        <v>16121.118364743999</v>
      </c>
      <c r="I70" s="198">
        <v>13382</v>
      </c>
      <c r="J70" s="198">
        <v>0</v>
      </c>
      <c r="K70" s="198">
        <v>0</v>
      </c>
      <c r="L70" s="198">
        <v>150</v>
      </c>
      <c r="M70" s="198">
        <v>593.21608040000001</v>
      </c>
      <c r="N70" s="198">
        <v>50</v>
      </c>
      <c r="O70" s="198">
        <v>150</v>
      </c>
      <c r="P70" s="198">
        <v>1393.9000223999999</v>
      </c>
      <c r="Q70" s="198">
        <v>0</v>
      </c>
      <c r="R70" s="198">
        <v>0</v>
      </c>
      <c r="S70" s="198">
        <v>5397</v>
      </c>
      <c r="T70" s="198">
        <v>392</v>
      </c>
      <c r="U70" s="198">
        <v>2000</v>
      </c>
      <c r="V70" s="198">
        <v>4720</v>
      </c>
      <c r="W70" s="198">
        <v>93.32</v>
      </c>
      <c r="X70" s="198">
        <v>1500</v>
      </c>
      <c r="Y70" s="198">
        <v>186</v>
      </c>
      <c r="Z70" s="277">
        <v>46128.554467543996</v>
      </c>
      <c r="AA70" s="272">
        <v>18.845348699999999</v>
      </c>
      <c r="AB70" s="198">
        <v>7.1274981237147408</v>
      </c>
      <c r="AC70" s="272">
        <v>0</v>
      </c>
      <c r="AD70" s="198">
        <v>0</v>
      </c>
      <c r="AE70" s="198">
        <v>7.1274981237147408</v>
      </c>
      <c r="AF70" s="198">
        <v>533.53268596422163</v>
      </c>
      <c r="AG70" s="198">
        <v>0.23455037398755593</v>
      </c>
      <c r="AH70" s="198">
        <v>1.2393236717530203E-3</v>
      </c>
      <c r="AI70" s="198">
        <v>540.89761790483215</v>
      </c>
      <c r="AJ70" s="198">
        <v>0.22759530857494895</v>
      </c>
      <c r="AK70" s="198">
        <v>5.3111080295303887</v>
      </c>
      <c r="AL70" s="198">
        <v>0.24866089370976827</v>
      </c>
      <c r="AM70" s="198">
        <v>4.4695777378766087E-2</v>
      </c>
      <c r="AN70" s="198">
        <v>1.837773075363618E-2</v>
      </c>
      <c r="AO70" s="198">
        <v>3.679754795819327E-3</v>
      </c>
      <c r="AP70" s="198">
        <v>3.0536311701438571E-3</v>
      </c>
      <c r="AQ70" s="198">
        <v>2.9004084919791117E-3</v>
      </c>
      <c r="AS70" s="258">
        <f t="shared" si="8"/>
        <v>61881.45581821027</v>
      </c>
      <c r="AT70" s="3">
        <f t="shared" si="9"/>
        <v>12.48133547358708</v>
      </c>
      <c r="AU70" s="3">
        <f t="shared" si="10"/>
        <v>4.8177236155861989</v>
      </c>
      <c r="AV70" s="3">
        <f t="shared" si="11"/>
        <v>0</v>
      </c>
      <c r="AW70" s="3">
        <f t="shared" si="12"/>
        <v>0</v>
      </c>
      <c r="AX70" s="3">
        <f t="shared" si="13"/>
        <v>4.8177236155861989</v>
      </c>
      <c r="AY70" s="102">
        <f t="shared" si="14"/>
        <v>1</v>
      </c>
      <c r="AZ70" s="102">
        <f t="shared" si="15"/>
        <v>0</v>
      </c>
    </row>
    <row r="71" spans="1:52" x14ac:dyDescent="0.35">
      <c r="A71" t="s">
        <v>1021</v>
      </c>
      <c r="B71">
        <v>2025</v>
      </c>
      <c r="C71" t="s">
        <v>837</v>
      </c>
      <c r="D71" t="s">
        <v>652</v>
      </c>
      <c r="E71" t="s">
        <v>1019</v>
      </c>
      <c r="F71" t="s">
        <v>983</v>
      </c>
      <c r="G71" t="s">
        <v>978</v>
      </c>
      <c r="H71" s="198">
        <v>16121.118364743999</v>
      </c>
      <c r="I71" s="198">
        <v>11267</v>
      </c>
      <c r="J71" s="198">
        <v>0</v>
      </c>
      <c r="K71" s="198">
        <v>0</v>
      </c>
      <c r="L71" s="198">
        <v>0</v>
      </c>
      <c r="M71" s="198">
        <v>8722.5120000000006</v>
      </c>
      <c r="N71" s="198">
        <v>50</v>
      </c>
      <c r="O71" s="198">
        <v>0</v>
      </c>
      <c r="P71" s="198">
        <v>5138.1781683999998</v>
      </c>
      <c r="Q71" s="198">
        <v>0</v>
      </c>
      <c r="R71" s="198">
        <v>3351.1418185999996</v>
      </c>
      <c r="S71" s="198">
        <v>1500</v>
      </c>
      <c r="T71" s="198">
        <v>0</v>
      </c>
      <c r="U71" s="198">
        <v>2000</v>
      </c>
      <c r="V71" s="198">
        <v>4720</v>
      </c>
      <c r="W71" s="198">
        <v>93.32</v>
      </c>
      <c r="X71" s="198">
        <v>1500</v>
      </c>
      <c r="Y71" s="198">
        <v>186</v>
      </c>
      <c r="Z71" s="277">
        <v>54649.270351744002</v>
      </c>
      <c r="AA71" s="272">
        <v>111.85842875000003</v>
      </c>
      <c r="AB71" s="198">
        <v>1.2008052410623546</v>
      </c>
      <c r="AC71" s="272">
        <v>471.20000000000005</v>
      </c>
      <c r="AD71" s="198">
        <v>1.6963200000000001</v>
      </c>
      <c r="AE71" s="198">
        <v>2.8971252410623549</v>
      </c>
      <c r="AF71" s="198">
        <v>89.886918868805836</v>
      </c>
      <c r="AG71" s="198">
        <v>3.9515874082138837E-2</v>
      </c>
      <c r="AH71" s="198">
        <v>2.0879505467172939E-4</v>
      </c>
      <c r="AI71" s="198">
        <v>91.127725771992132</v>
      </c>
      <c r="AJ71" s="198">
        <v>3.8344119441951409E-2</v>
      </c>
      <c r="AK71" s="198">
        <v>0.89478892130308096</v>
      </c>
      <c r="AL71" s="198">
        <v>4.1893143881785645E-2</v>
      </c>
      <c r="AM71" s="198">
        <v>3.260916700578001E-2</v>
      </c>
      <c r="AN71" s="198">
        <v>9.5052776943339492E-3</v>
      </c>
      <c r="AO71" s="198">
        <v>6.1994668647366005E-4</v>
      </c>
      <c r="AP71" s="198">
        <v>1.4308101213464717E-3</v>
      </c>
      <c r="AQ71" s="198">
        <v>1.6342945717466716E-3</v>
      </c>
      <c r="AS71" s="258">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102">
        <f t="shared" si="14"/>
        <v>0.43504332652239214</v>
      </c>
      <c r="AZ71" s="102">
        <f t="shared" si="15"/>
        <v>0.56495667347760792</v>
      </c>
    </row>
    <row r="72" spans="1:52" x14ac:dyDescent="0.35">
      <c r="A72" t="s">
        <v>246</v>
      </c>
      <c r="B72">
        <v>2025</v>
      </c>
      <c r="C72" t="s">
        <v>837</v>
      </c>
      <c r="D72" t="s">
        <v>652</v>
      </c>
      <c r="E72" t="s">
        <v>1019</v>
      </c>
      <c r="F72" t="s">
        <v>977</v>
      </c>
      <c r="G72" t="s">
        <v>978</v>
      </c>
      <c r="H72" s="198">
        <v>16121.118364743999</v>
      </c>
      <c r="I72" s="198">
        <v>0</v>
      </c>
      <c r="J72" s="198">
        <v>0</v>
      </c>
      <c r="K72" s="198">
        <v>0</v>
      </c>
      <c r="L72" s="198">
        <v>0</v>
      </c>
      <c r="M72" s="198">
        <v>18970.272000000001</v>
      </c>
      <c r="N72" s="198">
        <v>50</v>
      </c>
      <c r="O72" s="198">
        <v>0</v>
      </c>
      <c r="P72" s="198">
        <v>5129.3658886000003</v>
      </c>
      <c r="Q72" s="198">
        <v>0</v>
      </c>
      <c r="R72" s="198">
        <v>0</v>
      </c>
      <c r="S72" s="198">
        <v>1500</v>
      </c>
      <c r="T72" s="198">
        <v>0</v>
      </c>
      <c r="U72" s="198">
        <v>2000</v>
      </c>
      <c r="V72" s="198">
        <v>4500</v>
      </c>
      <c r="W72" s="198">
        <v>93.32</v>
      </c>
      <c r="X72" s="198">
        <v>1500</v>
      </c>
      <c r="Y72" s="198">
        <v>186</v>
      </c>
      <c r="Z72" s="277">
        <v>50050.076253343999</v>
      </c>
      <c r="AA72" s="272">
        <v>0</v>
      </c>
      <c r="AB72" s="198">
        <v>0</v>
      </c>
      <c r="AC72" s="272">
        <v>568</v>
      </c>
      <c r="AD72" s="198">
        <v>2.0448</v>
      </c>
      <c r="AE72" s="198">
        <v>2.0448</v>
      </c>
      <c r="AF72" s="198">
        <v>0</v>
      </c>
      <c r="AG72" s="198">
        <v>0</v>
      </c>
      <c r="AH72" s="198">
        <v>0</v>
      </c>
      <c r="AI72" s="198">
        <v>0</v>
      </c>
      <c r="AJ72" s="198">
        <v>0</v>
      </c>
      <c r="AK72" s="198">
        <v>0</v>
      </c>
      <c r="AL72" s="198">
        <v>0</v>
      </c>
      <c r="AM72" s="198">
        <v>3.0231108015580144E-2</v>
      </c>
      <c r="AN72" s="198">
        <v>7.725727603981573E-3</v>
      </c>
      <c r="AO72" s="198">
        <v>0</v>
      </c>
      <c r="AP72" s="198">
        <v>1.1045980045680114E-3</v>
      </c>
      <c r="AQ72" s="198">
        <v>1.3810021388676443E-3</v>
      </c>
      <c r="AS72" s="258">
        <f t="shared" si="8"/>
        <v>67142.177293860965</v>
      </c>
      <c r="AT72" s="3">
        <f t="shared" si="9"/>
        <v>0</v>
      </c>
      <c r="AU72" s="3">
        <f t="shared" si="10"/>
        <v>0</v>
      </c>
      <c r="AV72" s="3">
        <f t="shared" si="11"/>
        <v>35.293971441709019</v>
      </c>
      <c r="AW72" s="3">
        <f t="shared" si="12"/>
        <v>1.2705829719015247</v>
      </c>
      <c r="AX72" s="3">
        <f t="shared" si="13"/>
        <v>1.2705829719015247</v>
      </c>
      <c r="AY72" s="102">
        <f t="shared" si="14"/>
        <v>0</v>
      </c>
      <c r="AZ72" s="102">
        <f t="shared" si="15"/>
        <v>1</v>
      </c>
    </row>
    <row r="73" spans="1:52" x14ac:dyDescent="0.35">
      <c r="A73" t="s">
        <v>627</v>
      </c>
      <c r="B73">
        <v>2025</v>
      </c>
      <c r="C73" t="s">
        <v>837</v>
      </c>
      <c r="D73" t="s">
        <v>652</v>
      </c>
      <c r="E73" t="s">
        <v>1019</v>
      </c>
      <c r="F73" t="s">
        <v>989</v>
      </c>
      <c r="G73" t="s">
        <v>978</v>
      </c>
      <c r="H73" s="198">
        <v>16121.118364743999</v>
      </c>
      <c r="I73" s="198">
        <v>0</v>
      </c>
      <c r="J73" s="198">
        <v>21708.284345471697</v>
      </c>
      <c r="K73" s="198">
        <v>5755.8310919999994</v>
      </c>
      <c r="L73" s="198">
        <v>0</v>
      </c>
      <c r="M73" s="198">
        <v>2076.2562819999998</v>
      </c>
      <c r="N73" s="198">
        <v>50</v>
      </c>
      <c r="O73" s="198">
        <v>0</v>
      </c>
      <c r="P73" s="198">
        <v>5129.3658886000003</v>
      </c>
      <c r="Q73" s="198">
        <v>0</v>
      </c>
      <c r="R73" s="198">
        <v>0</v>
      </c>
      <c r="S73" s="198">
        <v>1500</v>
      </c>
      <c r="T73" s="198">
        <v>0</v>
      </c>
      <c r="U73" s="198">
        <v>2000</v>
      </c>
      <c r="V73" s="198">
        <v>4500</v>
      </c>
      <c r="W73" s="198">
        <v>93.32</v>
      </c>
      <c r="X73" s="198">
        <v>1500</v>
      </c>
      <c r="Y73" s="198">
        <v>186</v>
      </c>
      <c r="Z73" s="277">
        <v>60620.175972815698</v>
      </c>
      <c r="AA73" s="272">
        <v>35.409111770000003</v>
      </c>
      <c r="AB73" s="198">
        <v>3.7933791836541171</v>
      </c>
      <c r="AC73" s="272">
        <v>0</v>
      </c>
      <c r="AD73" s="198">
        <v>0</v>
      </c>
      <c r="AE73" s="198">
        <v>3.7933791836541171</v>
      </c>
      <c r="AF73" s="198">
        <v>0</v>
      </c>
      <c r="AG73" s="198">
        <v>0</v>
      </c>
      <c r="AH73" s="198">
        <v>0</v>
      </c>
      <c r="AI73" s="198">
        <v>0</v>
      </c>
      <c r="AJ73" s="198">
        <v>0</v>
      </c>
      <c r="AK73" s="198">
        <v>0</v>
      </c>
      <c r="AL73" s="198">
        <v>0</v>
      </c>
      <c r="AM73" s="198">
        <v>3.5462721185504822E-2</v>
      </c>
      <c r="AN73" s="198">
        <v>9.0626954140734708E-3</v>
      </c>
      <c r="AO73" s="198">
        <v>0</v>
      </c>
      <c r="AP73" s="198">
        <v>1.295753071236179E-3</v>
      </c>
      <c r="AQ73" s="198">
        <v>1.6199900374809213E-3</v>
      </c>
      <c r="AS73" s="258">
        <f t="shared" si="8"/>
        <v>81321.966067532252</v>
      </c>
      <c r="AT73" s="3">
        <f t="shared" si="9"/>
        <v>6.6427850766003029</v>
      </c>
      <c r="AU73" s="3">
        <f t="shared" si="10"/>
        <v>2.5640767852547199</v>
      </c>
      <c r="AV73" s="3">
        <f t="shared" si="11"/>
        <v>0</v>
      </c>
      <c r="AW73" s="3">
        <f t="shared" si="12"/>
        <v>0</v>
      </c>
      <c r="AX73" s="3">
        <f t="shared" si="13"/>
        <v>2.5640767852547199</v>
      </c>
      <c r="AY73" s="102">
        <f t="shared" si="14"/>
        <v>1</v>
      </c>
      <c r="AZ73" s="102">
        <f t="shared" si="15"/>
        <v>0</v>
      </c>
    </row>
    <row r="74" spans="1:52" x14ac:dyDescent="0.35">
      <c r="A74" t="s">
        <v>1065</v>
      </c>
      <c r="B74">
        <v>2025</v>
      </c>
      <c r="C74" t="s">
        <v>837</v>
      </c>
      <c r="D74" t="s">
        <v>652</v>
      </c>
      <c r="E74" t="s">
        <v>1019</v>
      </c>
      <c r="F74" t="s">
        <v>989</v>
      </c>
      <c r="G74" t="s">
        <v>978</v>
      </c>
      <c r="H74" s="198">
        <v>16121.118364743999</v>
      </c>
      <c r="I74" s="198">
        <v>0</v>
      </c>
      <c r="J74" s="198">
        <v>9658.9505432075475</v>
      </c>
      <c r="K74" s="198">
        <v>5943.8059229999999</v>
      </c>
      <c r="L74" s="198">
        <v>0</v>
      </c>
      <c r="M74" s="198">
        <v>1398.144</v>
      </c>
      <c r="N74" s="198">
        <v>50</v>
      </c>
      <c r="O74" s="198">
        <v>0</v>
      </c>
      <c r="P74" s="198">
        <v>5110.8813083999994</v>
      </c>
      <c r="Q74" s="198">
        <v>0</v>
      </c>
      <c r="R74" s="198">
        <v>0</v>
      </c>
      <c r="S74" s="198">
        <v>1500</v>
      </c>
      <c r="T74" s="198">
        <v>0</v>
      </c>
      <c r="U74" s="198">
        <v>2000</v>
      </c>
      <c r="V74" s="198">
        <v>4500</v>
      </c>
      <c r="W74" s="198">
        <v>93.32</v>
      </c>
      <c r="X74" s="198">
        <v>1500</v>
      </c>
      <c r="Y74" s="198">
        <v>186</v>
      </c>
      <c r="Z74" s="277">
        <v>48062.220139351542</v>
      </c>
      <c r="AA74" s="272">
        <v>37.258375219999998</v>
      </c>
      <c r="AB74" s="198">
        <v>3.6051005098015656</v>
      </c>
      <c r="AC74" s="272">
        <v>0</v>
      </c>
      <c r="AD74" s="198">
        <v>0</v>
      </c>
      <c r="AE74" s="198">
        <v>3.6051005098015656</v>
      </c>
      <c r="AF74" s="198">
        <v>0</v>
      </c>
      <c r="AG74" s="198">
        <v>0</v>
      </c>
      <c r="AH74" s="198">
        <v>0</v>
      </c>
      <c r="AI74" s="198">
        <v>0</v>
      </c>
      <c r="AJ74" s="198">
        <v>0</v>
      </c>
      <c r="AK74" s="198">
        <v>0</v>
      </c>
      <c r="AL74" s="198">
        <v>0</v>
      </c>
      <c r="AM74" s="198">
        <v>3.3702582324412145E-2</v>
      </c>
      <c r="AN74" s="198">
        <v>8.6128821495720081E-3</v>
      </c>
      <c r="AO74" s="198">
        <v>0</v>
      </c>
      <c r="AP74" s="198">
        <v>1.2314403152259264E-3</v>
      </c>
      <c r="AQ74" s="198">
        <v>1.5395842670202313E-3</v>
      </c>
      <c r="AS74" s="258">
        <f t="shared" si="8"/>
        <v>64475.468316940089</v>
      </c>
      <c r="AT74" s="3">
        <f t="shared" si="9"/>
        <v>6.3130804242683816</v>
      </c>
      <c r="AU74" s="3">
        <f t="shared" si="10"/>
        <v>2.4368126881499226</v>
      </c>
      <c r="AV74" s="3">
        <f t="shared" si="11"/>
        <v>0</v>
      </c>
      <c r="AW74" s="3">
        <f t="shared" si="12"/>
        <v>0</v>
      </c>
      <c r="AX74" s="3">
        <f t="shared" si="13"/>
        <v>2.4368126881499226</v>
      </c>
      <c r="AY74" s="102">
        <f t="shared" si="14"/>
        <v>1</v>
      </c>
      <c r="AZ74" s="102">
        <f t="shared" si="15"/>
        <v>0</v>
      </c>
    </row>
    <row r="75" spans="1:52" x14ac:dyDescent="0.35">
      <c r="A75" t="s">
        <v>1017</v>
      </c>
      <c r="B75">
        <v>2030</v>
      </c>
      <c r="C75" t="s">
        <v>837</v>
      </c>
      <c r="D75" t="s">
        <v>652</v>
      </c>
      <c r="E75" t="s">
        <v>1019</v>
      </c>
      <c r="F75" t="s">
        <v>983</v>
      </c>
      <c r="G75" t="s">
        <v>978</v>
      </c>
      <c r="H75" s="198">
        <v>16256.562557576</v>
      </c>
      <c r="I75" s="198">
        <v>15610</v>
      </c>
      <c r="J75" s="198">
        <v>0</v>
      </c>
      <c r="K75" s="198">
        <v>0</v>
      </c>
      <c r="L75" s="198">
        <v>120</v>
      </c>
      <c r="M75" s="198">
        <v>0</v>
      </c>
      <c r="N75" s="198">
        <v>0</v>
      </c>
      <c r="O75" s="198">
        <v>150</v>
      </c>
      <c r="P75" s="198">
        <v>0</v>
      </c>
      <c r="Q75" s="198">
        <v>0</v>
      </c>
      <c r="R75" s="198">
        <v>73.2</v>
      </c>
      <c r="S75" s="198">
        <v>6154</v>
      </c>
      <c r="T75" s="198">
        <v>506</v>
      </c>
      <c r="U75" s="198">
        <v>2000</v>
      </c>
      <c r="V75" s="198">
        <v>1920</v>
      </c>
      <c r="W75" s="198">
        <v>0</v>
      </c>
      <c r="X75" s="198">
        <v>0</v>
      </c>
      <c r="Y75" s="198">
        <v>186</v>
      </c>
      <c r="Z75" s="277">
        <v>42975.762557576003</v>
      </c>
      <c r="AA75" s="272">
        <v>13.186928229999999</v>
      </c>
      <c r="AB75" s="198">
        <v>10.18585868954866</v>
      </c>
      <c r="AC75" s="272">
        <v>0</v>
      </c>
      <c r="AD75" s="198">
        <v>0</v>
      </c>
      <c r="AE75" s="198">
        <v>10.18585868954866</v>
      </c>
      <c r="AF75" s="198">
        <v>762.46790264387084</v>
      </c>
      <c r="AG75" s="198">
        <v>0.33519433096292062</v>
      </c>
      <c r="AH75" s="198">
        <v>1.7711089602517693E-3</v>
      </c>
      <c r="AI75" s="198">
        <v>772.99307637286836</v>
      </c>
      <c r="AJ75" s="198">
        <v>0.32525489467830471</v>
      </c>
      <c r="AK75" s="198">
        <v>7.5900680624141135</v>
      </c>
      <c r="AL75" s="198">
        <v>0.35535957793062317</v>
      </c>
      <c r="AM75" s="198">
        <v>6.3874428936693997E-2</v>
      </c>
      <c r="AN75" s="198">
        <v>2.6263488988973408E-2</v>
      </c>
      <c r="AO75" s="198">
        <v>5.2587123436336862E-3</v>
      </c>
      <c r="AP75" s="198">
        <v>4.3639233640198564E-3</v>
      </c>
      <c r="AQ75" s="198">
        <v>4.1449538854271533E-3</v>
      </c>
      <c r="AS75" s="258">
        <f t="shared" si="8"/>
        <v>57651.985470988206</v>
      </c>
      <c r="AT75" s="3">
        <f t="shared" si="9"/>
        <v>17.83699093063375</v>
      </c>
      <c r="AU75" s="3">
        <f t="shared" si="10"/>
        <v>6.8849757799847122</v>
      </c>
      <c r="AV75" s="3">
        <f t="shared" si="11"/>
        <v>0</v>
      </c>
      <c r="AW75" s="3">
        <f t="shared" si="12"/>
        <v>0</v>
      </c>
      <c r="AX75" s="3">
        <f t="shared" si="13"/>
        <v>6.8849757799847122</v>
      </c>
      <c r="AY75" s="102">
        <f t="shared" si="14"/>
        <v>1</v>
      </c>
      <c r="AZ75" s="102">
        <f t="shared" si="15"/>
        <v>0</v>
      </c>
    </row>
    <row r="76" spans="1:52" x14ac:dyDescent="0.35">
      <c r="A76" t="s">
        <v>1020</v>
      </c>
      <c r="B76">
        <v>2030</v>
      </c>
      <c r="C76" t="s">
        <v>837</v>
      </c>
      <c r="D76" t="s">
        <v>652</v>
      </c>
      <c r="E76" t="s">
        <v>1019</v>
      </c>
      <c r="F76" t="s">
        <v>983</v>
      </c>
      <c r="G76" t="s">
        <v>978</v>
      </c>
      <c r="H76" s="198">
        <v>16256.562557576</v>
      </c>
      <c r="I76" s="198">
        <v>13494</v>
      </c>
      <c r="J76" s="198">
        <v>0</v>
      </c>
      <c r="K76" s="198">
        <v>0</v>
      </c>
      <c r="L76" s="198">
        <v>150</v>
      </c>
      <c r="M76" s="198">
        <v>653.72412054000006</v>
      </c>
      <c r="N76" s="198">
        <v>40</v>
      </c>
      <c r="O76" s="198">
        <v>150</v>
      </c>
      <c r="P76" s="198">
        <v>1118.9909820600001</v>
      </c>
      <c r="Q76" s="198">
        <v>0</v>
      </c>
      <c r="R76" s="198">
        <v>0</v>
      </c>
      <c r="S76" s="198">
        <v>5330</v>
      </c>
      <c r="T76" s="198">
        <v>392</v>
      </c>
      <c r="U76" s="198">
        <v>2000</v>
      </c>
      <c r="V76" s="198">
        <v>4720</v>
      </c>
      <c r="W76" s="198">
        <v>69.311999999999998</v>
      </c>
      <c r="X76" s="198">
        <v>1500</v>
      </c>
      <c r="Y76" s="198">
        <v>186</v>
      </c>
      <c r="Z76" s="277">
        <v>46060.589660175996</v>
      </c>
      <c r="AA76" s="272">
        <v>20.446599379999999</v>
      </c>
      <c r="AB76" s="198">
        <v>6.5693167359353835</v>
      </c>
      <c r="AC76" s="272">
        <v>0</v>
      </c>
      <c r="AD76" s="198">
        <v>0</v>
      </c>
      <c r="AE76" s="198">
        <v>6.5693167359353835</v>
      </c>
      <c r="AF76" s="198">
        <v>491.74971949997456</v>
      </c>
      <c r="AG76" s="198">
        <v>0.21618184537006863</v>
      </c>
      <c r="AH76" s="198">
        <v>1.1422675385910558E-3</v>
      </c>
      <c r="AI76" s="198">
        <v>498.53787571084717</v>
      </c>
      <c r="AJ76" s="198">
        <v>0.20977145748619902</v>
      </c>
      <c r="AK76" s="198">
        <v>4.8951750332514257</v>
      </c>
      <c r="AL76" s="198">
        <v>0.22918731682090698</v>
      </c>
      <c r="AM76" s="198">
        <v>4.119548167722837E-2</v>
      </c>
      <c r="AN76" s="198">
        <v>1.6938501015760971E-2</v>
      </c>
      <c r="AO76" s="198">
        <v>3.3915792532984291E-3</v>
      </c>
      <c r="AP76" s="198">
        <v>2.8144897414501021E-3</v>
      </c>
      <c r="AQ76" s="198">
        <v>2.6732665118510048E-3</v>
      </c>
      <c r="AS76" s="258">
        <f t="shared" si="8"/>
        <v>61790.281029126098</v>
      </c>
      <c r="AT76" s="3">
        <f t="shared" si="9"/>
        <v>11.503874794529679</v>
      </c>
      <c r="AU76" s="3">
        <f t="shared" si="10"/>
        <v>4.4404294224473952</v>
      </c>
      <c r="AV76" s="3">
        <f t="shared" si="11"/>
        <v>0</v>
      </c>
      <c r="AW76" s="3">
        <f t="shared" si="12"/>
        <v>0</v>
      </c>
      <c r="AX76" s="3">
        <f t="shared" si="13"/>
        <v>4.4404294224473952</v>
      </c>
      <c r="AY76" s="102">
        <f t="shared" si="14"/>
        <v>1</v>
      </c>
      <c r="AZ76" s="102">
        <f t="shared" si="15"/>
        <v>0</v>
      </c>
    </row>
    <row r="77" spans="1:52" x14ac:dyDescent="0.35">
      <c r="A77" t="s">
        <v>1021</v>
      </c>
      <c r="B77">
        <v>2030</v>
      </c>
      <c r="C77" t="s">
        <v>837</v>
      </c>
      <c r="D77" t="s">
        <v>652</v>
      </c>
      <c r="E77" t="s">
        <v>1019</v>
      </c>
      <c r="F77" t="s">
        <v>983</v>
      </c>
      <c r="G77" t="s">
        <v>978</v>
      </c>
      <c r="H77" s="198">
        <v>16256.562557576</v>
      </c>
      <c r="I77" s="198">
        <v>11411</v>
      </c>
      <c r="J77" s="198">
        <v>0</v>
      </c>
      <c r="K77" s="198">
        <v>0</v>
      </c>
      <c r="L77" s="198">
        <v>0</v>
      </c>
      <c r="M77" s="198">
        <v>6628.2749999999996</v>
      </c>
      <c r="N77" s="198">
        <v>40</v>
      </c>
      <c r="O77" s="198">
        <v>0</v>
      </c>
      <c r="P77" s="198">
        <v>4024.4611896000001</v>
      </c>
      <c r="Q77" s="198">
        <v>0</v>
      </c>
      <c r="R77" s="198">
        <v>2602.8212408700001</v>
      </c>
      <c r="S77" s="198">
        <v>1500</v>
      </c>
      <c r="T77" s="198">
        <v>0</v>
      </c>
      <c r="U77" s="198">
        <v>2000</v>
      </c>
      <c r="V77" s="198">
        <v>4720</v>
      </c>
      <c r="W77" s="198">
        <v>69.311999999999998</v>
      </c>
      <c r="X77" s="198">
        <v>1500</v>
      </c>
      <c r="Y77" s="198">
        <v>186</v>
      </c>
      <c r="Z77" s="277">
        <v>50938.431988045995</v>
      </c>
      <c r="AA77" s="272">
        <v>124.69277670000002</v>
      </c>
      <c r="AB77" s="198">
        <v>1.0772090497524385</v>
      </c>
      <c r="AC77" s="272">
        <v>444.8</v>
      </c>
      <c r="AD77" s="198">
        <v>1.60128</v>
      </c>
      <c r="AE77" s="198">
        <v>2.6784890497524385</v>
      </c>
      <c r="AF77" s="198">
        <v>80.635059832165496</v>
      </c>
      <c r="AG77" s="198">
        <v>3.5448593755719127E-2</v>
      </c>
      <c r="AH77" s="198">
        <v>1.8730424780371422E-4</v>
      </c>
      <c r="AI77" s="198">
        <v>81.748153262641424</v>
      </c>
      <c r="AJ77" s="198">
        <v>3.4397445193623734E-2</v>
      </c>
      <c r="AK77" s="198">
        <v>0.80269030371083283</v>
      </c>
      <c r="AL77" s="198">
        <v>3.758117650462281E-2</v>
      </c>
      <c r="AM77" s="198">
        <v>3.0429000689883752E-2</v>
      </c>
      <c r="AN77" s="198">
        <v>8.8275108730138975E-3</v>
      </c>
      <c r="AO77" s="198">
        <v>5.5613696392817994E-4</v>
      </c>
      <c r="AP77" s="198">
        <v>1.3265173839071896E-3</v>
      </c>
      <c r="AQ77" s="198">
        <v>1.5198118783494865E-3</v>
      </c>
      <c r="AS77" s="258">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102">
        <f t="shared" si="14"/>
        <v>0.42256211846325337</v>
      </c>
      <c r="AZ77" s="102">
        <f t="shared" si="15"/>
        <v>0.57743788153674658</v>
      </c>
    </row>
    <row r="78" spans="1:52" x14ac:dyDescent="0.35">
      <c r="A78" t="s">
        <v>246</v>
      </c>
      <c r="B78">
        <v>2030</v>
      </c>
      <c r="C78" t="s">
        <v>837</v>
      </c>
      <c r="D78" t="s">
        <v>652</v>
      </c>
      <c r="E78" t="s">
        <v>1019</v>
      </c>
      <c r="F78" t="s">
        <v>977</v>
      </c>
      <c r="G78" t="s">
        <v>978</v>
      </c>
      <c r="H78" s="198">
        <v>16256.562557576</v>
      </c>
      <c r="I78" s="198">
        <v>0</v>
      </c>
      <c r="J78" s="198">
        <v>0</v>
      </c>
      <c r="K78" s="198">
        <v>0</v>
      </c>
      <c r="L78" s="198">
        <v>0</v>
      </c>
      <c r="M78" s="198">
        <v>13777.875</v>
      </c>
      <c r="N78" s="198">
        <v>40</v>
      </c>
      <c r="O78" s="198">
        <v>0</v>
      </c>
      <c r="P78" s="198">
        <v>4020.18230739</v>
      </c>
      <c r="Q78" s="198">
        <v>0</v>
      </c>
      <c r="R78" s="198">
        <v>0</v>
      </c>
      <c r="S78" s="198">
        <v>1500</v>
      </c>
      <c r="T78" s="198">
        <v>0</v>
      </c>
      <c r="U78" s="198">
        <v>2000</v>
      </c>
      <c r="V78" s="198">
        <v>4500</v>
      </c>
      <c r="W78" s="198">
        <v>69.311999999999998</v>
      </c>
      <c r="X78" s="198">
        <v>1500</v>
      </c>
      <c r="Y78" s="198">
        <v>186</v>
      </c>
      <c r="Z78" s="277">
        <v>43849.931864965998</v>
      </c>
      <c r="AA78" s="272">
        <v>0</v>
      </c>
      <c r="AB78" s="198">
        <v>0</v>
      </c>
      <c r="AC78" s="272">
        <v>528</v>
      </c>
      <c r="AD78" s="198">
        <v>1.9008</v>
      </c>
      <c r="AE78" s="198">
        <v>1.9008</v>
      </c>
      <c r="AF78" s="198">
        <v>0</v>
      </c>
      <c r="AG78" s="198">
        <v>0</v>
      </c>
      <c r="AH78" s="198">
        <v>0</v>
      </c>
      <c r="AI78" s="198">
        <v>0</v>
      </c>
      <c r="AJ78" s="198">
        <v>0</v>
      </c>
      <c r="AK78" s="198">
        <v>0</v>
      </c>
      <c r="AL78" s="198">
        <v>0</v>
      </c>
      <c r="AM78" s="198">
        <v>2.810215674687732E-2</v>
      </c>
      <c r="AN78" s="198">
        <v>7.1816622797575185E-3</v>
      </c>
      <c r="AO78" s="198">
        <v>0</v>
      </c>
      <c r="AP78" s="198">
        <v>1.0268094126970246E-3</v>
      </c>
      <c r="AQ78" s="198">
        <v>1.2837484671164017E-3</v>
      </c>
      <c r="AS78" s="258">
        <f t="shared" si="8"/>
        <v>58824.683596851886</v>
      </c>
      <c r="AT78" s="3">
        <f t="shared" si="9"/>
        <v>0</v>
      </c>
      <c r="AU78" s="3">
        <f t="shared" si="10"/>
        <v>0</v>
      </c>
      <c r="AV78" s="3">
        <f t="shared" si="11"/>
        <v>32.808480495109798</v>
      </c>
      <c r="AW78" s="3">
        <f t="shared" si="12"/>
        <v>1.1811052978239527</v>
      </c>
      <c r="AX78" s="3">
        <f t="shared" si="13"/>
        <v>1.1811052978239527</v>
      </c>
      <c r="AY78" s="102">
        <f t="shared" si="14"/>
        <v>0</v>
      </c>
      <c r="AZ78" s="102">
        <f t="shared" si="15"/>
        <v>1</v>
      </c>
    </row>
    <row r="79" spans="1:52" x14ac:dyDescent="0.35">
      <c r="A79" t="s">
        <v>627</v>
      </c>
      <c r="B79">
        <v>2030</v>
      </c>
      <c r="C79" t="s">
        <v>837</v>
      </c>
      <c r="D79" t="s">
        <v>652</v>
      </c>
      <c r="E79" t="s">
        <v>1019</v>
      </c>
      <c r="F79" t="s">
        <v>989</v>
      </c>
      <c r="G79" t="s">
        <v>978</v>
      </c>
      <c r="H79" s="198">
        <v>16256.562557576</v>
      </c>
      <c r="I79" s="198">
        <v>0</v>
      </c>
      <c r="J79" s="198">
        <v>18607.073297999999</v>
      </c>
      <c r="K79" s="198">
        <v>5086.3385100000005</v>
      </c>
      <c r="L79" s="198">
        <v>0</v>
      </c>
      <c r="M79" s="198">
        <v>2028.7989955</v>
      </c>
      <c r="N79" s="198">
        <v>40</v>
      </c>
      <c r="O79" s="198">
        <v>0</v>
      </c>
      <c r="P79" s="198">
        <v>4020.18230739</v>
      </c>
      <c r="Q79" s="198">
        <v>0</v>
      </c>
      <c r="R79" s="198">
        <v>0</v>
      </c>
      <c r="S79" s="198">
        <v>1500</v>
      </c>
      <c r="T79" s="198">
        <v>0</v>
      </c>
      <c r="U79" s="198">
        <v>2000</v>
      </c>
      <c r="V79" s="198">
        <v>4500</v>
      </c>
      <c r="W79" s="198">
        <v>69.311999999999998</v>
      </c>
      <c r="X79" s="198">
        <v>1500</v>
      </c>
      <c r="Y79" s="198">
        <v>186</v>
      </c>
      <c r="Z79" s="277">
        <v>55794.267668466004</v>
      </c>
      <c r="AA79" s="272">
        <v>37.845700460000003</v>
      </c>
      <c r="AB79" s="198">
        <v>3.5491531631701769</v>
      </c>
      <c r="AC79" s="272">
        <v>0</v>
      </c>
      <c r="AD79" s="198">
        <v>0</v>
      </c>
      <c r="AE79" s="198">
        <v>3.5491531631701769</v>
      </c>
      <c r="AF79" s="198">
        <v>0</v>
      </c>
      <c r="AG79" s="198">
        <v>0</v>
      </c>
      <c r="AH79" s="198">
        <v>0</v>
      </c>
      <c r="AI79" s="198">
        <v>0</v>
      </c>
      <c r="AJ79" s="198">
        <v>0</v>
      </c>
      <c r="AK79" s="198">
        <v>0</v>
      </c>
      <c r="AL79" s="198">
        <v>0</v>
      </c>
      <c r="AM79" s="198">
        <v>3.3179553895509736E-2</v>
      </c>
      <c r="AN79" s="198">
        <v>8.4792193288525022E-3</v>
      </c>
      <c r="AO79" s="198">
        <v>0</v>
      </c>
      <c r="AP79" s="198">
        <v>1.2123296640847176E-3</v>
      </c>
      <c r="AQ79" s="198">
        <v>1.5156915476852149E-3</v>
      </c>
      <c r="AS79" s="258">
        <f t="shared" si="8"/>
        <v>74848.010077247134</v>
      </c>
      <c r="AT79" s="3">
        <f t="shared" si="9"/>
        <v>6.2151080937194552</v>
      </c>
      <c r="AU79" s="3">
        <f t="shared" si="10"/>
        <v>2.3989959327587682</v>
      </c>
      <c r="AV79" s="3">
        <f t="shared" si="11"/>
        <v>0</v>
      </c>
      <c r="AW79" s="3">
        <f t="shared" si="12"/>
        <v>0</v>
      </c>
      <c r="AX79" s="3">
        <f t="shared" si="13"/>
        <v>2.3989959327587682</v>
      </c>
      <c r="AY79" s="102">
        <f t="shared" si="14"/>
        <v>1</v>
      </c>
      <c r="AZ79" s="102">
        <f t="shared" si="15"/>
        <v>0</v>
      </c>
    </row>
    <row r="80" spans="1:52" x14ac:dyDescent="0.35">
      <c r="A80" t="s">
        <v>1065</v>
      </c>
      <c r="B80">
        <v>2030</v>
      </c>
      <c r="C80" t="s">
        <v>837</v>
      </c>
      <c r="D80" t="s">
        <v>652</v>
      </c>
      <c r="E80" t="s">
        <v>1019</v>
      </c>
      <c r="F80" t="s">
        <v>989</v>
      </c>
      <c r="G80" t="s">
        <v>978</v>
      </c>
      <c r="H80" s="198">
        <v>16256.562557576</v>
      </c>
      <c r="I80" s="198">
        <v>0</v>
      </c>
      <c r="J80" s="198">
        <v>7693.3994830000011</v>
      </c>
      <c r="K80" s="198">
        <v>5254.2666000000008</v>
      </c>
      <c r="L80" s="198">
        <v>0</v>
      </c>
      <c r="M80" s="198">
        <v>1117.125</v>
      </c>
      <c r="N80" s="198">
        <v>40</v>
      </c>
      <c r="O80" s="198">
        <v>0</v>
      </c>
      <c r="P80" s="198">
        <v>3953.9610252000002</v>
      </c>
      <c r="Q80" s="198">
        <v>0</v>
      </c>
      <c r="R80" s="198">
        <v>0</v>
      </c>
      <c r="S80" s="198">
        <v>1500</v>
      </c>
      <c r="T80" s="198">
        <v>0</v>
      </c>
      <c r="U80" s="198">
        <v>2000</v>
      </c>
      <c r="V80" s="198">
        <v>4500</v>
      </c>
      <c r="W80" s="198">
        <v>69.311999999999998</v>
      </c>
      <c r="X80" s="198">
        <v>1500</v>
      </c>
      <c r="Y80" s="198">
        <v>186</v>
      </c>
      <c r="Z80" s="277">
        <v>44070.626665775999</v>
      </c>
      <c r="AA80" s="272">
        <v>40.00049971</v>
      </c>
      <c r="AB80" s="198">
        <v>3.3579627373110137</v>
      </c>
      <c r="AC80" s="272">
        <v>0</v>
      </c>
      <c r="AD80" s="198">
        <v>0</v>
      </c>
      <c r="AE80" s="198">
        <v>3.3579627373110137</v>
      </c>
      <c r="AF80" s="198">
        <v>0</v>
      </c>
      <c r="AG80" s="198">
        <v>0</v>
      </c>
      <c r="AH80" s="198">
        <v>0</v>
      </c>
      <c r="AI80" s="198">
        <v>0</v>
      </c>
      <c r="AJ80" s="198">
        <v>0</v>
      </c>
      <c r="AK80" s="198">
        <v>0</v>
      </c>
      <c r="AL80" s="198">
        <v>0</v>
      </c>
      <c r="AM80" s="198">
        <v>3.1392194278312115E-2</v>
      </c>
      <c r="AN80" s="198">
        <v>8.022449648901999E-3</v>
      </c>
      <c r="AO80" s="198">
        <v>0</v>
      </c>
      <c r="AP80" s="198">
        <v>1.1470223036801816E-3</v>
      </c>
      <c r="AQ80" s="198">
        <v>1.4340422924543621E-3</v>
      </c>
      <c r="AS80" s="258">
        <f t="shared" si="8"/>
        <v>59120.745672138495</v>
      </c>
      <c r="AT80" s="3">
        <f t="shared" si="9"/>
        <v>5.8803045198614132</v>
      </c>
      <c r="AU80" s="3">
        <f t="shared" si="10"/>
        <v>2.269763681308437</v>
      </c>
      <c r="AV80" s="3">
        <f t="shared" si="11"/>
        <v>0</v>
      </c>
      <c r="AW80" s="3">
        <f t="shared" si="12"/>
        <v>0</v>
      </c>
      <c r="AX80" s="3">
        <f t="shared" si="13"/>
        <v>2.269763681308437</v>
      </c>
      <c r="AY80" s="102">
        <f t="shared" si="14"/>
        <v>1</v>
      </c>
      <c r="AZ80" s="102">
        <f t="shared" si="15"/>
        <v>0</v>
      </c>
    </row>
    <row r="81" spans="1:52" x14ac:dyDescent="0.35">
      <c r="A81" t="s">
        <v>1017</v>
      </c>
      <c r="B81">
        <v>2035</v>
      </c>
      <c r="C81" t="s">
        <v>837</v>
      </c>
      <c r="D81" t="s">
        <v>652</v>
      </c>
      <c r="E81" t="s">
        <v>1019</v>
      </c>
      <c r="F81" t="s">
        <v>983</v>
      </c>
      <c r="G81" t="s">
        <v>978</v>
      </c>
      <c r="H81" s="198">
        <v>16256.562557576</v>
      </c>
      <c r="I81" s="198">
        <v>15500</v>
      </c>
      <c r="J81" s="198">
        <v>0</v>
      </c>
      <c r="K81" s="198">
        <v>0</v>
      </c>
      <c r="L81" s="198">
        <v>120</v>
      </c>
      <c r="M81" s="198">
        <v>0</v>
      </c>
      <c r="N81" s="198">
        <v>0</v>
      </c>
      <c r="O81" s="198">
        <v>150</v>
      </c>
      <c r="P81" s="198">
        <v>0</v>
      </c>
      <c r="Q81" s="198">
        <v>0</v>
      </c>
      <c r="R81" s="198">
        <v>62.6</v>
      </c>
      <c r="S81" s="198">
        <v>6137</v>
      </c>
      <c r="T81" s="198">
        <v>506</v>
      </c>
      <c r="U81" s="198">
        <v>2000</v>
      </c>
      <c r="V81" s="198">
        <v>1920</v>
      </c>
      <c r="W81" s="198">
        <v>0</v>
      </c>
      <c r="X81" s="198">
        <v>0</v>
      </c>
      <c r="Y81" s="198">
        <v>186</v>
      </c>
      <c r="Z81" s="277">
        <v>42838.162557575997</v>
      </c>
      <c r="AA81" s="272">
        <v>13.75791216</v>
      </c>
      <c r="AB81" s="198">
        <v>9.7631229170458678</v>
      </c>
      <c r="AC81" s="272">
        <v>0</v>
      </c>
      <c r="AD81" s="198">
        <v>0</v>
      </c>
      <c r="AE81" s="198">
        <v>9.7631229170458678</v>
      </c>
      <c r="AF81" s="198">
        <v>730.82379018789663</v>
      </c>
      <c r="AG81" s="198">
        <v>0.32128302129753533</v>
      </c>
      <c r="AH81" s="198">
        <v>1.697604002317602E-3</v>
      </c>
      <c r="AI81" s="198">
        <v>740.912145816166</v>
      </c>
      <c r="AJ81" s="198">
        <v>0.31175609370797236</v>
      </c>
      <c r="AK81" s="198">
        <v>7.2750633697802343</v>
      </c>
      <c r="AL81" s="198">
        <v>0.34061136570116168</v>
      </c>
      <c r="AM81" s="198">
        <v>6.1223498182330222E-2</v>
      </c>
      <c r="AN81" s="198">
        <v>2.517349582838066E-2</v>
      </c>
      <c r="AO81" s="198">
        <v>5.0404640944961892E-3</v>
      </c>
      <c r="AP81" s="198">
        <v>4.1828108461007948E-3</v>
      </c>
      <c r="AQ81" s="198">
        <v>3.9729290875038922E-3</v>
      </c>
      <c r="AS81" s="258">
        <f t="shared" si="8"/>
        <v>57467.395070988197</v>
      </c>
      <c r="AT81" s="3">
        <f t="shared" si="9"/>
        <v>17.096716166374197</v>
      </c>
      <c r="AU81" s="3">
        <f t="shared" si="10"/>
        <v>6.5992339840572631</v>
      </c>
      <c r="AV81" s="3">
        <f t="shared" si="11"/>
        <v>0</v>
      </c>
      <c r="AW81" s="3">
        <f t="shared" si="12"/>
        <v>0</v>
      </c>
      <c r="AX81" s="3">
        <f t="shared" si="13"/>
        <v>6.5992339840572631</v>
      </c>
      <c r="AY81" s="102">
        <f t="shared" si="14"/>
        <v>1</v>
      </c>
      <c r="AZ81" s="102">
        <f t="shared" si="15"/>
        <v>0</v>
      </c>
    </row>
    <row r="82" spans="1:52" x14ac:dyDescent="0.35">
      <c r="A82" t="s">
        <v>1020</v>
      </c>
      <c r="B82">
        <v>2035</v>
      </c>
      <c r="C82" t="s">
        <v>837</v>
      </c>
      <c r="D82" t="s">
        <v>652</v>
      </c>
      <c r="E82" t="s">
        <v>1019</v>
      </c>
      <c r="F82" t="s">
        <v>983</v>
      </c>
      <c r="G82" t="s">
        <v>978</v>
      </c>
      <c r="H82" s="198">
        <v>16256.562557576</v>
      </c>
      <c r="I82" s="198">
        <v>13325</v>
      </c>
      <c r="J82" s="198">
        <v>0</v>
      </c>
      <c r="K82" s="198">
        <v>0</v>
      </c>
      <c r="L82" s="198">
        <v>150</v>
      </c>
      <c r="M82" s="198">
        <v>640.67336676000002</v>
      </c>
      <c r="N82" s="198">
        <v>35</v>
      </c>
      <c r="O82" s="198">
        <v>150</v>
      </c>
      <c r="P82" s="198">
        <v>952.66168944999993</v>
      </c>
      <c r="Q82" s="198">
        <v>0</v>
      </c>
      <c r="R82" s="198">
        <v>0</v>
      </c>
      <c r="S82" s="198">
        <v>5276</v>
      </c>
      <c r="T82" s="198">
        <v>392</v>
      </c>
      <c r="U82" s="198">
        <v>2000</v>
      </c>
      <c r="V82" s="198">
        <v>4720</v>
      </c>
      <c r="W82" s="198">
        <v>56</v>
      </c>
      <c r="X82" s="198">
        <v>1500</v>
      </c>
      <c r="Y82" s="198">
        <v>186</v>
      </c>
      <c r="Z82" s="277">
        <v>45639.897613786001</v>
      </c>
      <c r="AA82" s="272">
        <v>21.980375500000001</v>
      </c>
      <c r="AB82" s="198">
        <v>6.1109141424813238</v>
      </c>
      <c r="AC82" s="272">
        <v>0</v>
      </c>
      <c r="AD82" s="198">
        <v>0</v>
      </c>
      <c r="AE82" s="198">
        <v>6.1109141424813238</v>
      </c>
      <c r="AF82" s="198">
        <v>457.43574807643074</v>
      </c>
      <c r="AG82" s="198">
        <v>0.20109681863764792</v>
      </c>
      <c r="AH82" s="198">
        <v>1.0625608623633387E-3</v>
      </c>
      <c r="AI82" s="198">
        <v>463.7502312194768</v>
      </c>
      <c r="AJ82" s="198">
        <v>0.19513374339664999</v>
      </c>
      <c r="AK82" s="198">
        <v>4.5535929447552004</v>
      </c>
      <c r="AL82" s="198">
        <v>0.21319477685966823</v>
      </c>
      <c r="AM82" s="198">
        <v>3.832088810859572E-2</v>
      </c>
      <c r="AN82" s="198">
        <v>1.5756543575290036E-2</v>
      </c>
      <c r="AO82" s="198">
        <v>3.1549170876408596E-3</v>
      </c>
      <c r="AP82" s="198">
        <v>2.6180965016976165E-3</v>
      </c>
      <c r="AQ82" s="198">
        <v>2.4867277360110383E-3</v>
      </c>
      <c r="AS82" s="258">
        <f t="shared" si="8"/>
        <v>61225.922648893917</v>
      </c>
      <c r="AT82" s="3">
        <f t="shared" si="9"/>
        <v>10.701141991019586</v>
      </c>
      <c r="AU82" s="3">
        <f t="shared" si="10"/>
        <v>4.1305791830511112</v>
      </c>
      <c r="AV82" s="3">
        <f t="shared" si="11"/>
        <v>0</v>
      </c>
      <c r="AW82" s="3">
        <f t="shared" si="12"/>
        <v>0</v>
      </c>
      <c r="AX82" s="3">
        <f t="shared" si="13"/>
        <v>4.1305791830511112</v>
      </c>
      <c r="AY82" s="102">
        <f t="shared" si="14"/>
        <v>1</v>
      </c>
      <c r="AZ82" s="102">
        <f t="shared" si="15"/>
        <v>0</v>
      </c>
    </row>
    <row r="83" spans="1:52" x14ac:dyDescent="0.35">
      <c r="A83" t="s">
        <v>1021</v>
      </c>
      <c r="B83">
        <v>2035</v>
      </c>
      <c r="C83" t="s">
        <v>837</v>
      </c>
      <c r="D83" t="s">
        <v>652</v>
      </c>
      <c r="E83" t="s">
        <v>1019</v>
      </c>
      <c r="F83" t="s">
        <v>983</v>
      </c>
      <c r="G83" t="s">
        <v>978</v>
      </c>
      <c r="H83" s="198">
        <v>16256.562557576</v>
      </c>
      <c r="I83" s="198">
        <v>11000</v>
      </c>
      <c r="J83" s="198">
        <v>0</v>
      </c>
      <c r="K83" s="198">
        <v>0</v>
      </c>
      <c r="L83" s="198">
        <v>0</v>
      </c>
      <c r="M83" s="198">
        <v>5228.1449999999995</v>
      </c>
      <c r="N83" s="198">
        <v>35</v>
      </c>
      <c r="O83" s="198">
        <v>0</v>
      </c>
      <c r="P83" s="198">
        <v>3334.8321738199998</v>
      </c>
      <c r="Q83" s="198">
        <v>0</v>
      </c>
      <c r="R83" s="198">
        <v>2041.02205925</v>
      </c>
      <c r="S83" s="198">
        <v>1500</v>
      </c>
      <c r="T83" s="198">
        <v>0</v>
      </c>
      <c r="U83" s="198">
        <v>2000</v>
      </c>
      <c r="V83" s="198">
        <v>4720</v>
      </c>
      <c r="W83" s="198">
        <v>56</v>
      </c>
      <c r="X83" s="198">
        <v>1500</v>
      </c>
      <c r="Y83" s="198">
        <v>186</v>
      </c>
      <c r="Z83" s="277">
        <v>47857.561790645996</v>
      </c>
      <c r="AA83" s="272">
        <v>136.86149450000002</v>
      </c>
      <c r="AB83" s="198">
        <v>0.98143154136023258</v>
      </c>
      <c r="AC83" s="272">
        <v>419.20000000000005</v>
      </c>
      <c r="AD83" s="198">
        <v>1.50912</v>
      </c>
      <c r="AE83" s="198">
        <v>2.4905515413602326</v>
      </c>
      <c r="AF83" s="198">
        <v>73.465583191065846</v>
      </c>
      <c r="AG83" s="198">
        <v>3.2296765439097992E-2</v>
      </c>
      <c r="AH83" s="198">
        <v>1.7065053126648415E-4</v>
      </c>
      <c r="AI83" s="198">
        <v>74.479708537859949</v>
      </c>
      <c r="AJ83" s="198">
        <v>3.1339077278445267E-2</v>
      </c>
      <c r="AK83" s="198">
        <v>0.73132098378386512</v>
      </c>
      <c r="AL83" s="198">
        <v>3.4239734610045619E-2</v>
      </c>
      <c r="AM83" s="198">
        <v>2.8465861380557567E-2</v>
      </c>
      <c r="AN83" s="198">
        <v>8.2323537901903138E-3</v>
      </c>
      <c r="AO83" s="198">
        <v>5.0668935416098716E-4</v>
      </c>
      <c r="AP83" s="198">
        <v>1.2356987655002887E-3</v>
      </c>
      <c r="AQ83" s="198">
        <v>1.4185945762281323E-3</v>
      </c>
      <c r="AS83" s="258">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102">
        <f t="shared" si="14"/>
        <v>0.41432743584724069</v>
      </c>
      <c r="AZ83" s="102">
        <f t="shared" si="15"/>
        <v>0.58567256415275926</v>
      </c>
    </row>
    <row r="84" spans="1:52" x14ac:dyDescent="0.35">
      <c r="A84" t="s">
        <v>246</v>
      </c>
      <c r="B84">
        <v>2035</v>
      </c>
      <c r="C84" t="s">
        <v>837</v>
      </c>
      <c r="D84" t="s">
        <v>652</v>
      </c>
      <c r="E84" t="s">
        <v>1019</v>
      </c>
      <c r="F84" t="s">
        <v>977</v>
      </c>
      <c r="G84" t="s">
        <v>978</v>
      </c>
      <c r="H84" s="198">
        <v>16256.562557576</v>
      </c>
      <c r="I84" s="198">
        <v>0</v>
      </c>
      <c r="J84" s="198">
        <v>0</v>
      </c>
      <c r="K84" s="198">
        <v>0</v>
      </c>
      <c r="L84" s="198">
        <v>0</v>
      </c>
      <c r="M84" s="198">
        <v>11193.592500000001</v>
      </c>
      <c r="N84" s="198">
        <v>35</v>
      </c>
      <c r="O84" s="198">
        <v>0</v>
      </c>
      <c r="P84" s="198">
        <v>3330.9572960700002</v>
      </c>
      <c r="Q84" s="198">
        <v>0</v>
      </c>
      <c r="R84" s="198">
        <v>0</v>
      </c>
      <c r="S84" s="198">
        <v>1500</v>
      </c>
      <c r="T84" s="198">
        <v>0</v>
      </c>
      <c r="U84" s="198">
        <v>2000</v>
      </c>
      <c r="V84" s="198">
        <v>4500</v>
      </c>
      <c r="W84" s="198">
        <v>56</v>
      </c>
      <c r="X84" s="198">
        <v>1500</v>
      </c>
      <c r="Y84" s="198">
        <v>186</v>
      </c>
      <c r="Z84" s="277">
        <v>40558.112353646</v>
      </c>
      <c r="AA84" s="272">
        <v>0</v>
      </c>
      <c r="AB84" s="198">
        <v>0</v>
      </c>
      <c r="AC84" s="272">
        <v>497</v>
      </c>
      <c r="AD84" s="198">
        <v>1.7891999999999999</v>
      </c>
      <c r="AE84" s="198">
        <v>1.7891999999999999</v>
      </c>
      <c r="AF84" s="198">
        <v>0</v>
      </c>
      <c r="AG84" s="198">
        <v>0</v>
      </c>
      <c r="AH84" s="198">
        <v>0</v>
      </c>
      <c r="AI84" s="198">
        <v>0</v>
      </c>
      <c r="AJ84" s="198">
        <v>0</v>
      </c>
      <c r="AK84" s="198">
        <v>0</v>
      </c>
      <c r="AL84" s="198">
        <v>0</v>
      </c>
      <c r="AM84" s="198">
        <v>2.6452219513632625E-2</v>
      </c>
      <c r="AN84" s="198">
        <v>6.7600116534838762E-3</v>
      </c>
      <c r="AO84" s="198">
        <v>0</v>
      </c>
      <c r="AP84" s="198">
        <v>9.665232539970099E-4</v>
      </c>
      <c r="AQ84" s="198">
        <v>1.2083768715091888E-3</v>
      </c>
      <c r="AS84" s="258">
        <f t="shared" si="8"/>
        <v>54408.707722416104</v>
      </c>
      <c r="AT84" s="3">
        <f t="shared" si="9"/>
        <v>0</v>
      </c>
      <c r="AU84" s="3">
        <f t="shared" si="10"/>
        <v>0</v>
      </c>
      <c r="AV84" s="3">
        <f t="shared" si="11"/>
        <v>30.882225011495393</v>
      </c>
      <c r="AW84" s="3">
        <f t="shared" si="12"/>
        <v>1.1117601004138342</v>
      </c>
      <c r="AX84" s="3">
        <f t="shared" si="13"/>
        <v>1.1117601004138342</v>
      </c>
      <c r="AY84" s="102">
        <f t="shared" si="14"/>
        <v>0</v>
      </c>
      <c r="AZ84" s="102">
        <f t="shared" si="15"/>
        <v>1</v>
      </c>
    </row>
    <row r="85" spans="1:52" x14ac:dyDescent="0.35">
      <c r="A85" t="s">
        <v>627</v>
      </c>
      <c r="B85">
        <v>2035</v>
      </c>
      <c r="C85" t="s">
        <v>837</v>
      </c>
      <c r="D85" t="s">
        <v>652</v>
      </c>
      <c r="E85" t="s">
        <v>1019</v>
      </c>
      <c r="F85" t="s">
        <v>989</v>
      </c>
      <c r="G85" t="s">
        <v>978</v>
      </c>
      <c r="H85" s="198">
        <v>16256.562557576</v>
      </c>
      <c r="I85" s="198">
        <v>0</v>
      </c>
      <c r="J85" s="198">
        <v>15519.7150425</v>
      </c>
      <c r="K85" s="198">
        <v>4834.2261825000005</v>
      </c>
      <c r="L85" s="198">
        <v>0</v>
      </c>
      <c r="M85" s="198">
        <v>1868.6306537999999</v>
      </c>
      <c r="N85" s="198">
        <v>35</v>
      </c>
      <c r="O85" s="198">
        <v>0</v>
      </c>
      <c r="P85" s="198">
        <v>3330.9572960700002</v>
      </c>
      <c r="Q85" s="198">
        <v>0</v>
      </c>
      <c r="R85" s="198">
        <v>0</v>
      </c>
      <c r="S85" s="198">
        <v>1500</v>
      </c>
      <c r="T85" s="198">
        <v>0</v>
      </c>
      <c r="U85" s="198">
        <v>2000</v>
      </c>
      <c r="V85" s="198">
        <v>4500</v>
      </c>
      <c r="W85" s="198">
        <v>56</v>
      </c>
      <c r="X85" s="198">
        <v>1500</v>
      </c>
      <c r="Y85" s="198">
        <v>186</v>
      </c>
      <c r="Z85" s="277">
        <v>51587.091732446002</v>
      </c>
      <c r="AA85" s="272">
        <v>39.783098299999999</v>
      </c>
      <c r="AB85" s="198">
        <v>3.3763128876264528</v>
      </c>
      <c r="AC85" s="272">
        <v>0</v>
      </c>
      <c r="AD85" s="198">
        <v>0</v>
      </c>
      <c r="AE85" s="198">
        <v>3.3763128876264528</v>
      </c>
      <c r="AF85" s="198">
        <v>0</v>
      </c>
      <c r="AG85" s="198">
        <v>0</v>
      </c>
      <c r="AH85" s="198">
        <v>0</v>
      </c>
      <c r="AI85" s="198">
        <v>0</v>
      </c>
      <c r="AJ85" s="198">
        <v>0</v>
      </c>
      <c r="AK85" s="198">
        <v>0</v>
      </c>
      <c r="AL85" s="198">
        <v>0</v>
      </c>
      <c r="AM85" s="198">
        <v>3.156374218661314E-2</v>
      </c>
      <c r="AN85" s="198">
        <v>8.0662896699122601E-3</v>
      </c>
      <c r="AO85" s="198">
        <v>0</v>
      </c>
      <c r="AP85" s="198">
        <v>1.1532903993483746E-3</v>
      </c>
      <c r="AQ85" s="198">
        <v>1.4418788569679716E-3</v>
      </c>
      <c r="AS85" s="258">
        <f t="shared" si="8"/>
        <v>69204.083559076302</v>
      </c>
      <c r="AT85" s="3">
        <f t="shared" si="9"/>
        <v>5.9124384296993817</v>
      </c>
      <c r="AU85" s="3">
        <f t="shared" si="10"/>
        <v>2.2821671854538956</v>
      </c>
      <c r="AV85" s="3">
        <f t="shared" si="11"/>
        <v>0</v>
      </c>
      <c r="AW85" s="3">
        <f t="shared" si="12"/>
        <v>0</v>
      </c>
      <c r="AX85" s="3">
        <f t="shared" si="13"/>
        <v>2.2821671854538956</v>
      </c>
      <c r="AY85" s="102">
        <f t="shared" si="14"/>
        <v>1</v>
      </c>
      <c r="AZ85" s="102">
        <f t="shared" si="15"/>
        <v>0</v>
      </c>
    </row>
    <row r="86" spans="1:52" x14ac:dyDescent="0.35">
      <c r="A86" t="s">
        <v>1065</v>
      </c>
      <c r="B86">
        <v>2035</v>
      </c>
      <c r="C86" t="s">
        <v>837</v>
      </c>
      <c r="D86" t="s">
        <v>652</v>
      </c>
      <c r="E86" t="s">
        <v>1019</v>
      </c>
      <c r="F86" t="s">
        <v>989</v>
      </c>
      <c r="G86" t="s">
        <v>978</v>
      </c>
      <c r="H86" s="198">
        <v>16256.562557576</v>
      </c>
      <c r="I86" s="198">
        <v>0</v>
      </c>
      <c r="J86" s="198">
        <v>6127.0638549999994</v>
      </c>
      <c r="K86" s="198">
        <v>5001.7482157500008</v>
      </c>
      <c r="L86" s="198">
        <v>0</v>
      </c>
      <c r="M86" s="198">
        <v>1038.92625</v>
      </c>
      <c r="N86" s="198">
        <v>35</v>
      </c>
      <c r="O86" s="198">
        <v>0</v>
      </c>
      <c r="P86" s="198">
        <v>3386.7588153999995</v>
      </c>
      <c r="Q86" s="198">
        <v>0</v>
      </c>
      <c r="R86" s="198">
        <v>0</v>
      </c>
      <c r="S86" s="198">
        <v>1500</v>
      </c>
      <c r="T86" s="198">
        <v>0</v>
      </c>
      <c r="U86" s="198">
        <v>2000</v>
      </c>
      <c r="V86" s="198">
        <v>4500</v>
      </c>
      <c r="W86" s="198">
        <v>56</v>
      </c>
      <c r="X86" s="198">
        <v>1500</v>
      </c>
      <c r="Y86" s="198">
        <v>186</v>
      </c>
      <c r="Z86" s="277">
        <v>41588.059693725998</v>
      </c>
      <c r="AA86" s="272">
        <v>42.290268060000002</v>
      </c>
      <c r="AB86" s="198">
        <v>3.1761488792038644</v>
      </c>
      <c r="AC86" s="272">
        <v>0</v>
      </c>
      <c r="AD86" s="198">
        <v>0</v>
      </c>
      <c r="AE86" s="198">
        <v>3.1761488792038644</v>
      </c>
      <c r="AF86" s="198">
        <v>0</v>
      </c>
      <c r="AG86" s="198">
        <v>0</v>
      </c>
      <c r="AH86" s="198">
        <v>0</v>
      </c>
      <c r="AI86" s="198">
        <v>0</v>
      </c>
      <c r="AJ86" s="198">
        <v>0</v>
      </c>
      <c r="AK86" s="198">
        <v>0</v>
      </c>
      <c r="AL86" s="198">
        <v>0</v>
      </c>
      <c r="AM86" s="198">
        <v>2.9692492285561721E-2</v>
      </c>
      <c r="AN86" s="198">
        <v>7.5880813618657856E-3</v>
      </c>
      <c r="AO86" s="198">
        <v>0</v>
      </c>
      <c r="AP86" s="198">
        <v>1.084917817513655E-3</v>
      </c>
      <c r="AQ86" s="198">
        <v>1.3563973683511439E-3</v>
      </c>
      <c r="AS86" s="258">
        <f t="shared" si="8"/>
        <v>55790.382079133422</v>
      </c>
      <c r="AT86" s="3">
        <f t="shared" si="9"/>
        <v>5.561920745163234</v>
      </c>
      <c r="AU86" s="3">
        <f t="shared" si="10"/>
        <v>2.1468693777758627</v>
      </c>
      <c r="AV86" s="3">
        <f t="shared" si="11"/>
        <v>0</v>
      </c>
      <c r="AW86" s="3">
        <f t="shared" si="12"/>
        <v>0</v>
      </c>
      <c r="AX86" s="3">
        <f t="shared" si="13"/>
        <v>2.1468693777758627</v>
      </c>
      <c r="AY86" s="102">
        <f t="shared" si="14"/>
        <v>1</v>
      </c>
      <c r="AZ86" s="102">
        <f t="shared" si="15"/>
        <v>0</v>
      </c>
    </row>
    <row r="87" spans="1:52" x14ac:dyDescent="0.35">
      <c r="A87" t="s">
        <v>1017</v>
      </c>
      <c r="B87">
        <v>2050</v>
      </c>
      <c r="C87" t="s">
        <v>837</v>
      </c>
      <c r="D87" t="s">
        <v>652</v>
      </c>
      <c r="E87" t="s">
        <v>1019</v>
      </c>
      <c r="F87" t="s">
        <v>983</v>
      </c>
      <c r="G87" t="s">
        <v>978</v>
      </c>
      <c r="H87" s="198">
        <v>16332.09874204</v>
      </c>
      <c r="I87" s="198">
        <v>15768</v>
      </c>
      <c r="J87" s="198">
        <v>0</v>
      </c>
      <c r="K87" s="198">
        <v>0</v>
      </c>
      <c r="L87" s="198">
        <v>120</v>
      </c>
      <c r="M87" s="198">
        <v>0</v>
      </c>
      <c r="N87" s="198">
        <v>0</v>
      </c>
      <c r="O87" s="198">
        <v>150</v>
      </c>
      <c r="P87" s="198">
        <v>0</v>
      </c>
      <c r="Q87" s="198">
        <v>0</v>
      </c>
      <c r="R87" s="198">
        <v>44</v>
      </c>
      <c r="S87" s="198">
        <v>6119</v>
      </c>
      <c r="T87" s="198">
        <v>506</v>
      </c>
      <c r="U87" s="198">
        <v>2000</v>
      </c>
      <c r="V87" s="198">
        <v>1920</v>
      </c>
      <c r="W87" s="198">
        <v>0</v>
      </c>
      <c r="X87" s="198">
        <v>0</v>
      </c>
      <c r="Y87" s="198">
        <v>186</v>
      </c>
      <c r="Z87" s="277">
        <v>43145.098742039998</v>
      </c>
      <c r="AA87" s="272">
        <v>15.282765229999999</v>
      </c>
      <c r="AB87" s="198">
        <v>8.7889976374386816</v>
      </c>
      <c r="AC87" s="272">
        <v>0</v>
      </c>
      <c r="AD87" s="198">
        <v>0</v>
      </c>
      <c r="AE87" s="198">
        <v>8.7889976374386816</v>
      </c>
      <c r="AF87" s="198">
        <v>657.90512112992485</v>
      </c>
      <c r="AG87" s="198">
        <v>0.28922668895247439</v>
      </c>
      <c r="AH87" s="198">
        <v>1.528223877999728E-3</v>
      </c>
      <c r="AI87" s="198">
        <v>666.98690106200922</v>
      </c>
      <c r="AJ87" s="198">
        <v>0.2806503200192792</v>
      </c>
      <c r="AK87" s="198">
        <v>6.5491867010686313</v>
      </c>
      <c r="AL87" s="198">
        <v>0.30662652860854162</v>
      </c>
      <c r="AM87" s="198">
        <v>5.5114862882731E-2</v>
      </c>
      <c r="AN87" s="198">
        <v>2.2661785295709055E-2</v>
      </c>
      <c r="AO87" s="198">
        <v>4.5375467864667658E-3</v>
      </c>
      <c r="AP87" s="198">
        <v>3.7654667422087995E-3</v>
      </c>
      <c r="AQ87" s="198">
        <v>3.5765261443977251E-3</v>
      </c>
      <c r="AS87" s="258">
        <f t="shared" si="8"/>
        <v>57879.149962446652</v>
      </c>
      <c r="AT87" s="3">
        <f t="shared" si="9"/>
        <v>15.390874341228637</v>
      </c>
      <c r="AU87" s="3">
        <f t="shared" si="10"/>
        <v>5.9407888631124814</v>
      </c>
      <c r="AV87" s="3">
        <f t="shared" si="11"/>
        <v>0</v>
      </c>
      <c r="AW87" s="3">
        <f t="shared" si="12"/>
        <v>0</v>
      </c>
      <c r="AX87" s="3">
        <f t="shared" si="13"/>
        <v>5.9407888631124814</v>
      </c>
      <c r="AY87" s="102">
        <f t="shared" si="14"/>
        <v>1</v>
      </c>
      <c r="AZ87" s="102">
        <f t="shared" si="15"/>
        <v>0</v>
      </c>
    </row>
    <row r="88" spans="1:52" x14ac:dyDescent="0.35">
      <c r="A88" t="s">
        <v>1020</v>
      </c>
      <c r="B88">
        <v>2050</v>
      </c>
      <c r="C88" t="s">
        <v>837</v>
      </c>
      <c r="D88" t="s">
        <v>652</v>
      </c>
      <c r="E88" t="s">
        <v>1019</v>
      </c>
      <c r="F88" t="s">
        <v>983</v>
      </c>
      <c r="G88" t="s">
        <v>978</v>
      </c>
      <c r="H88" s="198">
        <v>16332.09874204</v>
      </c>
      <c r="I88" s="198">
        <v>13532</v>
      </c>
      <c r="J88" s="198">
        <v>0</v>
      </c>
      <c r="K88" s="198">
        <v>0</v>
      </c>
      <c r="L88" s="198">
        <v>150</v>
      </c>
      <c r="M88" s="198">
        <v>605.08040194</v>
      </c>
      <c r="N88" s="198">
        <v>28.89</v>
      </c>
      <c r="O88" s="198">
        <v>150</v>
      </c>
      <c r="P88" s="198">
        <v>654.23901069999999</v>
      </c>
      <c r="Q88" s="198">
        <v>0</v>
      </c>
      <c r="R88" s="198">
        <v>0</v>
      </c>
      <c r="S88" s="198">
        <v>5219</v>
      </c>
      <c r="T88" s="198">
        <v>392</v>
      </c>
      <c r="U88" s="198">
        <v>2000</v>
      </c>
      <c r="V88" s="198">
        <v>4720</v>
      </c>
      <c r="W88" s="198">
        <v>40.445999999999998</v>
      </c>
      <c r="X88" s="198">
        <v>1500</v>
      </c>
      <c r="Y88" s="198">
        <v>186</v>
      </c>
      <c r="Z88" s="277">
        <v>45509.754154679998</v>
      </c>
      <c r="AA88" s="272">
        <v>24.986481860000001</v>
      </c>
      <c r="AB88" s="198">
        <v>5.3757142863329062</v>
      </c>
      <c r="AC88" s="272">
        <v>0</v>
      </c>
      <c r="AD88" s="198">
        <v>0</v>
      </c>
      <c r="AE88" s="198">
        <v>5.3757142863329062</v>
      </c>
      <c r="AF88" s="198">
        <v>402.40196944010074</v>
      </c>
      <c r="AG88" s="198">
        <v>0.17690299940092888</v>
      </c>
      <c r="AH88" s="198">
        <v>9.3472489953613672E-4</v>
      </c>
      <c r="AI88" s="198">
        <v>407.95676148126296</v>
      </c>
      <c r="AJ88" s="198">
        <v>0.17165733762003949</v>
      </c>
      <c r="AK88" s="198">
        <v>4.0057533253651121</v>
      </c>
      <c r="AL88" s="198">
        <v>0.18754546063229643</v>
      </c>
      <c r="AM88" s="198">
        <v>3.3710528550593588E-2</v>
      </c>
      <c r="AN88" s="198">
        <v>1.3860884709880783E-2</v>
      </c>
      <c r="AO88" s="198">
        <v>2.7753511937479501E-3</v>
      </c>
      <c r="AP88" s="198">
        <v>2.3031151214078925E-3</v>
      </c>
      <c r="AQ88" s="198">
        <v>2.1875512411088796E-3</v>
      </c>
      <c r="AS88" s="258">
        <f t="shared" si="8"/>
        <v>61051.335198503213</v>
      </c>
      <c r="AT88" s="3">
        <f t="shared" si="9"/>
        <v>9.4136949955318006</v>
      </c>
      <c r="AU88" s="3">
        <f t="shared" si="10"/>
        <v>3.6336320569120191</v>
      </c>
      <c r="AV88" s="3">
        <f t="shared" si="11"/>
        <v>0</v>
      </c>
      <c r="AW88" s="3">
        <f t="shared" si="12"/>
        <v>0</v>
      </c>
      <c r="AX88" s="3">
        <f t="shared" si="13"/>
        <v>3.6336320569120191</v>
      </c>
      <c r="AY88" s="102">
        <f t="shared" si="14"/>
        <v>1</v>
      </c>
      <c r="AZ88" s="102">
        <f t="shared" si="15"/>
        <v>0</v>
      </c>
    </row>
    <row r="89" spans="1:52" x14ac:dyDescent="0.35">
      <c r="A89" t="s">
        <v>1021</v>
      </c>
      <c r="B89">
        <v>2050</v>
      </c>
      <c r="C89" t="s">
        <v>837</v>
      </c>
      <c r="D89" t="s">
        <v>652</v>
      </c>
      <c r="E89" t="s">
        <v>1019</v>
      </c>
      <c r="F89" t="s">
        <v>983</v>
      </c>
      <c r="G89" t="s">
        <v>978</v>
      </c>
      <c r="H89" s="198">
        <v>16332.09874204</v>
      </c>
      <c r="I89" s="198">
        <v>11017</v>
      </c>
      <c r="J89" s="198">
        <v>0</v>
      </c>
      <c r="K89" s="198">
        <v>0</v>
      </c>
      <c r="L89" s="198">
        <v>0</v>
      </c>
      <c r="M89" s="198">
        <v>3701.4074999999998</v>
      </c>
      <c r="N89" s="198">
        <v>28.89</v>
      </c>
      <c r="O89" s="198">
        <v>0</v>
      </c>
      <c r="P89" s="198">
        <v>2303.9823157999999</v>
      </c>
      <c r="Q89" s="198">
        <v>0</v>
      </c>
      <c r="R89" s="198">
        <v>1321.8838456999999</v>
      </c>
      <c r="S89" s="198">
        <v>1500</v>
      </c>
      <c r="T89" s="198">
        <v>0</v>
      </c>
      <c r="U89" s="198">
        <v>2000</v>
      </c>
      <c r="V89" s="198">
        <v>4720</v>
      </c>
      <c r="W89" s="198">
        <v>40.445999999999998</v>
      </c>
      <c r="X89" s="198">
        <v>1500</v>
      </c>
      <c r="Y89" s="198">
        <v>186</v>
      </c>
      <c r="Z89" s="277">
        <v>44651.708403540004</v>
      </c>
      <c r="AA89" s="272">
        <v>163.57277530000005</v>
      </c>
      <c r="AB89" s="198">
        <v>0.82116469109025358</v>
      </c>
      <c r="AC89" s="272">
        <v>377.6</v>
      </c>
      <c r="AD89" s="198">
        <v>1.3593600000000001</v>
      </c>
      <c r="AE89" s="198">
        <v>2.1805246910902536</v>
      </c>
      <c r="AF89" s="198">
        <v>61.468722355555386</v>
      </c>
      <c r="AG89" s="198">
        <v>2.7022733932367891E-2</v>
      </c>
      <c r="AH89" s="198">
        <v>1.4278345955502043E-4</v>
      </c>
      <c r="AI89" s="198">
        <v>62.317241984313995</v>
      </c>
      <c r="AJ89" s="198">
        <v>2.6221435350183307E-2</v>
      </c>
      <c r="AK89" s="198">
        <v>0.61189695300028346</v>
      </c>
      <c r="AL89" s="198">
        <v>2.8648418059910592E-2</v>
      </c>
      <c r="AM89" s="198">
        <v>2.5246735807643254E-2</v>
      </c>
      <c r="AN89" s="198">
        <v>7.2532895431629673E-3</v>
      </c>
      <c r="AO89" s="198">
        <v>4.2394745782437356E-4</v>
      </c>
      <c r="AP89" s="198">
        <v>1.0861355674000356E-3</v>
      </c>
      <c r="AQ89" s="198">
        <v>1.252233015639407E-3</v>
      </c>
      <c r="AS89" s="258">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102">
        <f t="shared" si="14"/>
        <v>0.3965454232843742</v>
      </c>
      <c r="AZ89" s="102">
        <f t="shared" si="15"/>
        <v>0.60345457671562575</v>
      </c>
    </row>
    <row r="90" spans="1:52" x14ac:dyDescent="0.35">
      <c r="A90" t="s">
        <v>246</v>
      </c>
      <c r="B90">
        <v>2050</v>
      </c>
      <c r="C90" t="s">
        <v>837</v>
      </c>
      <c r="D90" t="s">
        <v>652</v>
      </c>
      <c r="E90" t="s">
        <v>1019</v>
      </c>
      <c r="F90" t="s">
        <v>977</v>
      </c>
      <c r="G90" t="s">
        <v>978</v>
      </c>
      <c r="H90" s="198">
        <v>16332.09874204</v>
      </c>
      <c r="I90" s="198">
        <v>0</v>
      </c>
      <c r="J90" s="198">
        <v>0</v>
      </c>
      <c r="K90" s="198">
        <v>0</v>
      </c>
      <c r="L90" s="198">
        <v>0</v>
      </c>
      <c r="M90" s="198">
        <v>7776.4312500000005</v>
      </c>
      <c r="N90" s="198">
        <v>28.89</v>
      </c>
      <c r="O90" s="198">
        <v>0</v>
      </c>
      <c r="P90" s="198">
        <v>2305.7849253999998</v>
      </c>
      <c r="Q90" s="198">
        <v>0</v>
      </c>
      <c r="R90" s="198">
        <v>0</v>
      </c>
      <c r="S90" s="198">
        <v>1500</v>
      </c>
      <c r="T90" s="198">
        <v>0</v>
      </c>
      <c r="U90" s="198">
        <v>2000</v>
      </c>
      <c r="V90" s="198">
        <v>4500</v>
      </c>
      <c r="W90" s="198">
        <v>40.445999999999998</v>
      </c>
      <c r="X90" s="198">
        <v>1500</v>
      </c>
      <c r="Y90" s="198">
        <v>186</v>
      </c>
      <c r="Z90" s="277">
        <v>36169.650917440005</v>
      </c>
      <c r="AA90" s="272">
        <v>0</v>
      </c>
      <c r="AB90" s="198">
        <v>0</v>
      </c>
      <c r="AC90" s="272">
        <v>444</v>
      </c>
      <c r="AD90" s="198">
        <v>1.5984</v>
      </c>
      <c r="AE90" s="198">
        <v>1.5984</v>
      </c>
      <c r="AF90" s="198">
        <v>0</v>
      </c>
      <c r="AG90" s="198">
        <v>0</v>
      </c>
      <c r="AH90" s="198">
        <v>0</v>
      </c>
      <c r="AI90" s="198">
        <v>0</v>
      </c>
      <c r="AJ90" s="198">
        <v>0</v>
      </c>
      <c r="AK90" s="198">
        <v>0</v>
      </c>
      <c r="AL90" s="198">
        <v>0</v>
      </c>
      <c r="AM90" s="198">
        <v>2.3631359082601382E-2</v>
      </c>
      <c r="AN90" s="198">
        <v>6.0391250988870038E-3</v>
      </c>
      <c r="AO90" s="198">
        <v>0</v>
      </c>
      <c r="AP90" s="198">
        <v>8.6345336976795251E-4</v>
      </c>
      <c r="AQ90" s="198">
        <v>1.0795157564387923E-3</v>
      </c>
      <c r="AS90" s="258">
        <f t="shared" si="8"/>
        <v>48521.586705745765</v>
      </c>
      <c r="AT90" s="3">
        <f t="shared" si="9"/>
        <v>0</v>
      </c>
      <c r="AU90" s="3">
        <f t="shared" si="10"/>
        <v>0</v>
      </c>
      <c r="AV90" s="3">
        <f t="shared" si="11"/>
        <v>27.588949507251421</v>
      </c>
      <c r="AW90" s="3">
        <f t="shared" si="12"/>
        <v>0.99320218226105117</v>
      </c>
      <c r="AX90" s="3">
        <f t="shared" si="13"/>
        <v>0.99320218226105117</v>
      </c>
      <c r="AY90" s="102">
        <f t="shared" si="14"/>
        <v>0</v>
      </c>
      <c r="AZ90" s="102">
        <f t="shared" si="15"/>
        <v>1</v>
      </c>
    </row>
    <row r="91" spans="1:52" x14ac:dyDescent="0.35">
      <c r="A91" t="s">
        <v>627</v>
      </c>
      <c r="B91">
        <v>2050</v>
      </c>
      <c r="C91" t="s">
        <v>837</v>
      </c>
      <c r="D91" t="s">
        <v>652</v>
      </c>
      <c r="E91" t="s">
        <v>1019</v>
      </c>
      <c r="F91" t="s">
        <v>989</v>
      </c>
      <c r="G91" t="s">
        <v>978</v>
      </c>
      <c r="H91" s="198">
        <v>16332.09874204</v>
      </c>
      <c r="I91" s="198">
        <v>0</v>
      </c>
      <c r="J91" s="198">
        <v>12912.395584000002</v>
      </c>
      <c r="K91" s="198">
        <v>4319.017065</v>
      </c>
      <c r="L91" s="198">
        <v>0</v>
      </c>
      <c r="M91" s="198">
        <v>1815.2412065000001</v>
      </c>
      <c r="N91" s="198">
        <v>28.89</v>
      </c>
      <c r="O91" s="198">
        <v>0</v>
      </c>
      <c r="P91" s="198">
        <v>2305.7849253999998</v>
      </c>
      <c r="Q91" s="198">
        <v>0</v>
      </c>
      <c r="R91" s="198">
        <v>0</v>
      </c>
      <c r="S91" s="198">
        <v>1500</v>
      </c>
      <c r="T91" s="198">
        <v>0</v>
      </c>
      <c r="U91" s="198">
        <v>2000</v>
      </c>
      <c r="V91" s="198">
        <v>4500</v>
      </c>
      <c r="W91" s="198">
        <v>40.445999999999998</v>
      </c>
      <c r="X91" s="198">
        <v>1500</v>
      </c>
      <c r="Y91" s="198">
        <v>186</v>
      </c>
      <c r="Z91" s="277">
        <v>47439.873522940012</v>
      </c>
      <c r="AA91" s="272">
        <v>43.913556489999998</v>
      </c>
      <c r="AB91" s="198">
        <v>3.0587408134567151</v>
      </c>
      <c r="AC91" s="272">
        <v>0</v>
      </c>
      <c r="AD91" s="198">
        <v>0</v>
      </c>
      <c r="AE91" s="198">
        <v>3.0587408134567151</v>
      </c>
      <c r="AF91" s="198">
        <v>0</v>
      </c>
      <c r="AG91" s="198">
        <v>0</v>
      </c>
      <c r="AH91" s="198">
        <v>0</v>
      </c>
      <c r="AI91" s="198">
        <v>0</v>
      </c>
      <c r="AJ91" s="198">
        <v>0</v>
      </c>
      <c r="AK91" s="198">
        <v>0</v>
      </c>
      <c r="AL91" s="198">
        <v>0</v>
      </c>
      <c r="AM91" s="198">
        <v>2.859489320597015E-2</v>
      </c>
      <c r="AN91" s="198">
        <v>7.3075838193034951E-3</v>
      </c>
      <c r="AO91" s="198">
        <v>0</v>
      </c>
      <c r="AP91" s="198">
        <v>1.0448132420377014E-3</v>
      </c>
      <c r="AQ91" s="198">
        <v>1.3062574040549647E-3</v>
      </c>
      <c r="AS91" s="258">
        <f t="shared" si="8"/>
        <v>63640.590331024025</v>
      </c>
      <c r="AT91" s="3">
        <f t="shared" si="9"/>
        <v>5.3563213285854303</v>
      </c>
      <c r="AU91" s="3">
        <f t="shared" si="10"/>
        <v>2.0675091869778699</v>
      </c>
      <c r="AV91" s="3">
        <f t="shared" si="11"/>
        <v>0</v>
      </c>
      <c r="AW91" s="3">
        <f t="shared" si="12"/>
        <v>0</v>
      </c>
      <c r="AX91" s="3">
        <f t="shared" si="13"/>
        <v>2.0675091869778699</v>
      </c>
      <c r="AY91" s="102">
        <f t="shared" si="14"/>
        <v>1</v>
      </c>
      <c r="AZ91" s="102">
        <f t="shared" si="15"/>
        <v>0</v>
      </c>
    </row>
    <row r="92" spans="1:52" x14ac:dyDescent="0.35">
      <c r="A92" t="s">
        <v>1065</v>
      </c>
      <c r="B92">
        <v>2050</v>
      </c>
      <c r="C92" t="s">
        <v>837</v>
      </c>
      <c r="D92" t="s">
        <v>652</v>
      </c>
      <c r="E92" t="s">
        <v>1019</v>
      </c>
      <c r="F92" t="s">
        <v>989</v>
      </c>
      <c r="G92" t="s">
        <v>978</v>
      </c>
      <c r="H92" s="198">
        <v>16332.09874204</v>
      </c>
      <c r="I92" s="198">
        <v>0</v>
      </c>
      <c r="J92" s="198">
        <v>4629.9803359999996</v>
      </c>
      <c r="K92" s="198">
        <v>4469.6100239999996</v>
      </c>
      <c r="L92" s="198">
        <v>0</v>
      </c>
      <c r="M92" s="198">
        <v>816.74249999999995</v>
      </c>
      <c r="N92" s="198">
        <v>28.89</v>
      </c>
      <c r="O92" s="198">
        <v>0</v>
      </c>
      <c r="P92" s="198">
        <v>2319.3612045999998</v>
      </c>
      <c r="Q92" s="198">
        <v>0</v>
      </c>
      <c r="R92" s="198">
        <v>0</v>
      </c>
      <c r="S92" s="198">
        <v>1500</v>
      </c>
      <c r="T92" s="198">
        <v>0</v>
      </c>
      <c r="U92" s="198">
        <v>2000</v>
      </c>
      <c r="V92" s="198">
        <v>4500</v>
      </c>
      <c r="W92" s="198">
        <v>40.445999999999998</v>
      </c>
      <c r="X92" s="198">
        <v>1500</v>
      </c>
      <c r="Y92" s="198">
        <v>186</v>
      </c>
      <c r="Z92" s="277">
        <v>38323.128806640001</v>
      </c>
      <c r="AA92" s="272">
        <v>47.366626140000001</v>
      </c>
      <c r="AB92" s="198">
        <v>2.8357558569401626</v>
      </c>
      <c r="AC92" s="272">
        <v>0</v>
      </c>
      <c r="AD92" s="198">
        <v>0</v>
      </c>
      <c r="AE92" s="198">
        <v>2.8357558569401626</v>
      </c>
      <c r="AF92" s="198">
        <v>0</v>
      </c>
      <c r="AG92" s="198">
        <v>0</v>
      </c>
      <c r="AH92" s="198">
        <v>0</v>
      </c>
      <c r="AI92" s="198">
        <v>0</v>
      </c>
      <c r="AJ92" s="198">
        <v>0</v>
      </c>
      <c r="AK92" s="198">
        <v>0</v>
      </c>
      <c r="AL92" s="198">
        <v>0</v>
      </c>
      <c r="AM92" s="198">
        <v>2.6510299771287181E-2</v>
      </c>
      <c r="AN92" s="198">
        <v>6.7748543859956246E-3</v>
      </c>
      <c r="AO92" s="198">
        <v>0</v>
      </c>
      <c r="AP92" s="198">
        <v>9.6864541692524776E-4</v>
      </c>
      <c r="AQ92" s="198">
        <v>1.2110300643728401E-3</v>
      </c>
      <c r="AS92" s="258">
        <f t="shared" si="8"/>
        <v>51410.477294107557</v>
      </c>
      <c r="AT92" s="3">
        <f t="shared" si="9"/>
        <v>4.9658406859338147</v>
      </c>
      <c r="AU92" s="3">
        <f t="shared" si="10"/>
        <v>1.9167859076050011</v>
      </c>
      <c r="AV92" s="3">
        <f t="shared" si="11"/>
        <v>0</v>
      </c>
      <c r="AW92" s="3">
        <f t="shared" si="12"/>
        <v>0</v>
      </c>
      <c r="AX92" s="3">
        <f t="shared" si="13"/>
        <v>1.9167859076050011</v>
      </c>
      <c r="AY92" s="102">
        <f t="shared" si="14"/>
        <v>1</v>
      </c>
      <c r="AZ92" s="102">
        <f t="shared" si="15"/>
        <v>0</v>
      </c>
    </row>
    <row r="93" spans="1:52" x14ac:dyDescent="0.35">
      <c r="A93" t="s">
        <v>1017</v>
      </c>
      <c r="B93">
        <v>2021</v>
      </c>
      <c r="C93" t="s">
        <v>837</v>
      </c>
      <c r="D93" t="s">
        <v>1022</v>
      </c>
      <c r="E93" t="s">
        <v>1019</v>
      </c>
      <c r="F93" t="s">
        <v>983</v>
      </c>
      <c r="G93" t="s">
        <v>978</v>
      </c>
      <c r="H93" s="198">
        <v>16000</v>
      </c>
      <c r="I93" s="198">
        <v>16272</v>
      </c>
      <c r="J93" s="198">
        <v>0</v>
      </c>
      <c r="K93" s="198">
        <v>0</v>
      </c>
      <c r="L93" s="198">
        <v>120</v>
      </c>
      <c r="M93" s="198">
        <v>0</v>
      </c>
      <c r="N93" s="198">
        <v>0</v>
      </c>
      <c r="O93" s="198">
        <v>150</v>
      </c>
      <c r="P93" s="198">
        <v>0</v>
      </c>
      <c r="Q93" s="198">
        <v>0</v>
      </c>
      <c r="R93" s="198">
        <v>104.8</v>
      </c>
      <c r="S93" s="198">
        <v>6559</v>
      </c>
      <c r="T93" s="198">
        <v>506</v>
      </c>
      <c r="U93" s="198">
        <v>2000</v>
      </c>
      <c r="V93" s="198">
        <v>1920</v>
      </c>
      <c r="W93" s="198">
        <v>0</v>
      </c>
      <c r="X93" s="198">
        <v>0</v>
      </c>
      <c r="Y93" s="198">
        <v>186</v>
      </c>
      <c r="Z93" s="277">
        <v>43817.8</v>
      </c>
      <c r="AA93" s="272">
        <v>10.468736399999999</v>
      </c>
      <c r="AB93" s="198">
        <v>12.830601742919042</v>
      </c>
      <c r="AC93" s="272">
        <v>0</v>
      </c>
      <c r="AD93" s="198">
        <v>0</v>
      </c>
      <c r="AE93" s="198">
        <v>12.830601742919042</v>
      </c>
      <c r="AF93" s="198">
        <v>960.44155910195161</v>
      </c>
      <c r="AG93" s="198">
        <v>0.42222704026733354</v>
      </c>
      <c r="AH93" s="198">
        <v>2.2309747665773686E-3</v>
      </c>
      <c r="AI93" s="198">
        <v>973.69957852945117</v>
      </c>
      <c r="AJ93" s="198">
        <v>0.40970684414014019</v>
      </c>
      <c r="AK93" s="198">
        <v>9.5608179416830161</v>
      </c>
      <c r="AL93" s="198">
        <v>0.44762816360666213</v>
      </c>
      <c r="AM93" s="198">
        <v>8.045932937239865E-2</v>
      </c>
      <c r="AN93" s="198">
        <v>3.3082764827948821E-2</v>
      </c>
      <c r="AO93" s="198">
        <v>6.6241291793069229E-3</v>
      </c>
      <c r="AP93" s="198">
        <v>5.4970095724781081E-3</v>
      </c>
      <c r="AQ93" s="198">
        <v>5.2211849945698798E-3</v>
      </c>
      <c r="AS93" s="258">
        <f t="shared" si="8"/>
        <v>58781.578699999998</v>
      </c>
      <c r="AT93" s="3">
        <f t="shared" si="9"/>
        <v>22.468339086408573</v>
      </c>
      <c r="AU93" s="3">
        <f t="shared" si="10"/>
        <v>8.6726494972159855</v>
      </c>
      <c r="AV93" s="3">
        <f t="shared" si="11"/>
        <v>0</v>
      </c>
      <c r="AW93" s="3">
        <f t="shared" si="12"/>
        <v>0</v>
      </c>
      <c r="AX93" s="3">
        <f t="shared" si="13"/>
        <v>8.6726494972159855</v>
      </c>
      <c r="AY93" s="102">
        <f t="shared" si="14"/>
        <v>1</v>
      </c>
      <c r="AZ93" s="102">
        <f t="shared" si="15"/>
        <v>0</v>
      </c>
    </row>
    <row r="94" spans="1:52" x14ac:dyDescent="0.35">
      <c r="A94" t="s">
        <v>1020</v>
      </c>
      <c r="B94">
        <v>2021</v>
      </c>
      <c r="C94" t="s">
        <v>837</v>
      </c>
      <c r="D94" t="s">
        <v>1022</v>
      </c>
      <c r="E94" t="s">
        <v>1019</v>
      </c>
      <c r="F94" t="s">
        <v>983</v>
      </c>
      <c r="G94" t="s">
        <v>978</v>
      </c>
      <c r="H94" s="198">
        <v>16000</v>
      </c>
      <c r="I94" s="198">
        <v>14719</v>
      </c>
      <c r="J94" s="198">
        <v>0</v>
      </c>
      <c r="K94" s="198">
        <v>0</v>
      </c>
      <c r="L94" s="198">
        <v>150</v>
      </c>
      <c r="M94" s="198">
        <v>783.0452262</v>
      </c>
      <c r="N94" s="198">
        <v>75</v>
      </c>
      <c r="O94" s="198">
        <v>150</v>
      </c>
      <c r="P94" s="198">
        <v>1696.9899519000001</v>
      </c>
      <c r="Q94" s="198">
        <v>0</v>
      </c>
      <c r="R94" s="198">
        <v>0</v>
      </c>
      <c r="S94" s="198">
        <v>6073</v>
      </c>
      <c r="T94" s="198">
        <v>392</v>
      </c>
      <c r="U94" s="198">
        <v>2000</v>
      </c>
      <c r="V94" s="198">
        <v>4720</v>
      </c>
      <c r="W94" s="198">
        <v>375</v>
      </c>
      <c r="X94" s="198">
        <v>1500</v>
      </c>
      <c r="Y94" s="198">
        <v>186</v>
      </c>
      <c r="Z94" s="277">
        <v>48820.035178099999</v>
      </c>
      <c r="AA94" s="272">
        <v>14.69086463</v>
      </c>
      <c r="AB94" s="198">
        <v>9.143109740845798</v>
      </c>
      <c r="AC94" s="272">
        <v>0</v>
      </c>
      <c r="AD94" s="198">
        <v>0</v>
      </c>
      <c r="AE94" s="198">
        <v>9.143109740845798</v>
      </c>
      <c r="AF94" s="198">
        <v>684.41237211531984</v>
      </c>
      <c r="AG94" s="198">
        <v>0.30087974376161003</v>
      </c>
      <c r="AH94" s="198">
        <v>1.5897966072504748E-3</v>
      </c>
      <c r="AI94" s="198">
        <v>693.86006046234479</v>
      </c>
      <c r="AJ94" s="198">
        <v>0.29195782961748062</v>
      </c>
      <c r="AK94" s="198">
        <v>6.8130559582911392</v>
      </c>
      <c r="AL94" s="198">
        <v>0.31898062966592178</v>
      </c>
      <c r="AM94" s="198">
        <v>5.7335461957790754E-2</v>
      </c>
      <c r="AN94" s="198">
        <v>2.3574837362515914E-2</v>
      </c>
      <c r="AO94" s="198">
        <v>4.7203662959429569E-3</v>
      </c>
      <c r="AP94" s="198">
        <v>3.9171788490266687E-3</v>
      </c>
      <c r="AQ94" s="198">
        <v>3.7206257616838106E-3</v>
      </c>
      <c r="AS94" s="258">
        <f t="shared" si="8"/>
        <v>65492.077191421144</v>
      </c>
      <c r="AT94" s="3">
        <f t="shared" si="9"/>
        <v>16.010978602382515</v>
      </c>
      <c r="AU94" s="3">
        <f t="shared" si="10"/>
        <v>6.1801455368761813</v>
      </c>
      <c r="AV94" s="3">
        <f t="shared" si="11"/>
        <v>0</v>
      </c>
      <c r="AW94" s="3">
        <f t="shared" si="12"/>
        <v>0</v>
      </c>
      <c r="AX94" s="3">
        <f t="shared" si="13"/>
        <v>6.1801455368761813</v>
      </c>
      <c r="AY94" s="102">
        <f t="shared" si="14"/>
        <v>1</v>
      </c>
      <c r="AZ94" s="102">
        <f t="shared" si="15"/>
        <v>0</v>
      </c>
    </row>
    <row r="95" spans="1:52" x14ac:dyDescent="0.35">
      <c r="A95" t="s">
        <v>1021</v>
      </c>
      <c r="B95">
        <v>2021</v>
      </c>
      <c r="C95" t="s">
        <v>837</v>
      </c>
      <c r="D95" t="s">
        <v>1022</v>
      </c>
      <c r="E95" t="s">
        <v>1019</v>
      </c>
      <c r="F95" t="s">
        <v>983</v>
      </c>
      <c r="G95" t="s">
        <v>978</v>
      </c>
      <c r="H95" s="198">
        <v>16000</v>
      </c>
      <c r="I95" s="198">
        <v>9420</v>
      </c>
      <c r="J95" s="198">
        <v>0</v>
      </c>
      <c r="K95" s="198">
        <v>0</v>
      </c>
      <c r="L95" s="198">
        <v>0</v>
      </c>
      <c r="M95" s="198">
        <v>10270.102500000001</v>
      </c>
      <c r="N95" s="198">
        <v>75</v>
      </c>
      <c r="O95" s="198">
        <v>0</v>
      </c>
      <c r="P95" s="198">
        <v>8688.4729380000008</v>
      </c>
      <c r="Q95" s="198">
        <v>0</v>
      </c>
      <c r="R95" s="198">
        <v>2541.5995680199999</v>
      </c>
      <c r="S95" s="198">
        <v>1500</v>
      </c>
      <c r="T95" s="198">
        <v>0</v>
      </c>
      <c r="U95" s="198">
        <v>2000</v>
      </c>
      <c r="V95" s="198">
        <v>4720</v>
      </c>
      <c r="W95" s="198">
        <v>375</v>
      </c>
      <c r="X95" s="198">
        <v>1500</v>
      </c>
      <c r="Y95" s="198">
        <v>186</v>
      </c>
      <c r="Z95" s="277">
        <v>57276.175006019999</v>
      </c>
      <c r="AA95" s="272">
        <v>88.795741750000019</v>
      </c>
      <c r="AB95" s="198">
        <v>1.5126872623934129</v>
      </c>
      <c r="AC95" s="272">
        <v>589.6</v>
      </c>
      <c r="AD95" s="198">
        <v>2.12256</v>
      </c>
      <c r="AE95" s="198">
        <v>3.6352472623934129</v>
      </c>
      <c r="AF95" s="198">
        <v>113.233014463144</v>
      </c>
      <c r="AG95" s="198">
        <v>4.9779229255786907E-2</v>
      </c>
      <c r="AH95" s="198">
        <v>2.6302485103515673E-4</v>
      </c>
      <c r="AI95" s="198">
        <v>114.7960929152993</v>
      </c>
      <c r="AJ95" s="198">
        <v>4.8303137831257677E-2</v>
      </c>
      <c r="AK95" s="198">
        <v>1.1271901200134975</v>
      </c>
      <c r="AL95" s="198">
        <v>5.2773941155958848E-2</v>
      </c>
      <c r="AM95" s="198">
        <v>4.0866641514342959E-2</v>
      </c>
      <c r="AN95" s="198">
        <v>1.1919875953898918E-2</v>
      </c>
      <c r="AO95" s="198">
        <v>7.8096382654196917E-4</v>
      </c>
      <c r="AP95" s="198">
        <v>1.7946838429306489E-3</v>
      </c>
      <c r="AQ95" s="198">
        <v>2.049080277211044E-3</v>
      </c>
      <c r="AS95" s="258">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102">
        <f t="shared" si="14"/>
        <v>0.43669904240849783</v>
      </c>
      <c r="AZ95" s="102">
        <f t="shared" si="15"/>
        <v>0.56330095759150212</v>
      </c>
    </row>
    <row r="96" spans="1:52" x14ac:dyDescent="0.35">
      <c r="A96" t="s">
        <v>246</v>
      </c>
      <c r="B96">
        <v>2021</v>
      </c>
      <c r="C96" t="s">
        <v>837</v>
      </c>
      <c r="D96" t="s">
        <v>1022</v>
      </c>
      <c r="E96" t="s">
        <v>1019</v>
      </c>
      <c r="F96" t="s">
        <v>977</v>
      </c>
      <c r="G96" t="s">
        <v>978</v>
      </c>
      <c r="H96" s="198">
        <v>16000</v>
      </c>
      <c r="I96" s="198">
        <v>0</v>
      </c>
      <c r="J96" s="198">
        <v>0</v>
      </c>
      <c r="K96" s="198">
        <v>0</v>
      </c>
      <c r="L96" s="198">
        <v>0</v>
      </c>
      <c r="M96" s="198">
        <v>21774.0075</v>
      </c>
      <c r="N96" s="198">
        <v>75</v>
      </c>
      <c r="O96" s="198">
        <v>0</v>
      </c>
      <c r="P96" s="198">
        <v>8673.6707306999997</v>
      </c>
      <c r="Q96" s="198">
        <v>0</v>
      </c>
      <c r="R96" s="198">
        <v>0</v>
      </c>
      <c r="S96" s="198">
        <v>1500</v>
      </c>
      <c r="T96" s="198">
        <v>0</v>
      </c>
      <c r="U96" s="198">
        <v>2000</v>
      </c>
      <c r="V96" s="198">
        <v>4500</v>
      </c>
      <c r="W96" s="198">
        <v>375</v>
      </c>
      <c r="X96" s="198">
        <v>1500</v>
      </c>
      <c r="Y96" s="198">
        <v>186</v>
      </c>
      <c r="Z96" s="277">
        <v>56583.678230699996</v>
      </c>
      <c r="AA96" s="272">
        <v>0</v>
      </c>
      <c r="AB96" s="198">
        <v>0</v>
      </c>
      <c r="AC96" s="272">
        <v>717</v>
      </c>
      <c r="AD96" s="198">
        <v>2.5811999999999999</v>
      </c>
      <c r="AE96" s="198">
        <v>2.5811999999999999</v>
      </c>
      <c r="AF96" s="198">
        <v>0</v>
      </c>
      <c r="AG96" s="198">
        <v>0</v>
      </c>
      <c r="AH96" s="198">
        <v>0</v>
      </c>
      <c r="AI96" s="198">
        <v>0</v>
      </c>
      <c r="AJ96" s="198">
        <v>0</v>
      </c>
      <c r="AK96" s="198">
        <v>0</v>
      </c>
      <c r="AL96" s="198">
        <v>0</v>
      </c>
      <c r="AM96" s="198">
        <v>3.8161451491498175E-2</v>
      </c>
      <c r="AN96" s="198">
        <v>9.7523709367161749E-3</v>
      </c>
      <c r="AO96" s="198">
        <v>0</v>
      </c>
      <c r="AP96" s="198">
        <v>1.3943605092874367E-3</v>
      </c>
      <c r="AQ96" s="198">
        <v>1.7432720661410227E-3</v>
      </c>
      <c r="AS96" s="258">
        <f t="shared" si="8"/>
        <v>75907.004346484042</v>
      </c>
      <c r="AT96" s="3">
        <f t="shared" si="9"/>
        <v>0</v>
      </c>
      <c r="AU96" s="3">
        <f t="shared" si="10"/>
        <v>0</v>
      </c>
      <c r="AV96" s="3">
        <f t="shared" si="11"/>
        <v>44.552425217791139</v>
      </c>
      <c r="AW96" s="3">
        <f t="shared" si="12"/>
        <v>1.6038873078404812</v>
      </c>
      <c r="AX96" s="3">
        <f t="shared" si="13"/>
        <v>1.6038873078404812</v>
      </c>
      <c r="AY96" s="102">
        <f t="shared" si="14"/>
        <v>0</v>
      </c>
      <c r="AZ96" s="102">
        <f t="shared" si="15"/>
        <v>1</v>
      </c>
    </row>
    <row r="97" spans="1:52" x14ac:dyDescent="0.35">
      <c r="A97" t="s">
        <v>627</v>
      </c>
      <c r="B97">
        <v>2021</v>
      </c>
      <c r="C97" t="s">
        <v>837</v>
      </c>
      <c r="D97" t="s">
        <v>1022</v>
      </c>
      <c r="E97" t="s">
        <v>1019</v>
      </c>
      <c r="F97" t="s">
        <v>989</v>
      </c>
      <c r="G97" t="s">
        <v>978</v>
      </c>
      <c r="H97" s="198">
        <v>16000</v>
      </c>
      <c r="I97" s="198">
        <v>0</v>
      </c>
      <c r="J97" s="198">
        <v>40072.358782800002</v>
      </c>
      <c r="K97" s="198">
        <v>6079.1195000000007</v>
      </c>
      <c r="L97" s="198">
        <v>0</v>
      </c>
      <c r="M97" s="198">
        <v>2040.6633160000001</v>
      </c>
      <c r="N97" s="198">
        <v>75</v>
      </c>
      <c r="O97" s="198">
        <v>0</v>
      </c>
      <c r="P97" s="198">
        <v>8673.6707306999997</v>
      </c>
      <c r="Q97" s="198">
        <v>0</v>
      </c>
      <c r="R97" s="198">
        <v>0</v>
      </c>
      <c r="S97" s="198">
        <v>1500</v>
      </c>
      <c r="T97" s="198">
        <v>0</v>
      </c>
      <c r="U97" s="198">
        <v>2000</v>
      </c>
      <c r="V97" s="198">
        <v>4500</v>
      </c>
      <c r="W97" s="198">
        <v>375</v>
      </c>
      <c r="X97" s="198">
        <v>1500</v>
      </c>
      <c r="Y97" s="198">
        <v>186</v>
      </c>
      <c r="Z97" s="277">
        <v>83001.812329499997</v>
      </c>
      <c r="AA97" s="272">
        <v>28.248342139999998</v>
      </c>
      <c r="AB97" s="198">
        <v>4.7549759498912669</v>
      </c>
      <c r="AC97" s="272">
        <v>0</v>
      </c>
      <c r="AD97" s="198">
        <v>0</v>
      </c>
      <c r="AE97" s="198">
        <v>4.7549759498912669</v>
      </c>
      <c r="AF97" s="198">
        <v>0</v>
      </c>
      <c r="AG97" s="198">
        <v>0</v>
      </c>
      <c r="AH97" s="198">
        <v>0</v>
      </c>
      <c r="AI97" s="198">
        <v>0</v>
      </c>
      <c r="AJ97" s="198">
        <v>0</v>
      </c>
      <c r="AK97" s="198">
        <v>0</v>
      </c>
      <c r="AL97" s="198">
        <v>0</v>
      </c>
      <c r="AM97" s="198">
        <v>4.4452288629986389E-2</v>
      </c>
      <c r="AN97" s="198">
        <v>1.1360029316552096E-2</v>
      </c>
      <c r="AO97" s="198">
        <v>0</v>
      </c>
      <c r="AP97" s="198">
        <v>1.6242179841327367E-3</v>
      </c>
      <c r="AQ97" s="198">
        <v>2.0306468966977912E-3</v>
      </c>
      <c r="AS97" s="258">
        <f t="shared" si="8"/>
        <v>111346.93124002423</v>
      </c>
      <c r="AT97" s="3">
        <f t="shared" si="9"/>
        <v>8.3266875654398369</v>
      </c>
      <c r="AU97" s="3">
        <f t="shared" si="10"/>
        <v>3.2140534487291039</v>
      </c>
      <c r="AV97" s="3">
        <f t="shared" si="11"/>
        <v>0</v>
      </c>
      <c r="AW97" s="3">
        <f t="shared" si="12"/>
        <v>0</v>
      </c>
      <c r="AX97" s="3">
        <f t="shared" si="13"/>
        <v>3.2140534487291039</v>
      </c>
      <c r="AY97" s="102">
        <f t="shared" si="14"/>
        <v>1</v>
      </c>
      <c r="AZ97" s="102">
        <f t="shared" si="15"/>
        <v>0</v>
      </c>
    </row>
    <row r="98" spans="1:52" x14ac:dyDescent="0.35">
      <c r="A98" t="s">
        <v>1065</v>
      </c>
      <c r="B98">
        <v>2021</v>
      </c>
      <c r="C98" t="s">
        <v>837</v>
      </c>
      <c r="D98" t="s">
        <v>1022</v>
      </c>
      <c r="E98" t="s">
        <v>1019</v>
      </c>
      <c r="F98" t="s">
        <v>989</v>
      </c>
      <c r="G98" t="s">
        <v>978</v>
      </c>
      <c r="H98" s="198">
        <v>16000</v>
      </c>
      <c r="I98" s="198">
        <v>0</v>
      </c>
      <c r="J98" s="198">
        <v>8355.2307893999987</v>
      </c>
      <c r="K98" s="198">
        <v>6152.9704999999994</v>
      </c>
      <c r="L98" s="198">
        <v>0</v>
      </c>
      <c r="M98" s="198">
        <v>2345.9625000000001</v>
      </c>
      <c r="N98" s="198">
        <v>75</v>
      </c>
      <c r="O98" s="198">
        <v>0</v>
      </c>
      <c r="P98" s="198">
        <v>8687.8107494999986</v>
      </c>
      <c r="Q98" s="198">
        <v>0</v>
      </c>
      <c r="R98" s="198">
        <v>0</v>
      </c>
      <c r="S98" s="198">
        <v>1500</v>
      </c>
      <c r="T98" s="198">
        <v>0</v>
      </c>
      <c r="U98" s="198">
        <v>2000</v>
      </c>
      <c r="V98" s="198">
        <v>4500</v>
      </c>
      <c r="W98" s="198">
        <v>375</v>
      </c>
      <c r="X98" s="198">
        <v>1500</v>
      </c>
      <c r="Y98" s="198">
        <v>186</v>
      </c>
      <c r="Z98" s="277">
        <v>51677.974538899995</v>
      </c>
      <c r="AA98" s="272">
        <v>30.149895520000001</v>
      </c>
      <c r="AB98" s="198">
        <v>4.4550797003889588</v>
      </c>
      <c r="AC98" s="272">
        <v>0</v>
      </c>
      <c r="AD98" s="198">
        <v>0</v>
      </c>
      <c r="AE98" s="198">
        <v>4.4550797003889588</v>
      </c>
      <c r="AF98" s="198">
        <v>0</v>
      </c>
      <c r="AG98" s="198">
        <v>0</v>
      </c>
      <c r="AH98" s="198">
        <v>0</v>
      </c>
      <c r="AI98" s="198">
        <v>0</v>
      </c>
      <c r="AJ98" s="198">
        <v>0</v>
      </c>
      <c r="AK98" s="198">
        <v>0</v>
      </c>
      <c r="AL98" s="198">
        <v>0</v>
      </c>
      <c r="AM98" s="198">
        <v>4.1648683568170704E-2</v>
      </c>
      <c r="AN98" s="198">
        <v>1.064355246742142E-2</v>
      </c>
      <c r="AO98" s="198">
        <v>0</v>
      </c>
      <c r="AP98" s="198">
        <v>1.5217785844493913E-3</v>
      </c>
      <c r="AQ98" s="198">
        <v>1.9025740326495315E-3</v>
      </c>
      <c r="AS98" s="258">
        <f t="shared" si="8"/>
        <v>69326.002843934344</v>
      </c>
      <c r="AT98" s="3">
        <f t="shared" si="9"/>
        <v>7.8015235271842869</v>
      </c>
      <c r="AU98" s="3">
        <f t="shared" si="10"/>
        <v>3.0113431542646572</v>
      </c>
      <c r="AV98" s="3">
        <f t="shared" si="11"/>
        <v>0</v>
      </c>
      <c r="AW98" s="3">
        <f t="shared" si="12"/>
        <v>0</v>
      </c>
      <c r="AX98" s="3">
        <f t="shared" si="13"/>
        <v>3.0113431542646572</v>
      </c>
      <c r="AY98" s="102">
        <f t="shared" si="14"/>
        <v>1</v>
      </c>
      <c r="AZ98" s="102">
        <f t="shared" si="15"/>
        <v>0</v>
      </c>
    </row>
    <row r="99" spans="1:52" x14ac:dyDescent="0.35">
      <c r="A99" t="s">
        <v>1017</v>
      </c>
      <c r="B99">
        <v>2025</v>
      </c>
      <c r="C99" t="s">
        <v>837</v>
      </c>
      <c r="D99" t="s">
        <v>1022</v>
      </c>
      <c r="E99" t="s">
        <v>1019</v>
      </c>
      <c r="F99" t="s">
        <v>983</v>
      </c>
      <c r="G99" t="s">
        <v>978</v>
      </c>
      <c r="H99" s="198">
        <v>16121.118364743999</v>
      </c>
      <c r="I99" s="198">
        <v>16506</v>
      </c>
      <c r="J99" s="198">
        <v>0</v>
      </c>
      <c r="K99" s="198">
        <v>0</v>
      </c>
      <c r="L99" s="198">
        <v>120</v>
      </c>
      <c r="M99" s="198">
        <v>0</v>
      </c>
      <c r="N99" s="198">
        <v>0</v>
      </c>
      <c r="O99" s="198">
        <v>150</v>
      </c>
      <c r="P99" s="198">
        <v>0</v>
      </c>
      <c r="Q99" s="198">
        <v>0</v>
      </c>
      <c r="R99" s="198">
        <v>92</v>
      </c>
      <c r="S99" s="198">
        <v>6512</v>
      </c>
      <c r="T99" s="198">
        <v>506</v>
      </c>
      <c r="U99" s="198">
        <v>2000</v>
      </c>
      <c r="V99" s="198">
        <v>1920</v>
      </c>
      <c r="W99" s="198">
        <v>0</v>
      </c>
      <c r="X99" s="198">
        <v>0</v>
      </c>
      <c r="Y99" s="198">
        <v>186</v>
      </c>
      <c r="Z99" s="277">
        <v>44113.118364743998</v>
      </c>
      <c r="AA99" s="272">
        <v>11.147453069999999</v>
      </c>
      <c r="AB99" s="198">
        <v>12.049405963545359</v>
      </c>
      <c r="AC99" s="272">
        <v>0</v>
      </c>
      <c r="AD99" s="198">
        <v>0</v>
      </c>
      <c r="AE99" s="198">
        <v>12.049405963545359</v>
      </c>
      <c r="AF99" s="198">
        <v>901.96473102024481</v>
      </c>
      <c r="AG99" s="198">
        <v>0.39651959579955426</v>
      </c>
      <c r="AH99" s="198">
        <v>2.0951410694164964E-3</v>
      </c>
      <c r="AI99" s="198">
        <v>914.41553118966613</v>
      </c>
      <c r="AJ99" s="198">
        <v>0.38476169629472257</v>
      </c>
      <c r="AK99" s="198">
        <v>8.9787041193500237</v>
      </c>
      <c r="AL99" s="198">
        <v>0.4203741626529422</v>
      </c>
      <c r="AM99" s="198">
        <v>7.5560534306014254E-2</v>
      </c>
      <c r="AN99" s="198">
        <v>3.1068508850603988E-2</v>
      </c>
      <c r="AO99" s="198">
        <v>6.2208167033541515E-3</v>
      </c>
      <c r="AP99" s="198">
        <v>5.1623221771993529E-3</v>
      </c>
      <c r="AQ99" s="198">
        <v>4.9032912774386326E-3</v>
      </c>
      <c r="AS99" s="258">
        <f t="shared" si="8"/>
        <v>59177.748286304071</v>
      </c>
      <c r="AT99" s="3">
        <f t="shared" si="9"/>
        <v>21.10034621939235</v>
      </c>
      <c r="AU99" s="3">
        <f t="shared" si="10"/>
        <v>8.1446121285125681</v>
      </c>
      <c r="AV99" s="3">
        <f t="shared" si="11"/>
        <v>0</v>
      </c>
      <c r="AW99" s="3">
        <f t="shared" si="12"/>
        <v>0</v>
      </c>
      <c r="AX99" s="3">
        <f t="shared" si="13"/>
        <v>8.1446121285125681</v>
      </c>
      <c r="AY99" s="102">
        <f t="shared" si="14"/>
        <v>1</v>
      </c>
      <c r="AZ99" s="102">
        <f t="shared" si="15"/>
        <v>0</v>
      </c>
    </row>
    <row r="100" spans="1:52" x14ac:dyDescent="0.35">
      <c r="A100" t="s">
        <v>1020</v>
      </c>
      <c r="B100">
        <v>2025</v>
      </c>
      <c r="C100" t="s">
        <v>837</v>
      </c>
      <c r="D100" t="s">
        <v>1022</v>
      </c>
      <c r="E100" t="s">
        <v>1019</v>
      </c>
      <c r="F100" t="s">
        <v>983</v>
      </c>
      <c r="G100" t="s">
        <v>978</v>
      </c>
      <c r="H100" s="198">
        <v>16121.118364743999</v>
      </c>
      <c r="I100" s="198">
        <v>14882</v>
      </c>
      <c r="J100" s="198">
        <v>0</v>
      </c>
      <c r="K100" s="198">
        <v>0</v>
      </c>
      <c r="L100" s="198">
        <v>150</v>
      </c>
      <c r="M100" s="198">
        <v>735.58793960000003</v>
      </c>
      <c r="N100" s="198">
        <v>50</v>
      </c>
      <c r="O100" s="198">
        <v>150</v>
      </c>
      <c r="P100" s="198">
        <v>1429.3123657000001</v>
      </c>
      <c r="Q100" s="198">
        <v>0</v>
      </c>
      <c r="R100" s="198">
        <v>0</v>
      </c>
      <c r="S100" s="198">
        <v>6004</v>
      </c>
      <c r="T100" s="198">
        <v>392</v>
      </c>
      <c r="U100" s="198">
        <v>2000</v>
      </c>
      <c r="V100" s="198">
        <v>4720</v>
      </c>
      <c r="W100" s="198">
        <v>233.3</v>
      </c>
      <c r="X100" s="198">
        <v>1500</v>
      </c>
      <c r="Y100" s="198">
        <v>186</v>
      </c>
      <c r="Z100" s="277">
        <v>48553.318670044006</v>
      </c>
      <c r="AA100" s="272">
        <v>16.172618849999999</v>
      </c>
      <c r="AB100" s="198">
        <v>8.3054073521308531</v>
      </c>
      <c r="AC100" s="272">
        <v>0</v>
      </c>
      <c r="AD100" s="198">
        <v>0</v>
      </c>
      <c r="AE100" s="198">
        <v>8.3054073521308531</v>
      </c>
      <c r="AF100" s="198">
        <v>621.70571155477103</v>
      </c>
      <c r="AG100" s="198">
        <v>0.27331279037166578</v>
      </c>
      <c r="AH100" s="198">
        <v>1.444137586062631E-3</v>
      </c>
      <c r="AI100" s="198">
        <v>630.28779166559809</v>
      </c>
      <c r="AJ100" s="198">
        <v>0.26520831241744208</v>
      </c>
      <c r="AK100" s="198">
        <v>6.1888358173895917</v>
      </c>
      <c r="AL100" s="198">
        <v>0.28975525197727758</v>
      </c>
      <c r="AM100" s="198">
        <v>5.2082319996085168E-2</v>
      </c>
      <c r="AN100" s="198">
        <v>2.1414883240569761E-2</v>
      </c>
      <c r="AO100" s="198">
        <v>4.287880825047238E-3</v>
      </c>
      <c r="AP100" s="198">
        <v>3.5582823497104805E-3</v>
      </c>
      <c r="AQ100" s="198">
        <v>3.3797376856987828E-3</v>
      </c>
      <c r="AS100" s="258">
        <f t="shared" si="8"/>
        <v>65134.276995864027</v>
      </c>
      <c r="AT100" s="3">
        <f t="shared" si="9"/>
        <v>14.544034050578528</v>
      </c>
      <c r="AU100" s="3">
        <f t="shared" si="10"/>
        <v>5.6139133876853018</v>
      </c>
      <c r="AV100" s="3">
        <f t="shared" si="11"/>
        <v>0</v>
      </c>
      <c r="AW100" s="3">
        <f t="shared" si="12"/>
        <v>0</v>
      </c>
      <c r="AX100" s="3">
        <f t="shared" si="13"/>
        <v>5.6139133876853018</v>
      </c>
      <c r="AY100" s="102">
        <f t="shared" si="14"/>
        <v>1</v>
      </c>
      <c r="AZ100" s="102">
        <f t="shared" si="15"/>
        <v>0</v>
      </c>
    </row>
    <row r="101" spans="1:52" x14ac:dyDescent="0.35">
      <c r="A101" t="s">
        <v>1021</v>
      </c>
      <c r="B101">
        <v>2025</v>
      </c>
      <c r="C101" t="s">
        <v>837</v>
      </c>
      <c r="D101" t="s">
        <v>1022</v>
      </c>
      <c r="E101" t="s">
        <v>1019</v>
      </c>
      <c r="F101" t="s">
        <v>983</v>
      </c>
      <c r="G101" t="s">
        <v>978</v>
      </c>
      <c r="H101" s="198">
        <v>16121.118364743999</v>
      </c>
      <c r="I101" s="198">
        <v>9580</v>
      </c>
      <c r="J101" s="198">
        <v>0</v>
      </c>
      <c r="K101" s="198">
        <v>0</v>
      </c>
      <c r="L101" s="198">
        <v>0</v>
      </c>
      <c r="M101" s="198">
        <v>8722.5120000000006</v>
      </c>
      <c r="N101" s="198">
        <v>50</v>
      </c>
      <c r="O101" s="198">
        <v>0</v>
      </c>
      <c r="P101" s="198">
        <v>7130.3397076999991</v>
      </c>
      <c r="Q101" s="198">
        <v>0</v>
      </c>
      <c r="R101" s="198">
        <v>2061.2887983000001</v>
      </c>
      <c r="S101" s="198">
        <v>1500</v>
      </c>
      <c r="T101" s="198">
        <v>0</v>
      </c>
      <c r="U101" s="198">
        <v>2000</v>
      </c>
      <c r="V101" s="198">
        <v>4720</v>
      </c>
      <c r="W101" s="198">
        <v>233.3</v>
      </c>
      <c r="X101" s="198">
        <v>1500</v>
      </c>
      <c r="Y101" s="198">
        <v>186</v>
      </c>
      <c r="Z101" s="277">
        <v>53804.558870744004</v>
      </c>
      <c r="AA101" s="272">
        <v>99.992479300000014</v>
      </c>
      <c r="AB101" s="198">
        <v>1.3433029007812589</v>
      </c>
      <c r="AC101" s="272">
        <v>545.6</v>
      </c>
      <c r="AD101" s="198">
        <v>1.9641600000000001</v>
      </c>
      <c r="AE101" s="198">
        <v>3.307462900781259</v>
      </c>
      <c r="AF101" s="198">
        <v>100.55365743734839</v>
      </c>
      <c r="AG101" s="198">
        <v>4.4205160392606642E-2</v>
      </c>
      <c r="AH101" s="198">
        <v>2.3357243374552469E-4</v>
      </c>
      <c r="AI101" s="198">
        <v>101.94170893426303</v>
      </c>
      <c r="AJ101" s="198">
        <v>4.2894355481582824E-2</v>
      </c>
      <c r="AK101" s="198">
        <v>1.0009721081080349</v>
      </c>
      <c r="AL101" s="198">
        <v>4.6864537041379453E-2</v>
      </c>
      <c r="AM101" s="198">
        <v>3.7462603928165167E-2</v>
      </c>
      <c r="AN101" s="198">
        <v>1.0884658953647661E-2</v>
      </c>
      <c r="AO101" s="198">
        <v>6.9351477974316511E-4</v>
      </c>
      <c r="AP101" s="198">
        <v>1.6365471175808133E-3</v>
      </c>
      <c r="AQ101" s="198">
        <v>1.873173287368248E-3</v>
      </c>
      <c r="AS101" s="258">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102">
        <f t="shared" si="14"/>
        <v>0.42659239819973044</v>
      </c>
      <c r="AZ101" s="102">
        <f t="shared" si="15"/>
        <v>0.57340760180026973</v>
      </c>
    </row>
    <row r="102" spans="1:52" x14ac:dyDescent="0.35">
      <c r="A102" t="s">
        <v>246</v>
      </c>
      <c r="B102">
        <v>2025</v>
      </c>
      <c r="C102" t="s">
        <v>837</v>
      </c>
      <c r="D102" t="s">
        <v>1022</v>
      </c>
      <c r="E102" t="s">
        <v>1019</v>
      </c>
      <c r="F102" t="s">
        <v>977</v>
      </c>
      <c r="G102" t="s">
        <v>978</v>
      </c>
      <c r="H102" s="198">
        <v>16121.118364743999</v>
      </c>
      <c r="I102" s="198">
        <v>0</v>
      </c>
      <c r="J102" s="198">
        <v>0</v>
      </c>
      <c r="K102" s="198">
        <v>0</v>
      </c>
      <c r="L102" s="198">
        <v>0</v>
      </c>
      <c r="M102" s="198">
        <v>18588.96</v>
      </c>
      <c r="N102" s="198">
        <v>50</v>
      </c>
      <c r="O102" s="198">
        <v>0</v>
      </c>
      <c r="P102" s="198">
        <v>7246.8914096000008</v>
      </c>
      <c r="Q102" s="198">
        <v>0</v>
      </c>
      <c r="R102" s="198">
        <v>0</v>
      </c>
      <c r="S102" s="198">
        <v>1500</v>
      </c>
      <c r="T102" s="198">
        <v>0</v>
      </c>
      <c r="U102" s="198">
        <v>2000</v>
      </c>
      <c r="V102" s="198">
        <v>4500</v>
      </c>
      <c r="W102" s="198">
        <v>233.3</v>
      </c>
      <c r="X102" s="198">
        <v>1500</v>
      </c>
      <c r="Y102" s="198">
        <v>186</v>
      </c>
      <c r="Z102" s="277">
        <v>51926.269774344</v>
      </c>
      <c r="AA102" s="272">
        <v>0</v>
      </c>
      <c r="AB102" s="198">
        <v>0</v>
      </c>
      <c r="AC102" s="272">
        <v>663</v>
      </c>
      <c r="AD102" s="198">
        <v>2.3868</v>
      </c>
      <c r="AE102" s="198">
        <v>2.3868</v>
      </c>
      <c r="AF102" s="198">
        <v>0</v>
      </c>
      <c r="AG102" s="198">
        <v>0</v>
      </c>
      <c r="AH102" s="198">
        <v>0</v>
      </c>
      <c r="AI102" s="198">
        <v>0</v>
      </c>
      <c r="AJ102" s="198">
        <v>0</v>
      </c>
      <c r="AK102" s="198">
        <v>0</v>
      </c>
      <c r="AL102" s="198">
        <v>0</v>
      </c>
      <c r="AM102" s="198">
        <v>3.5287367278749357E-2</v>
      </c>
      <c r="AN102" s="198">
        <v>9.0178827490137014E-3</v>
      </c>
      <c r="AO102" s="198">
        <v>0</v>
      </c>
      <c r="AP102" s="198">
        <v>1.2893459102616047E-3</v>
      </c>
      <c r="AQ102" s="198">
        <v>1.6119796092768455E-3</v>
      </c>
      <c r="AS102" s="258">
        <f t="shared" si="8"/>
        <v>69659.090902282478</v>
      </c>
      <c r="AT102" s="3">
        <f t="shared" si="9"/>
        <v>0</v>
      </c>
      <c r="AU102" s="3">
        <f t="shared" si="10"/>
        <v>0</v>
      </c>
      <c r="AV102" s="3">
        <f t="shared" si="11"/>
        <v>41.197012439882187</v>
      </c>
      <c r="AW102" s="3">
        <f t="shared" si="12"/>
        <v>1.4830924478357588</v>
      </c>
      <c r="AX102" s="3">
        <f t="shared" si="13"/>
        <v>1.4830924478357588</v>
      </c>
      <c r="AY102" s="102">
        <f t="shared" si="14"/>
        <v>0</v>
      </c>
      <c r="AZ102" s="102">
        <f t="shared" si="15"/>
        <v>1</v>
      </c>
    </row>
    <row r="103" spans="1:52" x14ac:dyDescent="0.35">
      <c r="A103" t="s">
        <v>627</v>
      </c>
      <c r="B103">
        <v>2025</v>
      </c>
      <c r="C103" t="s">
        <v>837</v>
      </c>
      <c r="D103" t="s">
        <v>1022</v>
      </c>
      <c r="E103" t="s">
        <v>1019</v>
      </c>
      <c r="F103" t="s">
        <v>989</v>
      </c>
      <c r="G103" t="s">
        <v>978</v>
      </c>
      <c r="H103" s="198">
        <v>16121.118364743999</v>
      </c>
      <c r="I103" s="198">
        <v>0</v>
      </c>
      <c r="J103" s="198">
        <v>30669.985874905662</v>
      </c>
      <c r="K103" s="198">
        <v>5772.823848</v>
      </c>
      <c r="L103" s="198">
        <v>0</v>
      </c>
      <c r="M103" s="198">
        <v>2076.2562819999998</v>
      </c>
      <c r="N103" s="198">
        <v>50</v>
      </c>
      <c r="O103" s="198">
        <v>0</v>
      </c>
      <c r="P103" s="198">
        <v>7246.8914096000008</v>
      </c>
      <c r="Q103" s="198">
        <v>0</v>
      </c>
      <c r="R103" s="198">
        <v>0</v>
      </c>
      <c r="S103" s="198">
        <v>1500</v>
      </c>
      <c r="T103" s="198">
        <v>0</v>
      </c>
      <c r="U103" s="198">
        <v>2000</v>
      </c>
      <c r="V103" s="198">
        <v>4500</v>
      </c>
      <c r="W103" s="198">
        <v>233.3</v>
      </c>
      <c r="X103" s="198">
        <v>1500</v>
      </c>
      <c r="Y103" s="198">
        <v>186</v>
      </c>
      <c r="Z103" s="277">
        <v>71856.375779249662</v>
      </c>
      <c r="AA103" s="272">
        <v>30.168974420000001</v>
      </c>
      <c r="AB103" s="198">
        <v>4.4522623019944216</v>
      </c>
      <c r="AC103" s="272">
        <v>0</v>
      </c>
      <c r="AD103" s="198">
        <v>0</v>
      </c>
      <c r="AE103" s="198">
        <v>4.4522623019944216</v>
      </c>
      <c r="AF103" s="198">
        <v>0</v>
      </c>
      <c r="AG103" s="198">
        <v>0</v>
      </c>
      <c r="AH103" s="198">
        <v>0</v>
      </c>
      <c r="AI103" s="198">
        <v>0</v>
      </c>
      <c r="AJ103" s="198">
        <v>0</v>
      </c>
      <c r="AK103" s="198">
        <v>0</v>
      </c>
      <c r="AL103" s="198">
        <v>0</v>
      </c>
      <c r="AM103" s="198">
        <v>4.1622344884665374E-2</v>
      </c>
      <c r="AN103" s="198">
        <v>1.0636821470525614E-2</v>
      </c>
      <c r="AO103" s="198">
        <v>0</v>
      </c>
      <c r="AP103" s="198">
        <v>1.5208162096258175E-3</v>
      </c>
      <c r="AQ103" s="198">
        <v>1.9013708422723522E-3</v>
      </c>
      <c r="AS103" s="258">
        <f t="shared" si="8"/>
        <v>96395.328107863417</v>
      </c>
      <c r="AT103" s="3">
        <f t="shared" si="9"/>
        <v>7.7965898332127699</v>
      </c>
      <c r="AU103" s="3">
        <f t="shared" si="10"/>
        <v>3.009438776803691</v>
      </c>
      <c r="AV103" s="3">
        <f t="shared" si="11"/>
        <v>0</v>
      </c>
      <c r="AW103" s="3">
        <f t="shared" si="12"/>
        <v>0</v>
      </c>
      <c r="AX103" s="3">
        <f t="shared" si="13"/>
        <v>3.009438776803691</v>
      </c>
      <c r="AY103" s="102">
        <f t="shared" si="14"/>
        <v>1</v>
      </c>
      <c r="AZ103" s="102">
        <f t="shared" si="15"/>
        <v>0</v>
      </c>
    </row>
    <row r="104" spans="1:52" x14ac:dyDescent="0.35">
      <c r="A104" t="s">
        <v>1065</v>
      </c>
      <c r="B104">
        <v>2025</v>
      </c>
      <c r="C104" t="s">
        <v>837</v>
      </c>
      <c r="D104" t="s">
        <v>1022</v>
      </c>
      <c r="E104" t="s">
        <v>1019</v>
      </c>
      <c r="F104" t="s">
        <v>989</v>
      </c>
      <c r="G104" t="s">
        <v>978</v>
      </c>
      <c r="H104" s="198">
        <v>16121.118364743999</v>
      </c>
      <c r="I104" s="198">
        <v>0</v>
      </c>
      <c r="J104" s="198">
        <v>5975.1120703773586</v>
      </c>
      <c r="K104" s="198">
        <v>5808.4061970000002</v>
      </c>
      <c r="L104" s="198">
        <v>0</v>
      </c>
      <c r="M104" s="198">
        <v>2176.6559999999999</v>
      </c>
      <c r="N104" s="198">
        <v>50</v>
      </c>
      <c r="O104" s="198">
        <v>0</v>
      </c>
      <c r="P104" s="198">
        <v>7230.5568877999995</v>
      </c>
      <c r="Q104" s="198">
        <v>0</v>
      </c>
      <c r="R104" s="198">
        <v>0</v>
      </c>
      <c r="S104" s="198">
        <v>1500</v>
      </c>
      <c r="T104" s="198">
        <v>0</v>
      </c>
      <c r="U104" s="198">
        <v>2000</v>
      </c>
      <c r="V104" s="198">
        <v>4500</v>
      </c>
      <c r="W104" s="198">
        <v>233.3</v>
      </c>
      <c r="X104" s="198">
        <v>1500</v>
      </c>
      <c r="Y104" s="198">
        <v>186</v>
      </c>
      <c r="Z104" s="277">
        <v>47281.14951992136</v>
      </c>
      <c r="AA104" s="272">
        <v>32.522785900000002</v>
      </c>
      <c r="AB104" s="198">
        <v>4.1300332607730255</v>
      </c>
      <c r="AC104" s="272">
        <v>0</v>
      </c>
      <c r="AD104" s="198">
        <v>0</v>
      </c>
      <c r="AE104" s="198">
        <v>4.1300332607730255</v>
      </c>
      <c r="AF104" s="198">
        <v>0</v>
      </c>
      <c r="AG104" s="198">
        <v>0</v>
      </c>
      <c r="AH104" s="198">
        <v>0</v>
      </c>
      <c r="AI104" s="198">
        <v>0</v>
      </c>
      <c r="AJ104" s="198">
        <v>0</v>
      </c>
      <c r="AK104" s="198">
        <v>0</v>
      </c>
      <c r="AL104" s="198">
        <v>0</v>
      </c>
      <c r="AM104" s="198">
        <v>3.860995985973905E-2</v>
      </c>
      <c r="AN104" s="198">
        <v>9.8669897419333286E-3</v>
      </c>
      <c r="AO104" s="198">
        <v>0</v>
      </c>
      <c r="AP104" s="198">
        <v>1.4107483124845904E-3</v>
      </c>
      <c r="AQ104" s="198">
        <v>1.7637605978720423E-3</v>
      </c>
      <c r="AS104" s="258">
        <f t="shared" si="8"/>
        <v>63427.6620809745</v>
      </c>
      <c r="AT104" s="3">
        <f t="shared" si="9"/>
        <v>7.2323176730511305</v>
      </c>
      <c r="AU104" s="3">
        <f t="shared" si="10"/>
        <v>2.7916329724984186</v>
      </c>
      <c r="AV104" s="3">
        <f t="shared" si="11"/>
        <v>0</v>
      </c>
      <c r="AW104" s="3">
        <f t="shared" si="12"/>
        <v>0</v>
      </c>
      <c r="AX104" s="3">
        <f t="shared" si="13"/>
        <v>2.7916329724984186</v>
      </c>
      <c r="AY104" s="102">
        <f t="shared" si="14"/>
        <v>1</v>
      </c>
      <c r="AZ104" s="102">
        <f t="shared" si="15"/>
        <v>0</v>
      </c>
    </row>
    <row r="105" spans="1:52" x14ac:dyDescent="0.35">
      <c r="A105" t="s">
        <v>1017</v>
      </c>
      <c r="B105">
        <v>2030</v>
      </c>
      <c r="C105" t="s">
        <v>837</v>
      </c>
      <c r="D105" t="s">
        <v>1022</v>
      </c>
      <c r="E105" t="s">
        <v>1019</v>
      </c>
      <c r="F105" t="s">
        <v>983</v>
      </c>
      <c r="G105" t="s">
        <v>978</v>
      </c>
      <c r="H105" s="198">
        <v>16256.562557576</v>
      </c>
      <c r="I105" s="198">
        <v>16623</v>
      </c>
      <c r="J105" s="198">
        <v>0</v>
      </c>
      <c r="K105" s="198">
        <v>0</v>
      </c>
      <c r="L105" s="198">
        <v>120</v>
      </c>
      <c r="M105" s="198">
        <v>0</v>
      </c>
      <c r="N105" s="198">
        <v>0</v>
      </c>
      <c r="O105" s="198">
        <v>150</v>
      </c>
      <c r="P105" s="198">
        <v>0</v>
      </c>
      <c r="Q105" s="198">
        <v>0</v>
      </c>
      <c r="R105" s="198">
        <v>73.2</v>
      </c>
      <c r="S105" s="198">
        <v>6471</v>
      </c>
      <c r="T105" s="198">
        <v>506</v>
      </c>
      <c r="U105" s="198">
        <v>2000</v>
      </c>
      <c r="V105" s="198">
        <v>1920</v>
      </c>
      <c r="W105" s="198">
        <v>0</v>
      </c>
      <c r="X105" s="198">
        <v>0</v>
      </c>
      <c r="Y105" s="198">
        <v>186</v>
      </c>
      <c r="Z105" s="277">
        <v>44305.762557575996</v>
      </c>
      <c r="AA105" s="272">
        <v>11.797750949999999</v>
      </c>
      <c r="AB105" s="198">
        <v>11.385236734464208</v>
      </c>
      <c r="AC105" s="272">
        <v>0</v>
      </c>
      <c r="AD105" s="198">
        <v>0</v>
      </c>
      <c r="AE105" s="198">
        <v>11.385236734464208</v>
      </c>
      <c r="AF105" s="198">
        <v>852.24798798141705</v>
      </c>
      <c r="AG105" s="198">
        <v>0.37466323914143146</v>
      </c>
      <c r="AH105" s="198">
        <v>1.979655855199249E-3</v>
      </c>
      <c r="AI105" s="198">
        <v>864.01249387417545</v>
      </c>
      <c r="AJ105" s="198">
        <v>0.36355344088518943</v>
      </c>
      <c r="AK105" s="198">
        <v>8.483793497935304</v>
      </c>
      <c r="AL105" s="198">
        <v>0.39720293044618127</v>
      </c>
      <c r="AM105" s="198">
        <v>7.1395600202970783E-2</v>
      </c>
      <c r="AN105" s="198">
        <v>2.9355997243439652E-2</v>
      </c>
      <c r="AO105" s="198">
        <v>5.8779222032748967E-3</v>
      </c>
      <c r="AP105" s="198">
        <v>4.8777724200518065E-3</v>
      </c>
      <c r="AQ105" s="198">
        <v>4.6330194318763354E-3</v>
      </c>
      <c r="AS105" s="258">
        <f t="shared" si="8"/>
        <v>59436.180470988198</v>
      </c>
      <c r="AT105" s="3">
        <f t="shared" si="9"/>
        <v>19.937284677248435</v>
      </c>
      <c r="AU105" s="3">
        <f t="shared" si="10"/>
        <v>7.695677071056215</v>
      </c>
      <c r="AV105" s="3">
        <f t="shared" si="11"/>
        <v>0</v>
      </c>
      <c r="AW105" s="3">
        <f t="shared" si="12"/>
        <v>0</v>
      </c>
      <c r="AX105" s="3">
        <f t="shared" si="13"/>
        <v>7.695677071056215</v>
      </c>
      <c r="AY105" s="102">
        <f t="shared" si="14"/>
        <v>1</v>
      </c>
      <c r="AZ105" s="102">
        <f t="shared" si="15"/>
        <v>0</v>
      </c>
    </row>
    <row r="106" spans="1:52" x14ac:dyDescent="0.35">
      <c r="A106" t="s">
        <v>1020</v>
      </c>
      <c r="B106">
        <v>2030</v>
      </c>
      <c r="C106" t="s">
        <v>837</v>
      </c>
      <c r="D106" t="s">
        <v>1022</v>
      </c>
      <c r="E106" t="s">
        <v>1019</v>
      </c>
      <c r="F106" t="s">
        <v>983</v>
      </c>
      <c r="G106" t="s">
        <v>978</v>
      </c>
      <c r="H106" s="198">
        <v>16256.562557576</v>
      </c>
      <c r="I106" s="198">
        <v>14739</v>
      </c>
      <c r="J106" s="198">
        <v>0</v>
      </c>
      <c r="K106" s="198">
        <v>0</v>
      </c>
      <c r="L106" s="198">
        <v>150</v>
      </c>
      <c r="M106" s="198">
        <v>710.07964833000005</v>
      </c>
      <c r="N106" s="198">
        <v>40</v>
      </c>
      <c r="O106" s="198">
        <v>150</v>
      </c>
      <c r="P106" s="198">
        <v>1146.0060313199999</v>
      </c>
      <c r="Q106" s="198">
        <v>0</v>
      </c>
      <c r="R106" s="198">
        <v>0</v>
      </c>
      <c r="S106" s="198">
        <v>5882</v>
      </c>
      <c r="T106" s="198">
        <v>392</v>
      </c>
      <c r="U106" s="198">
        <v>2000</v>
      </c>
      <c r="V106" s="198">
        <v>4720</v>
      </c>
      <c r="W106" s="198">
        <v>173.28</v>
      </c>
      <c r="X106" s="198">
        <v>1500</v>
      </c>
      <c r="Y106" s="198">
        <v>186</v>
      </c>
      <c r="Z106" s="277">
        <v>48044.928237225999</v>
      </c>
      <c r="AA106" s="272">
        <v>17.334631600000002</v>
      </c>
      <c r="AB106" s="198">
        <v>7.7486612118136975</v>
      </c>
      <c r="AC106" s="272">
        <v>0</v>
      </c>
      <c r="AD106" s="198">
        <v>0</v>
      </c>
      <c r="AE106" s="198">
        <v>7.7486612118136975</v>
      </c>
      <c r="AF106" s="198">
        <v>580.03018130730572</v>
      </c>
      <c r="AG106" s="198">
        <v>0.25499149260898629</v>
      </c>
      <c r="AH106" s="198">
        <v>1.3473310125811963E-3</v>
      </c>
      <c r="AI106" s="198">
        <v>588.03696874734408</v>
      </c>
      <c r="AJ106" s="198">
        <v>0.24743029165840552</v>
      </c>
      <c r="AK106" s="198">
        <v>5.7739723063898323</v>
      </c>
      <c r="AL106" s="198">
        <v>0.27033174734525189</v>
      </c>
      <c r="AM106" s="198">
        <v>4.859102457766791E-2</v>
      </c>
      <c r="AN106" s="198">
        <v>1.9979354182928673E-2</v>
      </c>
      <c r="AO106" s="198">
        <v>4.0004462660580865E-3</v>
      </c>
      <c r="AP106" s="198">
        <v>3.3197558235128579E-3</v>
      </c>
      <c r="AQ106" s="198">
        <v>3.153179753978014E-3</v>
      </c>
      <c r="AS106" s="258">
        <f t="shared" si="8"/>
        <v>64452.271230238672</v>
      </c>
      <c r="AT106" s="3">
        <f t="shared" si="9"/>
        <v>13.569086708564843</v>
      </c>
      <c r="AU106" s="3">
        <f t="shared" si="10"/>
        <v>5.2375893281716266</v>
      </c>
      <c r="AV106" s="3">
        <f t="shared" si="11"/>
        <v>0</v>
      </c>
      <c r="AW106" s="3">
        <f t="shared" si="12"/>
        <v>0</v>
      </c>
      <c r="AX106" s="3">
        <f t="shared" si="13"/>
        <v>5.2375893281716266</v>
      </c>
      <c r="AY106" s="102">
        <f t="shared" si="14"/>
        <v>1</v>
      </c>
      <c r="AZ106" s="102">
        <f t="shared" si="15"/>
        <v>0</v>
      </c>
    </row>
    <row r="107" spans="1:52" x14ac:dyDescent="0.35">
      <c r="A107" t="s">
        <v>1021</v>
      </c>
      <c r="B107">
        <v>2030</v>
      </c>
      <c r="C107" t="s">
        <v>837</v>
      </c>
      <c r="D107" t="s">
        <v>1022</v>
      </c>
      <c r="E107" t="s">
        <v>1019</v>
      </c>
      <c r="F107" t="s">
        <v>983</v>
      </c>
      <c r="G107" t="s">
        <v>978</v>
      </c>
      <c r="H107" s="198">
        <v>16256.562557576</v>
      </c>
      <c r="I107" s="198">
        <v>9652</v>
      </c>
      <c r="J107" s="198">
        <v>0</v>
      </c>
      <c r="K107" s="198">
        <v>0</v>
      </c>
      <c r="L107" s="198">
        <v>0</v>
      </c>
      <c r="M107" s="198">
        <v>6442.0874999999996</v>
      </c>
      <c r="N107" s="198">
        <v>40</v>
      </c>
      <c r="O107" s="198">
        <v>0</v>
      </c>
      <c r="P107" s="198">
        <v>5576.9377880400007</v>
      </c>
      <c r="Q107" s="198">
        <v>0</v>
      </c>
      <c r="R107" s="198">
        <v>1532.5685865900002</v>
      </c>
      <c r="S107" s="198">
        <v>1500</v>
      </c>
      <c r="T107" s="198">
        <v>0</v>
      </c>
      <c r="U107" s="198">
        <v>2000</v>
      </c>
      <c r="V107" s="198">
        <v>4720</v>
      </c>
      <c r="W107" s="198">
        <v>173.28</v>
      </c>
      <c r="X107" s="198">
        <v>1500</v>
      </c>
      <c r="Y107" s="198">
        <v>186</v>
      </c>
      <c r="Z107" s="277">
        <v>49579.436432205999</v>
      </c>
      <c r="AA107" s="272">
        <v>111.20381185000002</v>
      </c>
      <c r="AB107" s="198">
        <v>1.2078739502309603</v>
      </c>
      <c r="AC107" s="272">
        <v>512.80000000000007</v>
      </c>
      <c r="AD107" s="198">
        <v>1.8460800000000002</v>
      </c>
      <c r="AE107" s="198">
        <v>3.0539539502309605</v>
      </c>
      <c r="AF107" s="198">
        <v>90.416050876077492</v>
      </c>
      <c r="AG107" s="198">
        <v>3.9748489840196959E-2</v>
      </c>
      <c r="AH107" s="198">
        <v>2.1002415616699921E-4</v>
      </c>
      <c r="AI107" s="198">
        <v>91.664161963850177</v>
      </c>
      <c r="AJ107" s="198">
        <v>3.8569837501294356E-2</v>
      </c>
      <c r="AK107" s="198">
        <v>0.90005622230718563</v>
      </c>
      <c r="AL107" s="198">
        <v>4.2139753773325517E-2</v>
      </c>
      <c r="AM107" s="198">
        <v>3.4867603443368526E-2</v>
      </c>
      <c r="AN107" s="198">
        <v>1.0089331779274962E-2</v>
      </c>
      <c r="AO107" s="198">
        <v>6.2359608995464922E-4</v>
      </c>
      <c r="AP107" s="198">
        <v>1.5147387011339201E-3</v>
      </c>
      <c r="AQ107" s="198">
        <v>1.738314875741105E-3</v>
      </c>
      <c r="AS107" s="258">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102">
        <f t="shared" si="14"/>
        <v>0.41580041458922423</v>
      </c>
      <c r="AZ107" s="102">
        <f t="shared" si="15"/>
        <v>0.58419958541077577</v>
      </c>
    </row>
    <row r="108" spans="1:52" x14ac:dyDescent="0.35">
      <c r="A108" t="s">
        <v>246</v>
      </c>
      <c r="B108">
        <v>2030</v>
      </c>
      <c r="C108" t="s">
        <v>837</v>
      </c>
      <c r="D108" t="s">
        <v>1022</v>
      </c>
      <c r="E108" t="s">
        <v>1019</v>
      </c>
      <c r="F108" t="s">
        <v>977</v>
      </c>
      <c r="G108" t="s">
        <v>978</v>
      </c>
      <c r="H108" s="198">
        <v>16256.562557576</v>
      </c>
      <c r="I108" s="198">
        <v>0</v>
      </c>
      <c r="J108" s="198">
        <v>0</v>
      </c>
      <c r="K108" s="198">
        <v>0</v>
      </c>
      <c r="L108" s="198">
        <v>0</v>
      </c>
      <c r="M108" s="198">
        <v>13554.45</v>
      </c>
      <c r="N108" s="198">
        <v>40</v>
      </c>
      <c r="O108" s="198">
        <v>0</v>
      </c>
      <c r="P108" s="198">
        <v>5548.1481914400001</v>
      </c>
      <c r="Q108" s="198">
        <v>0</v>
      </c>
      <c r="R108" s="198">
        <v>0</v>
      </c>
      <c r="S108" s="198">
        <v>1500</v>
      </c>
      <c r="T108" s="198">
        <v>0</v>
      </c>
      <c r="U108" s="198">
        <v>2000</v>
      </c>
      <c r="V108" s="198">
        <v>4500</v>
      </c>
      <c r="W108" s="198">
        <v>173.28</v>
      </c>
      <c r="X108" s="198">
        <v>1500</v>
      </c>
      <c r="Y108" s="198">
        <v>186</v>
      </c>
      <c r="Z108" s="277">
        <v>45258.440749016001</v>
      </c>
      <c r="AA108" s="272">
        <v>0</v>
      </c>
      <c r="AB108" s="198">
        <v>0</v>
      </c>
      <c r="AC108" s="272">
        <v>615</v>
      </c>
      <c r="AD108" s="198">
        <v>2.214</v>
      </c>
      <c r="AE108" s="198">
        <v>2.214</v>
      </c>
      <c r="AF108" s="198">
        <v>0</v>
      </c>
      <c r="AG108" s="198">
        <v>0</v>
      </c>
      <c r="AH108" s="198">
        <v>0</v>
      </c>
      <c r="AI108" s="198">
        <v>0</v>
      </c>
      <c r="AJ108" s="198">
        <v>0</v>
      </c>
      <c r="AK108" s="198">
        <v>0</v>
      </c>
      <c r="AL108" s="198">
        <v>0</v>
      </c>
      <c r="AM108" s="198">
        <v>3.2732625756305964E-2</v>
      </c>
      <c r="AN108" s="198">
        <v>8.3650043599448366E-3</v>
      </c>
      <c r="AO108" s="198">
        <v>0</v>
      </c>
      <c r="AP108" s="198">
        <v>1.1959996000164208E-3</v>
      </c>
      <c r="AQ108" s="198">
        <v>1.4952752031753543E-3</v>
      </c>
      <c r="AS108" s="258">
        <f t="shared" si="8"/>
        <v>60714.19826480496</v>
      </c>
      <c r="AT108" s="3">
        <f t="shared" si="9"/>
        <v>0</v>
      </c>
      <c r="AU108" s="3">
        <f t="shared" si="10"/>
        <v>0</v>
      </c>
      <c r="AV108" s="3">
        <f t="shared" si="11"/>
        <v>38.214423303963116</v>
      </c>
      <c r="AW108" s="3">
        <f t="shared" si="12"/>
        <v>1.3757192389426722</v>
      </c>
      <c r="AX108" s="3">
        <f t="shared" si="13"/>
        <v>1.3757192389426722</v>
      </c>
      <c r="AY108" s="102">
        <f t="shared" si="14"/>
        <v>0</v>
      </c>
      <c r="AZ108" s="102">
        <f t="shared" si="15"/>
        <v>1</v>
      </c>
    </row>
    <row r="109" spans="1:52" x14ac:dyDescent="0.35">
      <c r="A109" t="s">
        <v>627</v>
      </c>
      <c r="B109">
        <v>2030</v>
      </c>
      <c r="C109" t="s">
        <v>837</v>
      </c>
      <c r="D109" t="s">
        <v>1022</v>
      </c>
      <c r="E109" t="s">
        <v>1019</v>
      </c>
      <c r="F109" t="s">
        <v>989</v>
      </c>
      <c r="G109" t="s">
        <v>978</v>
      </c>
      <c r="H109" s="198">
        <v>16256.562557576</v>
      </c>
      <c r="I109" s="198">
        <v>0</v>
      </c>
      <c r="J109" s="198">
        <v>25679.133975000001</v>
      </c>
      <c r="K109" s="198">
        <v>5098.4175000000005</v>
      </c>
      <c r="L109" s="198">
        <v>0</v>
      </c>
      <c r="M109" s="198">
        <v>2028.7989955</v>
      </c>
      <c r="N109" s="198">
        <v>40</v>
      </c>
      <c r="O109" s="198">
        <v>0</v>
      </c>
      <c r="P109" s="198">
        <v>5548.1481914400001</v>
      </c>
      <c r="Q109" s="198">
        <v>0</v>
      </c>
      <c r="R109" s="198">
        <v>0</v>
      </c>
      <c r="S109" s="198">
        <v>1500</v>
      </c>
      <c r="T109" s="198">
        <v>0</v>
      </c>
      <c r="U109" s="198">
        <v>2000</v>
      </c>
      <c r="V109" s="198">
        <v>4500</v>
      </c>
      <c r="W109" s="198">
        <v>173.28</v>
      </c>
      <c r="X109" s="198">
        <v>1500</v>
      </c>
      <c r="Y109" s="198">
        <v>186</v>
      </c>
      <c r="Z109" s="277">
        <v>64510.341219516005</v>
      </c>
      <c r="AA109" s="272">
        <v>32.456443569999998</v>
      </c>
      <c r="AB109" s="198">
        <v>4.1384752217323735</v>
      </c>
      <c r="AC109" s="272">
        <v>0</v>
      </c>
      <c r="AD109" s="198">
        <v>0</v>
      </c>
      <c r="AE109" s="198">
        <v>4.1384752217323735</v>
      </c>
      <c r="AF109" s="198">
        <v>0</v>
      </c>
      <c r="AG109" s="198">
        <v>0</v>
      </c>
      <c r="AH109" s="198">
        <v>0</v>
      </c>
      <c r="AI109" s="198">
        <v>0</v>
      </c>
      <c r="AJ109" s="198">
        <v>0</v>
      </c>
      <c r="AK109" s="198">
        <v>0</v>
      </c>
      <c r="AL109" s="198">
        <v>0</v>
      </c>
      <c r="AM109" s="198">
        <v>3.8688880234757264E-2</v>
      </c>
      <c r="AN109" s="198">
        <v>9.8871582822157612E-3</v>
      </c>
      <c r="AO109" s="198">
        <v>0</v>
      </c>
      <c r="AP109" s="198">
        <v>1.4136319411203635E-3</v>
      </c>
      <c r="AQ109" s="198">
        <v>1.7673657984040316E-3</v>
      </c>
      <c r="AS109" s="258">
        <f t="shared" si="8"/>
        <v>86540.622745980712</v>
      </c>
      <c r="AT109" s="3">
        <f t="shared" si="9"/>
        <v>7.2471008332792559</v>
      </c>
      <c r="AU109" s="3">
        <f t="shared" si="10"/>
        <v>2.7973391872135629</v>
      </c>
      <c r="AV109" s="3">
        <f t="shared" si="11"/>
        <v>0</v>
      </c>
      <c r="AW109" s="3">
        <f t="shared" si="12"/>
        <v>0</v>
      </c>
      <c r="AX109" s="3">
        <f t="shared" si="13"/>
        <v>2.7973391872135629</v>
      </c>
      <c r="AY109" s="102">
        <f t="shared" si="14"/>
        <v>1</v>
      </c>
      <c r="AZ109" s="102">
        <f t="shared" si="15"/>
        <v>0</v>
      </c>
    </row>
    <row r="110" spans="1:52" x14ac:dyDescent="0.35">
      <c r="A110" t="s">
        <v>1065</v>
      </c>
      <c r="B110">
        <v>2030</v>
      </c>
      <c r="C110" t="s">
        <v>837</v>
      </c>
      <c r="D110" t="s">
        <v>1022</v>
      </c>
      <c r="E110" t="s">
        <v>1019</v>
      </c>
      <c r="F110" t="s">
        <v>989</v>
      </c>
      <c r="G110" t="s">
        <v>978</v>
      </c>
      <c r="H110" s="198">
        <v>16256.562557576</v>
      </c>
      <c r="I110" s="198">
        <v>0</v>
      </c>
      <c r="J110" s="198">
        <v>4857.0904800000008</v>
      </c>
      <c r="K110" s="198">
        <v>5127.0400500000005</v>
      </c>
      <c r="L110" s="198">
        <v>0</v>
      </c>
      <c r="M110" s="198">
        <v>1712.925</v>
      </c>
      <c r="N110" s="198">
        <v>40</v>
      </c>
      <c r="O110" s="198">
        <v>0</v>
      </c>
      <c r="P110" s="198">
        <v>5606.6488957800002</v>
      </c>
      <c r="Q110" s="198">
        <v>0</v>
      </c>
      <c r="R110" s="198">
        <v>0</v>
      </c>
      <c r="S110" s="198">
        <v>1500</v>
      </c>
      <c r="T110" s="198">
        <v>0</v>
      </c>
      <c r="U110" s="198">
        <v>2000</v>
      </c>
      <c r="V110" s="198">
        <v>4500</v>
      </c>
      <c r="W110" s="198">
        <v>173.28</v>
      </c>
      <c r="X110" s="198">
        <v>1500</v>
      </c>
      <c r="Y110" s="198">
        <v>186</v>
      </c>
      <c r="Z110" s="277">
        <v>43459.546983355998</v>
      </c>
      <c r="AA110" s="272">
        <v>35.059021370000004</v>
      </c>
      <c r="AB110" s="198">
        <v>3.8312588957470948</v>
      </c>
      <c r="AC110" s="272">
        <v>0</v>
      </c>
      <c r="AD110" s="198">
        <v>0</v>
      </c>
      <c r="AE110" s="198">
        <v>3.8312588957470948</v>
      </c>
      <c r="AF110" s="198">
        <v>0</v>
      </c>
      <c r="AG110" s="198">
        <v>0</v>
      </c>
      <c r="AH110" s="198">
        <v>0</v>
      </c>
      <c r="AI110" s="198">
        <v>0</v>
      </c>
      <c r="AJ110" s="198">
        <v>0</v>
      </c>
      <c r="AK110" s="198">
        <v>0</v>
      </c>
      <c r="AL110" s="198">
        <v>0</v>
      </c>
      <c r="AM110" s="198">
        <v>3.5816842828373774E-2</v>
      </c>
      <c r="AN110" s="198">
        <v>9.1531931672510902E-3</v>
      </c>
      <c r="AO110" s="198">
        <v>0</v>
      </c>
      <c r="AP110" s="198">
        <v>1.308692129238479E-3</v>
      </c>
      <c r="AQ110" s="198">
        <v>1.6361668427098037E-3</v>
      </c>
      <c r="AS110" s="258">
        <f t="shared" si="8"/>
        <v>58300.982278172065</v>
      </c>
      <c r="AT110" s="3">
        <f t="shared" si="9"/>
        <v>6.7091182254933583</v>
      </c>
      <c r="AU110" s="3">
        <f t="shared" si="10"/>
        <v>2.5896809987296758</v>
      </c>
      <c r="AV110" s="3">
        <f t="shared" si="11"/>
        <v>0</v>
      </c>
      <c r="AW110" s="3">
        <f t="shared" si="12"/>
        <v>0</v>
      </c>
      <c r="AX110" s="3">
        <f t="shared" si="13"/>
        <v>2.5896809987296758</v>
      </c>
      <c r="AY110" s="102">
        <f t="shared" si="14"/>
        <v>1</v>
      </c>
      <c r="AZ110" s="102">
        <f t="shared" si="15"/>
        <v>0</v>
      </c>
    </row>
    <row r="111" spans="1:52" x14ac:dyDescent="0.35">
      <c r="A111" t="s">
        <v>1017</v>
      </c>
      <c r="B111">
        <v>2035</v>
      </c>
      <c r="C111" t="s">
        <v>837</v>
      </c>
      <c r="D111" t="s">
        <v>1022</v>
      </c>
      <c r="E111" t="s">
        <v>1019</v>
      </c>
      <c r="F111" t="s">
        <v>983</v>
      </c>
      <c r="G111" t="s">
        <v>978</v>
      </c>
      <c r="H111" s="198">
        <v>16256.562557576</v>
      </c>
      <c r="I111" s="198">
        <v>16440</v>
      </c>
      <c r="J111" s="198">
        <v>0</v>
      </c>
      <c r="K111" s="198">
        <v>0</v>
      </c>
      <c r="L111" s="198">
        <v>120</v>
      </c>
      <c r="M111" s="198">
        <v>0</v>
      </c>
      <c r="N111" s="198">
        <v>0</v>
      </c>
      <c r="O111" s="198">
        <v>150</v>
      </c>
      <c r="P111" s="198">
        <v>0</v>
      </c>
      <c r="Q111" s="198">
        <v>0</v>
      </c>
      <c r="R111" s="198">
        <v>62.6</v>
      </c>
      <c r="S111" s="198">
        <v>6431</v>
      </c>
      <c r="T111" s="198">
        <v>506</v>
      </c>
      <c r="U111" s="198">
        <v>2000</v>
      </c>
      <c r="V111" s="198">
        <v>1920</v>
      </c>
      <c r="W111" s="198">
        <v>0</v>
      </c>
      <c r="X111" s="198">
        <v>0</v>
      </c>
      <c r="Y111" s="198">
        <v>186</v>
      </c>
      <c r="Z111" s="277">
        <v>44072.162557575997</v>
      </c>
      <c r="AA111" s="272">
        <v>12.388396289999999</v>
      </c>
      <c r="AB111" s="198">
        <v>10.842419337878642</v>
      </c>
      <c r="AC111" s="272">
        <v>0</v>
      </c>
      <c r="AD111" s="198">
        <v>0</v>
      </c>
      <c r="AE111" s="198">
        <v>10.842419337878642</v>
      </c>
      <c r="AF111" s="198">
        <v>811.61510129922976</v>
      </c>
      <c r="AG111" s="198">
        <v>0.35680030587001027</v>
      </c>
      <c r="AH111" s="198">
        <v>1.885271200534868E-3</v>
      </c>
      <c r="AI111" s="198">
        <v>822.81870726432214</v>
      </c>
      <c r="AJ111" s="198">
        <v>0.3462201928462052</v>
      </c>
      <c r="AK111" s="198">
        <v>8.0793090935154499</v>
      </c>
      <c r="AL111" s="198">
        <v>0.378265365453063</v>
      </c>
      <c r="AM111" s="198">
        <v>6.7991650444725882E-2</v>
      </c>
      <c r="AN111" s="198">
        <v>2.795638242914068E-2</v>
      </c>
      <c r="AO111" s="198">
        <v>5.597678717598766E-3</v>
      </c>
      <c r="AP111" s="198">
        <v>4.645213379959612E-3</v>
      </c>
      <c r="AQ111" s="198">
        <v>4.4121295544854991E-3</v>
      </c>
      <c r="AS111" s="258">
        <f t="shared" si="8"/>
        <v>59122.806070988197</v>
      </c>
      <c r="AT111" s="3">
        <f t="shared" si="9"/>
        <v>18.98672868830451</v>
      </c>
      <c r="AU111" s="3">
        <f t="shared" si="10"/>
        <v>7.3287679333631219</v>
      </c>
      <c r="AV111" s="3">
        <f t="shared" si="11"/>
        <v>0</v>
      </c>
      <c r="AW111" s="3">
        <f t="shared" si="12"/>
        <v>0</v>
      </c>
      <c r="AX111" s="3">
        <f t="shared" si="13"/>
        <v>7.3287679333631219</v>
      </c>
      <c r="AY111" s="102">
        <f t="shared" si="14"/>
        <v>1</v>
      </c>
      <c r="AZ111" s="102">
        <f t="shared" si="15"/>
        <v>0</v>
      </c>
    </row>
    <row r="112" spans="1:52" x14ac:dyDescent="0.35">
      <c r="A112" t="s">
        <v>1020</v>
      </c>
      <c r="B112">
        <v>2035</v>
      </c>
      <c r="C112" t="s">
        <v>837</v>
      </c>
      <c r="D112" t="s">
        <v>1022</v>
      </c>
      <c r="E112" t="s">
        <v>1019</v>
      </c>
      <c r="F112" t="s">
        <v>983</v>
      </c>
      <c r="G112" t="s">
        <v>978</v>
      </c>
      <c r="H112" s="198">
        <v>16256.562557576</v>
      </c>
      <c r="I112" s="198">
        <v>14382</v>
      </c>
      <c r="J112" s="198">
        <v>0</v>
      </c>
      <c r="K112" s="198">
        <v>0</v>
      </c>
      <c r="L112" s="198">
        <v>150</v>
      </c>
      <c r="M112" s="198">
        <v>672.70703526</v>
      </c>
      <c r="N112" s="198">
        <v>35</v>
      </c>
      <c r="O112" s="198">
        <v>150</v>
      </c>
      <c r="P112" s="198">
        <v>973.17668633999995</v>
      </c>
      <c r="Q112" s="198">
        <v>0</v>
      </c>
      <c r="R112" s="198">
        <v>0</v>
      </c>
      <c r="S112" s="198">
        <v>5787</v>
      </c>
      <c r="T112" s="198">
        <v>392</v>
      </c>
      <c r="U112" s="198">
        <v>2000</v>
      </c>
      <c r="V112" s="198">
        <v>4720</v>
      </c>
      <c r="W112" s="198">
        <v>140</v>
      </c>
      <c r="X112" s="198">
        <v>1500</v>
      </c>
      <c r="Y112" s="198">
        <v>186</v>
      </c>
      <c r="Z112" s="277">
        <v>47344.446279176002</v>
      </c>
      <c r="AA112" s="272">
        <v>18.435732130000002</v>
      </c>
      <c r="AB112" s="198">
        <v>7.2858613128482252</v>
      </c>
      <c r="AC112" s="272">
        <v>0</v>
      </c>
      <c r="AD112" s="198">
        <v>0</v>
      </c>
      <c r="AE112" s="198">
        <v>7.2858613128482252</v>
      </c>
      <c r="AF112" s="198">
        <v>545.38704722671366</v>
      </c>
      <c r="AG112" s="198">
        <v>0.23976176016997161</v>
      </c>
      <c r="AH112" s="198">
        <v>1.2668597363889992E-3</v>
      </c>
      <c r="AI112" s="198">
        <v>552.91561780876907</v>
      </c>
      <c r="AJ112" s="198">
        <v>0.23265216278552059</v>
      </c>
      <c r="AK112" s="198">
        <v>5.4291135331152187</v>
      </c>
      <c r="AL112" s="198">
        <v>0.25418579620109827</v>
      </c>
      <c r="AM112" s="198">
        <v>4.5688855977124618E-2</v>
      </c>
      <c r="AN112" s="198">
        <v>1.8786058612958786E-2</v>
      </c>
      <c r="AO112" s="198">
        <v>3.7615138779797681E-3</v>
      </c>
      <c r="AP112" s="198">
        <v>3.12147864791904E-3</v>
      </c>
      <c r="AQ112" s="198">
        <v>2.9648515729322165E-3</v>
      </c>
      <c r="AS112" s="258">
        <f t="shared" si="8"/>
        <v>63512.574683514606</v>
      </c>
      <c r="AT112" s="3">
        <f t="shared" si="9"/>
        <v>12.758653552937478</v>
      </c>
      <c r="AU112" s="3">
        <f t="shared" si="10"/>
        <v>4.9247667972026807</v>
      </c>
      <c r="AV112" s="3">
        <f t="shared" si="11"/>
        <v>0</v>
      </c>
      <c r="AW112" s="3">
        <f t="shared" si="12"/>
        <v>0</v>
      </c>
      <c r="AX112" s="3">
        <f t="shared" si="13"/>
        <v>4.9247667972026807</v>
      </c>
      <c r="AY112" s="102">
        <f t="shared" si="14"/>
        <v>1</v>
      </c>
      <c r="AZ112" s="102">
        <f t="shared" si="15"/>
        <v>0</v>
      </c>
    </row>
    <row r="113" spans="1:52" x14ac:dyDescent="0.35">
      <c r="A113" t="s">
        <v>1021</v>
      </c>
      <c r="B113">
        <v>2035</v>
      </c>
      <c r="C113" t="s">
        <v>837</v>
      </c>
      <c r="D113" t="s">
        <v>1022</v>
      </c>
      <c r="E113" t="s">
        <v>1019</v>
      </c>
      <c r="F113" t="s">
        <v>983</v>
      </c>
      <c r="G113" t="s">
        <v>978</v>
      </c>
      <c r="H113" s="198">
        <v>16256.562557576</v>
      </c>
      <c r="I113" s="198">
        <v>9386</v>
      </c>
      <c r="J113" s="198">
        <v>0</v>
      </c>
      <c r="K113" s="198">
        <v>0</v>
      </c>
      <c r="L113" s="198">
        <v>0</v>
      </c>
      <c r="M113" s="198">
        <v>5194.6312500000004</v>
      </c>
      <c r="N113" s="198">
        <v>35</v>
      </c>
      <c r="O113" s="198">
        <v>0</v>
      </c>
      <c r="P113" s="198">
        <v>4701.7131427899994</v>
      </c>
      <c r="Q113" s="198">
        <v>0</v>
      </c>
      <c r="R113" s="198">
        <v>1201.4090634950001</v>
      </c>
      <c r="S113" s="198">
        <v>1500</v>
      </c>
      <c r="T113" s="198">
        <v>0</v>
      </c>
      <c r="U113" s="198">
        <v>2000</v>
      </c>
      <c r="V113" s="198">
        <v>4720</v>
      </c>
      <c r="W113" s="198">
        <v>140</v>
      </c>
      <c r="X113" s="198">
        <v>1500</v>
      </c>
      <c r="Y113" s="198">
        <v>186</v>
      </c>
      <c r="Z113" s="277">
        <v>46821.316013860996</v>
      </c>
      <c r="AA113" s="272">
        <v>121.50517460000002</v>
      </c>
      <c r="AB113" s="198">
        <v>1.1054688653564553</v>
      </c>
      <c r="AC113" s="272">
        <v>483.20000000000005</v>
      </c>
      <c r="AD113" s="198">
        <v>1.7395200000000002</v>
      </c>
      <c r="AE113" s="198">
        <v>2.8449888653564557</v>
      </c>
      <c r="AF113" s="198">
        <v>82.750463450989102</v>
      </c>
      <c r="AG113" s="198">
        <v>3.6378562477378633E-2</v>
      </c>
      <c r="AH113" s="198">
        <v>1.9221804193308815E-4</v>
      </c>
      <c r="AI113" s="198">
        <v>83.8927580983528</v>
      </c>
      <c r="AJ113" s="198">
        <v>3.5299837778094201E-2</v>
      </c>
      <c r="AK113" s="198">
        <v>0.82374831466535781</v>
      </c>
      <c r="AL113" s="198">
        <v>3.8567092022550112E-2</v>
      </c>
      <c r="AM113" s="198">
        <v>3.2650008184865006E-2</v>
      </c>
      <c r="AN113" s="198">
        <v>9.422679444533481E-3</v>
      </c>
      <c r="AO113" s="198">
        <v>5.7072682283699626E-4</v>
      </c>
      <c r="AP113" s="198">
        <v>1.4133017735986396E-3</v>
      </c>
      <c r="AQ113" s="198">
        <v>1.6246752321660164E-3</v>
      </c>
      <c r="AS113" s="258">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102">
        <f t="shared" si="14"/>
        <v>0.40874056947448373</v>
      </c>
      <c r="AZ113" s="102">
        <f t="shared" si="15"/>
        <v>0.59125943052551633</v>
      </c>
    </row>
    <row r="114" spans="1:52" x14ac:dyDescent="0.35">
      <c r="A114" t="s">
        <v>246</v>
      </c>
      <c r="B114">
        <v>2035</v>
      </c>
      <c r="C114" t="s">
        <v>837</v>
      </c>
      <c r="D114" t="s">
        <v>1022</v>
      </c>
      <c r="E114" t="s">
        <v>1019</v>
      </c>
      <c r="F114" t="s">
        <v>977</v>
      </c>
      <c r="G114" t="s">
        <v>978</v>
      </c>
      <c r="H114" s="198">
        <v>16256.562557576</v>
      </c>
      <c r="I114" s="198">
        <v>0</v>
      </c>
      <c r="J114" s="198">
        <v>0</v>
      </c>
      <c r="K114" s="198">
        <v>0</v>
      </c>
      <c r="L114" s="198">
        <v>0</v>
      </c>
      <c r="M114" s="198">
        <v>11059.5375</v>
      </c>
      <c r="N114" s="198">
        <v>35</v>
      </c>
      <c r="O114" s="198">
        <v>0</v>
      </c>
      <c r="P114" s="198">
        <v>4677.2857639899994</v>
      </c>
      <c r="Q114" s="198">
        <v>0</v>
      </c>
      <c r="R114" s="198">
        <v>0</v>
      </c>
      <c r="S114" s="198">
        <v>1500</v>
      </c>
      <c r="T114" s="198">
        <v>0</v>
      </c>
      <c r="U114" s="198">
        <v>2000</v>
      </c>
      <c r="V114" s="198">
        <v>4500</v>
      </c>
      <c r="W114" s="198">
        <v>140</v>
      </c>
      <c r="X114" s="198">
        <v>1500</v>
      </c>
      <c r="Y114" s="198">
        <v>186</v>
      </c>
      <c r="Z114" s="277">
        <v>41854.385821566</v>
      </c>
      <c r="AA114" s="272">
        <v>0</v>
      </c>
      <c r="AB114" s="198">
        <v>0</v>
      </c>
      <c r="AC114" s="272">
        <v>578</v>
      </c>
      <c r="AD114" s="198">
        <v>2.0808</v>
      </c>
      <c r="AE114" s="198">
        <v>2.0808</v>
      </c>
      <c r="AF114" s="198">
        <v>0</v>
      </c>
      <c r="AG114" s="198">
        <v>0</v>
      </c>
      <c r="AH114" s="198">
        <v>0</v>
      </c>
      <c r="AI114" s="198">
        <v>0</v>
      </c>
      <c r="AJ114" s="198">
        <v>0</v>
      </c>
      <c r="AK114" s="198">
        <v>0</v>
      </c>
      <c r="AL114" s="198">
        <v>0</v>
      </c>
      <c r="AM114" s="198">
        <v>3.0763345832755851E-2</v>
      </c>
      <c r="AN114" s="198">
        <v>7.8617439350375865E-3</v>
      </c>
      <c r="AO114" s="198">
        <v>0</v>
      </c>
      <c r="AP114" s="198">
        <v>1.1240451525357581E-3</v>
      </c>
      <c r="AQ114" s="198">
        <v>1.4053155568054549E-3</v>
      </c>
      <c r="AS114" s="258">
        <f t="shared" si="8"/>
        <v>56147.658579630785</v>
      </c>
      <c r="AT114" s="3">
        <f t="shared" si="9"/>
        <v>0</v>
      </c>
      <c r="AU114" s="3">
        <f t="shared" si="10"/>
        <v>0</v>
      </c>
      <c r="AV114" s="3">
        <f t="shared" si="11"/>
        <v>35.915344178358829</v>
      </c>
      <c r="AW114" s="3">
        <f t="shared" si="12"/>
        <v>1.2929523904209179</v>
      </c>
      <c r="AX114" s="3">
        <f t="shared" si="13"/>
        <v>1.2929523904209179</v>
      </c>
      <c r="AY114" s="102">
        <f t="shared" si="14"/>
        <v>0</v>
      </c>
      <c r="AZ114" s="102">
        <f t="shared" si="15"/>
        <v>1</v>
      </c>
    </row>
    <row r="115" spans="1:52" x14ac:dyDescent="0.35">
      <c r="A115" t="s">
        <v>627</v>
      </c>
      <c r="B115">
        <v>2035</v>
      </c>
      <c r="C115" t="s">
        <v>837</v>
      </c>
      <c r="D115" t="s">
        <v>1022</v>
      </c>
      <c r="E115" t="s">
        <v>1019</v>
      </c>
      <c r="F115" t="s">
        <v>989</v>
      </c>
      <c r="G115" t="s">
        <v>978</v>
      </c>
      <c r="H115" s="198">
        <v>16256.562557576</v>
      </c>
      <c r="I115" s="198">
        <v>0</v>
      </c>
      <c r="J115" s="198">
        <v>21792.576661000003</v>
      </c>
      <c r="K115" s="198">
        <v>4847.2850497500003</v>
      </c>
      <c r="L115" s="198">
        <v>0</v>
      </c>
      <c r="M115" s="198">
        <v>1964.7316584</v>
      </c>
      <c r="N115" s="198">
        <v>35</v>
      </c>
      <c r="O115" s="198">
        <v>0</v>
      </c>
      <c r="P115" s="198">
        <v>4677.2857639899994</v>
      </c>
      <c r="Q115" s="198">
        <v>0</v>
      </c>
      <c r="R115" s="198">
        <v>0</v>
      </c>
      <c r="S115" s="198">
        <v>1500</v>
      </c>
      <c r="T115" s="198">
        <v>0</v>
      </c>
      <c r="U115" s="198">
        <v>2000</v>
      </c>
      <c r="V115" s="198">
        <v>4500</v>
      </c>
      <c r="W115" s="198">
        <v>140</v>
      </c>
      <c r="X115" s="198">
        <v>1500</v>
      </c>
      <c r="Y115" s="198">
        <v>186</v>
      </c>
      <c r="Z115" s="277">
        <v>59399.441690716005</v>
      </c>
      <c r="AA115" s="272">
        <v>34.170204169999998</v>
      </c>
      <c r="AB115" s="198">
        <v>3.9309155670169353</v>
      </c>
      <c r="AC115" s="272">
        <v>0</v>
      </c>
      <c r="AD115" s="198">
        <v>0</v>
      </c>
      <c r="AE115" s="198">
        <v>3.9309155670169353</v>
      </c>
      <c r="AF115" s="198">
        <v>0</v>
      </c>
      <c r="AG115" s="198">
        <v>0</v>
      </c>
      <c r="AH115" s="198">
        <v>0</v>
      </c>
      <c r="AI115" s="198">
        <v>0</v>
      </c>
      <c r="AJ115" s="198">
        <v>0</v>
      </c>
      <c r="AK115" s="198">
        <v>0</v>
      </c>
      <c r="AL115" s="198">
        <v>0</v>
      </c>
      <c r="AM115" s="198">
        <v>3.6748491518477436E-2</v>
      </c>
      <c r="AN115" s="198">
        <v>9.3912811658331385E-3</v>
      </c>
      <c r="AO115" s="198">
        <v>0</v>
      </c>
      <c r="AP115" s="198">
        <v>1.3427331337400854E-3</v>
      </c>
      <c r="AQ115" s="198">
        <v>1.6787259455069402E-3</v>
      </c>
      <c r="AS115" s="258">
        <f t="shared" si="8"/>
        <v>79684.351028095509</v>
      </c>
      <c r="AT115" s="3">
        <f t="shared" si="9"/>
        <v>6.8836322449585223</v>
      </c>
      <c r="AU115" s="3">
        <f t="shared" si="10"/>
        <v>2.6570424052560373</v>
      </c>
      <c r="AV115" s="3">
        <f t="shared" si="11"/>
        <v>0</v>
      </c>
      <c r="AW115" s="3">
        <f t="shared" si="12"/>
        <v>0</v>
      </c>
      <c r="AX115" s="3">
        <f t="shared" si="13"/>
        <v>2.6570424052560373</v>
      </c>
      <c r="AY115" s="102">
        <f t="shared" si="14"/>
        <v>1</v>
      </c>
      <c r="AZ115" s="102">
        <f t="shared" si="15"/>
        <v>0</v>
      </c>
    </row>
    <row r="116" spans="1:52" x14ac:dyDescent="0.35">
      <c r="A116" t="s">
        <v>1065</v>
      </c>
      <c r="B116">
        <v>2035</v>
      </c>
      <c r="C116" t="s">
        <v>837</v>
      </c>
      <c r="D116" t="s">
        <v>1022</v>
      </c>
      <c r="E116" t="s">
        <v>1019</v>
      </c>
      <c r="F116" t="s">
        <v>989</v>
      </c>
      <c r="G116" t="s">
        <v>978</v>
      </c>
      <c r="H116" s="198">
        <v>16256.562557576</v>
      </c>
      <c r="I116" s="198">
        <v>0</v>
      </c>
      <c r="J116" s="198">
        <v>3888.1894689999999</v>
      </c>
      <c r="K116" s="198">
        <v>4873.3760790000006</v>
      </c>
      <c r="L116" s="198">
        <v>0</v>
      </c>
      <c r="M116" s="198">
        <v>1530.4612500000001</v>
      </c>
      <c r="N116" s="198">
        <v>35</v>
      </c>
      <c r="O116" s="198">
        <v>0</v>
      </c>
      <c r="P116" s="198">
        <v>4678.2780291099998</v>
      </c>
      <c r="Q116" s="198">
        <v>0</v>
      </c>
      <c r="R116" s="198">
        <v>0</v>
      </c>
      <c r="S116" s="198">
        <v>1500</v>
      </c>
      <c r="T116" s="198">
        <v>0</v>
      </c>
      <c r="U116" s="198">
        <v>2000</v>
      </c>
      <c r="V116" s="198">
        <v>4500</v>
      </c>
      <c r="W116" s="198">
        <v>140</v>
      </c>
      <c r="X116" s="198">
        <v>1500</v>
      </c>
      <c r="Y116" s="198">
        <v>186</v>
      </c>
      <c r="Z116" s="277">
        <v>41087.867384686004</v>
      </c>
      <c r="AA116" s="272">
        <v>37.211067370000002</v>
      </c>
      <c r="AB116" s="198">
        <v>3.6096838116578862</v>
      </c>
      <c r="AC116" s="272">
        <v>0</v>
      </c>
      <c r="AD116" s="198">
        <v>0</v>
      </c>
      <c r="AE116" s="198">
        <v>3.6096838116578862</v>
      </c>
      <c r="AF116" s="198">
        <v>0</v>
      </c>
      <c r="AG116" s="198">
        <v>0</v>
      </c>
      <c r="AH116" s="198">
        <v>0</v>
      </c>
      <c r="AI116" s="198">
        <v>0</v>
      </c>
      <c r="AJ116" s="198">
        <v>0</v>
      </c>
      <c r="AK116" s="198">
        <v>0</v>
      </c>
      <c r="AL116" s="198">
        <v>0</v>
      </c>
      <c r="AM116" s="198">
        <v>3.3745429703482523E-2</v>
      </c>
      <c r="AN116" s="198">
        <v>8.6238320353344364E-3</v>
      </c>
      <c r="AO116" s="198">
        <v>0</v>
      </c>
      <c r="AP116" s="198">
        <v>1.2330058922930228E-3</v>
      </c>
      <c r="AQ116" s="198">
        <v>1.5415415992526644E-3</v>
      </c>
      <c r="AS116" s="258">
        <f t="shared" si="8"/>
        <v>55119.374096556268</v>
      </c>
      <c r="AT116" s="3">
        <f t="shared" si="9"/>
        <v>6.3211064843321676</v>
      </c>
      <c r="AU116" s="3">
        <f t="shared" si="10"/>
        <v>2.4399107011142602</v>
      </c>
      <c r="AV116" s="3">
        <f t="shared" si="11"/>
        <v>0</v>
      </c>
      <c r="AW116" s="3">
        <f t="shared" si="12"/>
        <v>0</v>
      </c>
      <c r="AX116" s="3">
        <f t="shared" si="13"/>
        <v>2.4399107011142602</v>
      </c>
      <c r="AY116" s="102">
        <f t="shared" si="14"/>
        <v>1</v>
      </c>
      <c r="AZ116" s="102">
        <f t="shared" si="15"/>
        <v>0</v>
      </c>
    </row>
    <row r="117" spans="1:52" x14ac:dyDescent="0.35">
      <c r="A117" t="s">
        <v>1017</v>
      </c>
      <c r="B117">
        <v>2050</v>
      </c>
      <c r="C117" t="s">
        <v>837</v>
      </c>
      <c r="D117" t="s">
        <v>1022</v>
      </c>
      <c r="E117" t="s">
        <v>1019</v>
      </c>
      <c r="F117" t="s">
        <v>983</v>
      </c>
      <c r="G117" t="s">
        <v>978</v>
      </c>
      <c r="H117" s="198">
        <v>16332.09874204</v>
      </c>
      <c r="I117" s="198">
        <v>16633</v>
      </c>
      <c r="J117" s="198">
        <v>0</v>
      </c>
      <c r="K117" s="198">
        <v>0</v>
      </c>
      <c r="L117" s="198">
        <v>120</v>
      </c>
      <c r="M117" s="198">
        <v>0</v>
      </c>
      <c r="N117" s="198">
        <v>0</v>
      </c>
      <c r="O117" s="198">
        <v>150</v>
      </c>
      <c r="P117" s="198">
        <v>0</v>
      </c>
      <c r="Q117" s="198">
        <v>0</v>
      </c>
      <c r="R117" s="198">
        <v>44</v>
      </c>
      <c r="S117" s="198">
        <v>6390</v>
      </c>
      <c r="T117" s="198">
        <v>506</v>
      </c>
      <c r="U117" s="198">
        <v>2000</v>
      </c>
      <c r="V117" s="198">
        <v>1920</v>
      </c>
      <c r="W117" s="198">
        <v>0</v>
      </c>
      <c r="X117" s="198">
        <v>0</v>
      </c>
      <c r="Y117" s="198">
        <v>186</v>
      </c>
      <c r="Z117" s="277">
        <v>44281.098742039998</v>
      </c>
      <c r="AA117" s="272">
        <v>13.894418530000001</v>
      </c>
      <c r="AB117" s="198">
        <v>9.6672046555948974</v>
      </c>
      <c r="AC117" s="272">
        <v>0</v>
      </c>
      <c r="AD117" s="198">
        <v>0</v>
      </c>
      <c r="AE117" s="198">
        <v>9.6672046555948974</v>
      </c>
      <c r="AF117" s="198">
        <v>723.64377740126645</v>
      </c>
      <c r="AG117" s="198">
        <v>0.31812656110560533</v>
      </c>
      <c r="AH117" s="198">
        <v>1.6809258117511164E-3</v>
      </c>
      <c r="AI117" s="198">
        <v>733.63301950397795</v>
      </c>
      <c r="AJ117" s="198">
        <v>0.30869323126536136</v>
      </c>
      <c r="AK117" s="198">
        <v>7.2035891666687881</v>
      </c>
      <c r="AL117" s="198">
        <v>0.33726501327826486</v>
      </c>
      <c r="AM117" s="198">
        <v>6.0622005037616986E-2</v>
      </c>
      <c r="AN117" s="198">
        <v>2.4926177631629725E-2</v>
      </c>
      <c r="AO117" s="198">
        <v>4.9909438173309801E-3</v>
      </c>
      <c r="AP117" s="198">
        <v>4.1417166237146599E-3</v>
      </c>
      <c r="AQ117" s="198">
        <v>3.9338968583514742E-3</v>
      </c>
      <c r="AS117" s="258">
        <f t="shared" si="8"/>
        <v>59403.093962446655</v>
      </c>
      <c r="AT117" s="3">
        <f t="shared" si="9"/>
        <v>16.928748672250347</v>
      </c>
      <c r="AU117" s="3">
        <f t="shared" si="10"/>
        <v>6.5343994986126743</v>
      </c>
      <c r="AV117" s="3">
        <f t="shared" si="11"/>
        <v>0</v>
      </c>
      <c r="AW117" s="3">
        <f t="shared" si="12"/>
        <v>0</v>
      </c>
      <c r="AX117" s="3">
        <f t="shared" si="13"/>
        <v>6.5343994986126743</v>
      </c>
      <c r="AY117" s="102">
        <f t="shared" si="14"/>
        <v>1</v>
      </c>
      <c r="AZ117" s="102">
        <f t="shared" si="15"/>
        <v>0</v>
      </c>
    </row>
    <row r="118" spans="1:52" x14ac:dyDescent="0.35">
      <c r="A118" t="s">
        <v>1020</v>
      </c>
      <c r="B118">
        <v>2050</v>
      </c>
      <c r="C118" t="s">
        <v>837</v>
      </c>
      <c r="D118" t="s">
        <v>1022</v>
      </c>
      <c r="E118" t="s">
        <v>1019</v>
      </c>
      <c r="F118" t="s">
        <v>983</v>
      </c>
      <c r="G118" t="s">
        <v>978</v>
      </c>
      <c r="H118" s="198">
        <v>16332.09874204</v>
      </c>
      <c r="I118" s="198">
        <v>14518</v>
      </c>
      <c r="J118" s="198">
        <v>0</v>
      </c>
      <c r="K118" s="198">
        <v>0</v>
      </c>
      <c r="L118" s="198">
        <v>150</v>
      </c>
      <c r="M118" s="198">
        <v>645.41909554999995</v>
      </c>
      <c r="N118" s="198">
        <v>28.89</v>
      </c>
      <c r="O118" s="198">
        <v>150</v>
      </c>
      <c r="P118" s="198">
        <v>666.952583</v>
      </c>
      <c r="Q118" s="198">
        <v>0</v>
      </c>
      <c r="R118" s="198">
        <v>0</v>
      </c>
      <c r="S118" s="198">
        <v>5696</v>
      </c>
      <c r="T118" s="198">
        <v>392</v>
      </c>
      <c r="U118" s="198">
        <v>2000</v>
      </c>
      <c r="V118" s="198">
        <v>4720</v>
      </c>
      <c r="W118" s="198">
        <v>101.11499999999999</v>
      </c>
      <c r="X118" s="198">
        <v>1500</v>
      </c>
      <c r="Y118" s="198">
        <v>186</v>
      </c>
      <c r="Z118" s="277">
        <v>47086.475420589995</v>
      </c>
      <c r="AA118" s="272">
        <v>21.313131930000001</v>
      </c>
      <c r="AB118" s="198">
        <v>6.3022266244658862</v>
      </c>
      <c r="AC118" s="272">
        <v>0</v>
      </c>
      <c r="AD118" s="198">
        <v>0</v>
      </c>
      <c r="AE118" s="198">
        <v>6.3022266244658862</v>
      </c>
      <c r="AF118" s="198">
        <v>471.75654628640734</v>
      </c>
      <c r="AG118" s="198">
        <v>0.20739249398109927</v>
      </c>
      <c r="AH118" s="198">
        <v>1.0958261236808289E-3</v>
      </c>
      <c r="AI118" s="198">
        <v>478.26871498260942</v>
      </c>
      <c r="AJ118" s="198">
        <v>0.20124273460446843</v>
      </c>
      <c r="AK118" s="198">
        <v>4.6961508580062574</v>
      </c>
      <c r="AL118" s="198">
        <v>0.21986919920568515</v>
      </c>
      <c r="AM118" s="198">
        <v>3.9520588193554092E-2</v>
      </c>
      <c r="AN118" s="198">
        <v>1.6249828767751055E-2</v>
      </c>
      <c r="AO118" s="198">
        <v>3.2536870923274251E-3</v>
      </c>
      <c r="AP118" s="198">
        <v>2.70006043182927E-3</v>
      </c>
      <c r="AQ118" s="198">
        <v>2.5645789451924769E-3</v>
      </c>
      <c r="AS118" s="258">
        <f t="shared" si="8"/>
        <v>63166.506776721471</v>
      </c>
      <c r="AT118" s="3">
        <f t="shared" si="9"/>
        <v>11.03615930375504</v>
      </c>
      <c r="AU118" s="3">
        <f t="shared" si="10"/>
        <v>4.2598939364772495</v>
      </c>
      <c r="AV118" s="3">
        <f t="shared" si="11"/>
        <v>0</v>
      </c>
      <c r="AW118" s="3">
        <f t="shared" si="12"/>
        <v>0</v>
      </c>
      <c r="AX118" s="3">
        <f t="shared" si="13"/>
        <v>4.2598939364772495</v>
      </c>
      <c r="AY118" s="102">
        <f t="shared" si="14"/>
        <v>1</v>
      </c>
      <c r="AZ118" s="102">
        <f t="shared" si="15"/>
        <v>0</v>
      </c>
    </row>
    <row r="119" spans="1:52" x14ac:dyDescent="0.35">
      <c r="A119" t="s">
        <v>1021</v>
      </c>
      <c r="B119">
        <v>2050</v>
      </c>
      <c r="C119" t="s">
        <v>837</v>
      </c>
      <c r="D119" t="s">
        <v>1022</v>
      </c>
      <c r="E119" t="s">
        <v>1019</v>
      </c>
      <c r="F119" t="s">
        <v>983</v>
      </c>
      <c r="G119" t="s">
        <v>978</v>
      </c>
      <c r="H119" s="198">
        <v>16332.09874204</v>
      </c>
      <c r="I119" s="198">
        <v>9547</v>
      </c>
      <c r="J119" s="198">
        <v>0</v>
      </c>
      <c r="K119" s="198">
        <v>0</v>
      </c>
      <c r="L119" s="198">
        <v>0</v>
      </c>
      <c r="M119" s="198">
        <v>3597.1424999999999</v>
      </c>
      <c r="N119" s="198">
        <v>28.89</v>
      </c>
      <c r="O119" s="198">
        <v>0</v>
      </c>
      <c r="P119" s="198">
        <v>3237.9991908000002</v>
      </c>
      <c r="Q119" s="198">
        <v>0</v>
      </c>
      <c r="R119" s="198">
        <v>784.33443330000011</v>
      </c>
      <c r="S119" s="198">
        <v>1500</v>
      </c>
      <c r="T119" s="198">
        <v>0</v>
      </c>
      <c r="U119" s="198">
        <v>2000</v>
      </c>
      <c r="V119" s="198">
        <v>4720</v>
      </c>
      <c r="W119" s="198">
        <v>101.11499999999999</v>
      </c>
      <c r="X119" s="198">
        <v>1500</v>
      </c>
      <c r="Y119" s="198">
        <v>186</v>
      </c>
      <c r="Z119" s="277">
        <v>43534.579866139997</v>
      </c>
      <c r="AA119" s="272">
        <v>142.88880185000002</v>
      </c>
      <c r="AB119" s="198">
        <v>0.9400329890162068</v>
      </c>
      <c r="AC119" s="272">
        <v>433.6</v>
      </c>
      <c r="AD119" s="198">
        <v>1.5609600000000001</v>
      </c>
      <c r="AE119" s="198">
        <v>2.5009929890162068</v>
      </c>
      <c r="AF119" s="198">
        <v>70.366672403050529</v>
      </c>
      <c r="AG119" s="198">
        <v>3.093442962836979E-2</v>
      </c>
      <c r="AH119" s="198">
        <v>1.6345218410374683E-4</v>
      </c>
      <c r="AI119" s="198">
        <v>71.338020113826872</v>
      </c>
      <c r="AJ119" s="198">
        <v>3.0017138481443655E-2</v>
      </c>
      <c r="AK119" s="198">
        <v>0.70047254581181906</v>
      </c>
      <c r="AL119" s="198">
        <v>3.2795440855704946E-2</v>
      </c>
      <c r="AM119" s="198">
        <v>2.8972677949326158E-2</v>
      </c>
      <c r="AN119" s="198">
        <v>8.3214741783456461E-3</v>
      </c>
      <c r="AO119" s="198">
        <v>4.8531628343073338E-4</v>
      </c>
      <c r="AP119" s="198">
        <v>1.245966293352514E-3</v>
      </c>
      <c r="AQ119" s="198">
        <v>1.4367594940764101E-3</v>
      </c>
      <c r="AS119" s="258">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102">
        <f t="shared" si="14"/>
        <v>0.39580486072811438</v>
      </c>
      <c r="AZ119" s="102">
        <f t="shared" si="15"/>
        <v>0.60419513927188551</v>
      </c>
    </row>
    <row r="120" spans="1:52" x14ac:dyDescent="0.35">
      <c r="A120" t="s">
        <v>246</v>
      </c>
      <c r="B120">
        <v>2050</v>
      </c>
      <c r="C120" t="s">
        <v>837</v>
      </c>
      <c r="D120" t="s">
        <v>1022</v>
      </c>
      <c r="E120" t="s">
        <v>1019</v>
      </c>
      <c r="F120" t="s">
        <v>977</v>
      </c>
      <c r="G120" t="s">
        <v>978</v>
      </c>
      <c r="H120" s="198">
        <v>16332.09874204</v>
      </c>
      <c r="I120" s="198">
        <v>0</v>
      </c>
      <c r="J120" s="198">
        <v>0</v>
      </c>
      <c r="K120" s="198">
        <v>0</v>
      </c>
      <c r="L120" s="198">
        <v>0</v>
      </c>
      <c r="M120" s="198">
        <v>7646.1</v>
      </c>
      <c r="N120" s="198">
        <v>28.89</v>
      </c>
      <c r="O120" s="198">
        <v>0</v>
      </c>
      <c r="P120" s="198">
        <v>3220.9029644000002</v>
      </c>
      <c r="Q120" s="198">
        <v>0</v>
      </c>
      <c r="R120" s="198">
        <v>0</v>
      </c>
      <c r="S120" s="198">
        <v>1500</v>
      </c>
      <c r="T120" s="198">
        <v>0</v>
      </c>
      <c r="U120" s="198">
        <v>2000</v>
      </c>
      <c r="V120" s="198">
        <v>4500</v>
      </c>
      <c r="W120" s="198">
        <v>101.11499999999999</v>
      </c>
      <c r="X120" s="198">
        <v>1500</v>
      </c>
      <c r="Y120" s="198">
        <v>186</v>
      </c>
      <c r="Z120" s="277">
        <v>37015.106706439998</v>
      </c>
      <c r="AA120" s="272">
        <v>0</v>
      </c>
      <c r="AB120" s="198">
        <v>0</v>
      </c>
      <c r="AC120" s="272">
        <v>515</v>
      </c>
      <c r="AD120" s="198">
        <v>1.8539999999999999</v>
      </c>
      <c r="AE120" s="198">
        <v>1.8539999999999999</v>
      </c>
      <c r="AF120" s="198">
        <v>0</v>
      </c>
      <c r="AG120" s="198">
        <v>0</v>
      </c>
      <c r="AH120" s="198">
        <v>0</v>
      </c>
      <c r="AI120" s="198">
        <v>0</v>
      </c>
      <c r="AJ120" s="198">
        <v>0</v>
      </c>
      <c r="AK120" s="198">
        <v>0</v>
      </c>
      <c r="AL120" s="198">
        <v>0</v>
      </c>
      <c r="AM120" s="198">
        <v>2.7410247584548898E-2</v>
      </c>
      <c r="AN120" s="198">
        <v>7.0048410493846998E-3</v>
      </c>
      <c r="AO120" s="198">
        <v>0</v>
      </c>
      <c r="AP120" s="198">
        <v>1.0015281203389539E-3</v>
      </c>
      <c r="AQ120" s="198">
        <v>1.2521410237972478E-3</v>
      </c>
      <c r="AS120" s="258">
        <f t="shared" si="8"/>
        <v>49655.765646689251</v>
      </c>
      <c r="AT120" s="3">
        <f t="shared" si="9"/>
        <v>0</v>
      </c>
      <c r="AU120" s="3">
        <f t="shared" si="10"/>
        <v>0</v>
      </c>
      <c r="AV120" s="3">
        <f t="shared" si="11"/>
        <v>32.000695937465046</v>
      </c>
      <c r="AW120" s="3">
        <f t="shared" si="12"/>
        <v>1.1520250537487415</v>
      </c>
      <c r="AX120" s="3">
        <f t="shared" si="13"/>
        <v>1.1520250537487415</v>
      </c>
      <c r="AY120" s="102">
        <f t="shared" si="14"/>
        <v>0</v>
      </c>
      <c r="AZ120" s="102">
        <f t="shared" si="15"/>
        <v>1</v>
      </c>
    </row>
    <row r="121" spans="1:52" x14ac:dyDescent="0.35">
      <c r="A121" t="s">
        <v>627</v>
      </c>
      <c r="B121">
        <v>2050</v>
      </c>
      <c r="C121" t="s">
        <v>837</v>
      </c>
      <c r="D121" t="s">
        <v>1022</v>
      </c>
      <c r="E121" t="s">
        <v>1019</v>
      </c>
      <c r="F121" t="s">
        <v>989</v>
      </c>
      <c r="G121" t="s">
        <v>978</v>
      </c>
      <c r="H121" s="198">
        <v>16332.09874204</v>
      </c>
      <c r="I121" s="198">
        <v>0</v>
      </c>
      <c r="J121" s="198">
        <v>18037.0566</v>
      </c>
      <c r="K121" s="198">
        <v>4327.472358</v>
      </c>
      <c r="L121" s="198">
        <v>0</v>
      </c>
      <c r="M121" s="198">
        <v>1916.0879401</v>
      </c>
      <c r="N121" s="198">
        <v>28.89</v>
      </c>
      <c r="O121" s="198">
        <v>0</v>
      </c>
      <c r="P121" s="198">
        <v>3220.9029644000002</v>
      </c>
      <c r="Q121" s="198">
        <v>0</v>
      </c>
      <c r="R121" s="198">
        <v>0</v>
      </c>
      <c r="S121" s="198">
        <v>1500</v>
      </c>
      <c r="T121" s="198">
        <v>0</v>
      </c>
      <c r="U121" s="198">
        <v>2000</v>
      </c>
      <c r="V121" s="198">
        <v>4500</v>
      </c>
      <c r="W121" s="198">
        <v>101.11499999999999</v>
      </c>
      <c r="X121" s="198">
        <v>1500</v>
      </c>
      <c r="Y121" s="198">
        <v>186</v>
      </c>
      <c r="Z121" s="277">
        <v>53649.623604539993</v>
      </c>
      <c r="AA121" s="272">
        <v>37.794569729999999</v>
      </c>
      <c r="AB121" s="198">
        <v>3.5539546675505975</v>
      </c>
      <c r="AC121" s="272">
        <v>0</v>
      </c>
      <c r="AD121" s="198">
        <v>0</v>
      </c>
      <c r="AE121" s="198">
        <v>3.5539546675505975</v>
      </c>
      <c r="AF121" s="198">
        <v>0</v>
      </c>
      <c r="AG121" s="198">
        <v>0</v>
      </c>
      <c r="AH121" s="198">
        <v>0</v>
      </c>
      <c r="AI121" s="198">
        <v>0</v>
      </c>
      <c r="AJ121" s="198">
        <v>0</v>
      </c>
      <c r="AK121" s="198">
        <v>0</v>
      </c>
      <c r="AL121" s="198">
        <v>0</v>
      </c>
      <c r="AM121" s="198">
        <v>3.3224441159047102E-2</v>
      </c>
      <c r="AN121" s="198">
        <v>8.4906905184231624E-3</v>
      </c>
      <c r="AO121" s="198">
        <v>0</v>
      </c>
      <c r="AP121" s="198">
        <v>1.2139697753802857E-3</v>
      </c>
      <c r="AQ121" s="198">
        <v>1.5177420648849506E-3</v>
      </c>
      <c r="AS121" s="258">
        <f t="shared" si="8"/>
        <v>71970.970065490401</v>
      </c>
      <c r="AT121" s="3">
        <f t="shared" si="9"/>
        <v>6.2235162596578695</v>
      </c>
      <c r="AU121" s="3">
        <f t="shared" si="10"/>
        <v>2.4022414363902502</v>
      </c>
      <c r="AV121" s="3">
        <f t="shared" si="11"/>
        <v>0</v>
      </c>
      <c r="AW121" s="3">
        <f t="shared" si="12"/>
        <v>0</v>
      </c>
      <c r="AX121" s="3">
        <f t="shared" si="13"/>
        <v>2.4022414363902502</v>
      </c>
      <c r="AY121" s="102">
        <f t="shared" si="14"/>
        <v>1</v>
      </c>
      <c r="AZ121" s="102">
        <f t="shared" si="15"/>
        <v>0</v>
      </c>
    </row>
    <row r="122" spans="1:52" x14ac:dyDescent="0.35">
      <c r="A122" t="s">
        <v>1065</v>
      </c>
      <c r="B122">
        <v>2050</v>
      </c>
      <c r="C122" t="s">
        <v>837</v>
      </c>
      <c r="D122" t="s">
        <v>1022</v>
      </c>
      <c r="E122" t="s">
        <v>1019</v>
      </c>
      <c r="F122" t="s">
        <v>989</v>
      </c>
      <c r="G122" t="s">
        <v>978</v>
      </c>
      <c r="H122" s="198">
        <v>16332.09874204</v>
      </c>
      <c r="I122" s="198">
        <v>0</v>
      </c>
      <c r="J122" s="198">
        <v>2939.0247599999998</v>
      </c>
      <c r="K122" s="198">
        <v>4327.1272440000002</v>
      </c>
      <c r="L122" s="198">
        <v>0</v>
      </c>
      <c r="M122" s="198">
        <v>1216.4250000000002</v>
      </c>
      <c r="N122" s="198">
        <v>28.89</v>
      </c>
      <c r="O122" s="198">
        <v>0</v>
      </c>
      <c r="P122" s="198">
        <v>3252.8372437000003</v>
      </c>
      <c r="Q122" s="198">
        <v>0</v>
      </c>
      <c r="R122" s="198">
        <v>0</v>
      </c>
      <c r="S122" s="198">
        <v>1500</v>
      </c>
      <c r="T122" s="198">
        <v>0</v>
      </c>
      <c r="U122" s="198">
        <v>2000</v>
      </c>
      <c r="V122" s="198">
        <v>4500</v>
      </c>
      <c r="W122" s="198">
        <v>101.11499999999999</v>
      </c>
      <c r="X122" s="198">
        <v>1500</v>
      </c>
      <c r="Y122" s="198">
        <v>186</v>
      </c>
      <c r="Z122" s="277">
        <v>37883.517989739994</v>
      </c>
      <c r="AA122" s="272">
        <v>41.910135289999999</v>
      </c>
      <c r="AB122" s="198">
        <v>3.2049571439119067</v>
      </c>
      <c r="AC122" s="272">
        <v>0</v>
      </c>
      <c r="AD122" s="198">
        <v>0</v>
      </c>
      <c r="AE122" s="198">
        <v>3.2049571439119067</v>
      </c>
      <c r="AF122" s="198">
        <v>0</v>
      </c>
      <c r="AG122" s="198">
        <v>0</v>
      </c>
      <c r="AH122" s="198">
        <v>0</v>
      </c>
      <c r="AI122" s="198">
        <v>0</v>
      </c>
      <c r="AJ122" s="198">
        <v>0</v>
      </c>
      <c r="AK122" s="198">
        <v>0</v>
      </c>
      <c r="AL122" s="198">
        <v>0</v>
      </c>
      <c r="AM122" s="198">
        <v>2.9961808747143451E-2</v>
      </c>
      <c r="AN122" s="198">
        <v>7.6569066798255611E-3</v>
      </c>
      <c r="AO122" s="198">
        <v>0</v>
      </c>
      <c r="AP122" s="198">
        <v>1.0947582251463221E-3</v>
      </c>
      <c r="AQ122" s="198">
        <v>1.3687001463136637E-3</v>
      </c>
      <c r="AS122" s="258">
        <f t="shared" si="8"/>
        <v>50820.7393832362</v>
      </c>
      <c r="AT122" s="3">
        <f t="shared" si="9"/>
        <v>5.6123684071607336</v>
      </c>
      <c r="AU122" s="3">
        <f t="shared" si="10"/>
        <v>2.1663418847900995</v>
      </c>
      <c r="AV122" s="3">
        <f t="shared" si="11"/>
        <v>0</v>
      </c>
      <c r="AW122" s="3">
        <f t="shared" si="12"/>
        <v>0</v>
      </c>
      <c r="AX122" s="3">
        <f t="shared" si="13"/>
        <v>2.1663418847900995</v>
      </c>
      <c r="AY122" s="102">
        <f t="shared" si="14"/>
        <v>1</v>
      </c>
      <c r="AZ122" s="102">
        <f t="shared" si="15"/>
        <v>0</v>
      </c>
    </row>
    <row r="123" spans="1:52" x14ac:dyDescent="0.35">
      <c r="A123" t="s">
        <v>1017</v>
      </c>
      <c r="B123">
        <v>2021</v>
      </c>
      <c r="C123" t="s">
        <v>837</v>
      </c>
      <c r="D123" t="s">
        <v>1066</v>
      </c>
      <c r="E123" t="s">
        <v>1019</v>
      </c>
      <c r="F123" t="s">
        <v>983</v>
      </c>
      <c r="G123" t="s">
        <v>978</v>
      </c>
      <c r="H123" s="198">
        <v>16000</v>
      </c>
      <c r="I123" s="198">
        <v>35228</v>
      </c>
      <c r="J123" s="198">
        <v>0</v>
      </c>
      <c r="K123" s="198">
        <v>0</v>
      </c>
      <c r="L123" s="198">
        <v>120</v>
      </c>
      <c r="M123" s="198">
        <v>0</v>
      </c>
      <c r="N123" s="198">
        <v>0</v>
      </c>
      <c r="O123" s="198">
        <v>150</v>
      </c>
      <c r="P123" s="198">
        <v>0</v>
      </c>
      <c r="Q123" s="198">
        <v>0</v>
      </c>
      <c r="R123" s="198">
        <v>104.8</v>
      </c>
      <c r="S123" s="198">
        <v>9964</v>
      </c>
      <c r="T123" s="198">
        <v>506</v>
      </c>
      <c r="U123" s="198">
        <v>2000</v>
      </c>
      <c r="V123" s="198">
        <v>1920</v>
      </c>
      <c r="W123" s="198">
        <v>0</v>
      </c>
      <c r="X123" s="198">
        <v>0</v>
      </c>
      <c r="Y123" s="198">
        <v>186</v>
      </c>
      <c r="Z123" s="277">
        <v>66178.8</v>
      </c>
      <c r="AA123" s="272">
        <v>8.7842622030000008</v>
      </c>
      <c r="AB123" s="198">
        <v>15.291003888081461</v>
      </c>
      <c r="AC123" s="272">
        <v>0</v>
      </c>
      <c r="AD123" s="198">
        <v>0</v>
      </c>
      <c r="AE123" s="198">
        <v>15.291003888081461</v>
      </c>
      <c r="AF123" s="198">
        <v>1144.6162782355818</v>
      </c>
      <c r="AG123" s="198">
        <v>0.50319349347305686</v>
      </c>
      <c r="AH123" s="198">
        <v>2.6587875232564938E-3</v>
      </c>
      <c r="AI123" s="198">
        <v>1160.416661621812</v>
      </c>
      <c r="AJ123" s="198">
        <v>0.48827241872563815</v>
      </c>
      <c r="AK123" s="198">
        <v>11.394204827548004</v>
      </c>
      <c r="AL123" s="198">
        <v>0.53346554801310719</v>
      </c>
      <c r="AM123" s="198">
        <v>9.588824771564243E-2</v>
      </c>
      <c r="AN123" s="198">
        <v>3.9426731165732663E-2</v>
      </c>
      <c r="AO123" s="198">
        <v>7.8943752651223671E-3</v>
      </c>
      <c r="AP123" s="198">
        <v>6.5511186793691849E-3</v>
      </c>
      <c r="AQ123" s="198">
        <v>6.2224018523855422E-3</v>
      </c>
      <c r="AS123" s="258">
        <f t="shared" si="8"/>
        <v>88778.860199999996</v>
      </c>
      <c r="AT123" s="3">
        <f t="shared" si="9"/>
        <v>26.776878217626233</v>
      </c>
      <c r="AU123" s="3">
        <f t="shared" si="10"/>
        <v>10.335720789953138</v>
      </c>
      <c r="AV123" s="3">
        <f t="shared" si="11"/>
        <v>0</v>
      </c>
      <c r="AW123" s="3">
        <f t="shared" si="12"/>
        <v>0</v>
      </c>
      <c r="AX123" s="3">
        <f t="shared" si="13"/>
        <v>10.335720789953138</v>
      </c>
      <c r="AY123" s="102">
        <f t="shared" si="14"/>
        <v>1</v>
      </c>
      <c r="AZ123" s="102">
        <f t="shared" si="15"/>
        <v>0</v>
      </c>
    </row>
    <row r="124" spans="1:52" x14ac:dyDescent="0.35">
      <c r="A124" t="s">
        <v>1020</v>
      </c>
      <c r="B124">
        <v>2021</v>
      </c>
      <c r="C124" t="s">
        <v>837</v>
      </c>
      <c r="D124" t="s">
        <v>1066</v>
      </c>
      <c r="E124" t="s">
        <v>1019</v>
      </c>
      <c r="F124" t="s">
        <v>983</v>
      </c>
      <c r="G124" t="s">
        <v>978</v>
      </c>
      <c r="H124" s="198">
        <v>16000</v>
      </c>
      <c r="I124" s="198">
        <v>16490</v>
      </c>
      <c r="J124" s="198">
        <v>0</v>
      </c>
      <c r="K124" s="198">
        <v>0</v>
      </c>
      <c r="L124" s="198">
        <v>150</v>
      </c>
      <c r="M124" s="198">
        <v>711.85929639999995</v>
      </c>
      <c r="N124" s="198">
        <v>75</v>
      </c>
      <c r="O124" s="198">
        <v>150</v>
      </c>
      <c r="P124" s="198">
        <v>1645.3896147</v>
      </c>
      <c r="Q124" s="198">
        <v>0</v>
      </c>
      <c r="R124" s="198">
        <v>0</v>
      </c>
      <c r="S124" s="198">
        <v>6627</v>
      </c>
      <c r="T124" s="198">
        <v>392</v>
      </c>
      <c r="U124" s="198">
        <v>2000</v>
      </c>
      <c r="V124" s="198">
        <v>4720</v>
      </c>
      <c r="W124" s="198">
        <v>150</v>
      </c>
      <c r="X124" s="198">
        <v>1500</v>
      </c>
      <c r="Y124" s="198">
        <v>186</v>
      </c>
      <c r="Z124" s="277">
        <v>50797.248911099996</v>
      </c>
      <c r="AA124" s="272">
        <v>16.584803709999999</v>
      </c>
      <c r="AB124" s="198">
        <v>8.0989916943671805</v>
      </c>
      <c r="AC124" s="272">
        <v>0</v>
      </c>
      <c r="AD124" s="198">
        <v>0</v>
      </c>
      <c r="AE124" s="198">
        <v>8.0989916943671805</v>
      </c>
      <c r="AF124" s="198">
        <v>606.2543570401624</v>
      </c>
      <c r="AG124" s="198">
        <v>0.26652010254698999</v>
      </c>
      <c r="AH124" s="198">
        <v>1.4082461966232098E-3</v>
      </c>
      <c r="AI124" s="198">
        <v>614.62314529955461</v>
      </c>
      <c r="AJ124" s="198">
        <v>0.25861704651908796</v>
      </c>
      <c r="AK124" s="198">
        <v>6.035023660817874</v>
      </c>
      <c r="AL124" s="198">
        <v>0.28255391694438203</v>
      </c>
      <c r="AM124" s="198">
        <v>5.078790951336612E-2</v>
      </c>
      <c r="AN124" s="198">
        <v>2.0882655617935411E-2</v>
      </c>
      <c r="AO124" s="198">
        <v>4.1813134162027718E-3</v>
      </c>
      <c r="AP124" s="198">
        <v>3.4698477720210537E-3</v>
      </c>
      <c r="AQ124" s="198">
        <v>3.2957405079705642E-3</v>
      </c>
      <c r="AS124" s="258">
        <f t="shared" si="8"/>
        <v>68144.509414240645</v>
      </c>
      <c r="AT124" s="3">
        <f t="shared" si="9"/>
        <v>14.182568775270006</v>
      </c>
      <c r="AU124" s="3">
        <f t="shared" si="10"/>
        <v>5.4743898730138589</v>
      </c>
      <c r="AV124" s="3">
        <f t="shared" si="11"/>
        <v>0</v>
      </c>
      <c r="AW124" s="3">
        <f t="shared" si="12"/>
        <v>0</v>
      </c>
      <c r="AX124" s="3">
        <f t="shared" si="13"/>
        <v>5.4743898730138589</v>
      </c>
      <c r="AY124" s="102">
        <f t="shared" si="14"/>
        <v>1</v>
      </c>
      <c r="AZ124" s="102">
        <f t="shared" si="15"/>
        <v>0</v>
      </c>
    </row>
    <row r="125" spans="1:52" x14ac:dyDescent="0.35">
      <c r="A125" t="s">
        <v>1021</v>
      </c>
      <c r="B125">
        <v>2021</v>
      </c>
      <c r="C125" t="s">
        <v>837</v>
      </c>
      <c r="D125" t="s">
        <v>1066</v>
      </c>
      <c r="E125" t="s">
        <v>1019</v>
      </c>
      <c r="F125" t="s">
        <v>983</v>
      </c>
      <c r="G125" t="s">
        <v>978</v>
      </c>
      <c r="H125" s="198">
        <v>16000</v>
      </c>
      <c r="I125" s="198">
        <v>10759</v>
      </c>
      <c r="J125" s="198">
        <v>0</v>
      </c>
      <c r="K125" s="198">
        <v>0</v>
      </c>
      <c r="L125" s="198">
        <v>0</v>
      </c>
      <c r="M125" s="198">
        <v>7767.7424999999994</v>
      </c>
      <c r="N125" s="198">
        <v>75</v>
      </c>
      <c r="O125" s="198">
        <v>0</v>
      </c>
      <c r="P125" s="198">
        <v>8980.0538517000005</v>
      </c>
      <c r="Q125" s="198">
        <v>0</v>
      </c>
      <c r="R125" s="198">
        <v>3707.9380250199997</v>
      </c>
      <c r="S125" s="198">
        <v>1500</v>
      </c>
      <c r="T125" s="198">
        <v>0</v>
      </c>
      <c r="U125" s="198">
        <v>2000</v>
      </c>
      <c r="V125" s="198">
        <v>4720</v>
      </c>
      <c r="W125" s="198">
        <v>150</v>
      </c>
      <c r="X125" s="198">
        <v>1500</v>
      </c>
      <c r="Y125" s="198">
        <v>186</v>
      </c>
      <c r="Z125" s="277">
        <v>57345.73437672</v>
      </c>
      <c r="AA125" s="272">
        <v>108.99281695000003</v>
      </c>
      <c r="AB125" s="198">
        <v>1.2323765112119158</v>
      </c>
      <c r="AC125" s="272">
        <v>473.6</v>
      </c>
      <c r="AD125" s="198">
        <v>1.70496</v>
      </c>
      <c r="AE125" s="198">
        <v>2.9373365112119156</v>
      </c>
      <c r="AF125" s="198">
        <v>92.250203189590536</v>
      </c>
      <c r="AG125" s="198">
        <v>4.0554815530078822E-2</v>
      </c>
      <c r="AH125" s="198">
        <v>2.1428464186831896E-4</v>
      </c>
      <c r="AI125" s="198">
        <v>93.523633076591651</v>
      </c>
      <c r="AJ125" s="198">
        <v>3.9352253410852057E-2</v>
      </c>
      <c r="AK125" s="198">
        <v>0.91831448714446706</v>
      </c>
      <c r="AL125" s="198">
        <v>4.2994587910907441E-2</v>
      </c>
      <c r="AM125" s="198">
        <v>3.2934884135727045E-2</v>
      </c>
      <c r="AN125" s="198">
        <v>9.6193258165368067E-3</v>
      </c>
      <c r="AO125" s="198">
        <v>6.362461692271408E-4</v>
      </c>
      <c r="AP125" s="198">
        <v>1.4490035035003993E-3</v>
      </c>
      <c r="AQ125" s="198">
        <v>1.6529771584705014E-3</v>
      </c>
      <c r="AS125" s="258">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102">
        <f t="shared" si="14"/>
        <v>0.44017994172770375</v>
      </c>
      <c r="AZ125" s="102">
        <f t="shared" si="15"/>
        <v>0.55982005827229619</v>
      </c>
    </row>
    <row r="126" spans="1:52" x14ac:dyDescent="0.35">
      <c r="A126" t="s">
        <v>246</v>
      </c>
      <c r="B126">
        <v>2021</v>
      </c>
      <c r="C126" t="s">
        <v>837</v>
      </c>
      <c r="D126" t="s">
        <v>1066</v>
      </c>
      <c r="E126" t="s">
        <v>1019</v>
      </c>
      <c r="F126" t="s">
        <v>977</v>
      </c>
      <c r="G126" t="s">
        <v>978</v>
      </c>
      <c r="H126" s="198">
        <v>16000</v>
      </c>
      <c r="I126" s="198">
        <v>0</v>
      </c>
      <c r="J126" s="198">
        <v>0</v>
      </c>
      <c r="K126" s="198">
        <v>0</v>
      </c>
      <c r="L126" s="198">
        <v>0</v>
      </c>
      <c r="M126" s="198">
        <v>16421.737499999999</v>
      </c>
      <c r="N126" s="198">
        <v>75</v>
      </c>
      <c r="O126" s="198">
        <v>0</v>
      </c>
      <c r="P126" s="198">
        <v>8949.6246032999989</v>
      </c>
      <c r="Q126" s="198">
        <v>0</v>
      </c>
      <c r="R126" s="198">
        <v>0</v>
      </c>
      <c r="S126" s="198">
        <v>1500</v>
      </c>
      <c r="T126" s="198">
        <v>0</v>
      </c>
      <c r="U126" s="198">
        <v>2000</v>
      </c>
      <c r="V126" s="198">
        <v>4500</v>
      </c>
      <c r="W126" s="198">
        <v>150</v>
      </c>
      <c r="X126" s="198">
        <v>1500</v>
      </c>
      <c r="Y126" s="198">
        <v>186</v>
      </c>
      <c r="Z126" s="277">
        <v>51282.362103299994</v>
      </c>
      <c r="AA126" s="272">
        <v>0</v>
      </c>
      <c r="AB126" s="198">
        <v>0</v>
      </c>
      <c r="AC126" s="272">
        <v>560</v>
      </c>
      <c r="AD126" s="198">
        <v>2.016</v>
      </c>
      <c r="AE126" s="198">
        <v>2.016</v>
      </c>
      <c r="AF126" s="198">
        <v>0</v>
      </c>
      <c r="AG126" s="198">
        <v>0</v>
      </c>
      <c r="AH126" s="198">
        <v>0</v>
      </c>
      <c r="AI126" s="198">
        <v>0</v>
      </c>
      <c r="AJ126" s="198">
        <v>0</v>
      </c>
      <c r="AK126" s="198">
        <v>0</v>
      </c>
      <c r="AL126" s="198">
        <v>0</v>
      </c>
      <c r="AM126" s="198">
        <v>2.9805317761839579E-2</v>
      </c>
      <c r="AN126" s="198">
        <v>7.6169145391367619E-3</v>
      </c>
      <c r="AO126" s="198">
        <v>0</v>
      </c>
      <c r="AP126" s="198">
        <v>1.089040286193814E-3</v>
      </c>
      <c r="AQ126" s="198">
        <v>1.3615514045173958E-3</v>
      </c>
      <c r="AS126" s="258">
        <f t="shared" si="8"/>
        <v>68795.288761576943</v>
      </c>
      <c r="AT126" s="3">
        <f t="shared" si="9"/>
        <v>0</v>
      </c>
      <c r="AU126" s="3">
        <f t="shared" si="10"/>
        <v>0</v>
      </c>
      <c r="AV126" s="3">
        <f t="shared" si="11"/>
        <v>34.796873252389176</v>
      </c>
      <c r="AW126" s="3">
        <f t="shared" si="12"/>
        <v>1.2526874370860104</v>
      </c>
      <c r="AX126" s="3">
        <f t="shared" si="13"/>
        <v>1.2526874370860104</v>
      </c>
      <c r="AY126" s="102">
        <f t="shared" si="14"/>
        <v>0</v>
      </c>
      <c r="AZ126" s="102">
        <f t="shared" si="15"/>
        <v>1</v>
      </c>
    </row>
    <row r="127" spans="1:52" x14ac:dyDescent="0.35">
      <c r="A127" t="s">
        <v>627</v>
      </c>
      <c r="B127">
        <v>2021</v>
      </c>
      <c r="C127" t="s">
        <v>837</v>
      </c>
      <c r="D127" t="s">
        <v>1066</v>
      </c>
      <c r="E127" t="s">
        <v>1019</v>
      </c>
      <c r="F127" t="s">
        <v>989</v>
      </c>
      <c r="G127" t="s">
        <v>978</v>
      </c>
      <c r="H127" s="198">
        <v>16000</v>
      </c>
      <c r="I127" s="198">
        <v>0</v>
      </c>
      <c r="J127" s="198">
        <v>41347.265670000001</v>
      </c>
      <c r="K127" s="198">
        <v>5537.5969999999998</v>
      </c>
      <c r="L127" s="198">
        <v>0</v>
      </c>
      <c r="M127" s="198">
        <v>2135.57789</v>
      </c>
      <c r="N127" s="198">
        <v>75</v>
      </c>
      <c r="O127" s="198">
        <v>0</v>
      </c>
      <c r="P127" s="198">
        <v>8949.6246032999989</v>
      </c>
      <c r="Q127" s="198">
        <v>0</v>
      </c>
      <c r="R127" s="198">
        <v>0</v>
      </c>
      <c r="S127" s="198">
        <v>1500</v>
      </c>
      <c r="T127" s="198">
        <v>0</v>
      </c>
      <c r="U127" s="198">
        <v>2000</v>
      </c>
      <c r="V127" s="198">
        <v>4500</v>
      </c>
      <c r="W127" s="198">
        <v>150</v>
      </c>
      <c r="X127" s="198">
        <v>1500</v>
      </c>
      <c r="Y127" s="198">
        <v>186</v>
      </c>
      <c r="Z127" s="277">
        <v>83881.065163299994</v>
      </c>
      <c r="AA127" s="272">
        <v>33.395383510000002</v>
      </c>
      <c r="AB127" s="198">
        <v>4.0221184302249089</v>
      </c>
      <c r="AC127" s="272">
        <v>0</v>
      </c>
      <c r="AD127" s="198">
        <v>0</v>
      </c>
      <c r="AE127" s="198">
        <v>4.0221184302249089</v>
      </c>
      <c r="AF127" s="198">
        <v>0</v>
      </c>
      <c r="AG127" s="198">
        <v>0</v>
      </c>
      <c r="AH127" s="198">
        <v>0</v>
      </c>
      <c r="AI127" s="198">
        <v>0</v>
      </c>
      <c r="AJ127" s="198">
        <v>0</v>
      </c>
      <c r="AK127" s="198">
        <v>0</v>
      </c>
      <c r="AL127" s="198">
        <v>0</v>
      </c>
      <c r="AM127" s="198">
        <v>3.7601109079938438E-2</v>
      </c>
      <c r="AN127" s="198">
        <v>9.6091723204287278E-3</v>
      </c>
      <c r="AO127" s="198">
        <v>0</v>
      </c>
      <c r="AP127" s="198">
        <v>1.3738864628395052E-3</v>
      </c>
      <c r="AQ127" s="198">
        <v>1.7176747883812054E-3</v>
      </c>
      <c r="AS127" s="258">
        <f t="shared" si="8"/>
        <v>112526.44891656694</v>
      </c>
      <c r="AT127" s="3">
        <f t="shared" si="9"/>
        <v>7.0433423581135006</v>
      </c>
      <c r="AU127" s="3">
        <f t="shared" si="10"/>
        <v>2.7186895891990508</v>
      </c>
      <c r="AV127" s="3">
        <f t="shared" si="11"/>
        <v>0</v>
      </c>
      <c r="AW127" s="3">
        <f t="shared" si="12"/>
        <v>0</v>
      </c>
      <c r="AX127" s="3">
        <f t="shared" si="13"/>
        <v>2.7186895891990508</v>
      </c>
      <c r="AY127" s="102">
        <f t="shared" si="14"/>
        <v>1</v>
      </c>
      <c r="AZ127" s="102">
        <f t="shared" si="15"/>
        <v>0</v>
      </c>
    </row>
    <row r="128" spans="1:52" x14ac:dyDescent="0.35">
      <c r="A128" t="s">
        <v>1065</v>
      </c>
      <c r="B128">
        <v>2021</v>
      </c>
      <c r="C128" t="s">
        <v>837</v>
      </c>
      <c r="D128" t="s">
        <v>1066</v>
      </c>
      <c r="E128" t="s">
        <v>1019</v>
      </c>
      <c r="F128" t="s">
        <v>989</v>
      </c>
      <c r="G128" t="s">
        <v>978</v>
      </c>
      <c r="H128" s="198">
        <v>16000</v>
      </c>
      <c r="I128" s="198">
        <v>0</v>
      </c>
      <c r="J128" s="198">
        <v>11184.8618178</v>
      </c>
      <c r="K128" s="198">
        <v>5768.6054000000004</v>
      </c>
      <c r="L128" s="198">
        <v>0</v>
      </c>
      <c r="M128" s="198">
        <v>1789.8824999999999</v>
      </c>
      <c r="N128" s="198">
        <v>75</v>
      </c>
      <c r="O128" s="198">
        <v>0</v>
      </c>
      <c r="P128" s="198">
        <v>9945.1527057000003</v>
      </c>
      <c r="Q128" s="198">
        <v>0</v>
      </c>
      <c r="R128" s="198">
        <v>0</v>
      </c>
      <c r="S128" s="198">
        <v>1500</v>
      </c>
      <c r="T128" s="198">
        <v>0</v>
      </c>
      <c r="U128" s="198">
        <v>2000</v>
      </c>
      <c r="V128" s="198">
        <v>4500</v>
      </c>
      <c r="W128" s="198">
        <v>150</v>
      </c>
      <c r="X128" s="198">
        <v>1500</v>
      </c>
      <c r="Y128" s="198">
        <v>186</v>
      </c>
      <c r="Z128" s="277">
        <v>54599.502423500002</v>
      </c>
      <c r="AA128" s="272">
        <v>37.154585910000002</v>
      </c>
      <c r="AB128" s="198">
        <v>3.6151711615186723</v>
      </c>
      <c r="AC128" s="272">
        <v>0</v>
      </c>
      <c r="AD128" s="198">
        <v>0</v>
      </c>
      <c r="AE128" s="198">
        <v>3.6151711615186723</v>
      </c>
      <c r="AF128" s="198">
        <v>0</v>
      </c>
      <c r="AG128" s="198">
        <v>0</v>
      </c>
      <c r="AH128" s="198">
        <v>0</v>
      </c>
      <c r="AI128" s="198">
        <v>0</v>
      </c>
      <c r="AJ128" s="198">
        <v>0</v>
      </c>
      <c r="AK128" s="198">
        <v>0</v>
      </c>
      <c r="AL128" s="198">
        <v>0</v>
      </c>
      <c r="AM128" s="198">
        <v>3.3796728650605685E-2</v>
      </c>
      <c r="AN128" s="198">
        <v>8.6369417662659122E-3</v>
      </c>
      <c r="AO128" s="198">
        <v>0</v>
      </c>
      <c r="AP128" s="198">
        <v>1.234880276606012E-3</v>
      </c>
      <c r="AQ128" s="198">
        <v>1.5438850117290525E-3</v>
      </c>
      <c r="AS128" s="258">
        <f t="shared" si="8"/>
        <v>73245.232501125254</v>
      </c>
      <c r="AT128" s="3">
        <f t="shared" si="9"/>
        <v>6.3307156702322711</v>
      </c>
      <c r="AU128" s="3">
        <f t="shared" si="10"/>
        <v>2.4436197915345486</v>
      </c>
      <c r="AV128" s="3">
        <f t="shared" si="11"/>
        <v>0</v>
      </c>
      <c r="AW128" s="3">
        <f t="shared" si="12"/>
        <v>0</v>
      </c>
      <c r="AX128" s="3">
        <f t="shared" si="13"/>
        <v>2.4436197915345486</v>
      </c>
      <c r="AY128" s="102">
        <f t="shared" si="14"/>
        <v>1</v>
      </c>
      <c r="AZ128" s="102">
        <f t="shared" si="15"/>
        <v>0</v>
      </c>
    </row>
    <row r="129" spans="1:52" x14ac:dyDescent="0.35">
      <c r="A129" t="s">
        <v>1017</v>
      </c>
      <c r="B129">
        <v>2025</v>
      </c>
      <c r="C129" t="s">
        <v>837</v>
      </c>
      <c r="D129" t="s">
        <v>1066</v>
      </c>
      <c r="E129" t="s">
        <v>1019</v>
      </c>
      <c r="F129" t="s">
        <v>983</v>
      </c>
      <c r="G129" t="s">
        <v>978</v>
      </c>
      <c r="H129" s="198">
        <v>16121.118364743999</v>
      </c>
      <c r="I129" s="198">
        <v>35418</v>
      </c>
      <c r="J129" s="198">
        <v>0</v>
      </c>
      <c r="K129" s="198">
        <v>0</v>
      </c>
      <c r="L129" s="198">
        <v>120</v>
      </c>
      <c r="M129" s="198">
        <v>0</v>
      </c>
      <c r="N129" s="198">
        <v>0</v>
      </c>
      <c r="O129" s="198">
        <v>150</v>
      </c>
      <c r="P129" s="198">
        <v>0</v>
      </c>
      <c r="Q129" s="198">
        <v>0</v>
      </c>
      <c r="R129" s="198">
        <v>92</v>
      </c>
      <c r="S129" s="198">
        <v>9919</v>
      </c>
      <c r="T129" s="198">
        <v>506</v>
      </c>
      <c r="U129" s="198">
        <v>2000</v>
      </c>
      <c r="V129" s="198">
        <v>1920</v>
      </c>
      <c r="W129" s="198">
        <v>0</v>
      </c>
      <c r="X129" s="198">
        <v>0</v>
      </c>
      <c r="Y129" s="198">
        <v>186</v>
      </c>
      <c r="Z129" s="277">
        <v>66432.118364744005</v>
      </c>
      <c r="AA129" s="272">
        <v>9.3404361429999998</v>
      </c>
      <c r="AB129" s="198">
        <v>14.38050487617364</v>
      </c>
      <c r="AC129" s="272">
        <v>0</v>
      </c>
      <c r="AD129" s="198">
        <v>0</v>
      </c>
      <c r="AE129" s="198">
        <v>14.38050487617364</v>
      </c>
      <c r="AF129" s="198">
        <v>1076.4603874925663</v>
      </c>
      <c r="AG129" s="198">
        <v>0.47323096243460933</v>
      </c>
      <c r="AH129" s="198">
        <v>2.5004706834651719E-3</v>
      </c>
      <c r="AI129" s="198">
        <v>1091.3199409917452</v>
      </c>
      <c r="AJ129" s="198">
        <v>0.45919835936070297</v>
      </c>
      <c r="AK129" s="198">
        <v>10.715739743575062</v>
      </c>
      <c r="AL129" s="198">
        <v>0.50170047503896509</v>
      </c>
      <c r="AM129" s="198">
        <v>9.0178605926412664E-2</v>
      </c>
      <c r="AN129" s="198">
        <v>3.707907629415582E-2</v>
      </c>
      <c r="AO129" s="198">
        <v>7.4243066593504478E-3</v>
      </c>
      <c r="AP129" s="198">
        <v>6.1610339518971225E-3</v>
      </c>
      <c r="AQ129" s="198">
        <v>5.851890486372067E-3</v>
      </c>
      <c r="AS129" s="258">
        <f t="shared" si="8"/>
        <v>89118.686786304082</v>
      </c>
      <c r="AT129" s="3">
        <f t="shared" si="9"/>
        <v>25.182455684117635</v>
      </c>
      <c r="AU129" s="3">
        <f t="shared" si="10"/>
        <v>9.7202828739414535</v>
      </c>
      <c r="AV129" s="3">
        <f t="shared" si="11"/>
        <v>0</v>
      </c>
      <c r="AW129" s="3">
        <f t="shared" si="12"/>
        <v>0</v>
      </c>
      <c r="AX129" s="3">
        <f t="shared" si="13"/>
        <v>9.7202828739414535</v>
      </c>
      <c r="AY129" s="102">
        <f t="shared" si="14"/>
        <v>1</v>
      </c>
      <c r="AZ129" s="102">
        <f t="shared" si="15"/>
        <v>0</v>
      </c>
    </row>
    <row r="130" spans="1:52" x14ac:dyDescent="0.35">
      <c r="A130" t="s">
        <v>1020</v>
      </c>
      <c r="B130">
        <v>2025</v>
      </c>
      <c r="C130" t="s">
        <v>837</v>
      </c>
      <c r="D130" t="s">
        <v>1066</v>
      </c>
      <c r="E130" t="s">
        <v>1019</v>
      </c>
      <c r="F130" t="s">
        <v>983</v>
      </c>
      <c r="G130" t="s">
        <v>978</v>
      </c>
      <c r="H130" s="198">
        <v>16121.118364743999</v>
      </c>
      <c r="I130" s="198">
        <v>16542</v>
      </c>
      <c r="J130" s="198">
        <v>0</v>
      </c>
      <c r="K130" s="198">
        <v>0</v>
      </c>
      <c r="L130" s="198">
        <v>150</v>
      </c>
      <c r="M130" s="198">
        <v>664.40201000000002</v>
      </c>
      <c r="N130" s="198">
        <v>50</v>
      </c>
      <c r="O130" s="198">
        <v>150</v>
      </c>
      <c r="P130" s="198">
        <v>1389.5979943</v>
      </c>
      <c r="Q130" s="198">
        <v>0</v>
      </c>
      <c r="R130" s="198">
        <v>0</v>
      </c>
      <c r="S130" s="198">
        <v>6524</v>
      </c>
      <c r="T130" s="198">
        <v>392</v>
      </c>
      <c r="U130" s="198">
        <v>2000</v>
      </c>
      <c r="V130" s="198">
        <v>4720</v>
      </c>
      <c r="W130" s="198">
        <v>93.32</v>
      </c>
      <c r="X130" s="198">
        <v>1500</v>
      </c>
      <c r="Y130" s="198">
        <v>186</v>
      </c>
      <c r="Z130" s="277">
        <v>50482.438369043994</v>
      </c>
      <c r="AA130" s="272">
        <v>17.889521250000001</v>
      </c>
      <c r="AB130" s="198">
        <v>7.5083164956133199</v>
      </c>
      <c r="AC130" s="272">
        <v>0</v>
      </c>
      <c r="AD130" s="198">
        <v>0</v>
      </c>
      <c r="AE130" s="198">
        <v>7.5083164956133199</v>
      </c>
      <c r="AF130" s="198">
        <v>562.03904896802942</v>
      </c>
      <c r="AG130" s="198">
        <v>0.24708227368079513</v>
      </c>
      <c r="AH130" s="198">
        <v>1.3055400656040476E-3</v>
      </c>
      <c r="AI130" s="198">
        <v>569.79748524102752</v>
      </c>
      <c r="AJ130" s="198">
        <v>0.2397556028828336</v>
      </c>
      <c r="AK130" s="198">
        <v>5.5948776605673594</v>
      </c>
      <c r="AL130" s="198">
        <v>0.26194671084416077</v>
      </c>
      <c r="AM130" s="198">
        <v>4.7083848603294447E-2</v>
      </c>
      <c r="AN130" s="198">
        <v>1.935964297350817E-2</v>
      </c>
      <c r="AO130" s="198">
        <v>3.8763621054259635E-3</v>
      </c>
      <c r="AP130" s="198">
        <v>3.2167850328890164E-3</v>
      </c>
      <c r="AQ130" s="198">
        <v>3.0553757498562187E-3</v>
      </c>
      <c r="AS130" s="258">
        <f t="shared" si="8"/>
        <v>67722.191072072514</v>
      </c>
      <c r="AT130" s="3">
        <f t="shared" si="9"/>
        <v>13.148206481010671</v>
      </c>
      <c r="AU130" s="3">
        <f t="shared" si="10"/>
        <v>5.0751319840907794</v>
      </c>
      <c r="AV130" s="3">
        <f t="shared" si="11"/>
        <v>0</v>
      </c>
      <c r="AW130" s="3">
        <f t="shared" si="12"/>
        <v>0</v>
      </c>
      <c r="AX130" s="3">
        <f t="shared" si="13"/>
        <v>5.0751319840907794</v>
      </c>
      <c r="AY130" s="102">
        <f t="shared" si="14"/>
        <v>1</v>
      </c>
      <c r="AZ130" s="102">
        <f t="shared" si="15"/>
        <v>0</v>
      </c>
    </row>
    <row r="131" spans="1:52" x14ac:dyDescent="0.35">
      <c r="A131" t="s">
        <v>1021</v>
      </c>
      <c r="B131">
        <v>2025</v>
      </c>
      <c r="C131" t="s">
        <v>837</v>
      </c>
      <c r="D131" t="s">
        <v>1066</v>
      </c>
      <c r="E131" t="s">
        <v>1019</v>
      </c>
      <c r="F131" t="s">
        <v>983</v>
      </c>
      <c r="G131" t="s">
        <v>978</v>
      </c>
      <c r="H131" s="198">
        <v>16121.118364743999</v>
      </c>
      <c r="I131" s="198">
        <v>10873</v>
      </c>
      <c r="J131" s="198">
        <v>0</v>
      </c>
      <c r="K131" s="198">
        <v>0</v>
      </c>
      <c r="L131" s="198">
        <v>0</v>
      </c>
      <c r="M131" s="198">
        <v>6672.96</v>
      </c>
      <c r="N131" s="198">
        <v>50</v>
      </c>
      <c r="O131" s="198">
        <v>0</v>
      </c>
      <c r="P131" s="198">
        <v>7529.6370473999996</v>
      </c>
      <c r="Q131" s="198">
        <v>0</v>
      </c>
      <c r="R131" s="198">
        <v>3049.8975912999999</v>
      </c>
      <c r="S131" s="198">
        <v>1500</v>
      </c>
      <c r="T131" s="198">
        <v>0</v>
      </c>
      <c r="U131" s="198">
        <v>2000</v>
      </c>
      <c r="V131" s="198">
        <v>4720</v>
      </c>
      <c r="W131" s="198">
        <v>93.32</v>
      </c>
      <c r="X131" s="198">
        <v>1500</v>
      </c>
      <c r="Y131" s="198">
        <v>186</v>
      </c>
      <c r="Z131" s="277">
        <v>54295.933003443999</v>
      </c>
      <c r="AA131" s="272">
        <v>123.21454350000002</v>
      </c>
      <c r="AB131" s="198">
        <v>1.0901325743255299</v>
      </c>
      <c r="AC131" s="272">
        <v>439.20000000000005</v>
      </c>
      <c r="AD131" s="198">
        <v>1.5811200000000001</v>
      </c>
      <c r="AE131" s="198">
        <v>2.6712525743255302</v>
      </c>
      <c r="AF131" s="198">
        <v>81.602457179442865</v>
      </c>
      <c r="AG131" s="198">
        <v>3.587387868308662E-2</v>
      </c>
      <c r="AH131" s="198">
        <v>1.895513799176637E-4</v>
      </c>
      <c r="AI131" s="198">
        <v>82.728904647655668</v>
      </c>
      <c r="AJ131" s="198">
        <v>3.4810119250078722E-2</v>
      </c>
      <c r="AK131" s="198">
        <v>0.81232036378781902</v>
      </c>
      <c r="AL131" s="198">
        <v>3.8032046517416332E-2</v>
      </c>
      <c r="AM131" s="198">
        <v>3.0211989550753732E-2</v>
      </c>
      <c r="AN131" s="198">
        <v>8.784664087147542E-3</v>
      </c>
      <c r="AO131" s="198">
        <v>5.6280906691597238E-4</v>
      </c>
      <c r="AP131" s="198">
        <v>1.3211638015086912E-3</v>
      </c>
      <c r="AQ131" s="198">
        <v>1.5114553625905948E-3</v>
      </c>
      <c r="AS131" s="258">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102">
        <f t="shared" si="14"/>
        <v>0.42857469760100292</v>
      </c>
      <c r="AZ131" s="102">
        <f t="shared" si="15"/>
        <v>0.57142530239899714</v>
      </c>
    </row>
    <row r="132" spans="1:52" x14ac:dyDescent="0.35">
      <c r="A132" t="s">
        <v>246</v>
      </c>
      <c r="B132">
        <v>2025</v>
      </c>
      <c r="C132" t="s">
        <v>837</v>
      </c>
      <c r="D132" t="s">
        <v>1066</v>
      </c>
      <c r="E132" t="s">
        <v>1019</v>
      </c>
      <c r="F132" t="s">
        <v>977</v>
      </c>
      <c r="G132" t="s">
        <v>978</v>
      </c>
      <c r="H132" s="198">
        <v>16121.118364743999</v>
      </c>
      <c r="I132" s="198">
        <v>0</v>
      </c>
      <c r="J132" s="198">
        <v>0</v>
      </c>
      <c r="K132" s="198">
        <v>0</v>
      </c>
      <c r="L132" s="198">
        <v>0</v>
      </c>
      <c r="M132" s="198">
        <v>14060.88</v>
      </c>
      <c r="N132" s="198">
        <v>50</v>
      </c>
      <c r="O132" s="198">
        <v>0</v>
      </c>
      <c r="P132" s="198">
        <v>7513.0584702999995</v>
      </c>
      <c r="Q132" s="198">
        <v>0</v>
      </c>
      <c r="R132" s="198">
        <v>0</v>
      </c>
      <c r="S132" s="198">
        <v>1500</v>
      </c>
      <c r="T132" s="198">
        <v>0</v>
      </c>
      <c r="U132" s="198">
        <v>2000</v>
      </c>
      <c r="V132" s="198">
        <v>4500</v>
      </c>
      <c r="W132" s="198">
        <v>93.32</v>
      </c>
      <c r="X132" s="198">
        <v>1500</v>
      </c>
      <c r="Y132" s="198">
        <v>186</v>
      </c>
      <c r="Z132" s="277">
        <v>47524.376835044</v>
      </c>
      <c r="AA132" s="272">
        <v>0</v>
      </c>
      <c r="AB132" s="198">
        <v>0</v>
      </c>
      <c r="AC132" s="272">
        <v>518</v>
      </c>
      <c r="AD132" s="198">
        <v>1.8648</v>
      </c>
      <c r="AE132" s="198">
        <v>1.8648</v>
      </c>
      <c r="AF132" s="198">
        <v>0</v>
      </c>
      <c r="AG132" s="198">
        <v>0</v>
      </c>
      <c r="AH132" s="198">
        <v>0</v>
      </c>
      <c r="AI132" s="198">
        <v>0</v>
      </c>
      <c r="AJ132" s="198">
        <v>0</v>
      </c>
      <c r="AK132" s="198">
        <v>0</v>
      </c>
      <c r="AL132" s="198">
        <v>0</v>
      </c>
      <c r="AM132" s="198">
        <v>2.7569918929701613E-2</v>
      </c>
      <c r="AN132" s="198">
        <v>7.0456459487015051E-3</v>
      </c>
      <c r="AO132" s="198">
        <v>0</v>
      </c>
      <c r="AP132" s="198">
        <v>1.0073622647292779E-3</v>
      </c>
      <c r="AQ132" s="198">
        <v>1.259435049178591E-3</v>
      </c>
      <c r="AS132" s="258">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102">
        <f t="shared" ref="AY132:AY195" si="22">AU132/AX132</f>
        <v>0</v>
      </c>
      <c r="AZ132" s="102">
        <f t="shared" ref="AZ132:AZ195" si="23">AW132/AX132</f>
        <v>1</v>
      </c>
    </row>
    <row r="133" spans="1:52" x14ac:dyDescent="0.35">
      <c r="A133" t="s">
        <v>627</v>
      </c>
      <c r="B133">
        <v>2025</v>
      </c>
      <c r="C133" t="s">
        <v>837</v>
      </c>
      <c r="D133" t="s">
        <v>1066</v>
      </c>
      <c r="E133" t="s">
        <v>1019</v>
      </c>
      <c r="F133" t="s">
        <v>989</v>
      </c>
      <c r="G133" t="s">
        <v>978</v>
      </c>
      <c r="H133" s="198">
        <v>16121.118364743999</v>
      </c>
      <c r="I133" s="198">
        <v>0</v>
      </c>
      <c r="J133" s="198">
        <v>31796.446799622641</v>
      </c>
      <c r="K133" s="198">
        <v>5290.3982999999998</v>
      </c>
      <c r="L133" s="198">
        <v>0</v>
      </c>
      <c r="M133" s="198">
        <v>2194.8994980000002</v>
      </c>
      <c r="N133" s="198">
        <v>50</v>
      </c>
      <c r="O133" s="198">
        <v>0</v>
      </c>
      <c r="P133" s="198">
        <v>7513.0584702999995</v>
      </c>
      <c r="Q133" s="198">
        <v>0</v>
      </c>
      <c r="R133" s="198">
        <v>0</v>
      </c>
      <c r="S133" s="198">
        <v>1500</v>
      </c>
      <c r="T133" s="198">
        <v>0</v>
      </c>
      <c r="U133" s="198">
        <v>2000</v>
      </c>
      <c r="V133" s="198">
        <v>4500</v>
      </c>
      <c r="W133" s="198">
        <v>93.32</v>
      </c>
      <c r="X133" s="198">
        <v>1500</v>
      </c>
      <c r="Y133" s="198">
        <v>186</v>
      </c>
      <c r="Z133" s="277">
        <v>72745.241432666648</v>
      </c>
      <c r="AA133" s="272">
        <v>35.517108360000002</v>
      </c>
      <c r="AB133" s="198">
        <v>3.7818446856240642</v>
      </c>
      <c r="AC133" s="272">
        <v>0</v>
      </c>
      <c r="AD133" s="198">
        <v>0</v>
      </c>
      <c r="AE133" s="198">
        <v>3.7818446856240642</v>
      </c>
      <c r="AF133" s="198">
        <v>0</v>
      </c>
      <c r="AG133" s="198">
        <v>0</v>
      </c>
      <c r="AH133" s="198">
        <v>0</v>
      </c>
      <c r="AI133" s="198">
        <v>0</v>
      </c>
      <c r="AJ133" s="198">
        <v>0</v>
      </c>
      <c r="AK133" s="198">
        <v>0</v>
      </c>
      <c r="AL133" s="198">
        <v>0</v>
      </c>
      <c r="AM133" s="198">
        <v>3.5354889970155429E-2</v>
      </c>
      <c r="AN133" s="198">
        <v>9.0351385479286242E-3</v>
      </c>
      <c r="AO133" s="198">
        <v>0</v>
      </c>
      <c r="AP133" s="198">
        <v>1.2918130851382926E-3</v>
      </c>
      <c r="AQ133" s="198">
        <v>1.6150641466085966E-3</v>
      </c>
      <c r="AS133" s="258">
        <f t="shared" si="16"/>
        <v>97587.7413819223</v>
      </c>
      <c r="AT133" s="3">
        <f t="shared" si="17"/>
        <v>6.6225864126464637</v>
      </c>
      <c r="AU133" s="3">
        <f t="shared" si="18"/>
        <v>2.5562802172881245</v>
      </c>
      <c r="AV133" s="3">
        <f t="shared" si="19"/>
        <v>0</v>
      </c>
      <c r="AW133" s="3">
        <f t="shared" si="20"/>
        <v>0</v>
      </c>
      <c r="AX133" s="3">
        <f t="shared" si="21"/>
        <v>2.5562802172881245</v>
      </c>
      <c r="AY133" s="102">
        <f t="shared" si="22"/>
        <v>1</v>
      </c>
      <c r="AZ133" s="102">
        <f t="shared" si="23"/>
        <v>0</v>
      </c>
    </row>
    <row r="134" spans="1:52" x14ac:dyDescent="0.35">
      <c r="A134" t="s">
        <v>1065</v>
      </c>
      <c r="B134">
        <v>2025</v>
      </c>
      <c r="C134" t="s">
        <v>837</v>
      </c>
      <c r="D134" t="s">
        <v>1066</v>
      </c>
      <c r="E134" t="s">
        <v>1019</v>
      </c>
      <c r="F134" t="s">
        <v>989</v>
      </c>
      <c r="G134" t="s">
        <v>978</v>
      </c>
      <c r="H134" s="198">
        <v>16121.118364743999</v>
      </c>
      <c r="I134" s="198">
        <v>0</v>
      </c>
      <c r="J134" s="198">
        <v>8122.6478500000003</v>
      </c>
      <c r="K134" s="198">
        <v>5508.6527759999999</v>
      </c>
      <c r="L134" s="198">
        <v>0</v>
      </c>
      <c r="M134" s="198">
        <v>1636.4639999999999</v>
      </c>
      <c r="N134" s="198">
        <v>50</v>
      </c>
      <c r="O134" s="198">
        <v>0</v>
      </c>
      <c r="P134" s="198">
        <v>8329.8789224000011</v>
      </c>
      <c r="Q134" s="198">
        <v>0</v>
      </c>
      <c r="R134" s="198">
        <v>0</v>
      </c>
      <c r="S134" s="198">
        <v>1500</v>
      </c>
      <c r="T134" s="198">
        <v>0</v>
      </c>
      <c r="U134" s="198">
        <v>2000</v>
      </c>
      <c r="V134" s="198">
        <v>4500</v>
      </c>
      <c r="W134" s="198">
        <v>93.32</v>
      </c>
      <c r="X134" s="198">
        <v>1500</v>
      </c>
      <c r="Y134" s="198">
        <v>186</v>
      </c>
      <c r="Z134" s="277">
        <v>49548.081913144</v>
      </c>
      <c r="AA134" s="272">
        <v>40.10889427</v>
      </c>
      <c r="AB134" s="198">
        <v>3.3488878201378554</v>
      </c>
      <c r="AC134" s="272">
        <v>0</v>
      </c>
      <c r="AD134" s="198">
        <v>0</v>
      </c>
      <c r="AE134" s="198">
        <v>3.3488878201378554</v>
      </c>
      <c r="AF134" s="198">
        <v>0</v>
      </c>
      <c r="AG134" s="198">
        <v>0</v>
      </c>
      <c r="AH134" s="198">
        <v>0</v>
      </c>
      <c r="AI134" s="198">
        <v>0</v>
      </c>
      <c r="AJ134" s="198">
        <v>0</v>
      </c>
      <c r="AK134" s="198">
        <v>0</v>
      </c>
      <c r="AL134" s="198">
        <v>0</v>
      </c>
      <c r="AM134" s="198">
        <v>3.1307356659420756E-2</v>
      </c>
      <c r="AN134" s="198">
        <v>8.0007689240742062E-3</v>
      </c>
      <c r="AO134" s="198">
        <v>0</v>
      </c>
      <c r="AP134" s="198">
        <v>1.1439224680905831E-3</v>
      </c>
      <c r="AQ134" s="198">
        <v>1.430166783389824E-3</v>
      </c>
      <c r="AS134" s="258">
        <f t="shared" si="16"/>
        <v>66468.751886482671</v>
      </c>
      <c r="AT134" s="3">
        <f t="shared" si="17"/>
        <v>5.8644129568378682</v>
      </c>
      <c r="AU134" s="3">
        <f t="shared" si="18"/>
        <v>2.2636296294973048</v>
      </c>
      <c r="AV134" s="3">
        <f t="shared" si="19"/>
        <v>0</v>
      </c>
      <c r="AW134" s="3">
        <f t="shared" si="20"/>
        <v>0</v>
      </c>
      <c r="AX134" s="3">
        <f t="shared" si="21"/>
        <v>2.2636296294973048</v>
      </c>
      <c r="AY134" s="102">
        <f t="shared" si="22"/>
        <v>1</v>
      </c>
      <c r="AZ134" s="102">
        <f t="shared" si="23"/>
        <v>0</v>
      </c>
    </row>
    <row r="135" spans="1:52" x14ac:dyDescent="0.35">
      <c r="A135" t="s">
        <v>1017</v>
      </c>
      <c r="B135">
        <v>2030</v>
      </c>
      <c r="C135" t="s">
        <v>837</v>
      </c>
      <c r="D135" t="s">
        <v>1066</v>
      </c>
      <c r="E135" t="s">
        <v>1019</v>
      </c>
      <c r="F135" t="s">
        <v>983</v>
      </c>
      <c r="G135" t="s">
        <v>978</v>
      </c>
      <c r="H135" s="198">
        <v>16256.562557576</v>
      </c>
      <c r="I135" s="198">
        <v>35490</v>
      </c>
      <c r="J135" s="198">
        <v>0</v>
      </c>
      <c r="K135" s="198">
        <v>0</v>
      </c>
      <c r="L135" s="198">
        <v>120</v>
      </c>
      <c r="M135" s="198">
        <v>0</v>
      </c>
      <c r="N135" s="198">
        <v>0</v>
      </c>
      <c r="O135" s="198">
        <v>150</v>
      </c>
      <c r="P135" s="198">
        <v>0</v>
      </c>
      <c r="Q135" s="198">
        <v>0</v>
      </c>
      <c r="R135" s="198">
        <v>73.2</v>
      </c>
      <c r="S135" s="198">
        <v>9877</v>
      </c>
      <c r="T135" s="198">
        <v>506</v>
      </c>
      <c r="U135" s="198">
        <v>2000</v>
      </c>
      <c r="V135" s="198">
        <v>1920</v>
      </c>
      <c r="W135" s="198">
        <v>0</v>
      </c>
      <c r="X135" s="198">
        <v>0</v>
      </c>
      <c r="Y135" s="198">
        <v>186</v>
      </c>
      <c r="Z135" s="277">
        <v>66578.762557576003</v>
      </c>
      <c r="AA135" s="272">
        <v>9.8533667640000004</v>
      </c>
      <c r="AB135" s="198">
        <v>13.63190782573411</v>
      </c>
      <c r="AC135" s="272">
        <v>0</v>
      </c>
      <c r="AD135" s="198">
        <v>0</v>
      </c>
      <c r="AE135" s="198">
        <v>13.63190782573411</v>
      </c>
      <c r="AF135" s="198">
        <v>1020.4237547087565</v>
      </c>
      <c r="AG135" s="198">
        <v>0.44859627083611309</v>
      </c>
      <c r="AH135" s="198">
        <v>2.3703052272123866E-3</v>
      </c>
      <c r="AI135" s="198">
        <v>1034.5097736195382</v>
      </c>
      <c r="AJ135" s="198">
        <v>0.43529415430364382</v>
      </c>
      <c r="AK135" s="198">
        <v>10.157917105608517</v>
      </c>
      <c r="AL135" s="198">
        <v>0.47558376362638138</v>
      </c>
      <c r="AM135" s="198">
        <v>8.5484233997850476E-2</v>
      </c>
      <c r="AN135" s="198">
        <v>3.5148873746620998E-2</v>
      </c>
      <c r="AO135" s="198">
        <v>7.0378241182571383E-3</v>
      </c>
      <c r="AP135" s="198">
        <v>5.8403128170161347E-3</v>
      </c>
      <c r="AQ135" s="198">
        <v>5.5472622417231977E-3</v>
      </c>
      <c r="AS135" s="258">
        <f t="shared" si="16"/>
        <v>89315.409970988199</v>
      </c>
      <c r="AT135" s="3">
        <f t="shared" si="17"/>
        <v>23.871548159640607</v>
      </c>
      <c r="AU135" s="3">
        <f t="shared" si="18"/>
        <v>9.2142801187164523</v>
      </c>
      <c r="AV135" s="3">
        <f t="shared" si="19"/>
        <v>0</v>
      </c>
      <c r="AW135" s="3">
        <f t="shared" si="20"/>
        <v>0</v>
      </c>
      <c r="AX135" s="3">
        <f t="shared" si="21"/>
        <v>9.2142801187164523</v>
      </c>
      <c r="AY135" s="102">
        <f t="shared" si="22"/>
        <v>1</v>
      </c>
      <c r="AZ135" s="102">
        <f t="shared" si="23"/>
        <v>0</v>
      </c>
    </row>
    <row r="136" spans="1:52" x14ac:dyDescent="0.35">
      <c r="A136" t="s">
        <v>1020</v>
      </c>
      <c r="B136">
        <v>2030</v>
      </c>
      <c r="C136" t="s">
        <v>837</v>
      </c>
      <c r="D136" t="s">
        <v>1066</v>
      </c>
      <c r="E136" t="s">
        <v>1019</v>
      </c>
      <c r="F136" t="s">
        <v>983</v>
      </c>
      <c r="G136" t="s">
        <v>978</v>
      </c>
      <c r="H136" s="198">
        <v>16256.562557576</v>
      </c>
      <c r="I136" s="198">
        <v>16584</v>
      </c>
      <c r="J136" s="198">
        <v>0</v>
      </c>
      <c r="K136" s="198">
        <v>0</v>
      </c>
      <c r="L136" s="198">
        <v>150</v>
      </c>
      <c r="M136" s="198">
        <v>676.26633157999993</v>
      </c>
      <c r="N136" s="198">
        <v>40</v>
      </c>
      <c r="O136" s="198">
        <v>150</v>
      </c>
      <c r="P136" s="198">
        <v>1116.5062593</v>
      </c>
      <c r="Q136" s="198">
        <v>0</v>
      </c>
      <c r="R136" s="198">
        <v>0</v>
      </c>
      <c r="S136" s="198">
        <v>6459</v>
      </c>
      <c r="T136" s="198">
        <v>392</v>
      </c>
      <c r="U136" s="198">
        <v>2000</v>
      </c>
      <c r="V136" s="198">
        <v>4720</v>
      </c>
      <c r="W136" s="198">
        <v>69.311999999999998</v>
      </c>
      <c r="X136" s="198">
        <v>1500</v>
      </c>
      <c r="Y136" s="198">
        <v>186</v>
      </c>
      <c r="Z136" s="277">
        <v>50299.647148455995</v>
      </c>
      <c r="AA136" s="272">
        <v>19.453145729999999</v>
      </c>
      <c r="AB136" s="198">
        <v>6.9048054933786798</v>
      </c>
      <c r="AC136" s="272">
        <v>0</v>
      </c>
      <c r="AD136" s="198">
        <v>0</v>
      </c>
      <c r="AE136" s="198">
        <v>6.9048054933786798</v>
      </c>
      <c r="AF136" s="198">
        <v>516.86290995792342</v>
      </c>
      <c r="AG136" s="198">
        <v>0.22722204659651724</v>
      </c>
      <c r="AH136" s="198">
        <v>1.2006020553442902E-3</v>
      </c>
      <c r="AI136" s="198">
        <v>523.99773085007996</v>
      </c>
      <c r="AJ136" s="198">
        <v>0.22048428630051764</v>
      </c>
      <c r="AK136" s="198">
        <v>5.1451669662616597</v>
      </c>
      <c r="AL136" s="198">
        <v>0.24089169510448216</v>
      </c>
      <c r="AM136" s="198">
        <v>4.3299295744309359E-2</v>
      </c>
      <c r="AN136" s="198">
        <v>1.7803534151953713E-2</v>
      </c>
      <c r="AO136" s="198">
        <v>3.5647839799384726E-3</v>
      </c>
      <c r="AP136" s="198">
        <v>2.9582230556060305E-3</v>
      </c>
      <c r="AQ136" s="198">
        <v>2.8097876899926717E-3</v>
      </c>
      <c r="AS136" s="258">
        <f t="shared" si="16"/>
        <v>67476.97664965372</v>
      </c>
      <c r="AT136" s="3">
        <f t="shared" si="17"/>
        <v>12.091366738629175</v>
      </c>
      <c r="AU136" s="3">
        <f t="shared" si="18"/>
        <v>4.6671979296351402</v>
      </c>
      <c r="AV136" s="3">
        <f t="shared" si="19"/>
        <v>0</v>
      </c>
      <c r="AW136" s="3">
        <f t="shared" si="20"/>
        <v>0</v>
      </c>
      <c r="AX136" s="3">
        <f t="shared" si="21"/>
        <v>4.6671979296351402</v>
      </c>
      <c r="AY136" s="102">
        <f t="shared" si="22"/>
        <v>1</v>
      </c>
      <c r="AZ136" s="102">
        <f t="shared" si="23"/>
        <v>0</v>
      </c>
    </row>
    <row r="137" spans="1:52" x14ac:dyDescent="0.35">
      <c r="A137" t="s">
        <v>1021</v>
      </c>
      <c r="B137">
        <v>2030</v>
      </c>
      <c r="C137" t="s">
        <v>837</v>
      </c>
      <c r="D137" t="s">
        <v>1066</v>
      </c>
      <c r="E137" t="s">
        <v>1019</v>
      </c>
      <c r="F137" t="s">
        <v>983</v>
      </c>
      <c r="G137" t="s">
        <v>978</v>
      </c>
      <c r="H137" s="198">
        <v>16256.562557576</v>
      </c>
      <c r="I137" s="198">
        <v>10808</v>
      </c>
      <c r="J137" s="198">
        <v>0</v>
      </c>
      <c r="K137" s="198">
        <v>0</v>
      </c>
      <c r="L137" s="198">
        <v>0</v>
      </c>
      <c r="M137" s="198">
        <v>4915.3500000000004</v>
      </c>
      <c r="N137" s="198">
        <v>40</v>
      </c>
      <c r="O137" s="198">
        <v>0</v>
      </c>
      <c r="P137" s="198">
        <v>5894.7255578100003</v>
      </c>
      <c r="Q137" s="198">
        <v>0</v>
      </c>
      <c r="R137" s="198">
        <v>2235.5847812400002</v>
      </c>
      <c r="S137" s="198">
        <v>1500</v>
      </c>
      <c r="T137" s="198">
        <v>0</v>
      </c>
      <c r="U137" s="198">
        <v>2000</v>
      </c>
      <c r="V137" s="198">
        <v>4720</v>
      </c>
      <c r="W137" s="198">
        <v>69.311999999999998</v>
      </c>
      <c r="X137" s="198">
        <v>1500</v>
      </c>
      <c r="Y137" s="198">
        <v>186</v>
      </c>
      <c r="Z137" s="277">
        <v>50125.534896625999</v>
      </c>
      <c r="AA137" s="272">
        <v>136.10362260000002</v>
      </c>
      <c r="AB137" s="198">
        <v>0.98689649058613671</v>
      </c>
      <c r="AC137" s="272">
        <v>415.20000000000005</v>
      </c>
      <c r="AD137" s="198">
        <v>1.49472</v>
      </c>
      <c r="AE137" s="198">
        <v>2.4816164905861369</v>
      </c>
      <c r="AF137" s="198">
        <v>73.874664889657026</v>
      </c>
      <c r="AG137" s="198">
        <v>3.2476604965185549E-2</v>
      </c>
      <c r="AH137" s="198">
        <v>1.7160077226592498E-4</v>
      </c>
      <c r="AI137" s="198">
        <v>74.894437236058721</v>
      </c>
      <c r="AJ137" s="198">
        <v>3.1513584066637568E-2</v>
      </c>
      <c r="AK137" s="198">
        <v>0.73539323118553102</v>
      </c>
      <c r="AL137" s="198">
        <v>3.4430393258424695E-2</v>
      </c>
      <c r="AM137" s="198">
        <v>2.8287236364986867E-2</v>
      </c>
      <c r="AN137" s="198">
        <v>8.1920382282196294E-3</v>
      </c>
      <c r="AO137" s="198">
        <v>5.0951077519455017E-4</v>
      </c>
      <c r="AP137" s="198">
        <v>1.2302612523240645E-3</v>
      </c>
      <c r="AQ137" s="198">
        <v>1.4110930728643935E-3</v>
      </c>
      <c r="AS137" s="258">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102">
        <f t="shared" si="22"/>
        <v>0.41800618290861002</v>
      </c>
      <c r="AZ137" s="102">
        <f t="shared" si="23"/>
        <v>0.58199381709138998</v>
      </c>
    </row>
    <row r="138" spans="1:52" x14ac:dyDescent="0.35">
      <c r="A138" t="s">
        <v>246</v>
      </c>
      <c r="B138">
        <v>2030</v>
      </c>
      <c r="C138" t="s">
        <v>837</v>
      </c>
      <c r="D138" t="s">
        <v>1066</v>
      </c>
      <c r="E138" t="s">
        <v>1019</v>
      </c>
      <c r="F138" t="s">
        <v>977</v>
      </c>
      <c r="G138" t="s">
        <v>978</v>
      </c>
      <c r="H138" s="198">
        <v>16256.562557576</v>
      </c>
      <c r="I138" s="198">
        <v>0</v>
      </c>
      <c r="J138" s="198">
        <v>0</v>
      </c>
      <c r="K138" s="198">
        <v>0</v>
      </c>
      <c r="L138" s="198">
        <v>0</v>
      </c>
      <c r="M138" s="198">
        <v>10364.4375</v>
      </c>
      <c r="N138" s="198">
        <v>40</v>
      </c>
      <c r="O138" s="198">
        <v>0</v>
      </c>
      <c r="P138" s="198">
        <v>5884.6264100099997</v>
      </c>
      <c r="Q138" s="198">
        <v>0</v>
      </c>
      <c r="R138" s="198">
        <v>0</v>
      </c>
      <c r="S138" s="198">
        <v>1500</v>
      </c>
      <c r="T138" s="198">
        <v>0</v>
      </c>
      <c r="U138" s="198">
        <v>2000</v>
      </c>
      <c r="V138" s="198">
        <v>4500</v>
      </c>
      <c r="W138" s="198">
        <v>69.311999999999998</v>
      </c>
      <c r="X138" s="198">
        <v>1500</v>
      </c>
      <c r="Y138" s="198">
        <v>186</v>
      </c>
      <c r="Z138" s="277">
        <v>42300.938467585998</v>
      </c>
      <c r="AA138" s="272">
        <v>0</v>
      </c>
      <c r="AB138" s="198">
        <v>0</v>
      </c>
      <c r="AC138" s="272">
        <v>485</v>
      </c>
      <c r="AD138" s="198">
        <v>1.746</v>
      </c>
      <c r="AE138" s="198">
        <v>1.746</v>
      </c>
      <c r="AF138" s="198">
        <v>0</v>
      </c>
      <c r="AG138" s="198">
        <v>0</v>
      </c>
      <c r="AH138" s="198">
        <v>0</v>
      </c>
      <c r="AI138" s="198">
        <v>0</v>
      </c>
      <c r="AJ138" s="198">
        <v>0</v>
      </c>
      <c r="AK138" s="198">
        <v>0</v>
      </c>
      <c r="AL138" s="198">
        <v>0</v>
      </c>
      <c r="AM138" s="198">
        <v>2.581353413302178E-2</v>
      </c>
      <c r="AN138" s="198">
        <v>6.5967920562166596E-3</v>
      </c>
      <c r="AO138" s="198">
        <v>0</v>
      </c>
      <c r="AP138" s="198">
        <v>9.4318667643571391E-4</v>
      </c>
      <c r="AQ138" s="198">
        <v>1.1792007699838159E-3</v>
      </c>
      <c r="AS138" s="258">
        <f t="shared" si="16"/>
        <v>56746.708954266614</v>
      </c>
      <c r="AT138" s="3">
        <f t="shared" si="17"/>
        <v>0</v>
      </c>
      <c r="AU138" s="3">
        <f t="shared" si="18"/>
        <v>0</v>
      </c>
      <c r="AV138" s="3">
        <f t="shared" si="19"/>
        <v>30.136577727515629</v>
      </c>
      <c r="AW138" s="3">
        <f t="shared" si="20"/>
        <v>1.0849167981905627</v>
      </c>
      <c r="AX138" s="3">
        <f t="shared" si="21"/>
        <v>1.0849167981905627</v>
      </c>
      <c r="AY138" s="102">
        <f t="shared" si="22"/>
        <v>0</v>
      </c>
      <c r="AZ138" s="102">
        <f t="shared" si="23"/>
        <v>1</v>
      </c>
    </row>
    <row r="139" spans="1:52" x14ac:dyDescent="0.35">
      <c r="A139" t="s">
        <v>627</v>
      </c>
      <c r="B139">
        <v>2030</v>
      </c>
      <c r="C139" t="s">
        <v>837</v>
      </c>
      <c r="D139" t="s">
        <v>1066</v>
      </c>
      <c r="E139" t="s">
        <v>1019</v>
      </c>
      <c r="F139" t="s">
        <v>989</v>
      </c>
      <c r="G139" t="s">
        <v>978</v>
      </c>
      <c r="H139" s="198">
        <v>16256.562557576</v>
      </c>
      <c r="I139" s="198">
        <v>0</v>
      </c>
      <c r="J139" s="198">
        <v>27236.494911999998</v>
      </c>
      <c r="K139" s="198">
        <v>4706.7678900000001</v>
      </c>
      <c r="L139" s="198">
        <v>0</v>
      </c>
      <c r="M139" s="198">
        <v>2096.4256289999998</v>
      </c>
      <c r="N139" s="198">
        <v>40</v>
      </c>
      <c r="O139" s="198">
        <v>0</v>
      </c>
      <c r="P139" s="198">
        <v>5884.6264100099997</v>
      </c>
      <c r="Q139" s="198">
        <v>0</v>
      </c>
      <c r="R139" s="198">
        <v>0</v>
      </c>
      <c r="S139" s="198">
        <v>1500</v>
      </c>
      <c r="T139" s="198">
        <v>0</v>
      </c>
      <c r="U139" s="198">
        <v>2000</v>
      </c>
      <c r="V139" s="198">
        <v>4500</v>
      </c>
      <c r="W139" s="198">
        <v>69.311999999999998</v>
      </c>
      <c r="X139" s="198">
        <v>1500</v>
      </c>
      <c r="Y139" s="198">
        <v>186</v>
      </c>
      <c r="Z139" s="277">
        <v>65976.189398585993</v>
      </c>
      <c r="AA139" s="272">
        <v>37.725574600000002</v>
      </c>
      <c r="AB139" s="198">
        <v>3.5604543847027315</v>
      </c>
      <c r="AC139" s="272">
        <v>0</v>
      </c>
      <c r="AD139" s="198">
        <v>0</v>
      </c>
      <c r="AE139" s="198">
        <v>3.5604543847027315</v>
      </c>
      <c r="AF139" s="198">
        <v>0</v>
      </c>
      <c r="AG139" s="198">
        <v>0</v>
      </c>
      <c r="AH139" s="198">
        <v>0</v>
      </c>
      <c r="AI139" s="198">
        <v>0</v>
      </c>
      <c r="AJ139" s="198">
        <v>0</v>
      </c>
      <c r="AK139" s="198">
        <v>0</v>
      </c>
      <c r="AL139" s="198">
        <v>0</v>
      </c>
      <c r="AM139" s="198">
        <v>3.328520430609657E-2</v>
      </c>
      <c r="AN139" s="198">
        <v>8.506218878224692E-3</v>
      </c>
      <c r="AO139" s="198">
        <v>0</v>
      </c>
      <c r="AP139" s="198">
        <v>1.2161899669441386E-3</v>
      </c>
      <c r="AQ139" s="198">
        <v>1.5205178161407894E-3</v>
      </c>
      <c r="AS139" s="258">
        <f t="shared" si="16"/>
        <v>88507.058078203103</v>
      </c>
      <c r="AT139" s="3">
        <f t="shared" si="17"/>
        <v>6.2348982549739116</v>
      </c>
      <c r="AU139" s="3">
        <f t="shared" si="18"/>
        <v>2.4066348210358779</v>
      </c>
      <c r="AV139" s="3">
        <f t="shared" si="19"/>
        <v>0</v>
      </c>
      <c r="AW139" s="3">
        <f t="shared" si="20"/>
        <v>0</v>
      </c>
      <c r="AX139" s="3">
        <f t="shared" si="21"/>
        <v>2.4066348210358779</v>
      </c>
      <c r="AY139" s="102">
        <f t="shared" si="22"/>
        <v>1</v>
      </c>
      <c r="AZ139" s="102">
        <f t="shared" si="23"/>
        <v>0</v>
      </c>
    </row>
    <row r="140" spans="1:52" x14ac:dyDescent="0.35">
      <c r="A140" t="s">
        <v>1065</v>
      </c>
      <c r="B140">
        <v>2030</v>
      </c>
      <c r="C140" t="s">
        <v>837</v>
      </c>
      <c r="D140" t="s">
        <v>1066</v>
      </c>
      <c r="E140" t="s">
        <v>1019</v>
      </c>
      <c r="F140" t="s">
        <v>989</v>
      </c>
      <c r="G140" t="s">
        <v>978</v>
      </c>
      <c r="H140" s="198">
        <v>16256.562557576</v>
      </c>
      <c r="I140" s="198">
        <v>0</v>
      </c>
      <c r="J140" s="198">
        <v>6517.3749520000001</v>
      </c>
      <c r="K140" s="198">
        <v>4901.9764200000009</v>
      </c>
      <c r="L140" s="198">
        <v>0</v>
      </c>
      <c r="M140" s="198">
        <v>1303.3125</v>
      </c>
      <c r="N140" s="198">
        <v>40</v>
      </c>
      <c r="O140" s="198">
        <v>0</v>
      </c>
      <c r="P140" s="198">
        <v>6704.5344914999996</v>
      </c>
      <c r="Q140" s="198">
        <v>0</v>
      </c>
      <c r="R140" s="198">
        <v>0</v>
      </c>
      <c r="S140" s="198">
        <v>1500</v>
      </c>
      <c r="T140" s="198">
        <v>0</v>
      </c>
      <c r="U140" s="198">
        <v>2000</v>
      </c>
      <c r="V140" s="198">
        <v>4500</v>
      </c>
      <c r="W140" s="198">
        <v>69.311999999999998</v>
      </c>
      <c r="X140" s="198">
        <v>1500</v>
      </c>
      <c r="Y140" s="198">
        <v>186</v>
      </c>
      <c r="Z140" s="277">
        <v>45479.072921076004</v>
      </c>
      <c r="AA140" s="272">
        <v>42.906865549999999</v>
      </c>
      <c r="AB140" s="198">
        <v>3.1305057076116349</v>
      </c>
      <c r="AC140" s="272">
        <v>0</v>
      </c>
      <c r="AD140" s="198">
        <v>0</v>
      </c>
      <c r="AE140" s="198">
        <v>3.1305057076116349</v>
      </c>
      <c r="AF140" s="198">
        <v>0</v>
      </c>
      <c r="AG140" s="198">
        <v>0</v>
      </c>
      <c r="AH140" s="198">
        <v>0</v>
      </c>
      <c r="AI140" s="198">
        <v>0</v>
      </c>
      <c r="AJ140" s="198">
        <v>0</v>
      </c>
      <c r="AK140" s="198">
        <v>0</v>
      </c>
      <c r="AL140" s="198">
        <v>0</v>
      </c>
      <c r="AM140" s="198">
        <v>2.9265793295075306E-2</v>
      </c>
      <c r="AN140" s="198">
        <v>7.4790360642970352E-3</v>
      </c>
      <c r="AO140" s="198">
        <v>0</v>
      </c>
      <c r="AP140" s="198">
        <v>1.0693268953020189E-3</v>
      </c>
      <c r="AQ140" s="198">
        <v>1.3369051215499114E-3</v>
      </c>
      <c r="AS140" s="258">
        <f t="shared" si="16"/>
        <v>61010.176323623455</v>
      </c>
      <c r="AT140" s="3">
        <f t="shared" si="17"/>
        <v>5.4819925955049902</v>
      </c>
      <c r="AU140" s="3">
        <f t="shared" si="18"/>
        <v>2.1160175722961116</v>
      </c>
      <c r="AV140" s="3">
        <f t="shared" si="19"/>
        <v>0</v>
      </c>
      <c r="AW140" s="3">
        <f t="shared" si="20"/>
        <v>0</v>
      </c>
      <c r="AX140" s="3">
        <f t="shared" si="21"/>
        <v>2.1160175722961116</v>
      </c>
      <c r="AY140" s="102">
        <f t="shared" si="22"/>
        <v>1</v>
      </c>
      <c r="AZ140" s="102">
        <f t="shared" si="23"/>
        <v>0</v>
      </c>
    </row>
    <row r="141" spans="1:52" x14ac:dyDescent="0.35">
      <c r="A141" t="s">
        <v>1017</v>
      </c>
      <c r="B141">
        <v>2035</v>
      </c>
      <c r="C141" t="s">
        <v>837</v>
      </c>
      <c r="D141" t="s">
        <v>1066</v>
      </c>
      <c r="E141" t="s">
        <v>1019</v>
      </c>
      <c r="F141" t="s">
        <v>983</v>
      </c>
      <c r="G141" t="s">
        <v>978</v>
      </c>
      <c r="H141" s="198">
        <v>16256.562557576</v>
      </c>
      <c r="I141" s="198">
        <v>35256</v>
      </c>
      <c r="J141" s="198">
        <v>0</v>
      </c>
      <c r="K141" s="198">
        <v>0</v>
      </c>
      <c r="L141" s="198">
        <v>120</v>
      </c>
      <c r="M141" s="198">
        <v>0</v>
      </c>
      <c r="N141" s="198">
        <v>0</v>
      </c>
      <c r="O141" s="198">
        <v>150</v>
      </c>
      <c r="P141" s="198">
        <v>0</v>
      </c>
      <c r="Q141" s="198">
        <v>0</v>
      </c>
      <c r="R141" s="198">
        <v>62.6</v>
      </c>
      <c r="S141" s="198">
        <v>9836</v>
      </c>
      <c r="T141" s="198">
        <v>506</v>
      </c>
      <c r="U141" s="198">
        <v>2000</v>
      </c>
      <c r="V141" s="198">
        <v>1920</v>
      </c>
      <c r="W141" s="198">
        <v>0</v>
      </c>
      <c r="X141" s="198">
        <v>0</v>
      </c>
      <c r="Y141" s="198">
        <v>186</v>
      </c>
      <c r="Z141" s="277">
        <v>66293.162557575997</v>
      </c>
      <c r="AA141" s="272">
        <v>10.238268659999999</v>
      </c>
      <c r="AB141" s="198">
        <v>13.119423992532742</v>
      </c>
      <c r="AC141" s="272">
        <v>0</v>
      </c>
      <c r="AD141" s="198">
        <v>0</v>
      </c>
      <c r="AE141" s="198">
        <v>13.119423992532742</v>
      </c>
      <c r="AF141" s="198">
        <v>982.06150314513764</v>
      </c>
      <c r="AG141" s="198">
        <v>0.43173154879009606</v>
      </c>
      <c r="AH141" s="198">
        <v>2.2811949482823991E-3</v>
      </c>
      <c r="AI141" s="198">
        <v>995.61796617436346</v>
      </c>
      <c r="AJ141" s="198">
        <v>0.41892951777444504</v>
      </c>
      <c r="AK141" s="198">
        <v>9.7760359806645365</v>
      </c>
      <c r="AL141" s="198">
        <v>0.45770446211500571</v>
      </c>
      <c r="AM141" s="198">
        <v>8.2270502766863221E-2</v>
      </c>
      <c r="AN141" s="198">
        <v>3.3827471799024622E-2</v>
      </c>
      <c r="AO141" s="198">
        <v>6.7732411172840351E-3</v>
      </c>
      <c r="AP141" s="198">
        <v>5.6207495733512055E-3</v>
      </c>
      <c r="AQ141" s="198">
        <v>5.3387160680141319E-3</v>
      </c>
      <c r="AS141" s="258">
        <f t="shared" si="16"/>
        <v>88932.277570988197</v>
      </c>
      <c r="AT141" s="3">
        <f t="shared" si="17"/>
        <v>22.974110863137689</v>
      </c>
      <c r="AU141" s="3">
        <f t="shared" si="18"/>
        <v>8.8678744904069227</v>
      </c>
      <c r="AV141" s="3">
        <f t="shared" si="19"/>
        <v>0</v>
      </c>
      <c r="AW141" s="3">
        <f t="shared" si="20"/>
        <v>0</v>
      </c>
      <c r="AX141" s="3">
        <f t="shared" si="21"/>
        <v>8.8678744904069227</v>
      </c>
      <c r="AY141" s="102">
        <f t="shared" si="22"/>
        <v>1</v>
      </c>
      <c r="AZ141" s="102">
        <f t="shared" si="23"/>
        <v>0</v>
      </c>
    </row>
    <row r="142" spans="1:52" x14ac:dyDescent="0.35">
      <c r="A142" t="s">
        <v>1020</v>
      </c>
      <c r="B142">
        <v>2035</v>
      </c>
      <c r="C142" t="s">
        <v>837</v>
      </c>
      <c r="D142" t="s">
        <v>1066</v>
      </c>
      <c r="E142" t="s">
        <v>1019</v>
      </c>
      <c r="F142" t="s">
        <v>983</v>
      </c>
      <c r="G142" t="s">
        <v>978</v>
      </c>
      <c r="H142" s="198">
        <v>16256.562557576</v>
      </c>
      <c r="I142" s="198">
        <v>16278</v>
      </c>
      <c r="J142" s="198">
        <v>0</v>
      </c>
      <c r="K142" s="198">
        <v>0</v>
      </c>
      <c r="L142" s="198">
        <v>150</v>
      </c>
      <c r="M142" s="198">
        <v>672.70703526</v>
      </c>
      <c r="N142" s="198">
        <v>35</v>
      </c>
      <c r="O142" s="198">
        <v>150</v>
      </c>
      <c r="P142" s="198">
        <v>951.14616688000001</v>
      </c>
      <c r="Q142" s="198">
        <v>0</v>
      </c>
      <c r="R142" s="198">
        <v>0</v>
      </c>
      <c r="S142" s="198">
        <v>6381</v>
      </c>
      <c r="T142" s="198">
        <v>392</v>
      </c>
      <c r="U142" s="198">
        <v>2000</v>
      </c>
      <c r="V142" s="198">
        <v>4720</v>
      </c>
      <c r="W142" s="198">
        <v>56</v>
      </c>
      <c r="X142" s="198">
        <v>1500</v>
      </c>
      <c r="Y142" s="198">
        <v>186</v>
      </c>
      <c r="Z142" s="277">
        <v>49728.415759715994</v>
      </c>
      <c r="AA142" s="272">
        <v>20.617650090000001</v>
      </c>
      <c r="AB142" s="198">
        <v>6.5148155543268311</v>
      </c>
      <c r="AC142" s="272">
        <v>0</v>
      </c>
      <c r="AD142" s="198">
        <v>0</v>
      </c>
      <c r="AE142" s="198">
        <v>6.5148155543268311</v>
      </c>
      <c r="AF142" s="198">
        <v>487.67000438716582</v>
      </c>
      <c r="AG142" s="198">
        <v>0.21438833068831559</v>
      </c>
      <c r="AH142" s="198">
        <v>1.1327909167339061E-3</v>
      </c>
      <c r="AI142" s="198">
        <v>494.40184385319162</v>
      </c>
      <c r="AJ142" s="198">
        <v>0.20803112546076835</v>
      </c>
      <c r="AK142" s="198">
        <v>4.8545630740147097</v>
      </c>
      <c r="AL142" s="198">
        <v>0.22728590453123837</v>
      </c>
      <c r="AM142" s="198">
        <v>4.0853710604437689E-2</v>
      </c>
      <c r="AN142" s="198">
        <v>1.6797973719370047E-2</v>
      </c>
      <c r="AO142" s="198">
        <v>3.3634416121625281E-3</v>
      </c>
      <c r="AP142" s="198">
        <v>2.7911398220140226E-3</v>
      </c>
      <c r="AQ142" s="198">
        <v>2.651088226116437E-3</v>
      </c>
      <c r="AS142" s="258">
        <f t="shared" si="16"/>
        <v>66710.669741659003</v>
      </c>
      <c r="AT142" s="3">
        <f t="shared" si="17"/>
        <v>11.408434919337024</v>
      </c>
      <c r="AU142" s="3">
        <f t="shared" si="18"/>
        <v>4.4035901802399184</v>
      </c>
      <c r="AV142" s="3">
        <f t="shared" si="19"/>
        <v>0</v>
      </c>
      <c r="AW142" s="3">
        <f t="shared" si="20"/>
        <v>0</v>
      </c>
      <c r="AX142" s="3">
        <f t="shared" si="21"/>
        <v>4.4035901802399184</v>
      </c>
      <c r="AY142" s="102">
        <f t="shared" si="22"/>
        <v>1</v>
      </c>
      <c r="AZ142" s="102">
        <f t="shared" si="23"/>
        <v>0</v>
      </c>
    </row>
    <row r="143" spans="1:52" x14ac:dyDescent="0.35">
      <c r="A143" t="s">
        <v>1021</v>
      </c>
      <c r="B143">
        <v>2035</v>
      </c>
      <c r="C143" t="s">
        <v>837</v>
      </c>
      <c r="D143" t="s">
        <v>1066</v>
      </c>
      <c r="E143" t="s">
        <v>1019</v>
      </c>
      <c r="F143" t="s">
        <v>983</v>
      </c>
      <c r="G143" t="s">
        <v>978</v>
      </c>
      <c r="H143" s="198">
        <v>16256.562557576</v>
      </c>
      <c r="I143" s="198">
        <v>10439</v>
      </c>
      <c r="J143" s="198">
        <v>0</v>
      </c>
      <c r="K143" s="198">
        <v>0</v>
      </c>
      <c r="L143" s="198">
        <v>0</v>
      </c>
      <c r="M143" s="198">
        <v>4043.9925000000003</v>
      </c>
      <c r="N143" s="198">
        <v>35</v>
      </c>
      <c r="O143" s="198">
        <v>0</v>
      </c>
      <c r="P143" s="198">
        <v>4974.5013194599996</v>
      </c>
      <c r="Q143" s="198">
        <v>0</v>
      </c>
      <c r="R143" s="198">
        <v>1749.3608624200001</v>
      </c>
      <c r="S143" s="198">
        <v>1500</v>
      </c>
      <c r="T143" s="198">
        <v>0</v>
      </c>
      <c r="U143" s="198">
        <v>2000</v>
      </c>
      <c r="V143" s="198">
        <v>4720</v>
      </c>
      <c r="W143" s="198">
        <v>56</v>
      </c>
      <c r="X143" s="198">
        <v>1500</v>
      </c>
      <c r="Y143" s="198">
        <v>186</v>
      </c>
      <c r="Z143" s="277">
        <v>47460.417239456001</v>
      </c>
      <c r="AA143" s="272">
        <v>147.54969610000003</v>
      </c>
      <c r="AB143" s="198">
        <v>0.91033862522472508</v>
      </c>
      <c r="AC143" s="272">
        <v>394.40000000000003</v>
      </c>
      <c r="AD143" s="198">
        <v>1.41984</v>
      </c>
      <c r="AE143" s="198">
        <v>2.330178625224725</v>
      </c>
      <c r="AF143" s="198">
        <v>68.143884912029648</v>
      </c>
      <c r="AG143" s="198">
        <v>2.9957253063504611E-2</v>
      </c>
      <c r="AH143" s="198">
        <v>1.5828895188317504E-4</v>
      </c>
      <c r="AI143" s="198">
        <v>69.084549069538355</v>
      </c>
      <c r="AJ143" s="198">
        <v>2.9068937896504495E-2</v>
      </c>
      <c r="AK143" s="198">
        <v>0.67834557064784118</v>
      </c>
      <c r="AL143" s="198">
        <v>3.1759477476919172E-2</v>
      </c>
      <c r="AM143" s="198">
        <v>2.6700095530927365E-2</v>
      </c>
      <c r="AN143" s="198">
        <v>7.7117254231360392E-3</v>
      </c>
      <c r="AO143" s="198">
        <v>4.6998580200879512E-4</v>
      </c>
      <c r="AP143" s="198">
        <v>1.1570115289175078E-3</v>
      </c>
      <c r="AQ143" s="198">
        <v>1.3293673029749244E-3</v>
      </c>
      <c r="AS143" s="258">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102">
        <f t="shared" si="22"/>
        <v>0.41088273302670608</v>
      </c>
      <c r="AZ143" s="102">
        <f t="shared" si="23"/>
        <v>0.58911726697329392</v>
      </c>
    </row>
    <row r="144" spans="1:52" x14ac:dyDescent="0.35">
      <c r="A144" t="s">
        <v>246</v>
      </c>
      <c r="B144">
        <v>2035</v>
      </c>
      <c r="C144" t="s">
        <v>837</v>
      </c>
      <c r="D144" t="s">
        <v>1066</v>
      </c>
      <c r="E144" t="s">
        <v>1019</v>
      </c>
      <c r="F144" t="s">
        <v>977</v>
      </c>
      <c r="G144" t="s">
        <v>978</v>
      </c>
      <c r="H144" s="198">
        <v>16256.562557576</v>
      </c>
      <c r="I144" s="198">
        <v>0</v>
      </c>
      <c r="J144" s="198">
        <v>0</v>
      </c>
      <c r="K144" s="198">
        <v>0</v>
      </c>
      <c r="L144" s="198">
        <v>0</v>
      </c>
      <c r="M144" s="198">
        <v>8534.8350000000009</v>
      </c>
      <c r="N144" s="198">
        <v>35</v>
      </c>
      <c r="O144" s="198">
        <v>0</v>
      </c>
      <c r="P144" s="198">
        <v>4966.1602423000004</v>
      </c>
      <c r="Q144" s="198">
        <v>0</v>
      </c>
      <c r="R144" s="198">
        <v>0</v>
      </c>
      <c r="S144" s="198">
        <v>1500</v>
      </c>
      <c r="T144" s="198">
        <v>0</v>
      </c>
      <c r="U144" s="198">
        <v>2000</v>
      </c>
      <c r="V144" s="198">
        <v>4500</v>
      </c>
      <c r="W144" s="198">
        <v>56</v>
      </c>
      <c r="X144" s="198">
        <v>1500</v>
      </c>
      <c r="Y144" s="198">
        <v>186</v>
      </c>
      <c r="Z144" s="277">
        <v>39534.557799875998</v>
      </c>
      <c r="AA144" s="272">
        <v>0</v>
      </c>
      <c r="AB144" s="198">
        <v>0</v>
      </c>
      <c r="AC144" s="272">
        <v>464</v>
      </c>
      <c r="AD144" s="198">
        <v>1.6703999999999999</v>
      </c>
      <c r="AE144" s="198">
        <v>1.6703999999999999</v>
      </c>
      <c r="AF144" s="198">
        <v>0</v>
      </c>
      <c r="AG144" s="198">
        <v>0</v>
      </c>
      <c r="AH144" s="198">
        <v>0</v>
      </c>
      <c r="AI144" s="198">
        <v>0</v>
      </c>
      <c r="AJ144" s="198">
        <v>0</v>
      </c>
      <c r="AK144" s="198">
        <v>0</v>
      </c>
      <c r="AL144" s="198">
        <v>0</v>
      </c>
      <c r="AM144" s="198">
        <v>2.4695834716952792E-2</v>
      </c>
      <c r="AN144" s="198">
        <v>6.3111577609990307E-3</v>
      </c>
      <c r="AO144" s="198">
        <v>0</v>
      </c>
      <c r="AP144" s="198">
        <v>9.0234766570344578E-4</v>
      </c>
      <c r="AQ144" s="198">
        <v>1.1281425923144136E-3</v>
      </c>
      <c r="AS144" s="258">
        <f t="shared" si="16"/>
        <v>53035.609288533647</v>
      </c>
      <c r="AT144" s="3">
        <f t="shared" si="17"/>
        <v>0</v>
      </c>
      <c r="AU144" s="3">
        <f t="shared" si="18"/>
        <v>0</v>
      </c>
      <c r="AV144" s="3">
        <f t="shared" si="19"/>
        <v>28.831694980551031</v>
      </c>
      <c r="AW144" s="3">
        <f t="shared" si="20"/>
        <v>1.0379410192998371</v>
      </c>
      <c r="AX144" s="3">
        <f t="shared" si="21"/>
        <v>1.0379410192998371</v>
      </c>
      <c r="AY144" s="102">
        <f t="shared" si="22"/>
        <v>0</v>
      </c>
      <c r="AZ144" s="102">
        <f t="shared" si="23"/>
        <v>1</v>
      </c>
    </row>
    <row r="145" spans="1:52" x14ac:dyDescent="0.35">
      <c r="A145" t="s">
        <v>627</v>
      </c>
      <c r="B145">
        <v>2035</v>
      </c>
      <c r="C145" t="s">
        <v>837</v>
      </c>
      <c r="D145" t="s">
        <v>1066</v>
      </c>
      <c r="E145" t="s">
        <v>1019</v>
      </c>
      <c r="F145" t="s">
        <v>989</v>
      </c>
      <c r="G145" t="s">
        <v>978</v>
      </c>
      <c r="H145" s="198">
        <v>16256.562557576</v>
      </c>
      <c r="I145" s="198">
        <v>0</v>
      </c>
      <c r="J145" s="198">
        <v>23138.510935000002</v>
      </c>
      <c r="K145" s="198">
        <v>4504.5231660000009</v>
      </c>
      <c r="L145" s="198">
        <v>0</v>
      </c>
      <c r="M145" s="198">
        <v>1964.7316584</v>
      </c>
      <c r="N145" s="198">
        <v>35</v>
      </c>
      <c r="O145" s="198">
        <v>0</v>
      </c>
      <c r="P145" s="198">
        <v>4966.1602423000004</v>
      </c>
      <c r="Q145" s="198">
        <v>0</v>
      </c>
      <c r="R145" s="198">
        <v>0</v>
      </c>
      <c r="S145" s="198">
        <v>1500</v>
      </c>
      <c r="T145" s="198">
        <v>0</v>
      </c>
      <c r="U145" s="198">
        <v>2000</v>
      </c>
      <c r="V145" s="198">
        <v>4500</v>
      </c>
      <c r="W145" s="198">
        <v>56</v>
      </c>
      <c r="X145" s="198">
        <v>1500</v>
      </c>
      <c r="Y145" s="198">
        <v>186</v>
      </c>
      <c r="Z145" s="277">
        <v>60607.488559276004</v>
      </c>
      <c r="AA145" s="272">
        <v>39.301845640000003</v>
      </c>
      <c r="AB145" s="198">
        <v>3.417655972962597</v>
      </c>
      <c r="AC145" s="272">
        <v>0</v>
      </c>
      <c r="AD145" s="198">
        <v>0</v>
      </c>
      <c r="AE145" s="198">
        <v>3.417655972962597</v>
      </c>
      <c r="AF145" s="198">
        <v>0</v>
      </c>
      <c r="AG145" s="198">
        <v>0</v>
      </c>
      <c r="AH145" s="198">
        <v>0</v>
      </c>
      <c r="AI145" s="198">
        <v>0</v>
      </c>
      <c r="AJ145" s="198">
        <v>0</v>
      </c>
      <c r="AK145" s="198">
        <v>0</v>
      </c>
      <c r="AL145" s="198">
        <v>0</v>
      </c>
      <c r="AM145" s="198">
        <v>3.1950241462652268E-2</v>
      </c>
      <c r="AN145" s="198">
        <v>8.1650617071222613E-3</v>
      </c>
      <c r="AO145" s="198">
        <v>0</v>
      </c>
      <c r="AP145" s="198">
        <v>1.1674124860697672E-3</v>
      </c>
      <c r="AQ145" s="198">
        <v>1.4595347208088123E-3</v>
      </c>
      <c r="AS145" s="258">
        <f t="shared" si="16"/>
        <v>81304.945902268752</v>
      </c>
      <c r="AT145" s="3">
        <f t="shared" si="17"/>
        <v>5.9848364729730319</v>
      </c>
      <c r="AU145" s="3">
        <f t="shared" si="18"/>
        <v>2.3101124132333921</v>
      </c>
      <c r="AV145" s="3">
        <f t="shared" si="19"/>
        <v>0</v>
      </c>
      <c r="AW145" s="3">
        <f t="shared" si="20"/>
        <v>0</v>
      </c>
      <c r="AX145" s="3">
        <f t="shared" si="21"/>
        <v>2.3101124132333921</v>
      </c>
      <c r="AY145" s="102">
        <f t="shared" si="22"/>
        <v>1</v>
      </c>
      <c r="AZ145" s="102">
        <f t="shared" si="23"/>
        <v>0</v>
      </c>
    </row>
    <row r="146" spans="1:52" x14ac:dyDescent="0.35">
      <c r="A146" t="s">
        <v>1065</v>
      </c>
      <c r="B146">
        <v>2035</v>
      </c>
      <c r="C146" t="s">
        <v>837</v>
      </c>
      <c r="D146" t="s">
        <v>1066</v>
      </c>
      <c r="E146" t="s">
        <v>1019</v>
      </c>
      <c r="F146" t="s">
        <v>989</v>
      </c>
      <c r="G146" t="s">
        <v>978</v>
      </c>
      <c r="H146" s="198">
        <v>16256.562557576</v>
      </c>
      <c r="I146" s="198">
        <v>0</v>
      </c>
      <c r="J146" s="198">
        <v>5219.5049719999997</v>
      </c>
      <c r="K146" s="198">
        <v>4690.9792215000007</v>
      </c>
      <c r="L146" s="198">
        <v>0</v>
      </c>
      <c r="M146" s="198">
        <v>1206.4949999999999</v>
      </c>
      <c r="N146" s="198">
        <v>35</v>
      </c>
      <c r="O146" s="198">
        <v>0</v>
      </c>
      <c r="P146" s="198">
        <v>5739.5087023899996</v>
      </c>
      <c r="Q146" s="198">
        <v>0</v>
      </c>
      <c r="R146" s="198">
        <v>0</v>
      </c>
      <c r="S146" s="198">
        <v>1500</v>
      </c>
      <c r="T146" s="198">
        <v>0</v>
      </c>
      <c r="U146" s="198">
        <v>2000</v>
      </c>
      <c r="V146" s="198">
        <v>4500</v>
      </c>
      <c r="W146" s="198">
        <v>56</v>
      </c>
      <c r="X146" s="198">
        <v>1500</v>
      </c>
      <c r="Y146" s="198">
        <v>186</v>
      </c>
      <c r="Z146" s="277">
        <v>42890.050453465999</v>
      </c>
      <c r="AA146" s="272">
        <v>45.158630350000003</v>
      </c>
      <c r="AB146" s="198">
        <v>2.9744079140345319</v>
      </c>
      <c r="AC146" s="272">
        <v>0</v>
      </c>
      <c r="AD146" s="198">
        <v>0</v>
      </c>
      <c r="AE146" s="198">
        <v>2.9744079140345319</v>
      </c>
      <c r="AF146" s="198">
        <v>0</v>
      </c>
      <c r="AG146" s="198">
        <v>0</v>
      </c>
      <c r="AH146" s="198">
        <v>0</v>
      </c>
      <c r="AI146" s="198">
        <v>0</v>
      </c>
      <c r="AJ146" s="198">
        <v>0</v>
      </c>
      <c r="AK146" s="198">
        <v>0</v>
      </c>
      <c r="AL146" s="198">
        <v>0</v>
      </c>
      <c r="AM146" s="198">
        <v>2.7806500073045005E-2</v>
      </c>
      <c r="AN146" s="198">
        <v>7.106105574222624E-3</v>
      </c>
      <c r="AO146" s="198">
        <v>0</v>
      </c>
      <c r="AP146" s="198">
        <v>1.0160065743827999E-3</v>
      </c>
      <c r="AQ146" s="198">
        <v>1.2702424289413473E-3</v>
      </c>
      <c r="AS146" s="258">
        <f t="shared" si="16"/>
        <v>57537.002683324637</v>
      </c>
      <c r="AT146" s="3">
        <f t="shared" si="17"/>
        <v>5.2086415690290773</v>
      </c>
      <c r="AU146" s="3">
        <f t="shared" si="18"/>
        <v>2.010505650243811</v>
      </c>
      <c r="AV146" s="3">
        <f t="shared" si="19"/>
        <v>0</v>
      </c>
      <c r="AW146" s="3">
        <f t="shared" si="20"/>
        <v>0</v>
      </c>
      <c r="AX146" s="3">
        <f t="shared" si="21"/>
        <v>2.010505650243811</v>
      </c>
      <c r="AY146" s="102">
        <f t="shared" si="22"/>
        <v>1</v>
      </c>
      <c r="AZ146" s="102">
        <f t="shared" si="23"/>
        <v>0</v>
      </c>
    </row>
    <row r="147" spans="1:52" x14ac:dyDescent="0.35">
      <c r="A147" t="s">
        <v>1017</v>
      </c>
      <c r="B147">
        <v>2050</v>
      </c>
      <c r="C147" t="s">
        <v>837</v>
      </c>
      <c r="D147" t="s">
        <v>1066</v>
      </c>
      <c r="E147" t="s">
        <v>1019</v>
      </c>
      <c r="F147" t="s">
        <v>983</v>
      </c>
      <c r="G147" t="s">
        <v>978</v>
      </c>
      <c r="H147" s="198">
        <v>16332.09874204</v>
      </c>
      <c r="I147" s="198">
        <v>35374</v>
      </c>
      <c r="J147" s="198">
        <v>0</v>
      </c>
      <c r="K147" s="198">
        <v>0</v>
      </c>
      <c r="L147" s="198">
        <v>120</v>
      </c>
      <c r="M147" s="198">
        <v>0</v>
      </c>
      <c r="N147" s="198">
        <v>0</v>
      </c>
      <c r="O147" s="198">
        <v>150</v>
      </c>
      <c r="P147" s="198">
        <v>0</v>
      </c>
      <c r="Q147" s="198">
        <v>0</v>
      </c>
      <c r="R147" s="198">
        <v>44</v>
      </c>
      <c r="S147" s="198">
        <v>9787</v>
      </c>
      <c r="T147" s="198">
        <v>506</v>
      </c>
      <c r="U147" s="198">
        <v>2000</v>
      </c>
      <c r="V147" s="198">
        <v>1920</v>
      </c>
      <c r="W147" s="198">
        <v>0</v>
      </c>
      <c r="X147" s="198">
        <v>0</v>
      </c>
      <c r="Y147" s="198">
        <v>186</v>
      </c>
      <c r="Z147" s="277">
        <v>66419.098742039991</v>
      </c>
      <c r="AA147" s="272">
        <v>11.32886792</v>
      </c>
      <c r="AB147" s="198">
        <v>11.856452776086387</v>
      </c>
      <c r="AC147" s="272">
        <v>0</v>
      </c>
      <c r="AD147" s="198">
        <v>0</v>
      </c>
      <c r="AE147" s="198">
        <v>11.856452776086387</v>
      </c>
      <c r="AF147" s="198">
        <v>887.5211169240423</v>
      </c>
      <c r="AG147" s="198">
        <v>0.39016992842749115</v>
      </c>
      <c r="AH147" s="198">
        <v>2.0615905235436801E-3</v>
      </c>
      <c r="AI147" s="198">
        <v>899.77253617905399</v>
      </c>
      <c r="AJ147" s="198">
        <v>0.3786003140708355</v>
      </c>
      <c r="AK147" s="198">
        <v>8.8349236222598719</v>
      </c>
      <c r="AL147" s="198">
        <v>0.41364250012495679</v>
      </c>
      <c r="AM147" s="198">
        <v>7.4350545532745421E-2</v>
      </c>
      <c r="AN147" s="198">
        <v>3.0570993219504988E-2</v>
      </c>
      <c r="AO147" s="198">
        <v>6.1211996421362208E-3</v>
      </c>
      <c r="AP147" s="198">
        <v>5.0796553202775803E-3</v>
      </c>
      <c r="AQ147" s="198">
        <v>4.8247724123689408E-3</v>
      </c>
      <c r="AS147" s="258">
        <f t="shared" si="16"/>
        <v>89101.220962446649</v>
      </c>
      <c r="AT147" s="3">
        <f t="shared" si="17"/>
        <v>20.762455781321187</v>
      </c>
      <c r="AU147" s="3">
        <f t="shared" si="18"/>
        <v>8.014188365252533</v>
      </c>
      <c r="AV147" s="3">
        <f t="shared" si="19"/>
        <v>0</v>
      </c>
      <c r="AW147" s="3">
        <f t="shared" si="20"/>
        <v>0</v>
      </c>
      <c r="AX147" s="3">
        <f t="shared" si="21"/>
        <v>8.014188365252533</v>
      </c>
      <c r="AY147" s="102">
        <f t="shared" si="22"/>
        <v>1</v>
      </c>
      <c r="AZ147" s="102">
        <f t="shared" si="23"/>
        <v>0</v>
      </c>
    </row>
    <row r="148" spans="1:52" x14ac:dyDescent="0.35">
      <c r="A148" t="s">
        <v>1020</v>
      </c>
      <c r="B148">
        <v>2050</v>
      </c>
      <c r="C148" t="s">
        <v>837</v>
      </c>
      <c r="D148" t="s">
        <v>1066</v>
      </c>
      <c r="E148" t="s">
        <v>1019</v>
      </c>
      <c r="F148" t="s">
        <v>983</v>
      </c>
      <c r="G148" t="s">
        <v>978</v>
      </c>
      <c r="H148" s="198">
        <v>16332.09874204</v>
      </c>
      <c r="I148" s="198">
        <v>16382</v>
      </c>
      <c r="J148" s="198">
        <v>0</v>
      </c>
      <c r="K148" s="198">
        <v>0</v>
      </c>
      <c r="L148" s="198">
        <v>150</v>
      </c>
      <c r="M148" s="198">
        <v>605.08040194</v>
      </c>
      <c r="N148" s="198">
        <v>28.89</v>
      </c>
      <c r="O148" s="198">
        <v>150</v>
      </c>
      <c r="P148" s="198">
        <v>654.51752190000002</v>
      </c>
      <c r="Q148" s="198">
        <v>0</v>
      </c>
      <c r="R148" s="198">
        <v>0</v>
      </c>
      <c r="S148" s="198">
        <v>6312</v>
      </c>
      <c r="T148" s="198">
        <v>392</v>
      </c>
      <c r="U148" s="198">
        <v>2000</v>
      </c>
      <c r="V148" s="198">
        <v>4720</v>
      </c>
      <c r="W148" s="198">
        <v>40.445999999999998</v>
      </c>
      <c r="X148" s="198">
        <v>1500</v>
      </c>
      <c r="Y148" s="198">
        <v>186</v>
      </c>
      <c r="Z148" s="277">
        <v>49453.032665880004</v>
      </c>
      <c r="AA148" s="272">
        <v>23.477804070000001</v>
      </c>
      <c r="AB148" s="198">
        <v>5.7211563355550226</v>
      </c>
      <c r="AC148" s="272">
        <v>0</v>
      </c>
      <c r="AD148" s="198">
        <v>0</v>
      </c>
      <c r="AE148" s="198">
        <v>5.7211563355550226</v>
      </c>
      <c r="AF148" s="198">
        <v>428.26021888014463</v>
      </c>
      <c r="AG148" s="198">
        <v>0.18827074168997865</v>
      </c>
      <c r="AH148" s="198">
        <v>9.9479008670123902E-4</v>
      </c>
      <c r="AI148" s="198">
        <v>434.17196046205532</v>
      </c>
      <c r="AJ148" s="198">
        <v>0.18268799500118718</v>
      </c>
      <c r="AK148" s="198">
        <v>4.2631620274813056</v>
      </c>
      <c r="AL148" s="198">
        <v>0.19959708480582011</v>
      </c>
      <c r="AM148" s="198">
        <v>3.587675864442201E-2</v>
      </c>
      <c r="AN148" s="198">
        <v>1.4751581678353597E-2</v>
      </c>
      <c r="AO148" s="198">
        <v>2.9536945640637378E-3</v>
      </c>
      <c r="AP148" s="198">
        <v>2.451112720379304E-3</v>
      </c>
      <c r="AQ148" s="198">
        <v>2.3281227341713437E-3</v>
      </c>
      <c r="AS148" s="258">
        <f t="shared" si="16"/>
        <v>66341.243321278016</v>
      </c>
      <c r="AT148" s="3">
        <f t="shared" si="17"/>
        <v>10.018616670457124</v>
      </c>
      <c r="AU148" s="3">
        <f t="shared" si="18"/>
        <v>3.8671283398246139</v>
      </c>
      <c r="AV148" s="3">
        <f t="shared" si="19"/>
        <v>0</v>
      </c>
      <c r="AW148" s="3">
        <f t="shared" si="20"/>
        <v>0</v>
      </c>
      <c r="AX148" s="3">
        <f t="shared" si="21"/>
        <v>3.8671283398246139</v>
      </c>
      <c r="AY148" s="102">
        <f t="shared" si="22"/>
        <v>1</v>
      </c>
      <c r="AZ148" s="102">
        <f t="shared" si="23"/>
        <v>0</v>
      </c>
    </row>
    <row r="149" spans="1:52" x14ac:dyDescent="0.35">
      <c r="A149" t="s">
        <v>1021</v>
      </c>
      <c r="B149">
        <v>2050</v>
      </c>
      <c r="C149" t="s">
        <v>837</v>
      </c>
      <c r="D149" t="s">
        <v>1066</v>
      </c>
      <c r="E149" t="s">
        <v>1019</v>
      </c>
      <c r="F149" t="s">
        <v>983</v>
      </c>
      <c r="G149" t="s">
        <v>978</v>
      </c>
      <c r="H149" s="198">
        <v>16332.09874204</v>
      </c>
      <c r="I149" s="198">
        <v>10536</v>
      </c>
      <c r="J149" s="198">
        <v>0</v>
      </c>
      <c r="K149" s="198">
        <v>0</v>
      </c>
      <c r="L149" s="198">
        <v>0</v>
      </c>
      <c r="M149" s="198">
        <v>2884.665</v>
      </c>
      <c r="N149" s="198">
        <v>28.89</v>
      </c>
      <c r="O149" s="198">
        <v>0</v>
      </c>
      <c r="P149" s="198">
        <v>3361.4123840000002</v>
      </c>
      <c r="Q149" s="198">
        <v>0</v>
      </c>
      <c r="R149" s="198">
        <v>1145.9910649000001</v>
      </c>
      <c r="S149" s="198">
        <v>1500</v>
      </c>
      <c r="T149" s="198">
        <v>0</v>
      </c>
      <c r="U149" s="198">
        <v>2000</v>
      </c>
      <c r="V149" s="198">
        <v>4720</v>
      </c>
      <c r="W149" s="198">
        <v>40.445999999999998</v>
      </c>
      <c r="X149" s="198">
        <v>1500</v>
      </c>
      <c r="Y149" s="198">
        <v>186</v>
      </c>
      <c r="Z149" s="277">
        <v>44235.503190940006</v>
      </c>
      <c r="AA149" s="272">
        <v>177.34850335000004</v>
      </c>
      <c r="AB149" s="198">
        <v>0.75737987613527813</v>
      </c>
      <c r="AC149" s="272">
        <v>354.40000000000003</v>
      </c>
      <c r="AD149" s="198">
        <v>1.2758400000000001</v>
      </c>
      <c r="AE149" s="198">
        <v>2.033219876135278</v>
      </c>
      <c r="AF149" s="198">
        <v>56.694075900941897</v>
      </c>
      <c r="AG149" s="198">
        <v>2.4923715182346918E-2</v>
      </c>
      <c r="AH149" s="198">
        <v>1.3169260695850127E-4</v>
      </c>
      <c r="AI149" s="198">
        <v>57.476685891727428</v>
      </c>
      <c r="AJ149" s="198">
        <v>2.4184658294603031E-2</v>
      </c>
      <c r="AK149" s="198">
        <v>0.56436722559953889</v>
      </c>
      <c r="AL149" s="198">
        <v>2.6423122617314252E-2</v>
      </c>
      <c r="AM149" s="198">
        <v>2.3611956328566643E-2</v>
      </c>
      <c r="AN149" s="198">
        <v>6.7732671915570293E-3</v>
      </c>
      <c r="AO149" s="198">
        <v>3.9101690145564163E-4</v>
      </c>
      <c r="AP149" s="198">
        <v>1.0136908813576291E-3</v>
      </c>
      <c r="AQ149" s="198">
        <v>1.1698697909474653E-3</v>
      </c>
      <c r="AS149" s="258">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102">
        <f t="shared" si="22"/>
        <v>0.39237743126842028</v>
      </c>
      <c r="AZ149" s="102">
        <f t="shared" si="23"/>
        <v>0.60762256873157972</v>
      </c>
    </row>
    <row r="150" spans="1:52" x14ac:dyDescent="0.35">
      <c r="A150" t="s">
        <v>246</v>
      </c>
      <c r="B150">
        <v>2050</v>
      </c>
      <c r="C150" t="s">
        <v>837</v>
      </c>
      <c r="D150" t="s">
        <v>1066</v>
      </c>
      <c r="E150" t="s">
        <v>1019</v>
      </c>
      <c r="F150" t="s">
        <v>977</v>
      </c>
      <c r="G150" t="s">
        <v>978</v>
      </c>
      <c r="H150" s="198">
        <v>16332.09874204</v>
      </c>
      <c r="I150" s="198">
        <v>0</v>
      </c>
      <c r="J150" s="198">
        <v>0</v>
      </c>
      <c r="K150" s="198">
        <v>0</v>
      </c>
      <c r="L150" s="198">
        <v>0</v>
      </c>
      <c r="M150" s="198">
        <v>5943.1049999999996</v>
      </c>
      <c r="N150" s="198">
        <v>28.89</v>
      </c>
      <c r="O150" s="198">
        <v>0</v>
      </c>
      <c r="P150" s="198">
        <v>3420.6892389999998</v>
      </c>
      <c r="Q150" s="198">
        <v>0</v>
      </c>
      <c r="R150" s="198">
        <v>0</v>
      </c>
      <c r="S150" s="198">
        <v>1500</v>
      </c>
      <c r="T150" s="198">
        <v>0</v>
      </c>
      <c r="U150" s="198">
        <v>2000</v>
      </c>
      <c r="V150" s="198">
        <v>4500</v>
      </c>
      <c r="W150" s="198">
        <v>40.445999999999998</v>
      </c>
      <c r="X150" s="198">
        <v>1500</v>
      </c>
      <c r="Y150" s="198">
        <v>186</v>
      </c>
      <c r="Z150" s="277">
        <v>35451.228981040003</v>
      </c>
      <c r="AA150" s="272">
        <v>0</v>
      </c>
      <c r="AB150" s="198">
        <v>0</v>
      </c>
      <c r="AC150" s="272">
        <v>415</v>
      </c>
      <c r="AD150" s="198">
        <v>1.494</v>
      </c>
      <c r="AE150" s="198">
        <v>1.494</v>
      </c>
      <c r="AF150" s="198">
        <v>0</v>
      </c>
      <c r="AG150" s="198">
        <v>0</v>
      </c>
      <c r="AH150" s="198">
        <v>0</v>
      </c>
      <c r="AI150" s="198">
        <v>0</v>
      </c>
      <c r="AJ150" s="198">
        <v>0</v>
      </c>
      <c r="AK150" s="198">
        <v>0</v>
      </c>
      <c r="AL150" s="198">
        <v>0</v>
      </c>
      <c r="AM150" s="198">
        <v>2.2087869412791832E-2</v>
      </c>
      <c r="AN150" s="198">
        <v>5.6446777388245647E-3</v>
      </c>
      <c r="AO150" s="198">
        <v>0</v>
      </c>
      <c r="AP150" s="198">
        <v>8.0705664066148708E-4</v>
      </c>
      <c r="AQ150" s="198">
        <v>1.0090068444191416E-3</v>
      </c>
      <c r="AS150" s="258">
        <f t="shared" si="16"/>
        <v>47557.823678065164</v>
      </c>
      <c r="AT150" s="3">
        <f t="shared" si="17"/>
        <v>0</v>
      </c>
      <c r="AU150" s="3">
        <f t="shared" si="18"/>
        <v>0</v>
      </c>
      <c r="AV150" s="3">
        <f t="shared" si="19"/>
        <v>25.78696857096698</v>
      </c>
      <c r="AW150" s="3">
        <f t="shared" si="20"/>
        <v>0.92833086855481128</v>
      </c>
      <c r="AX150" s="3">
        <f t="shared" si="21"/>
        <v>0.92833086855481128</v>
      </c>
      <c r="AY150" s="102">
        <f t="shared" si="22"/>
        <v>0</v>
      </c>
      <c r="AZ150" s="102">
        <f t="shared" si="23"/>
        <v>1</v>
      </c>
    </row>
    <row r="151" spans="1:52" x14ac:dyDescent="0.35">
      <c r="A151" t="s">
        <v>627</v>
      </c>
      <c r="B151">
        <v>2050</v>
      </c>
      <c r="C151" t="s">
        <v>837</v>
      </c>
      <c r="D151" t="s">
        <v>1066</v>
      </c>
      <c r="E151" t="s">
        <v>1019</v>
      </c>
      <c r="F151" t="s">
        <v>989</v>
      </c>
      <c r="G151" t="s">
        <v>978</v>
      </c>
      <c r="H151" s="198">
        <v>16332.09874204</v>
      </c>
      <c r="I151" s="198">
        <v>0</v>
      </c>
      <c r="J151" s="198">
        <v>19155.859735999999</v>
      </c>
      <c r="K151" s="198">
        <v>4047.4863</v>
      </c>
      <c r="L151" s="198">
        <v>0</v>
      </c>
      <c r="M151" s="198">
        <v>1916.0879401</v>
      </c>
      <c r="N151" s="198">
        <v>28.89</v>
      </c>
      <c r="O151" s="198">
        <v>0</v>
      </c>
      <c r="P151" s="198">
        <v>3420.6892389999998</v>
      </c>
      <c r="Q151" s="198">
        <v>0</v>
      </c>
      <c r="R151" s="198">
        <v>0</v>
      </c>
      <c r="S151" s="198">
        <v>1500</v>
      </c>
      <c r="T151" s="198">
        <v>0</v>
      </c>
      <c r="U151" s="198">
        <v>2000</v>
      </c>
      <c r="V151" s="198">
        <v>4500</v>
      </c>
      <c r="W151" s="198">
        <v>40.445999999999998</v>
      </c>
      <c r="X151" s="198">
        <v>1500</v>
      </c>
      <c r="Y151" s="198">
        <v>186</v>
      </c>
      <c r="Z151" s="277">
        <v>54627.557957139994</v>
      </c>
      <c r="AA151" s="272">
        <v>43.221577799999999</v>
      </c>
      <c r="AB151" s="198">
        <v>3.1077113408849226</v>
      </c>
      <c r="AC151" s="272">
        <v>0</v>
      </c>
      <c r="AD151" s="198">
        <v>0</v>
      </c>
      <c r="AE151" s="198">
        <v>3.1077113408849226</v>
      </c>
      <c r="AF151" s="198">
        <v>0</v>
      </c>
      <c r="AG151" s="198">
        <v>0</v>
      </c>
      <c r="AH151" s="198">
        <v>0</v>
      </c>
      <c r="AI151" s="198">
        <v>0</v>
      </c>
      <c r="AJ151" s="198">
        <v>0</v>
      </c>
      <c r="AK151" s="198">
        <v>0</v>
      </c>
      <c r="AL151" s="198">
        <v>0</v>
      </c>
      <c r="AM151" s="198">
        <v>2.9052698259569028E-2</v>
      </c>
      <c r="AN151" s="198">
        <v>7.424578444112098E-3</v>
      </c>
      <c r="AO151" s="198">
        <v>0</v>
      </c>
      <c r="AP151" s="198">
        <v>1.061540731762056E-3</v>
      </c>
      <c r="AQ151" s="198">
        <v>1.3271706222498995E-3</v>
      </c>
      <c r="AS151" s="258">
        <f t="shared" si="16"/>
        <v>73282.868999503291</v>
      </c>
      <c r="AT151" s="3">
        <f t="shared" si="17"/>
        <v>5.4420761854146873</v>
      </c>
      <c r="AU151" s="3">
        <f t="shared" si="18"/>
        <v>2.1006100678709294</v>
      </c>
      <c r="AV151" s="3">
        <f t="shared" si="19"/>
        <v>0</v>
      </c>
      <c r="AW151" s="3">
        <f t="shared" si="20"/>
        <v>0</v>
      </c>
      <c r="AX151" s="3">
        <f t="shared" si="21"/>
        <v>2.1006100678709294</v>
      </c>
      <c r="AY151" s="102">
        <f t="shared" si="22"/>
        <v>1</v>
      </c>
      <c r="AZ151" s="102">
        <f t="shared" si="23"/>
        <v>0</v>
      </c>
    </row>
    <row r="152" spans="1:52" x14ac:dyDescent="0.35">
      <c r="A152" t="s">
        <v>1065</v>
      </c>
      <c r="B152">
        <v>2050</v>
      </c>
      <c r="C152" t="s">
        <v>837</v>
      </c>
      <c r="D152" t="s">
        <v>1066</v>
      </c>
      <c r="E152" t="s">
        <v>1019</v>
      </c>
      <c r="F152" t="s">
        <v>989</v>
      </c>
      <c r="G152" t="s">
        <v>978</v>
      </c>
      <c r="H152" s="198">
        <v>16332.09874204</v>
      </c>
      <c r="I152" s="198">
        <v>0</v>
      </c>
      <c r="J152" s="198">
        <v>3955.9788159999998</v>
      </c>
      <c r="K152" s="198">
        <v>4213.6093890000002</v>
      </c>
      <c r="L152" s="198">
        <v>0</v>
      </c>
      <c r="M152" s="198">
        <v>964.45124999999996</v>
      </c>
      <c r="N152" s="198">
        <v>28.89</v>
      </c>
      <c r="O152" s="198">
        <v>0</v>
      </c>
      <c r="P152" s="198">
        <v>4047.1929937999998</v>
      </c>
      <c r="Q152" s="198">
        <v>0</v>
      </c>
      <c r="R152" s="198">
        <v>0</v>
      </c>
      <c r="S152" s="198">
        <v>1500</v>
      </c>
      <c r="T152" s="198">
        <v>0</v>
      </c>
      <c r="U152" s="198">
        <v>2000</v>
      </c>
      <c r="V152" s="198">
        <v>4500</v>
      </c>
      <c r="W152" s="198">
        <v>40.445999999999998</v>
      </c>
      <c r="X152" s="198">
        <v>1500</v>
      </c>
      <c r="Y152" s="198">
        <v>186</v>
      </c>
      <c r="Z152" s="277">
        <v>39268.667190840002</v>
      </c>
      <c r="AA152" s="272">
        <v>50.666216560000009</v>
      </c>
      <c r="AB152" s="198">
        <v>2.6510798835933445</v>
      </c>
      <c r="AC152" s="272">
        <v>0</v>
      </c>
      <c r="AD152" s="198">
        <v>0</v>
      </c>
      <c r="AE152" s="198">
        <v>2.6510798835933445</v>
      </c>
      <c r="AF152" s="198">
        <v>0</v>
      </c>
      <c r="AG152" s="198">
        <v>0</v>
      </c>
      <c r="AH152" s="198">
        <v>0</v>
      </c>
      <c r="AI152" s="198">
        <v>0</v>
      </c>
      <c r="AJ152" s="198">
        <v>0</v>
      </c>
      <c r="AK152" s="198">
        <v>0</v>
      </c>
      <c r="AL152" s="198">
        <v>0</v>
      </c>
      <c r="AM152" s="198">
        <v>2.4783841055881026E-2</v>
      </c>
      <c r="AN152" s="198">
        <v>6.333648269836273E-3</v>
      </c>
      <c r="AO152" s="198">
        <v>0</v>
      </c>
      <c r="AP152" s="198">
        <v>9.0556328143011897E-4</v>
      </c>
      <c r="AQ152" s="198">
        <v>1.132162853240061E-3</v>
      </c>
      <c r="AS152" s="258">
        <f t="shared" si="16"/>
        <v>52678.917036511863</v>
      </c>
      <c r="AT152" s="3">
        <f t="shared" si="17"/>
        <v>4.6424449112532686</v>
      </c>
      <c r="AU152" s="3">
        <f t="shared" si="18"/>
        <v>1.7919570009422201</v>
      </c>
      <c r="AV152" s="3">
        <f t="shared" si="19"/>
        <v>0</v>
      </c>
      <c r="AW152" s="3">
        <f t="shared" si="20"/>
        <v>0</v>
      </c>
      <c r="AX152" s="3">
        <f t="shared" si="21"/>
        <v>1.7919570009422201</v>
      </c>
      <c r="AY152" s="102">
        <f t="shared" si="22"/>
        <v>1</v>
      </c>
      <c r="AZ152" s="102">
        <f t="shared" si="23"/>
        <v>0</v>
      </c>
    </row>
    <row r="153" spans="1:52" x14ac:dyDescent="0.35">
      <c r="A153" t="s">
        <v>1017</v>
      </c>
      <c r="B153">
        <v>2021</v>
      </c>
      <c r="C153" t="s">
        <v>837</v>
      </c>
      <c r="D153" t="s">
        <v>1018</v>
      </c>
      <c r="E153" t="s">
        <v>1023</v>
      </c>
      <c r="F153" t="s">
        <v>983</v>
      </c>
      <c r="G153" t="s">
        <v>978</v>
      </c>
      <c r="H153" s="198">
        <v>27000</v>
      </c>
      <c r="I153" s="198">
        <v>13811</v>
      </c>
      <c r="J153" s="198">
        <v>0</v>
      </c>
      <c r="K153" s="198">
        <v>0</v>
      </c>
      <c r="L153" s="198">
        <v>120</v>
      </c>
      <c r="M153" s="198">
        <v>0</v>
      </c>
      <c r="N153" s="198">
        <v>0</v>
      </c>
      <c r="O153" s="198">
        <v>150</v>
      </c>
      <c r="P153" s="198">
        <v>0</v>
      </c>
      <c r="Q153" s="198">
        <v>0</v>
      </c>
      <c r="R153" s="198">
        <v>104.8</v>
      </c>
      <c r="S153" s="198">
        <v>5789</v>
      </c>
      <c r="T153" s="198">
        <v>506</v>
      </c>
      <c r="U153" s="198">
        <v>2000</v>
      </c>
      <c r="V153" s="198">
        <v>1920</v>
      </c>
      <c r="W153" s="198">
        <v>0</v>
      </c>
      <c r="X153" s="198">
        <v>0</v>
      </c>
      <c r="Y153" s="198">
        <v>186</v>
      </c>
      <c r="Z153" s="277">
        <v>51586.8</v>
      </c>
      <c r="AA153" s="272">
        <v>11.76033144</v>
      </c>
      <c r="AB153" s="198">
        <v>11.421462752583784</v>
      </c>
      <c r="AC153" s="272">
        <v>0</v>
      </c>
      <c r="AD153" s="198">
        <v>0</v>
      </c>
      <c r="AE153" s="198">
        <v>11.421462752583784</v>
      </c>
      <c r="AF153" s="198">
        <v>854.95970595224583</v>
      </c>
      <c r="AG153" s="198">
        <v>0.37585535816419985</v>
      </c>
      <c r="AH153" s="198">
        <v>1.9859548062490665E-3</v>
      </c>
      <c r="AI153" s="198">
        <v>866.76164463745113</v>
      </c>
      <c r="AJ153" s="198">
        <v>0.36471021029140421</v>
      </c>
      <c r="AK153" s="198">
        <v>8.5107875837103162</v>
      </c>
      <c r="AL153" s="198">
        <v>0.39846676719293372</v>
      </c>
      <c r="AM153" s="198">
        <v>7.1622769682792103E-2</v>
      </c>
      <c r="AN153" s="198">
        <v>2.9449403372171248E-2</v>
      </c>
      <c r="AO153" s="198">
        <v>5.8966248197603955E-3</v>
      </c>
      <c r="AP153" s="198">
        <v>4.8932927185043693E-3</v>
      </c>
      <c r="AQ153" s="198">
        <v>4.6477609651269748E-3</v>
      </c>
      <c r="AS153" s="258">
        <f t="shared" si="16"/>
        <v>69203.692200000005</v>
      </c>
      <c r="AT153" s="3">
        <f t="shared" si="17"/>
        <v>20.000721955964547</v>
      </c>
      <c r="AU153" s="3">
        <f t="shared" si="18"/>
        <v>7.7201634953195395</v>
      </c>
      <c r="AV153" s="3">
        <f t="shared" si="19"/>
        <v>0</v>
      </c>
      <c r="AW153" s="3">
        <f t="shared" si="20"/>
        <v>0</v>
      </c>
      <c r="AX153" s="3">
        <f t="shared" si="21"/>
        <v>7.7201634953195395</v>
      </c>
      <c r="AY153" s="102">
        <f t="shared" si="22"/>
        <v>1</v>
      </c>
      <c r="AZ153" s="102">
        <f t="shared" si="23"/>
        <v>0</v>
      </c>
    </row>
    <row r="154" spans="1:52" x14ac:dyDescent="0.35">
      <c r="A154" t="s">
        <v>1020</v>
      </c>
      <c r="B154">
        <v>2021</v>
      </c>
      <c r="C154" t="s">
        <v>837</v>
      </c>
      <c r="D154" t="s">
        <v>1018</v>
      </c>
      <c r="E154" t="s">
        <v>1023</v>
      </c>
      <c r="F154" t="s">
        <v>983</v>
      </c>
      <c r="G154" t="s">
        <v>978</v>
      </c>
      <c r="H154" s="198">
        <v>27000</v>
      </c>
      <c r="I154" s="198">
        <v>14942</v>
      </c>
      <c r="J154" s="198">
        <v>0</v>
      </c>
      <c r="K154" s="198">
        <v>0</v>
      </c>
      <c r="L154" s="198">
        <v>150</v>
      </c>
      <c r="M154" s="198">
        <v>877.95979900000009</v>
      </c>
      <c r="N154" s="198">
        <v>75</v>
      </c>
      <c r="O154" s="198">
        <v>150</v>
      </c>
      <c r="P154" s="198">
        <v>1920.9895173</v>
      </c>
      <c r="Q154" s="198">
        <v>0</v>
      </c>
      <c r="R154" s="198">
        <v>0</v>
      </c>
      <c r="S154" s="198">
        <v>6143</v>
      </c>
      <c r="T154" s="198">
        <v>392</v>
      </c>
      <c r="U154" s="198">
        <v>2000</v>
      </c>
      <c r="V154" s="198">
        <v>4720</v>
      </c>
      <c r="W154" s="198">
        <v>225</v>
      </c>
      <c r="X154" s="198">
        <v>1500</v>
      </c>
      <c r="Y154" s="198">
        <v>186</v>
      </c>
      <c r="Z154" s="277">
        <v>60281.949316299993</v>
      </c>
      <c r="AA154" s="272">
        <v>15.42388974</v>
      </c>
      <c r="AB154" s="198">
        <v>8.7085806346019705</v>
      </c>
      <c r="AC154" s="272">
        <v>0</v>
      </c>
      <c r="AD154" s="198">
        <v>0</v>
      </c>
      <c r="AE154" s="198">
        <v>8.7085806346019705</v>
      </c>
      <c r="AF154" s="198">
        <v>651.88546335156525</v>
      </c>
      <c r="AG154" s="198">
        <v>0.28658034127718685</v>
      </c>
      <c r="AH154" s="198">
        <v>1.5142410338800829E-3</v>
      </c>
      <c r="AI154" s="198">
        <v>660.88414740028634</v>
      </c>
      <c r="AJ154" s="198">
        <v>0.2780824438504455</v>
      </c>
      <c r="AK154" s="198">
        <v>6.4892633756515732</v>
      </c>
      <c r="AL154" s="198">
        <v>0.30382097700435323</v>
      </c>
      <c r="AM154" s="198">
        <v>5.4610576470602988E-2</v>
      </c>
      <c r="AN154" s="198">
        <v>2.2454435956502601E-2</v>
      </c>
      <c r="AO154" s="198">
        <v>4.49602943399364E-3</v>
      </c>
      <c r="AP154" s="198">
        <v>3.7310137178502684E-3</v>
      </c>
      <c r="AQ154" s="198">
        <v>3.5438018765159762E-3</v>
      </c>
      <c r="AS154" s="258">
        <f t="shared" si="16"/>
        <v>80868.235007816431</v>
      </c>
      <c r="AT154" s="3">
        <f t="shared" si="17"/>
        <v>15.250051913391605</v>
      </c>
      <c r="AU154" s="3">
        <f t="shared" si="18"/>
        <v>5.8864322169322421</v>
      </c>
      <c r="AV154" s="3">
        <f t="shared" si="19"/>
        <v>0</v>
      </c>
      <c r="AW154" s="3">
        <f t="shared" si="20"/>
        <v>0</v>
      </c>
      <c r="AX154" s="3">
        <f t="shared" si="21"/>
        <v>5.8864322169322421</v>
      </c>
      <c r="AY154" s="102">
        <f t="shared" si="22"/>
        <v>1</v>
      </c>
      <c r="AZ154" s="102">
        <f t="shared" si="23"/>
        <v>0</v>
      </c>
    </row>
    <row r="155" spans="1:52" x14ac:dyDescent="0.35">
      <c r="A155" t="s">
        <v>1021</v>
      </c>
      <c r="B155">
        <v>2021</v>
      </c>
      <c r="C155" t="s">
        <v>837</v>
      </c>
      <c r="D155" t="s">
        <v>1018</v>
      </c>
      <c r="E155" t="s">
        <v>1023</v>
      </c>
      <c r="F155" t="s">
        <v>983</v>
      </c>
      <c r="G155" t="s">
        <v>978</v>
      </c>
      <c r="H155" s="198">
        <v>27000</v>
      </c>
      <c r="I155" s="198">
        <v>9885</v>
      </c>
      <c r="J155" s="198">
        <v>0</v>
      </c>
      <c r="K155" s="198">
        <v>0</v>
      </c>
      <c r="L155" s="198">
        <v>0</v>
      </c>
      <c r="M155" s="198">
        <v>11608.17</v>
      </c>
      <c r="N155" s="198">
        <v>75</v>
      </c>
      <c r="O155" s="198">
        <v>0</v>
      </c>
      <c r="P155" s="198">
        <v>6847.7958306</v>
      </c>
      <c r="Q155" s="198">
        <v>0</v>
      </c>
      <c r="R155" s="198">
        <v>2947.1161699999998</v>
      </c>
      <c r="S155" s="198">
        <v>1500</v>
      </c>
      <c r="T155" s="198">
        <v>0</v>
      </c>
      <c r="U155" s="198">
        <v>2000</v>
      </c>
      <c r="V155" s="198">
        <v>4720</v>
      </c>
      <c r="W155" s="198">
        <v>225</v>
      </c>
      <c r="X155" s="198">
        <v>1500</v>
      </c>
      <c r="Y155" s="198">
        <v>186</v>
      </c>
      <c r="Z155" s="277">
        <v>68494.082000599999</v>
      </c>
      <c r="AA155" s="272">
        <v>94.669800700000025</v>
      </c>
      <c r="AB155" s="198">
        <v>1.4188282483624155</v>
      </c>
      <c r="AC155" s="272">
        <v>550.4</v>
      </c>
      <c r="AD155" s="198">
        <v>1.9814399999999999</v>
      </c>
      <c r="AE155" s="198">
        <v>3.4002682483624156</v>
      </c>
      <c r="AF155" s="198">
        <v>106.20714774403606</v>
      </c>
      <c r="AG155" s="198">
        <v>4.6690534392462277E-2</v>
      </c>
      <c r="AH155" s="198">
        <v>2.4670472076265815E-4</v>
      </c>
      <c r="AI155" s="198">
        <v>107.67324051645458</v>
      </c>
      <c r="AJ155" s="198">
        <v>4.5306031288381191E-2</v>
      </c>
      <c r="AK155" s="198">
        <v>1.0572503803725661</v>
      </c>
      <c r="AL155" s="198">
        <v>4.9499430814944324E-2</v>
      </c>
      <c r="AM155" s="198">
        <v>3.8191689446326213E-2</v>
      </c>
      <c r="AN155" s="198">
        <v>1.1144683357732048E-2</v>
      </c>
      <c r="AO155" s="198">
        <v>7.3250668898590474E-4</v>
      </c>
      <c r="AP155" s="198">
        <v>1.6782390430593874E-3</v>
      </c>
      <c r="AQ155" s="198">
        <v>1.9155774238253616E-3</v>
      </c>
      <c r="AS155" s="258">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102">
        <f t="shared" si="22"/>
        <v>0.43786606027487912</v>
      </c>
      <c r="AZ155" s="102">
        <f t="shared" si="23"/>
        <v>0.56213393972512093</v>
      </c>
    </row>
    <row r="156" spans="1:52" x14ac:dyDescent="0.35">
      <c r="A156" t="s">
        <v>246</v>
      </c>
      <c r="B156">
        <v>2021</v>
      </c>
      <c r="C156" t="s">
        <v>837</v>
      </c>
      <c r="D156" t="s">
        <v>1018</v>
      </c>
      <c r="E156" t="s">
        <v>1023</v>
      </c>
      <c r="F156" t="s">
        <v>977</v>
      </c>
      <c r="G156" t="s">
        <v>978</v>
      </c>
      <c r="H156" s="198">
        <v>27000</v>
      </c>
      <c r="I156" s="198">
        <v>0</v>
      </c>
      <c r="J156" s="198">
        <v>0</v>
      </c>
      <c r="K156" s="198">
        <v>0</v>
      </c>
      <c r="L156" s="198">
        <v>0</v>
      </c>
      <c r="M156" s="198">
        <v>24206.857500000002</v>
      </c>
      <c r="N156" s="198">
        <v>75</v>
      </c>
      <c r="O156" s="198">
        <v>0</v>
      </c>
      <c r="P156" s="198">
        <v>6966.7758989999993</v>
      </c>
      <c r="Q156" s="198">
        <v>0</v>
      </c>
      <c r="R156" s="198">
        <v>0</v>
      </c>
      <c r="S156" s="198">
        <v>1500</v>
      </c>
      <c r="T156" s="198">
        <v>0</v>
      </c>
      <c r="U156" s="198">
        <v>2000</v>
      </c>
      <c r="V156" s="198">
        <v>4500</v>
      </c>
      <c r="W156" s="198">
        <v>225</v>
      </c>
      <c r="X156" s="198">
        <v>1500</v>
      </c>
      <c r="Y156" s="198">
        <v>186</v>
      </c>
      <c r="Z156" s="277">
        <v>68159.633398999998</v>
      </c>
      <c r="AA156" s="272">
        <v>0</v>
      </c>
      <c r="AB156" s="198">
        <v>0</v>
      </c>
      <c r="AC156" s="272">
        <v>673</v>
      </c>
      <c r="AD156" s="198">
        <v>2.4228000000000001</v>
      </c>
      <c r="AE156" s="198">
        <v>2.4228000000000001</v>
      </c>
      <c r="AF156" s="198">
        <v>0</v>
      </c>
      <c r="AG156" s="198">
        <v>0</v>
      </c>
      <c r="AH156" s="198">
        <v>0</v>
      </c>
      <c r="AI156" s="198">
        <v>0</v>
      </c>
      <c r="AJ156" s="198">
        <v>0</v>
      </c>
      <c r="AK156" s="198">
        <v>0</v>
      </c>
      <c r="AL156" s="198">
        <v>0</v>
      </c>
      <c r="AM156" s="198">
        <v>3.5819605095925071E-2</v>
      </c>
      <c r="AN156" s="198">
        <v>9.1538990800697165E-3</v>
      </c>
      <c r="AO156" s="198">
        <v>0</v>
      </c>
      <c r="AP156" s="198">
        <v>1.3087930582293514E-3</v>
      </c>
      <c r="AQ156" s="198">
        <v>1.6362930272146561E-3</v>
      </c>
      <c r="AS156" s="258">
        <f t="shared" si="16"/>
        <v>91436.148204758487</v>
      </c>
      <c r="AT156" s="3">
        <f t="shared" si="17"/>
        <v>0</v>
      </c>
      <c r="AU156" s="3">
        <f t="shared" si="18"/>
        <v>0</v>
      </c>
      <c r="AV156" s="3">
        <f t="shared" si="19"/>
        <v>41.818385176531997</v>
      </c>
      <c r="AW156" s="3">
        <f t="shared" si="20"/>
        <v>1.505461866355152</v>
      </c>
      <c r="AX156" s="3">
        <f t="shared" si="21"/>
        <v>1.505461866355152</v>
      </c>
      <c r="AY156" s="102">
        <f t="shared" si="22"/>
        <v>0</v>
      </c>
      <c r="AZ156" s="102">
        <f t="shared" si="23"/>
        <v>1</v>
      </c>
    </row>
    <row r="157" spans="1:52" x14ac:dyDescent="0.35">
      <c r="A157" t="s">
        <v>627</v>
      </c>
      <c r="B157">
        <v>2021</v>
      </c>
      <c r="C157" t="s">
        <v>837</v>
      </c>
      <c r="D157" t="s">
        <v>1018</v>
      </c>
      <c r="E157" t="s">
        <v>1023</v>
      </c>
      <c r="F157" t="s">
        <v>989</v>
      </c>
      <c r="G157" t="s">
        <v>978</v>
      </c>
      <c r="H157" s="198">
        <v>27000</v>
      </c>
      <c r="I157" s="198">
        <v>0</v>
      </c>
      <c r="J157" s="198">
        <v>32186.504655000001</v>
      </c>
      <c r="K157" s="198">
        <v>6345.9719000000005</v>
      </c>
      <c r="L157" s="198">
        <v>0</v>
      </c>
      <c r="M157" s="198">
        <v>2230.4924620000002</v>
      </c>
      <c r="N157" s="198">
        <v>75</v>
      </c>
      <c r="O157" s="198">
        <v>0</v>
      </c>
      <c r="P157" s="198">
        <v>6966.7758989999993</v>
      </c>
      <c r="Q157" s="198">
        <v>0</v>
      </c>
      <c r="R157" s="198">
        <v>0</v>
      </c>
      <c r="S157" s="198">
        <v>1500</v>
      </c>
      <c r="T157" s="198">
        <v>0</v>
      </c>
      <c r="U157" s="198">
        <v>2000</v>
      </c>
      <c r="V157" s="198">
        <v>4500</v>
      </c>
      <c r="W157" s="198">
        <v>225</v>
      </c>
      <c r="X157" s="198">
        <v>1500</v>
      </c>
      <c r="Y157" s="198">
        <v>186</v>
      </c>
      <c r="Z157" s="277">
        <v>84715.744915999996</v>
      </c>
      <c r="AA157" s="272">
        <v>30.64399839</v>
      </c>
      <c r="AB157" s="198">
        <v>4.3832461348722846</v>
      </c>
      <c r="AC157" s="272">
        <v>0</v>
      </c>
      <c r="AD157" s="198">
        <v>0</v>
      </c>
      <c r="AE157" s="198">
        <v>4.3832461348722846</v>
      </c>
      <c r="AF157" s="198">
        <v>0</v>
      </c>
      <c r="AG157" s="198">
        <v>0</v>
      </c>
      <c r="AH157" s="198">
        <v>0</v>
      </c>
      <c r="AI157" s="198">
        <v>0</v>
      </c>
      <c r="AJ157" s="198">
        <v>0</v>
      </c>
      <c r="AK157" s="198">
        <v>0</v>
      </c>
      <c r="AL157" s="198">
        <v>0</v>
      </c>
      <c r="AM157" s="198">
        <v>4.0977141499121697E-2</v>
      </c>
      <c r="AN157" s="198">
        <v>1.0471936160886673E-2</v>
      </c>
      <c r="AO157" s="198">
        <v>0</v>
      </c>
      <c r="AP157" s="198">
        <v>1.497241474229259E-3</v>
      </c>
      <c r="AQ157" s="198">
        <v>1.871896988552493E-3</v>
      </c>
      <c r="AS157" s="258">
        <f t="shared" si="16"/>
        <v>113646.17180481399</v>
      </c>
      <c r="AT157" s="3">
        <f t="shared" si="17"/>
        <v>7.6757320062445071</v>
      </c>
      <c r="AU157" s="3">
        <f t="shared" si="18"/>
        <v>2.9627883515871267</v>
      </c>
      <c r="AV157" s="3">
        <f t="shared" si="19"/>
        <v>0</v>
      </c>
      <c r="AW157" s="3">
        <f t="shared" si="20"/>
        <v>0</v>
      </c>
      <c r="AX157" s="3">
        <f t="shared" si="21"/>
        <v>2.9627883515871267</v>
      </c>
      <c r="AY157" s="102">
        <f t="shared" si="22"/>
        <v>1</v>
      </c>
      <c r="AZ157" s="102">
        <f t="shared" si="23"/>
        <v>0</v>
      </c>
    </row>
    <row r="158" spans="1:52" x14ac:dyDescent="0.35">
      <c r="A158" t="s">
        <v>1065</v>
      </c>
      <c r="B158">
        <v>2021</v>
      </c>
      <c r="C158" t="s">
        <v>837</v>
      </c>
      <c r="D158" t="s">
        <v>1018</v>
      </c>
      <c r="E158" t="s">
        <v>1023</v>
      </c>
      <c r="F158" t="s">
        <v>989</v>
      </c>
      <c r="G158" t="s">
        <v>978</v>
      </c>
      <c r="H158" s="198">
        <v>27000</v>
      </c>
      <c r="I158" s="198">
        <v>0</v>
      </c>
      <c r="J158" s="198">
        <v>9613.3581539999996</v>
      </c>
      <c r="K158" s="198">
        <v>6505.5703999999996</v>
      </c>
      <c r="L158" s="198">
        <v>0</v>
      </c>
      <c r="M158" s="198">
        <v>2259.0750000000003</v>
      </c>
      <c r="N158" s="198">
        <v>75</v>
      </c>
      <c r="O158" s="198">
        <v>0</v>
      </c>
      <c r="P158" s="198">
        <v>6976.4039261999997</v>
      </c>
      <c r="Q158" s="198">
        <v>0</v>
      </c>
      <c r="R158" s="198">
        <v>0</v>
      </c>
      <c r="S158" s="198">
        <v>1500</v>
      </c>
      <c r="T158" s="198">
        <v>0</v>
      </c>
      <c r="U158" s="198">
        <v>2000</v>
      </c>
      <c r="V158" s="198">
        <v>4500</v>
      </c>
      <c r="W158" s="198">
        <v>225</v>
      </c>
      <c r="X158" s="198">
        <v>1500</v>
      </c>
      <c r="Y158" s="198">
        <v>186</v>
      </c>
      <c r="Z158" s="277">
        <v>62340.407480199996</v>
      </c>
      <c r="AA158" s="272">
        <v>31.945095779999999</v>
      </c>
      <c r="AB158" s="198">
        <v>4.2047201368572642</v>
      </c>
      <c r="AC158" s="272">
        <v>0</v>
      </c>
      <c r="AD158" s="198">
        <v>0</v>
      </c>
      <c r="AE158" s="198">
        <v>4.2047201368572642</v>
      </c>
      <c r="AF158" s="198">
        <v>0</v>
      </c>
      <c r="AG158" s="198">
        <v>0</v>
      </c>
      <c r="AH158" s="198">
        <v>0</v>
      </c>
      <c r="AI158" s="198">
        <v>0</v>
      </c>
      <c r="AJ158" s="198">
        <v>0</v>
      </c>
      <c r="AK158" s="198">
        <v>0</v>
      </c>
      <c r="AL158" s="198">
        <v>0</v>
      </c>
      <c r="AM158" s="198">
        <v>3.9308176340233453E-2</v>
      </c>
      <c r="AN158" s="198">
        <v>1.004542284250412E-2</v>
      </c>
      <c r="AO158" s="198">
        <v>0</v>
      </c>
      <c r="AP158" s="198">
        <v>1.4362600645088015E-3</v>
      </c>
      <c r="AQ158" s="198">
        <v>1.7956561688996897E-3</v>
      </c>
      <c r="AS158" s="258">
        <f t="shared" si="16"/>
        <v>83629.65663468829</v>
      </c>
      <c r="AT158" s="3">
        <f t="shared" si="17"/>
        <v>7.3631057756505545</v>
      </c>
      <c r="AU158" s="3">
        <f t="shared" si="18"/>
        <v>2.842116426922376</v>
      </c>
      <c r="AV158" s="3">
        <f t="shared" si="19"/>
        <v>0</v>
      </c>
      <c r="AW158" s="3">
        <f t="shared" si="20"/>
        <v>0</v>
      </c>
      <c r="AX158" s="3">
        <f t="shared" si="21"/>
        <v>2.842116426922376</v>
      </c>
      <c r="AY158" s="102">
        <f t="shared" si="22"/>
        <v>1</v>
      </c>
      <c r="AZ158" s="102">
        <f t="shared" si="23"/>
        <v>0</v>
      </c>
    </row>
    <row r="159" spans="1:52" x14ac:dyDescent="0.35">
      <c r="A159" t="s">
        <v>1017</v>
      </c>
      <c r="B159">
        <v>2025</v>
      </c>
      <c r="C159" t="s">
        <v>837</v>
      </c>
      <c r="D159" t="s">
        <v>1018</v>
      </c>
      <c r="E159" t="s">
        <v>1023</v>
      </c>
      <c r="F159" t="s">
        <v>983</v>
      </c>
      <c r="G159" t="s">
        <v>978</v>
      </c>
      <c r="H159" s="198">
        <v>27121.118364744001</v>
      </c>
      <c r="I159" s="198">
        <v>14193</v>
      </c>
      <c r="J159" s="198">
        <v>0</v>
      </c>
      <c r="K159" s="198">
        <v>0</v>
      </c>
      <c r="L159" s="198">
        <v>120</v>
      </c>
      <c r="M159" s="198">
        <v>0</v>
      </c>
      <c r="N159" s="198">
        <v>0</v>
      </c>
      <c r="O159" s="198">
        <v>150</v>
      </c>
      <c r="P159" s="198">
        <v>0</v>
      </c>
      <c r="Q159" s="198">
        <v>0</v>
      </c>
      <c r="R159" s="198">
        <v>92</v>
      </c>
      <c r="S159" s="198">
        <v>5789</v>
      </c>
      <c r="T159" s="198">
        <v>506</v>
      </c>
      <c r="U159" s="198">
        <v>2000</v>
      </c>
      <c r="V159" s="198">
        <v>1920</v>
      </c>
      <c r="W159" s="198">
        <v>0</v>
      </c>
      <c r="X159" s="198">
        <v>0</v>
      </c>
      <c r="Y159" s="198">
        <v>186</v>
      </c>
      <c r="Z159" s="277">
        <v>52077.118364744005</v>
      </c>
      <c r="AA159" s="272">
        <v>12.557089169999999</v>
      </c>
      <c r="AB159" s="198">
        <v>10.696761461318827</v>
      </c>
      <c r="AC159" s="272">
        <v>0</v>
      </c>
      <c r="AD159" s="198">
        <v>0</v>
      </c>
      <c r="AE159" s="198">
        <v>10.696761461318827</v>
      </c>
      <c r="AF159" s="198">
        <v>800.7118030080336</v>
      </c>
      <c r="AG159" s="198">
        <v>0.35200702373533438</v>
      </c>
      <c r="AH159" s="198">
        <v>1.8599443254849488E-3</v>
      </c>
      <c r="AI159" s="198">
        <v>811.76489888826075</v>
      </c>
      <c r="AJ159" s="198">
        <v>0.34156904474534466</v>
      </c>
      <c r="AK159" s="198">
        <v>7.9707710477196576</v>
      </c>
      <c r="AL159" s="198">
        <v>0.37318372009412271</v>
      </c>
      <c r="AM159" s="198">
        <v>6.7078245500777858E-2</v>
      </c>
      <c r="AN159" s="198">
        <v>2.7580814285719336E-2</v>
      </c>
      <c r="AO159" s="198">
        <v>5.5224790808515471E-3</v>
      </c>
      <c r="AP159" s="198">
        <v>4.5828092341682405E-3</v>
      </c>
      <c r="AQ159" s="198">
        <v>4.3528566743296854E-3</v>
      </c>
      <c r="AS159" s="258">
        <f t="shared" si="16"/>
        <v>69861.454286304084</v>
      </c>
      <c r="AT159" s="3">
        <f t="shared" si="17"/>
        <v>18.731659547610597</v>
      </c>
      <c r="AU159" s="3">
        <f t="shared" si="18"/>
        <v>7.2303127139413839</v>
      </c>
      <c r="AV159" s="3">
        <f t="shared" si="19"/>
        <v>0</v>
      </c>
      <c r="AW159" s="3">
        <f t="shared" si="20"/>
        <v>0</v>
      </c>
      <c r="AX159" s="3">
        <f t="shared" si="21"/>
        <v>7.2303127139413839</v>
      </c>
      <c r="AY159" s="102">
        <f t="shared" si="22"/>
        <v>1</v>
      </c>
      <c r="AZ159" s="102">
        <f t="shared" si="23"/>
        <v>0</v>
      </c>
    </row>
    <row r="160" spans="1:52" x14ac:dyDescent="0.35">
      <c r="A160" t="s">
        <v>1020</v>
      </c>
      <c r="B160">
        <v>2025</v>
      </c>
      <c r="C160" t="s">
        <v>837</v>
      </c>
      <c r="D160" t="s">
        <v>1018</v>
      </c>
      <c r="E160" t="s">
        <v>1023</v>
      </c>
      <c r="F160" t="s">
        <v>983</v>
      </c>
      <c r="G160" t="s">
        <v>978</v>
      </c>
      <c r="H160" s="198">
        <v>27121.118364744001</v>
      </c>
      <c r="I160" s="198">
        <v>15194</v>
      </c>
      <c r="J160" s="198">
        <v>0</v>
      </c>
      <c r="K160" s="198">
        <v>0</v>
      </c>
      <c r="L160" s="198">
        <v>150</v>
      </c>
      <c r="M160" s="198">
        <v>830.50251259999993</v>
      </c>
      <c r="N160" s="198">
        <v>50</v>
      </c>
      <c r="O160" s="198">
        <v>150</v>
      </c>
      <c r="P160" s="198">
        <v>1628.3047800000002</v>
      </c>
      <c r="Q160" s="198">
        <v>0</v>
      </c>
      <c r="R160" s="198">
        <v>0</v>
      </c>
      <c r="S160" s="198">
        <v>6102</v>
      </c>
      <c r="T160" s="198">
        <v>392</v>
      </c>
      <c r="U160" s="198">
        <v>2000</v>
      </c>
      <c r="V160" s="198">
        <v>4720</v>
      </c>
      <c r="W160" s="198">
        <v>139.97999999999999</v>
      </c>
      <c r="X160" s="198">
        <v>1500</v>
      </c>
      <c r="Y160" s="198">
        <v>186</v>
      </c>
      <c r="Z160" s="277">
        <v>60163.905657344003</v>
      </c>
      <c r="AA160" s="272">
        <v>16.73050155</v>
      </c>
      <c r="AB160" s="198">
        <v>8.0284614958240752</v>
      </c>
      <c r="AC160" s="272">
        <v>0</v>
      </c>
      <c r="AD160" s="198">
        <v>0</v>
      </c>
      <c r="AE160" s="198">
        <v>8.0284614958240752</v>
      </c>
      <c r="AF160" s="198">
        <v>600.97478128761486</v>
      </c>
      <c r="AG160" s="198">
        <v>0.26419910797658663</v>
      </c>
      <c r="AH160" s="198">
        <v>1.3959824621246936E-3</v>
      </c>
      <c r="AI160" s="198">
        <v>609.27068982076764</v>
      </c>
      <c r="AJ160" s="198">
        <v>0.25636487583834644</v>
      </c>
      <c r="AK160" s="198">
        <v>5.9824675608646087</v>
      </c>
      <c r="AL160" s="198">
        <v>0.28009329164517599</v>
      </c>
      <c r="AM160" s="198">
        <v>5.0345622192086575E-2</v>
      </c>
      <c r="AN160" s="198">
        <v>2.0700798677908586E-2</v>
      </c>
      <c r="AO160" s="198">
        <v>4.144900381525771E-3</v>
      </c>
      <c r="AP160" s="198">
        <v>3.4396305472713102E-3</v>
      </c>
      <c r="AQ160" s="198">
        <v>3.2670394991109819E-3</v>
      </c>
      <c r="AS160" s="258">
        <f t="shared" si="16"/>
        <v>80709.879439326978</v>
      </c>
      <c r="AT160" s="3">
        <f t="shared" si="17"/>
        <v>14.059059648539236</v>
      </c>
      <c r="AU160" s="3">
        <f t="shared" si="18"/>
        <v>5.4267160613572081</v>
      </c>
      <c r="AV160" s="3">
        <f t="shared" si="19"/>
        <v>0</v>
      </c>
      <c r="AW160" s="3">
        <f t="shared" si="20"/>
        <v>0</v>
      </c>
      <c r="AX160" s="3">
        <f t="shared" si="21"/>
        <v>5.4267160613572081</v>
      </c>
      <c r="AY160" s="102">
        <f t="shared" si="22"/>
        <v>1</v>
      </c>
      <c r="AZ160" s="102">
        <f t="shared" si="23"/>
        <v>0</v>
      </c>
    </row>
    <row r="161" spans="1:52" x14ac:dyDescent="0.35">
      <c r="A161" t="s">
        <v>1021</v>
      </c>
      <c r="B161">
        <v>2025</v>
      </c>
      <c r="C161" t="s">
        <v>837</v>
      </c>
      <c r="D161" t="s">
        <v>1018</v>
      </c>
      <c r="E161" t="s">
        <v>1023</v>
      </c>
      <c r="F161" t="s">
        <v>983</v>
      </c>
      <c r="G161" t="s">
        <v>978</v>
      </c>
      <c r="H161" s="198">
        <v>27121.118364744001</v>
      </c>
      <c r="I161" s="198">
        <v>10066</v>
      </c>
      <c r="J161" s="198">
        <v>0</v>
      </c>
      <c r="K161" s="198">
        <v>0</v>
      </c>
      <c r="L161" s="198">
        <v>0</v>
      </c>
      <c r="M161" s="198">
        <v>9596.3520000000008</v>
      </c>
      <c r="N161" s="198">
        <v>50</v>
      </c>
      <c r="O161" s="198">
        <v>0</v>
      </c>
      <c r="P161" s="198">
        <v>5761.2834641999998</v>
      </c>
      <c r="Q161" s="198">
        <v>0</v>
      </c>
      <c r="R161" s="198">
        <v>2433.0616400999997</v>
      </c>
      <c r="S161" s="198">
        <v>1500</v>
      </c>
      <c r="T161" s="198">
        <v>0</v>
      </c>
      <c r="U161" s="198">
        <v>2000</v>
      </c>
      <c r="V161" s="198">
        <v>4720</v>
      </c>
      <c r="W161" s="198">
        <v>139.97999999999999</v>
      </c>
      <c r="X161" s="198">
        <v>1500</v>
      </c>
      <c r="Y161" s="198">
        <v>186</v>
      </c>
      <c r="Z161" s="277">
        <v>65073.795469044009</v>
      </c>
      <c r="AA161" s="272">
        <v>108.36506945000002</v>
      </c>
      <c r="AB161" s="198">
        <v>1.2395155392944748</v>
      </c>
      <c r="AC161" s="272">
        <v>510.40000000000003</v>
      </c>
      <c r="AD161" s="198">
        <v>1.83744</v>
      </c>
      <c r="AE161" s="198">
        <v>3.0769555392944747</v>
      </c>
      <c r="AF161" s="198">
        <v>92.784598956793715</v>
      </c>
      <c r="AG161" s="198">
        <v>4.0789745329793618E-2</v>
      </c>
      <c r="AH161" s="198">
        <v>2.1552597036009186E-4</v>
      </c>
      <c r="AI161" s="198">
        <v>94.06540568978447</v>
      </c>
      <c r="AJ161" s="198">
        <v>3.958021689413508E-2</v>
      </c>
      <c r="AK161" s="198">
        <v>0.9236341868082476</v>
      </c>
      <c r="AL161" s="198">
        <v>4.3243651056546407E-2</v>
      </c>
      <c r="AM161" s="198">
        <v>3.4938287383449465E-2</v>
      </c>
      <c r="AN161" s="198">
        <v>1.0138273374729154E-2</v>
      </c>
      <c r="AO161" s="198">
        <v>6.3993187666168644E-4</v>
      </c>
      <c r="AP161" s="198">
        <v>1.5236275789675066E-3</v>
      </c>
      <c r="AQ161" s="198">
        <v>1.7453556368851419E-3</v>
      </c>
      <c r="AS161" s="258">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102">
        <f t="shared" si="22"/>
        <v>0.42323989457769151</v>
      </c>
      <c r="AZ161" s="102">
        <f t="shared" si="23"/>
        <v>0.57676010542230849</v>
      </c>
    </row>
    <row r="162" spans="1:52" x14ac:dyDescent="0.35">
      <c r="A162" t="s">
        <v>246</v>
      </c>
      <c r="B162">
        <v>2025</v>
      </c>
      <c r="C162" t="s">
        <v>837</v>
      </c>
      <c r="D162" t="s">
        <v>1018</v>
      </c>
      <c r="E162" t="s">
        <v>1023</v>
      </c>
      <c r="F162" t="s">
        <v>977</v>
      </c>
      <c r="G162" t="s">
        <v>978</v>
      </c>
      <c r="H162" s="198">
        <v>27121.118364744001</v>
      </c>
      <c r="I162" s="198">
        <v>0</v>
      </c>
      <c r="J162" s="198">
        <v>0</v>
      </c>
      <c r="K162" s="198">
        <v>0</v>
      </c>
      <c r="L162" s="198">
        <v>0</v>
      </c>
      <c r="M162" s="198">
        <v>21131.040000000001</v>
      </c>
      <c r="N162" s="198">
        <v>50</v>
      </c>
      <c r="O162" s="198">
        <v>0</v>
      </c>
      <c r="P162" s="198">
        <v>5846.1081128000005</v>
      </c>
      <c r="Q162" s="198">
        <v>0</v>
      </c>
      <c r="R162" s="198">
        <v>0</v>
      </c>
      <c r="S162" s="198">
        <v>1500</v>
      </c>
      <c r="T162" s="198">
        <v>0</v>
      </c>
      <c r="U162" s="198">
        <v>2000</v>
      </c>
      <c r="V162" s="198">
        <v>4500</v>
      </c>
      <c r="W162" s="198">
        <v>139.97999999999999</v>
      </c>
      <c r="X162" s="198">
        <v>1500</v>
      </c>
      <c r="Y162" s="198">
        <v>186</v>
      </c>
      <c r="Z162" s="277">
        <v>63974.246477544002</v>
      </c>
      <c r="AA162" s="272">
        <v>0</v>
      </c>
      <c r="AB162" s="198">
        <v>0</v>
      </c>
      <c r="AC162" s="272">
        <v>624</v>
      </c>
      <c r="AD162" s="198">
        <v>2.2464</v>
      </c>
      <c r="AE162" s="198">
        <v>2.2464</v>
      </c>
      <c r="AF162" s="198">
        <v>0</v>
      </c>
      <c r="AG162" s="198">
        <v>0</v>
      </c>
      <c r="AH162" s="198">
        <v>0</v>
      </c>
      <c r="AI162" s="198">
        <v>0</v>
      </c>
      <c r="AJ162" s="198">
        <v>0</v>
      </c>
      <c r="AK162" s="198">
        <v>0</v>
      </c>
      <c r="AL162" s="198">
        <v>0</v>
      </c>
      <c r="AM162" s="198">
        <v>3.32116397917641E-2</v>
      </c>
      <c r="AN162" s="198">
        <v>8.4874190578952489E-3</v>
      </c>
      <c r="AO162" s="198">
        <v>0</v>
      </c>
      <c r="AP162" s="198">
        <v>1.2135020331873927E-3</v>
      </c>
      <c r="AQ162" s="198">
        <v>1.5171572793193839E-3</v>
      </c>
      <c r="AS162" s="258">
        <f t="shared" si="16"/>
        <v>85821.451649625276</v>
      </c>
      <c r="AT162" s="3">
        <f t="shared" si="17"/>
        <v>0</v>
      </c>
      <c r="AU162" s="3">
        <f t="shared" si="18"/>
        <v>0</v>
      </c>
      <c r="AV162" s="3">
        <f t="shared" si="19"/>
        <v>38.773658766947946</v>
      </c>
      <c r="AW162" s="3">
        <f t="shared" si="20"/>
        <v>1.395851715610126</v>
      </c>
      <c r="AX162" s="3">
        <f t="shared" si="21"/>
        <v>1.395851715610126</v>
      </c>
      <c r="AY162" s="102">
        <f t="shared" si="22"/>
        <v>0</v>
      </c>
      <c r="AZ162" s="102">
        <f t="shared" si="23"/>
        <v>1</v>
      </c>
    </row>
    <row r="163" spans="1:52" x14ac:dyDescent="0.35">
      <c r="A163" t="s">
        <v>627</v>
      </c>
      <c r="B163">
        <v>2025</v>
      </c>
      <c r="C163" t="s">
        <v>837</v>
      </c>
      <c r="D163" t="s">
        <v>1018</v>
      </c>
      <c r="E163" t="s">
        <v>1023</v>
      </c>
      <c r="F163" t="s">
        <v>989</v>
      </c>
      <c r="G163" t="s">
        <v>978</v>
      </c>
      <c r="H163" s="198">
        <v>27121.118364744001</v>
      </c>
      <c r="I163" s="198">
        <v>0</v>
      </c>
      <c r="J163" s="198">
        <v>24741.650334905662</v>
      </c>
      <c r="K163" s="198">
        <v>6012.5904300000002</v>
      </c>
      <c r="L163" s="198">
        <v>0</v>
      </c>
      <c r="M163" s="198">
        <v>2254.221106</v>
      </c>
      <c r="N163" s="198">
        <v>50</v>
      </c>
      <c r="O163" s="198">
        <v>0</v>
      </c>
      <c r="P163" s="198">
        <v>5846.1081128000005</v>
      </c>
      <c r="Q163" s="198">
        <v>0</v>
      </c>
      <c r="R163" s="198">
        <v>0</v>
      </c>
      <c r="S163" s="198">
        <v>1500</v>
      </c>
      <c r="T163" s="198">
        <v>0</v>
      </c>
      <c r="U163" s="198">
        <v>2000</v>
      </c>
      <c r="V163" s="198">
        <v>4500</v>
      </c>
      <c r="W163" s="198">
        <v>139.97999999999999</v>
      </c>
      <c r="X163" s="198">
        <v>1500</v>
      </c>
      <c r="Y163" s="198">
        <v>186</v>
      </c>
      <c r="Z163" s="277">
        <v>75851.668348449646</v>
      </c>
      <c r="AA163" s="272">
        <v>32.655316970000001</v>
      </c>
      <c r="AB163" s="198">
        <v>4.1132715883112736</v>
      </c>
      <c r="AC163" s="272">
        <v>0</v>
      </c>
      <c r="AD163" s="198">
        <v>0</v>
      </c>
      <c r="AE163" s="198">
        <v>4.1132715883112736</v>
      </c>
      <c r="AF163" s="198">
        <v>0</v>
      </c>
      <c r="AG163" s="198">
        <v>0</v>
      </c>
      <c r="AH163" s="198">
        <v>0</v>
      </c>
      <c r="AI163" s="198">
        <v>0</v>
      </c>
      <c r="AJ163" s="198">
        <v>0</v>
      </c>
      <c r="AK163" s="198">
        <v>0</v>
      </c>
      <c r="AL163" s="198">
        <v>0</v>
      </c>
      <c r="AM163" s="198">
        <v>3.8453261968930973E-2</v>
      </c>
      <c r="AN163" s="198">
        <v>9.8269447253934872E-3</v>
      </c>
      <c r="AO163" s="198">
        <v>0</v>
      </c>
      <c r="AP163" s="198">
        <v>1.4050228135244658E-3</v>
      </c>
      <c r="AQ163" s="198">
        <v>1.7566024043235136E-3</v>
      </c>
      <c r="AS163" s="258">
        <f t="shared" si="16"/>
        <v>101755.01308944519</v>
      </c>
      <c r="AT163" s="3">
        <f t="shared" si="17"/>
        <v>7.2029654300252881</v>
      </c>
      <c r="AU163" s="3">
        <f t="shared" si="18"/>
        <v>2.7803031757234438</v>
      </c>
      <c r="AV163" s="3">
        <f t="shared" si="19"/>
        <v>0</v>
      </c>
      <c r="AW163" s="3">
        <f t="shared" si="20"/>
        <v>0</v>
      </c>
      <c r="AX163" s="3">
        <f t="shared" si="21"/>
        <v>2.7803031757234438</v>
      </c>
      <c r="AY163" s="102">
        <f t="shared" si="22"/>
        <v>1</v>
      </c>
      <c r="AZ163" s="102">
        <f t="shared" si="23"/>
        <v>0</v>
      </c>
    </row>
    <row r="164" spans="1:52" x14ac:dyDescent="0.35">
      <c r="A164" t="s">
        <v>1065</v>
      </c>
      <c r="B164">
        <v>2025</v>
      </c>
      <c r="C164" t="s">
        <v>837</v>
      </c>
      <c r="D164" t="s">
        <v>1018</v>
      </c>
      <c r="E164" t="s">
        <v>1023</v>
      </c>
      <c r="F164" t="s">
        <v>989</v>
      </c>
      <c r="G164" t="s">
        <v>978</v>
      </c>
      <c r="H164" s="198">
        <v>27121.118364744001</v>
      </c>
      <c r="I164" s="198">
        <v>0</v>
      </c>
      <c r="J164" s="198">
        <v>6863.9127315094338</v>
      </c>
      <c r="K164" s="198">
        <v>6120.0605729999997</v>
      </c>
      <c r="L164" s="198">
        <v>0</v>
      </c>
      <c r="M164" s="198">
        <v>2081.328</v>
      </c>
      <c r="N164" s="198">
        <v>50</v>
      </c>
      <c r="O164" s="198">
        <v>0</v>
      </c>
      <c r="P164" s="198">
        <v>5823.6845456999999</v>
      </c>
      <c r="Q164" s="198">
        <v>0</v>
      </c>
      <c r="R164" s="198">
        <v>0</v>
      </c>
      <c r="S164" s="198">
        <v>1500</v>
      </c>
      <c r="T164" s="198">
        <v>0</v>
      </c>
      <c r="U164" s="198">
        <v>2000</v>
      </c>
      <c r="V164" s="198">
        <v>4500</v>
      </c>
      <c r="W164" s="198">
        <v>139.97999999999999</v>
      </c>
      <c r="X164" s="198">
        <v>1500</v>
      </c>
      <c r="Y164" s="198">
        <v>186</v>
      </c>
      <c r="Z164" s="277">
        <v>57886.084214953444</v>
      </c>
      <c r="AA164" s="272">
        <v>34.406093509999998</v>
      </c>
      <c r="AB164" s="198">
        <v>3.9039650770280088</v>
      </c>
      <c r="AC164" s="272">
        <v>0</v>
      </c>
      <c r="AD164" s="198">
        <v>0</v>
      </c>
      <c r="AE164" s="198">
        <v>3.9039650770280088</v>
      </c>
      <c r="AF164" s="198">
        <v>0</v>
      </c>
      <c r="AG164" s="198">
        <v>0</v>
      </c>
      <c r="AH164" s="198">
        <v>0</v>
      </c>
      <c r="AI164" s="198">
        <v>0</v>
      </c>
      <c r="AJ164" s="198">
        <v>0</v>
      </c>
      <c r="AK164" s="198">
        <v>0</v>
      </c>
      <c r="AL164" s="198">
        <v>0</v>
      </c>
      <c r="AM164" s="198">
        <v>3.6496542618560349E-2</v>
      </c>
      <c r="AN164" s="198">
        <v>9.3268942247432159E-3</v>
      </c>
      <c r="AO164" s="198">
        <v>0</v>
      </c>
      <c r="AP164" s="198">
        <v>1.3335273099919749E-3</v>
      </c>
      <c r="AQ164" s="198">
        <v>1.667216543685097E-3</v>
      </c>
      <c r="AS164" s="258">
        <f t="shared" si="16"/>
        <v>77654.181974360035</v>
      </c>
      <c r="AT164" s="3">
        <f t="shared" si="17"/>
        <v>6.8364378296264228</v>
      </c>
      <c r="AU164" s="3">
        <f t="shared" si="18"/>
        <v>2.6388256327199255</v>
      </c>
      <c r="AV164" s="3">
        <f t="shared" si="19"/>
        <v>0</v>
      </c>
      <c r="AW164" s="3">
        <f t="shared" si="20"/>
        <v>0</v>
      </c>
      <c r="AX164" s="3">
        <f t="shared" si="21"/>
        <v>2.6388256327199255</v>
      </c>
      <c r="AY164" s="102">
        <f t="shared" si="22"/>
        <v>1</v>
      </c>
      <c r="AZ164" s="102">
        <f t="shared" si="23"/>
        <v>0</v>
      </c>
    </row>
    <row r="165" spans="1:52" x14ac:dyDescent="0.35">
      <c r="A165" t="s">
        <v>1017</v>
      </c>
      <c r="B165">
        <v>2030</v>
      </c>
      <c r="C165" t="s">
        <v>837</v>
      </c>
      <c r="D165" t="s">
        <v>1018</v>
      </c>
      <c r="E165" t="s">
        <v>1023</v>
      </c>
      <c r="F165" t="s">
        <v>983</v>
      </c>
      <c r="G165" t="s">
        <v>978</v>
      </c>
      <c r="H165" s="198">
        <v>27256.562557575999</v>
      </c>
      <c r="I165" s="198">
        <v>14442</v>
      </c>
      <c r="J165" s="198">
        <v>0</v>
      </c>
      <c r="K165" s="198">
        <v>0</v>
      </c>
      <c r="L165" s="198">
        <v>120</v>
      </c>
      <c r="M165" s="198">
        <v>0</v>
      </c>
      <c r="N165" s="198">
        <v>0</v>
      </c>
      <c r="O165" s="198">
        <v>150</v>
      </c>
      <c r="P165" s="198">
        <v>0</v>
      </c>
      <c r="Q165" s="198">
        <v>0</v>
      </c>
      <c r="R165" s="198">
        <v>73.2</v>
      </c>
      <c r="S165" s="198">
        <v>5789</v>
      </c>
      <c r="T165" s="198">
        <v>506</v>
      </c>
      <c r="U165" s="198">
        <v>2000</v>
      </c>
      <c r="V165" s="198">
        <v>1920</v>
      </c>
      <c r="W165" s="198">
        <v>0</v>
      </c>
      <c r="X165" s="198">
        <v>0</v>
      </c>
      <c r="Y165" s="198">
        <v>186</v>
      </c>
      <c r="Z165" s="277">
        <v>52442.762557575996</v>
      </c>
      <c r="AA165" s="272">
        <v>13.324233639999999</v>
      </c>
      <c r="AB165" s="198">
        <v>10.080894040822299</v>
      </c>
      <c r="AC165" s="272">
        <v>0</v>
      </c>
      <c r="AD165" s="198">
        <v>0</v>
      </c>
      <c r="AE165" s="198">
        <v>10.080894040822299</v>
      </c>
      <c r="AF165" s="198">
        <v>754.61071769703312</v>
      </c>
      <c r="AG165" s="198">
        <v>0.33174017395201577</v>
      </c>
      <c r="AH165" s="198">
        <v>1.7528577911029488E-3</v>
      </c>
      <c r="AI165" s="198">
        <v>765.02743015664532</v>
      </c>
      <c r="AJ165" s="198">
        <v>0.32190316294836546</v>
      </c>
      <c r="AK165" s="198">
        <v>7.5118528768060591</v>
      </c>
      <c r="AL165" s="198">
        <v>0.35169761928718468</v>
      </c>
      <c r="AM165" s="198">
        <v>6.3216206866244865E-2</v>
      </c>
      <c r="AN165" s="198">
        <v>2.5992845346637705E-2</v>
      </c>
      <c r="AO165" s="198">
        <v>5.204521635640765E-3</v>
      </c>
      <c r="AP165" s="198">
        <v>4.3189534015518815E-3</v>
      </c>
      <c r="AQ165" s="198">
        <v>4.1022403899987079E-3</v>
      </c>
      <c r="AS165" s="258">
        <f t="shared" si="16"/>
        <v>70351.965970988196</v>
      </c>
      <c r="AT165" s="3">
        <f t="shared" si="17"/>
        <v>17.653181833685419</v>
      </c>
      <c r="AU165" s="3">
        <f t="shared" si="18"/>
        <v>6.8140265270781208</v>
      </c>
      <c r="AV165" s="3">
        <f t="shared" si="19"/>
        <v>0</v>
      </c>
      <c r="AW165" s="3">
        <f t="shared" si="20"/>
        <v>0</v>
      </c>
      <c r="AX165" s="3">
        <f t="shared" si="21"/>
        <v>6.8140265270781208</v>
      </c>
      <c r="AY165" s="102">
        <f t="shared" si="22"/>
        <v>1</v>
      </c>
      <c r="AZ165" s="102">
        <f t="shared" si="23"/>
        <v>0</v>
      </c>
    </row>
    <row r="166" spans="1:52" x14ac:dyDescent="0.35">
      <c r="A166" t="s">
        <v>1020</v>
      </c>
      <c r="B166">
        <v>2030</v>
      </c>
      <c r="C166" t="s">
        <v>837</v>
      </c>
      <c r="D166" t="s">
        <v>1018</v>
      </c>
      <c r="E166" t="s">
        <v>1023</v>
      </c>
      <c r="F166" t="s">
        <v>983</v>
      </c>
      <c r="G166" t="s">
        <v>978</v>
      </c>
      <c r="H166" s="198">
        <v>27256.562557575999</v>
      </c>
      <c r="I166" s="198">
        <v>15189</v>
      </c>
      <c r="J166" s="198">
        <v>0</v>
      </c>
      <c r="K166" s="198">
        <v>0</v>
      </c>
      <c r="L166" s="198">
        <v>150</v>
      </c>
      <c r="M166" s="198">
        <v>811.51959800999998</v>
      </c>
      <c r="N166" s="198">
        <v>40</v>
      </c>
      <c r="O166" s="198">
        <v>150</v>
      </c>
      <c r="P166" s="198">
        <v>1285.4479046700001</v>
      </c>
      <c r="Q166" s="198">
        <v>0</v>
      </c>
      <c r="R166" s="198">
        <v>0</v>
      </c>
      <c r="S166" s="198">
        <v>6022</v>
      </c>
      <c r="T166" s="198">
        <v>392</v>
      </c>
      <c r="U166" s="198">
        <v>2000</v>
      </c>
      <c r="V166" s="198">
        <v>4720</v>
      </c>
      <c r="W166" s="198">
        <v>103.96800000000002</v>
      </c>
      <c r="X166" s="198">
        <v>1500</v>
      </c>
      <c r="Y166" s="198">
        <v>186</v>
      </c>
      <c r="Z166" s="277">
        <v>59806.498060256003</v>
      </c>
      <c r="AA166" s="272">
        <v>18.00455298</v>
      </c>
      <c r="AB166" s="198">
        <v>7.4603455942064727</v>
      </c>
      <c r="AC166" s="272">
        <v>0</v>
      </c>
      <c r="AD166" s="198">
        <v>0</v>
      </c>
      <c r="AE166" s="198">
        <v>7.4603455942064727</v>
      </c>
      <c r="AF166" s="198">
        <v>558.44816147406243</v>
      </c>
      <c r="AG166" s="198">
        <v>0.24550365623745135</v>
      </c>
      <c r="AH166" s="198">
        <v>1.2971989236441463E-3</v>
      </c>
      <c r="AI166" s="198">
        <v>566.15702882149117</v>
      </c>
      <c r="AJ166" s="198">
        <v>0.23822379580006728</v>
      </c>
      <c r="AK166" s="198">
        <v>5.5591317880012188</v>
      </c>
      <c r="AL166" s="198">
        <v>0.26027312398256608</v>
      </c>
      <c r="AM166" s="198">
        <v>4.6783028218255654E-2</v>
      </c>
      <c r="AN166" s="198">
        <v>1.9235953525294777E-2</v>
      </c>
      <c r="AO166" s="198">
        <v>3.8515958899254222E-3</v>
      </c>
      <c r="AP166" s="198">
        <v>3.1962328787876414E-3</v>
      </c>
      <c r="AQ166" s="198">
        <v>3.0358548454107472E-3</v>
      </c>
      <c r="AS166" s="258">
        <f t="shared" si="16"/>
        <v>80230.417147833417</v>
      </c>
      <c r="AT166" s="3">
        <f t="shared" si="17"/>
        <v>13.064202121691785</v>
      </c>
      <c r="AU166" s="3">
        <f t="shared" si="18"/>
        <v>5.0427067851559997</v>
      </c>
      <c r="AV166" s="3">
        <f t="shared" si="19"/>
        <v>0</v>
      </c>
      <c r="AW166" s="3">
        <f t="shared" si="20"/>
        <v>0</v>
      </c>
      <c r="AX166" s="3">
        <f t="shared" si="21"/>
        <v>5.0427067851559997</v>
      </c>
      <c r="AY166" s="102">
        <f t="shared" si="22"/>
        <v>1</v>
      </c>
      <c r="AZ166" s="102">
        <f t="shared" si="23"/>
        <v>0</v>
      </c>
    </row>
    <row r="167" spans="1:52" x14ac:dyDescent="0.35">
      <c r="A167" t="s">
        <v>1021</v>
      </c>
      <c r="B167">
        <v>2030</v>
      </c>
      <c r="C167" t="s">
        <v>837</v>
      </c>
      <c r="D167" t="s">
        <v>1018</v>
      </c>
      <c r="E167" t="s">
        <v>1023</v>
      </c>
      <c r="F167" t="s">
        <v>983</v>
      </c>
      <c r="G167" t="s">
        <v>978</v>
      </c>
      <c r="H167" s="198">
        <v>27256.562557575999</v>
      </c>
      <c r="I167" s="198">
        <v>10103</v>
      </c>
      <c r="J167" s="198">
        <v>0</v>
      </c>
      <c r="K167" s="198">
        <v>0</v>
      </c>
      <c r="L167" s="198">
        <v>0</v>
      </c>
      <c r="M167" s="198">
        <v>7373.0249999999996</v>
      </c>
      <c r="N167" s="198">
        <v>40</v>
      </c>
      <c r="O167" s="198">
        <v>0</v>
      </c>
      <c r="P167" s="198">
        <v>4526.0027949300002</v>
      </c>
      <c r="Q167" s="198">
        <v>0</v>
      </c>
      <c r="R167" s="198">
        <v>1806.8350017300002</v>
      </c>
      <c r="S167" s="198">
        <v>1500</v>
      </c>
      <c r="T167" s="198">
        <v>0</v>
      </c>
      <c r="U167" s="198">
        <v>2000</v>
      </c>
      <c r="V167" s="198">
        <v>4720</v>
      </c>
      <c r="W167" s="198">
        <v>103.96800000000002</v>
      </c>
      <c r="X167" s="198">
        <v>1500</v>
      </c>
      <c r="Y167" s="198">
        <v>186</v>
      </c>
      <c r="Z167" s="277">
        <v>61115.393354236003</v>
      </c>
      <c r="AA167" s="272">
        <v>118.95085675000001</v>
      </c>
      <c r="AB167" s="198">
        <v>1.1292073984998852</v>
      </c>
      <c r="AC167" s="272">
        <v>480</v>
      </c>
      <c r="AD167" s="198">
        <v>1.728</v>
      </c>
      <c r="AE167" s="198">
        <v>2.8572073984998854</v>
      </c>
      <c r="AF167" s="198">
        <v>84.52742405189403</v>
      </c>
      <c r="AG167" s="198">
        <v>3.7159745682209221E-2</v>
      </c>
      <c r="AH167" s="198">
        <v>1.9634567908524125E-4</v>
      </c>
      <c r="AI167" s="198">
        <v>85.694248019074678</v>
      </c>
      <c r="AJ167" s="198">
        <v>3.605785674661828E-2</v>
      </c>
      <c r="AK167" s="198">
        <v>0.84143725849935969</v>
      </c>
      <c r="AL167" s="198">
        <v>3.9395271106479182E-2</v>
      </c>
      <c r="AM167" s="198">
        <v>3.2628553882314323E-2</v>
      </c>
      <c r="AN167" s="198">
        <v>9.4403622838975573E-3</v>
      </c>
      <c r="AO167" s="198">
        <v>5.8298245302644699E-4</v>
      </c>
      <c r="AP167" s="198">
        <v>1.4172489765081871E-3</v>
      </c>
      <c r="AQ167" s="198">
        <v>1.6265549119427456E-3</v>
      </c>
      <c r="AS167" s="258">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102">
        <f t="shared" si="22"/>
        <v>0.41549778552774286</v>
      </c>
      <c r="AZ167" s="102">
        <f t="shared" si="23"/>
        <v>0.58450221447225703</v>
      </c>
    </row>
    <row r="168" spans="1:52" x14ac:dyDescent="0.35">
      <c r="A168" t="s">
        <v>246</v>
      </c>
      <c r="B168">
        <v>2030</v>
      </c>
      <c r="C168" t="s">
        <v>837</v>
      </c>
      <c r="D168" t="s">
        <v>1018</v>
      </c>
      <c r="E168" t="s">
        <v>1023</v>
      </c>
      <c r="F168" t="s">
        <v>977</v>
      </c>
      <c r="G168" t="s">
        <v>978</v>
      </c>
      <c r="H168" s="198">
        <v>27256.562557575999</v>
      </c>
      <c r="I168" s="198">
        <v>0</v>
      </c>
      <c r="J168" s="198">
        <v>0</v>
      </c>
      <c r="K168" s="198">
        <v>0</v>
      </c>
      <c r="L168" s="198">
        <v>0</v>
      </c>
      <c r="M168" s="198">
        <v>15379.0875</v>
      </c>
      <c r="N168" s="198">
        <v>40</v>
      </c>
      <c r="O168" s="198">
        <v>0</v>
      </c>
      <c r="P168" s="198">
        <v>4493.9827688699997</v>
      </c>
      <c r="Q168" s="198">
        <v>0</v>
      </c>
      <c r="R168" s="198">
        <v>0</v>
      </c>
      <c r="S168" s="198">
        <v>1500</v>
      </c>
      <c r="T168" s="198">
        <v>0</v>
      </c>
      <c r="U168" s="198">
        <v>2000</v>
      </c>
      <c r="V168" s="198">
        <v>4500</v>
      </c>
      <c r="W168" s="198">
        <v>103.96800000000002</v>
      </c>
      <c r="X168" s="198">
        <v>1500</v>
      </c>
      <c r="Y168" s="198">
        <v>186</v>
      </c>
      <c r="Z168" s="277">
        <v>56959.600826446003</v>
      </c>
      <c r="AA168" s="272">
        <v>0</v>
      </c>
      <c r="AB168" s="198">
        <v>0</v>
      </c>
      <c r="AC168" s="272">
        <v>578</v>
      </c>
      <c r="AD168" s="198">
        <v>2.0808</v>
      </c>
      <c r="AE168" s="198">
        <v>2.0808</v>
      </c>
      <c r="AF168" s="198">
        <v>0</v>
      </c>
      <c r="AG168" s="198">
        <v>0</v>
      </c>
      <c r="AH168" s="198">
        <v>0</v>
      </c>
      <c r="AI168" s="198">
        <v>0</v>
      </c>
      <c r="AJ168" s="198">
        <v>0</v>
      </c>
      <c r="AK168" s="198">
        <v>0</v>
      </c>
      <c r="AL168" s="198">
        <v>0</v>
      </c>
      <c r="AM168" s="198">
        <v>3.0763345832755851E-2</v>
      </c>
      <c r="AN168" s="198">
        <v>7.8617439350375865E-3</v>
      </c>
      <c r="AO168" s="198">
        <v>0</v>
      </c>
      <c r="AP168" s="198">
        <v>1.1240451525357581E-3</v>
      </c>
      <c r="AQ168" s="198">
        <v>1.4053155568054549E-3</v>
      </c>
      <c r="AS168" s="258">
        <f t="shared" si="16"/>
        <v>76411.304508677305</v>
      </c>
      <c r="AT168" s="3">
        <f t="shared" si="17"/>
        <v>0</v>
      </c>
      <c r="AU168" s="3">
        <f t="shared" si="18"/>
        <v>0</v>
      </c>
      <c r="AV168" s="3">
        <f t="shared" si="19"/>
        <v>35.915344178358829</v>
      </c>
      <c r="AW168" s="3">
        <f t="shared" si="20"/>
        <v>1.2929523904209179</v>
      </c>
      <c r="AX168" s="3">
        <f t="shared" si="21"/>
        <v>1.2929523904209179</v>
      </c>
      <c r="AY168" s="102">
        <f t="shared" si="22"/>
        <v>0</v>
      </c>
      <c r="AZ168" s="102">
        <f t="shared" si="23"/>
        <v>1</v>
      </c>
    </row>
    <row r="169" spans="1:52" x14ac:dyDescent="0.35">
      <c r="A169" t="s">
        <v>627</v>
      </c>
      <c r="B169">
        <v>2030</v>
      </c>
      <c r="C169" t="s">
        <v>837</v>
      </c>
      <c r="D169" t="s">
        <v>1018</v>
      </c>
      <c r="E169" t="s">
        <v>1023</v>
      </c>
      <c r="F169" t="s">
        <v>989</v>
      </c>
      <c r="G169" t="s">
        <v>978</v>
      </c>
      <c r="H169" s="198">
        <v>27256.562557575999</v>
      </c>
      <c r="I169" s="198">
        <v>0</v>
      </c>
      <c r="J169" s="198">
        <v>20800.018613</v>
      </c>
      <c r="K169" s="198">
        <v>5299.8709500000004</v>
      </c>
      <c r="L169" s="198">
        <v>0</v>
      </c>
      <c r="M169" s="198">
        <v>2209.1366842000002</v>
      </c>
      <c r="N169" s="198">
        <v>40</v>
      </c>
      <c r="O169" s="198">
        <v>0</v>
      </c>
      <c r="P169" s="198">
        <v>4493.9827688699997</v>
      </c>
      <c r="Q169" s="198">
        <v>0</v>
      </c>
      <c r="R169" s="198">
        <v>0</v>
      </c>
      <c r="S169" s="198">
        <v>1500</v>
      </c>
      <c r="T169" s="198">
        <v>0</v>
      </c>
      <c r="U169" s="198">
        <v>2000</v>
      </c>
      <c r="V169" s="198">
        <v>4500</v>
      </c>
      <c r="W169" s="198">
        <v>103.96800000000002</v>
      </c>
      <c r="X169" s="198">
        <v>1500</v>
      </c>
      <c r="Y169" s="198">
        <v>186</v>
      </c>
      <c r="Z169" s="277">
        <v>69889.53957364599</v>
      </c>
      <c r="AA169" s="272">
        <v>35.1029433</v>
      </c>
      <c r="AB169" s="198">
        <v>3.826465101574545</v>
      </c>
      <c r="AC169" s="272">
        <v>0</v>
      </c>
      <c r="AD169" s="198">
        <v>0</v>
      </c>
      <c r="AE169" s="198">
        <v>3.826465101574545</v>
      </c>
      <c r="AF169" s="198">
        <v>0</v>
      </c>
      <c r="AG169" s="198">
        <v>0</v>
      </c>
      <c r="AH169" s="198">
        <v>0</v>
      </c>
      <c r="AI169" s="198">
        <v>0</v>
      </c>
      <c r="AJ169" s="198">
        <v>0</v>
      </c>
      <c r="AK169" s="198">
        <v>0</v>
      </c>
      <c r="AL169" s="198">
        <v>0</v>
      </c>
      <c r="AM169" s="198">
        <v>3.5772027644356739E-2</v>
      </c>
      <c r="AN169" s="198">
        <v>9.1417403980022932E-3</v>
      </c>
      <c r="AO169" s="198">
        <v>0</v>
      </c>
      <c r="AP169" s="198">
        <v>1.3070546516172801E-3</v>
      </c>
      <c r="AQ169" s="198">
        <v>1.634119618210147E-3</v>
      </c>
      <c r="AS169" s="258">
        <f t="shared" si="16"/>
        <v>93756.817338046094</v>
      </c>
      <c r="AT169" s="3">
        <f t="shared" si="17"/>
        <v>6.7007235613039935</v>
      </c>
      <c r="AU169" s="3">
        <f t="shared" si="18"/>
        <v>2.5864407066955741</v>
      </c>
      <c r="AV169" s="3">
        <f t="shared" si="19"/>
        <v>0</v>
      </c>
      <c r="AW169" s="3">
        <f t="shared" si="20"/>
        <v>0</v>
      </c>
      <c r="AX169" s="3">
        <f t="shared" si="21"/>
        <v>2.5864407066955741</v>
      </c>
      <c r="AY169" s="102">
        <f t="shared" si="22"/>
        <v>1</v>
      </c>
      <c r="AZ169" s="102">
        <f t="shared" si="23"/>
        <v>0</v>
      </c>
    </row>
    <row r="170" spans="1:52" x14ac:dyDescent="0.35">
      <c r="A170" t="s">
        <v>1065</v>
      </c>
      <c r="B170">
        <v>2030</v>
      </c>
      <c r="C170" t="s">
        <v>837</v>
      </c>
      <c r="D170" t="s">
        <v>1018</v>
      </c>
      <c r="E170" t="s">
        <v>1023</v>
      </c>
      <c r="F170" t="s">
        <v>989</v>
      </c>
      <c r="G170" t="s">
        <v>978</v>
      </c>
      <c r="H170" s="198">
        <v>27256.562557575999</v>
      </c>
      <c r="I170" s="198">
        <v>0</v>
      </c>
      <c r="J170" s="198">
        <v>5578.1416570000001</v>
      </c>
      <c r="K170" s="198">
        <v>5387.1628799999999</v>
      </c>
      <c r="L170" s="198">
        <v>0</v>
      </c>
      <c r="M170" s="198">
        <v>1626.0374999999999</v>
      </c>
      <c r="N170" s="198">
        <v>40</v>
      </c>
      <c r="O170" s="198">
        <v>0</v>
      </c>
      <c r="P170" s="198">
        <v>4540.17452538</v>
      </c>
      <c r="Q170" s="198">
        <v>0</v>
      </c>
      <c r="R170" s="198">
        <v>0</v>
      </c>
      <c r="S170" s="198">
        <v>1500</v>
      </c>
      <c r="T170" s="198">
        <v>0</v>
      </c>
      <c r="U170" s="198">
        <v>2000</v>
      </c>
      <c r="V170" s="198">
        <v>4500</v>
      </c>
      <c r="W170" s="198">
        <v>103.96800000000002</v>
      </c>
      <c r="X170" s="198">
        <v>1500</v>
      </c>
      <c r="Y170" s="198">
        <v>186</v>
      </c>
      <c r="Z170" s="277">
        <v>54218.047119955991</v>
      </c>
      <c r="AA170" s="272">
        <v>37.00678903</v>
      </c>
      <c r="AB170" s="198">
        <v>3.6296093506278466</v>
      </c>
      <c r="AC170" s="272">
        <v>0</v>
      </c>
      <c r="AD170" s="198">
        <v>0</v>
      </c>
      <c r="AE170" s="198">
        <v>3.6296093506278466</v>
      </c>
      <c r="AF170" s="198">
        <v>0</v>
      </c>
      <c r="AG170" s="198">
        <v>0</v>
      </c>
      <c r="AH170" s="198">
        <v>0</v>
      </c>
      <c r="AI170" s="198">
        <v>0</v>
      </c>
      <c r="AJ170" s="198">
        <v>0</v>
      </c>
      <c r="AK170" s="198">
        <v>0</v>
      </c>
      <c r="AL170" s="198">
        <v>0</v>
      </c>
      <c r="AM170" s="198">
        <v>3.3931705263808121E-2</v>
      </c>
      <c r="AN170" s="198">
        <v>8.6714357896398673E-3</v>
      </c>
      <c r="AO170" s="198">
        <v>0</v>
      </c>
      <c r="AP170" s="198">
        <v>1.2398121136240239E-3</v>
      </c>
      <c r="AQ170" s="198">
        <v>1.550050944894109E-3</v>
      </c>
      <c r="AS170" s="258">
        <f t="shared" si="16"/>
        <v>72733.510211420959</v>
      </c>
      <c r="AT170" s="3">
        <f t="shared" si="17"/>
        <v>6.3559991397996773</v>
      </c>
      <c r="AU170" s="3">
        <f t="shared" si="18"/>
        <v>2.453379065185723</v>
      </c>
      <c r="AV170" s="3">
        <f t="shared" si="19"/>
        <v>0</v>
      </c>
      <c r="AW170" s="3">
        <f t="shared" si="20"/>
        <v>0</v>
      </c>
      <c r="AX170" s="3">
        <f t="shared" si="21"/>
        <v>2.453379065185723</v>
      </c>
      <c r="AY170" s="102">
        <f t="shared" si="22"/>
        <v>1</v>
      </c>
      <c r="AZ170" s="102">
        <f t="shared" si="23"/>
        <v>0</v>
      </c>
    </row>
    <row r="171" spans="1:52" x14ac:dyDescent="0.35">
      <c r="A171" t="s">
        <v>1017</v>
      </c>
      <c r="B171">
        <v>2035</v>
      </c>
      <c r="C171" t="s">
        <v>837</v>
      </c>
      <c r="D171" t="s">
        <v>1018</v>
      </c>
      <c r="E171" t="s">
        <v>1023</v>
      </c>
      <c r="F171" t="s">
        <v>983</v>
      </c>
      <c r="G171" t="s">
        <v>978</v>
      </c>
      <c r="H171" s="198">
        <v>27256.562557575999</v>
      </c>
      <c r="I171" s="198">
        <v>14386</v>
      </c>
      <c r="J171" s="198">
        <v>0</v>
      </c>
      <c r="K171" s="198">
        <v>0</v>
      </c>
      <c r="L171" s="198">
        <v>120</v>
      </c>
      <c r="M171" s="198">
        <v>0</v>
      </c>
      <c r="N171" s="198">
        <v>0</v>
      </c>
      <c r="O171" s="198">
        <v>150</v>
      </c>
      <c r="P171" s="198">
        <v>0</v>
      </c>
      <c r="Q171" s="198">
        <v>0</v>
      </c>
      <c r="R171" s="198">
        <v>62.6</v>
      </c>
      <c r="S171" s="198">
        <v>5789</v>
      </c>
      <c r="T171" s="198">
        <v>506</v>
      </c>
      <c r="U171" s="198">
        <v>2000</v>
      </c>
      <c r="V171" s="198">
        <v>1920</v>
      </c>
      <c r="W171" s="198">
        <v>0</v>
      </c>
      <c r="X171" s="198">
        <v>0</v>
      </c>
      <c r="Y171" s="198">
        <v>186</v>
      </c>
      <c r="Z171" s="277">
        <v>52376.162557575997</v>
      </c>
      <c r="AA171" s="272">
        <v>13.916020919999999</v>
      </c>
      <c r="AB171" s="198">
        <v>9.6521978712288412</v>
      </c>
      <c r="AC171" s="272">
        <v>0</v>
      </c>
      <c r="AD171" s="198">
        <v>0</v>
      </c>
      <c r="AE171" s="198">
        <v>9.6521978712288412</v>
      </c>
      <c r="AF171" s="198">
        <v>722.52043652743748</v>
      </c>
      <c r="AG171" s="198">
        <v>0.31763272065495718</v>
      </c>
      <c r="AH171" s="198">
        <v>1.6783164440909741E-3</v>
      </c>
      <c r="AI171" s="198">
        <v>732.49417193430918</v>
      </c>
      <c r="AJ171" s="198">
        <v>0.30821403454594787</v>
      </c>
      <c r="AK171" s="198">
        <v>7.1924067501236602</v>
      </c>
      <c r="AL171" s="198">
        <v>0.33674146345090572</v>
      </c>
      <c r="AM171" s="198">
        <v>6.0527899100084055E-2</v>
      </c>
      <c r="AN171" s="198">
        <v>2.488748373963982E-2</v>
      </c>
      <c r="AO171" s="198">
        <v>4.9831961777269673E-3</v>
      </c>
      <c r="AP171" s="198">
        <v>4.1352872730914241E-3</v>
      </c>
      <c r="AQ171" s="198">
        <v>3.9277901145744693E-3</v>
      </c>
      <c r="AS171" s="258">
        <f t="shared" si="16"/>
        <v>70262.622070988189</v>
      </c>
      <c r="AT171" s="3">
        <f t="shared" si="17"/>
        <v>16.902469505731968</v>
      </c>
      <c r="AU171" s="3">
        <f t="shared" si="18"/>
        <v>6.5242558916724205</v>
      </c>
      <c r="AV171" s="3">
        <f t="shared" si="19"/>
        <v>0</v>
      </c>
      <c r="AW171" s="3">
        <f t="shared" si="20"/>
        <v>0</v>
      </c>
      <c r="AX171" s="3">
        <f t="shared" si="21"/>
        <v>6.5242558916724205</v>
      </c>
      <c r="AY171" s="102">
        <f t="shared" si="22"/>
        <v>1</v>
      </c>
      <c r="AZ171" s="102">
        <f t="shared" si="23"/>
        <v>0</v>
      </c>
    </row>
    <row r="172" spans="1:52" x14ac:dyDescent="0.35">
      <c r="A172" t="s">
        <v>1020</v>
      </c>
      <c r="B172">
        <v>2035</v>
      </c>
      <c r="C172" t="s">
        <v>837</v>
      </c>
      <c r="D172" t="s">
        <v>1018</v>
      </c>
      <c r="E172" t="s">
        <v>1023</v>
      </c>
      <c r="F172" t="s">
        <v>983</v>
      </c>
      <c r="G172" t="s">
        <v>978</v>
      </c>
      <c r="H172" s="198">
        <v>27256.562557575999</v>
      </c>
      <c r="I172" s="198">
        <v>14924</v>
      </c>
      <c r="J172" s="198">
        <v>0</v>
      </c>
      <c r="K172" s="198">
        <v>0</v>
      </c>
      <c r="L172" s="198">
        <v>150</v>
      </c>
      <c r="M172" s="198">
        <v>800.84170854000001</v>
      </c>
      <c r="N172" s="198">
        <v>35</v>
      </c>
      <c r="O172" s="198">
        <v>150</v>
      </c>
      <c r="P172" s="198">
        <v>1094.2553626599999</v>
      </c>
      <c r="Q172" s="198">
        <v>0</v>
      </c>
      <c r="R172" s="198">
        <v>0</v>
      </c>
      <c r="S172" s="198">
        <v>5957</v>
      </c>
      <c r="T172" s="198">
        <v>392</v>
      </c>
      <c r="U172" s="198">
        <v>2000</v>
      </c>
      <c r="V172" s="198">
        <v>4720</v>
      </c>
      <c r="W172" s="198">
        <v>84</v>
      </c>
      <c r="X172" s="198">
        <v>1500</v>
      </c>
      <c r="Y172" s="198">
        <v>186</v>
      </c>
      <c r="Z172" s="277">
        <v>59249.659628775997</v>
      </c>
      <c r="AA172" s="272">
        <v>19.175484579999999</v>
      </c>
      <c r="AB172" s="198">
        <v>7.0047871249155156</v>
      </c>
      <c r="AC172" s="272">
        <v>0</v>
      </c>
      <c r="AD172" s="198">
        <v>0</v>
      </c>
      <c r="AE172" s="198">
        <v>7.0047871249155156</v>
      </c>
      <c r="AF172" s="198">
        <v>524.34708848663422</v>
      </c>
      <c r="AG172" s="198">
        <v>0.23051222341056998</v>
      </c>
      <c r="AH172" s="198">
        <v>1.2179867814506101E-3</v>
      </c>
      <c r="AI172" s="198">
        <v>531.58522163490079</v>
      </c>
      <c r="AJ172" s="198">
        <v>0.2236769002986527</v>
      </c>
      <c r="AK172" s="198">
        <v>5.219669019695254</v>
      </c>
      <c r="AL172" s="198">
        <v>0.24437980852394287</v>
      </c>
      <c r="AM172" s="198">
        <v>4.3926269847644119E-2</v>
      </c>
      <c r="AN172" s="198">
        <v>1.8061329450219689E-2</v>
      </c>
      <c r="AO172" s="198">
        <v>3.616402076745458E-3</v>
      </c>
      <c r="AP172" s="198">
        <v>3.0010581460127046E-3</v>
      </c>
      <c r="AQ172" s="198">
        <v>2.8504734352735456E-3</v>
      </c>
      <c r="AS172" s="258">
        <f t="shared" si="16"/>
        <v>79483.41839200299</v>
      </c>
      <c r="AT172" s="3">
        <f t="shared" si="17"/>
        <v>12.26644981304708</v>
      </c>
      <c r="AU172" s="3">
        <f t="shared" si="18"/>
        <v>4.734778988096199</v>
      </c>
      <c r="AV172" s="3">
        <f t="shared" si="19"/>
        <v>0</v>
      </c>
      <c r="AW172" s="3">
        <f t="shared" si="20"/>
        <v>0</v>
      </c>
      <c r="AX172" s="3">
        <f t="shared" si="21"/>
        <v>4.734778988096199</v>
      </c>
      <c r="AY172" s="102">
        <f t="shared" si="22"/>
        <v>1</v>
      </c>
      <c r="AZ172" s="102">
        <f t="shared" si="23"/>
        <v>0</v>
      </c>
    </row>
    <row r="173" spans="1:52" x14ac:dyDescent="0.35">
      <c r="A173" t="s">
        <v>1021</v>
      </c>
      <c r="B173">
        <v>2035</v>
      </c>
      <c r="C173" t="s">
        <v>837</v>
      </c>
      <c r="D173" t="s">
        <v>1018</v>
      </c>
      <c r="E173" t="s">
        <v>1023</v>
      </c>
      <c r="F173" t="s">
        <v>983</v>
      </c>
      <c r="G173" t="s">
        <v>978</v>
      </c>
      <c r="H173" s="198">
        <v>27256.562557575999</v>
      </c>
      <c r="I173" s="198">
        <v>9800</v>
      </c>
      <c r="J173" s="198">
        <v>0</v>
      </c>
      <c r="K173" s="198">
        <v>0</v>
      </c>
      <c r="L173" s="198">
        <v>0</v>
      </c>
      <c r="M173" s="198">
        <v>6032.4750000000004</v>
      </c>
      <c r="N173" s="198">
        <v>35</v>
      </c>
      <c r="O173" s="198">
        <v>0</v>
      </c>
      <c r="P173" s="198">
        <v>3832.41567915</v>
      </c>
      <c r="Q173" s="198">
        <v>0</v>
      </c>
      <c r="R173" s="198">
        <v>1416.6955481800001</v>
      </c>
      <c r="S173" s="198">
        <v>1500</v>
      </c>
      <c r="T173" s="198">
        <v>0</v>
      </c>
      <c r="U173" s="198">
        <v>2000</v>
      </c>
      <c r="V173" s="198">
        <v>4720</v>
      </c>
      <c r="W173" s="198">
        <v>84</v>
      </c>
      <c r="X173" s="198">
        <v>1500</v>
      </c>
      <c r="Y173" s="198">
        <v>186</v>
      </c>
      <c r="Z173" s="277">
        <v>58363.148784905999</v>
      </c>
      <c r="AA173" s="272">
        <v>129.02004730000002</v>
      </c>
      <c r="AB173" s="198">
        <v>1.0410799740886467</v>
      </c>
      <c r="AC173" s="272">
        <v>452</v>
      </c>
      <c r="AD173" s="198">
        <v>1.6272</v>
      </c>
      <c r="AE173" s="198">
        <v>2.6682799740886467</v>
      </c>
      <c r="AF173" s="198">
        <v>77.93059854073816</v>
      </c>
      <c r="AG173" s="198">
        <v>3.4259664897138033E-2</v>
      </c>
      <c r="AH173" s="198">
        <v>1.8102215303055462E-4</v>
      </c>
      <c r="AI173" s="198">
        <v>79.006359350605507</v>
      </c>
      <c r="AJ173" s="198">
        <v>3.3243771354430525E-2</v>
      </c>
      <c r="AK173" s="198">
        <v>0.77576845532492711</v>
      </c>
      <c r="AL173" s="198">
        <v>3.6320721841916564E-2</v>
      </c>
      <c r="AM173" s="198">
        <v>3.0585650354186627E-2</v>
      </c>
      <c r="AN173" s="198">
        <v>8.8322864616492934E-3</v>
      </c>
      <c r="AO173" s="198">
        <v>5.3748439648659537E-4</v>
      </c>
      <c r="AP173" s="198">
        <v>1.3250405650089591E-3</v>
      </c>
      <c r="AQ173" s="198">
        <v>1.522615455020877E-3</v>
      </c>
      <c r="AS173" s="258">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102">
        <f t="shared" si="22"/>
        <v>0.41036983316635239</v>
      </c>
      <c r="AZ173" s="102">
        <f t="shared" si="23"/>
        <v>0.58963016683364755</v>
      </c>
    </row>
    <row r="174" spans="1:52" x14ac:dyDescent="0.35">
      <c r="A174" t="s">
        <v>246</v>
      </c>
      <c r="B174">
        <v>2035</v>
      </c>
      <c r="C174" t="s">
        <v>837</v>
      </c>
      <c r="D174" t="s">
        <v>1018</v>
      </c>
      <c r="E174" t="s">
        <v>1023</v>
      </c>
      <c r="F174" t="s">
        <v>977</v>
      </c>
      <c r="G174" t="s">
        <v>978</v>
      </c>
      <c r="H174" s="198">
        <v>27256.562557575999</v>
      </c>
      <c r="I174" s="198">
        <v>0</v>
      </c>
      <c r="J174" s="198">
        <v>0</v>
      </c>
      <c r="K174" s="198">
        <v>0</v>
      </c>
      <c r="L174" s="198">
        <v>0</v>
      </c>
      <c r="M174" s="198">
        <v>12467.115000000002</v>
      </c>
      <c r="N174" s="198">
        <v>35</v>
      </c>
      <c r="O174" s="198">
        <v>0</v>
      </c>
      <c r="P174" s="198">
        <v>3805.6734059999994</v>
      </c>
      <c r="Q174" s="198">
        <v>0</v>
      </c>
      <c r="R174" s="198">
        <v>0</v>
      </c>
      <c r="S174" s="198">
        <v>1500</v>
      </c>
      <c r="T174" s="198">
        <v>0</v>
      </c>
      <c r="U174" s="198">
        <v>2000</v>
      </c>
      <c r="V174" s="198">
        <v>4500</v>
      </c>
      <c r="W174" s="198">
        <v>84</v>
      </c>
      <c r="X174" s="198">
        <v>1500</v>
      </c>
      <c r="Y174" s="198">
        <v>186</v>
      </c>
      <c r="Z174" s="277">
        <v>53334.350963575998</v>
      </c>
      <c r="AA174" s="272">
        <v>0</v>
      </c>
      <c r="AB174" s="198">
        <v>0</v>
      </c>
      <c r="AC174" s="272">
        <v>543</v>
      </c>
      <c r="AD174" s="198">
        <v>1.9547999999999999</v>
      </c>
      <c r="AE174" s="198">
        <v>1.9547999999999999</v>
      </c>
      <c r="AF174" s="198">
        <v>0</v>
      </c>
      <c r="AG174" s="198">
        <v>0</v>
      </c>
      <c r="AH174" s="198">
        <v>0</v>
      </c>
      <c r="AI174" s="198">
        <v>0</v>
      </c>
      <c r="AJ174" s="198">
        <v>0</v>
      </c>
      <c r="AK174" s="198">
        <v>0</v>
      </c>
      <c r="AL174" s="198">
        <v>0</v>
      </c>
      <c r="AM174" s="198">
        <v>2.8900513472640877E-2</v>
      </c>
      <c r="AN174" s="198">
        <v>7.3856867763415386E-3</v>
      </c>
      <c r="AO174" s="198">
        <v>0</v>
      </c>
      <c r="AP174" s="198">
        <v>1.0559801346486446E-3</v>
      </c>
      <c r="AQ174" s="198">
        <v>1.3202185940231175E-3</v>
      </c>
      <c r="AS174" s="258">
        <f t="shared" si="16"/>
        <v>71548.031817637195</v>
      </c>
      <c r="AT174" s="3">
        <f t="shared" si="17"/>
        <v>0</v>
      </c>
      <c r="AU174" s="3">
        <f t="shared" si="18"/>
        <v>0</v>
      </c>
      <c r="AV174" s="3">
        <f t="shared" si="19"/>
        <v>33.74053960008451</v>
      </c>
      <c r="AW174" s="3">
        <f t="shared" si="20"/>
        <v>1.2146594256030425</v>
      </c>
      <c r="AX174" s="3">
        <f t="shared" si="21"/>
        <v>1.2146594256030425</v>
      </c>
      <c r="AY174" s="102">
        <f t="shared" si="22"/>
        <v>0</v>
      </c>
      <c r="AZ174" s="102">
        <f t="shared" si="23"/>
        <v>1</v>
      </c>
    </row>
    <row r="175" spans="1:52" x14ac:dyDescent="0.35">
      <c r="A175" t="s">
        <v>627</v>
      </c>
      <c r="B175">
        <v>2035</v>
      </c>
      <c r="C175" t="s">
        <v>837</v>
      </c>
      <c r="D175" t="s">
        <v>1018</v>
      </c>
      <c r="E175" t="s">
        <v>1023</v>
      </c>
      <c r="F175" t="s">
        <v>989</v>
      </c>
      <c r="G175" t="s">
        <v>978</v>
      </c>
      <c r="H175" s="198">
        <v>27256.562557575999</v>
      </c>
      <c r="I175" s="198">
        <v>0</v>
      </c>
      <c r="J175" s="198">
        <v>17731.529277000001</v>
      </c>
      <c r="K175" s="198">
        <v>5030.1626017500012</v>
      </c>
      <c r="L175" s="198">
        <v>0</v>
      </c>
      <c r="M175" s="198">
        <v>2135.5778897999999</v>
      </c>
      <c r="N175" s="198">
        <v>35</v>
      </c>
      <c r="O175" s="198">
        <v>0</v>
      </c>
      <c r="P175" s="198">
        <v>3805.6734059999994</v>
      </c>
      <c r="Q175" s="198">
        <v>0</v>
      </c>
      <c r="R175" s="198">
        <v>0</v>
      </c>
      <c r="S175" s="198">
        <v>1500</v>
      </c>
      <c r="T175" s="198">
        <v>0</v>
      </c>
      <c r="U175" s="198">
        <v>2000</v>
      </c>
      <c r="V175" s="198">
        <v>4500</v>
      </c>
      <c r="W175" s="198">
        <v>84</v>
      </c>
      <c r="X175" s="198">
        <v>1500</v>
      </c>
      <c r="Y175" s="198">
        <v>186</v>
      </c>
      <c r="Z175" s="277">
        <v>65764.50573212601</v>
      </c>
      <c r="AA175" s="272">
        <v>36.962429090000001</v>
      </c>
      <c r="AB175" s="198">
        <v>3.6339653752988776</v>
      </c>
      <c r="AC175" s="272">
        <v>0</v>
      </c>
      <c r="AD175" s="198">
        <v>0</v>
      </c>
      <c r="AE175" s="198">
        <v>3.6339653752988776</v>
      </c>
      <c r="AF175" s="198">
        <v>0</v>
      </c>
      <c r="AG175" s="198">
        <v>0</v>
      </c>
      <c r="AH175" s="198">
        <v>0</v>
      </c>
      <c r="AI175" s="198">
        <v>0</v>
      </c>
      <c r="AJ175" s="198">
        <v>0</v>
      </c>
      <c r="AK175" s="198">
        <v>0</v>
      </c>
      <c r="AL175" s="198">
        <v>0</v>
      </c>
      <c r="AM175" s="198">
        <v>3.3972427923185701E-2</v>
      </c>
      <c r="AN175" s="198">
        <v>8.6818426914808036E-3</v>
      </c>
      <c r="AO175" s="198">
        <v>0</v>
      </c>
      <c r="AP175" s="198">
        <v>1.2413000567144989E-3</v>
      </c>
      <c r="AQ175" s="198">
        <v>1.5519112167594947E-3</v>
      </c>
      <c r="AS175" s="258">
        <f t="shared" si="16"/>
        <v>88223.084439647035</v>
      </c>
      <c r="AT175" s="3">
        <f t="shared" si="17"/>
        <v>6.3636272028740777</v>
      </c>
      <c r="AU175" s="3">
        <f t="shared" si="18"/>
        <v>2.4563234536041327</v>
      </c>
      <c r="AV175" s="3">
        <f t="shared" si="19"/>
        <v>0</v>
      </c>
      <c r="AW175" s="3">
        <f t="shared" si="20"/>
        <v>0</v>
      </c>
      <c r="AX175" s="3">
        <f t="shared" si="21"/>
        <v>2.4563234536041327</v>
      </c>
      <c r="AY175" s="102">
        <f t="shared" si="22"/>
        <v>1</v>
      </c>
      <c r="AZ175" s="102">
        <f t="shared" si="23"/>
        <v>0</v>
      </c>
    </row>
    <row r="176" spans="1:52" x14ac:dyDescent="0.35">
      <c r="A176" t="s">
        <v>1065</v>
      </c>
      <c r="B176">
        <v>2035</v>
      </c>
      <c r="C176" t="s">
        <v>837</v>
      </c>
      <c r="D176" t="s">
        <v>1018</v>
      </c>
      <c r="E176" t="s">
        <v>1023</v>
      </c>
      <c r="F176" t="s">
        <v>989</v>
      </c>
      <c r="G176" t="s">
        <v>978</v>
      </c>
      <c r="H176" s="198">
        <v>27256.562557575999</v>
      </c>
      <c r="I176" s="198">
        <v>0</v>
      </c>
      <c r="J176" s="198">
        <v>4466.2486325</v>
      </c>
      <c r="K176" s="198">
        <v>5108.8629735000013</v>
      </c>
      <c r="L176" s="198">
        <v>0</v>
      </c>
      <c r="M176" s="198">
        <v>1429.92</v>
      </c>
      <c r="N176" s="198">
        <v>35</v>
      </c>
      <c r="O176" s="198">
        <v>0</v>
      </c>
      <c r="P176" s="198">
        <v>3794.99095016</v>
      </c>
      <c r="Q176" s="198">
        <v>0</v>
      </c>
      <c r="R176" s="198">
        <v>0</v>
      </c>
      <c r="S176" s="198">
        <v>1500</v>
      </c>
      <c r="T176" s="198">
        <v>0</v>
      </c>
      <c r="U176" s="198">
        <v>2000</v>
      </c>
      <c r="V176" s="198">
        <v>4500</v>
      </c>
      <c r="W176" s="198">
        <v>84</v>
      </c>
      <c r="X176" s="198">
        <v>1500</v>
      </c>
      <c r="Y176" s="198">
        <v>186</v>
      </c>
      <c r="Z176" s="277">
        <v>51861.585113735993</v>
      </c>
      <c r="AA176" s="272">
        <v>39.264371789999998</v>
      </c>
      <c r="AB176" s="198">
        <v>3.4209177780404274</v>
      </c>
      <c r="AC176" s="272">
        <v>0</v>
      </c>
      <c r="AD176" s="198">
        <v>0</v>
      </c>
      <c r="AE176" s="198">
        <v>3.4209177780404274</v>
      </c>
      <c r="AF176" s="198">
        <v>0</v>
      </c>
      <c r="AG176" s="198">
        <v>0</v>
      </c>
      <c r="AH176" s="198">
        <v>0</v>
      </c>
      <c r="AI176" s="198">
        <v>0</v>
      </c>
      <c r="AJ176" s="198">
        <v>0</v>
      </c>
      <c r="AK176" s="198">
        <v>0</v>
      </c>
      <c r="AL176" s="198">
        <v>0</v>
      </c>
      <c r="AM176" s="198">
        <v>3.1980734719043565E-2</v>
      </c>
      <c r="AN176" s="198">
        <v>8.1728544282000364E-3</v>
      </c>
      <c r="AO176" s="198">
        <v>0</v>
      </c>
      <c r="AP176" s="198">
        <v>1.1685266625711792E-3</v>
      </c>
      <c r="AQ176" s="198">
        <v>1.4609276982767807E-3</v>
      </c>
      <c r="AS176" s="258">
        <f t="shared" si="16"/>
        <v>69572.316430076826</v>
      </c>
      <c r="AT176" s="3">
        <f t="shared" si="17"/>
        <v>5.9905483907763335</v>
      </c>
      <c r="AU176" s="3">
        <f t="shared" si="18"/>
        <v>2.3123171806118097</v>
      </c>
      <c r="AV176" s="3">
        <f t="shared" si="19"/>
        <v>0</v>
      </c>
      <c r="AW176" s="3">
        <f t="shared" si="20"/>
        <v>0</v>
      </c>
      <c r="AX176" s="3">
        <f t="shared" si="21"/>
        <v>2.3123171806118097</v>
      </c>
      <c r="AY176" s="102">
        <f t="shared" si="22"/>
        <v>1</v>
      </c>
      <c r="AZ176" s="102">
        <f t="shared" si="23"/>
        <v>0</v>
      </c>
    </row>
    <row r="177" spans="1:52" x14ac:dyDescent="0.35">
      <c r="A177" t="s">
        <v>1017</v>
      </c>
      <c r="B177">
        <v>2050</v>
      </c>
      <c r="C177" t="s">
        <v>837</v>
      </c>
      <c r="D177" t="s">
        <v>1018</v>
      </c>
      <c r="E177" t="s">
        <v>1023</v>
      </c>
      <c r="F177" t="s">
        <v>983</v>
      </c>
      <c r="G177" t="s">
        <v>978</v>
      </c>
      <c r="H177" s="198">
        <v>27332.098742040002</v>
      </c>
      <c r="I177" s="198">
        <v>14711</v>
      </c>
      <c r="J177" s="198">
        <v>0</v>
      </c>
      <c r="K177" s="198">
        <v>0</v>
      </c>
      <c r="L177" s="198">
        <v>120</v>
      </c>
      <c r="M177" s="198">
        <v>0</v>
      </c>
      <c r="N177" s="198">
        <v>0</v>
      </c>
      <c r="O177" s="198">
        <v>150</v>
      </c>
      <c r="P177" s="198">
        <v>0</v>
      </c>
      <c r="Q177" s="198">
        <v>0</v>
      </c>
      <c r="R177" s="198">
        <v>44</v>
      </c>
      <c r="S177" s="198">
        <v>5789</v>
      </c>
      <c r="T177" s="198">
        <v>506</v>
      </c>
      <c r="U177" s="198">
        <v>2000</v>
      </c>
      <c r="V177" s="198">
        <v>1920</v>
      </c>
      <c r="W177" s="198">
        <v>0</v>
      </c>
      <c r="X177" s="198">
        <v>0</v>
      </c>
      <c r="Y177" s="198">
        <v>186</v>
      </c>
      <c r="Z177" s="277">
        <v>52758.098742040005</v>
      </c>
      <c r="AA177" s="272">
        <v>15.546891690000001</v>
      </c>
      <c r="AB177" s="198">
        <v>8.6396811773247784</v>
      </c>
      <c r="AC177" s="272">
        <v>0</v>
      </c>
      <c r="AD177" s="198">
        <v>0</v>
      </c>
      <c r="AE177" s="198">
        <v>8.6396811773247784</v>
      </c>
      <c r="AF177" s="198">
        <v>646.7279576090848</v>
      </c>
      <c r="AG177" s="198">
        <v>0.28431301083508742</v>
      </c>
      <c r="AH177" s="198">
        <v>1.5022608513682906E-3</v>
      </c>
      <c r="AI177" s="198">
        <v>655.65544699668021</v>
      </c>
      <c r="AJ177" s="198">
        <v>0.27588234600861317</v>
      </c>
      <c r="AK177" s="198">
        <v>6.4379224346336246</v>
      </c>
      <c r="AL177" s="198">
        <v>0.30141724426036826</v>
      </c>
      <c r="AM177" s="198">
        <v>5.4178515353149596E-2</v>
      </c>
      <c r="AN177" s="198">
        <v>2.2276783763133527E-2</v>
      </c>
      <c r="AO177" s="198">
        <v>4.4604583115682916E-3</v>
      </c>
      <c r="AP177" s="198">
        <v>3.7014951509287842E-3</v>
      </c>
      <c r="AQ177" s="198">
        <v>3.515764468787362E-3</v>
      </c>
      <c r="AS177" s="258">
        <f t="shared" si="16"/>
        <v>70774.989462446669</v>
      </c>
      <c r="AT177" s="3">
        <f t="shared" si="17"/>
        <v>15.129398463148883</v>
      </c>
      <c r="AU177" s="3">
        <f t="shared" si="18"/>
        <v>5.8398606799547759</v>
      </c>
      <c r="AV177" s="3">
        <f t="shared" si="19"/>
        <v>0</v>
      </c>
      <c r="AW177" s="3">
        <f t="shared" si="20"/>
        <v>0</v>
      </c>
      <c r="AX177" s="3">
        <f t="shared" si="21"/>
        <v>5.8398606799547759</v>
      </c>
      <c r="AY177" s="102">
        <f t="shared" si="22"/>
        <v>1</v>
      </c>
      <c r="AZ177" s="102">
        <f t="shared" si="23"/>
        <v>0</v>
      </c>
    </row>
    <row r="178" spans="1:52" x14ac:dyDescent="0.35">
      <c r="A178" t="s">
        <v>1020</v>
      </c>
      <c r="B178">
        <v>2050</v>
      </c>
      <c r="C178" t="s">
        <v>837</v>
      </c>
      <c r="D178" t="s">
        <v>1018</v>
      </c>
      <c r="E178" t="s">
        <v>1023</v>
      </c>
      <c r="F178" t="s">
        <v>983</v>
      </c>
      <c r="G178" t="s">
        <v>978</v>
      </c>
      <c r="H178" s="198">
        <v>27332.098742040002</v>
      </c>
      <c r="I178" s="198">
        <v>15009</v>
      </c>
      <c r="J178" s="198">
        <v>0</v>
      </c>
      <c r="K178" s="198">
        <v>0</v>
      </c>
      <c r="L178" s="198">
        <v>150</v>
      </c>
      <c r="M178" s="198">
        <v>766.43517586999997</v>
      </c>
      <c r="N178" s="198">
        <v>28.89</v>
      </c>
      <c r="O178" s="198">
        <v>150</v>
      </c>
      <c r="P178" s="198">
        <v>750.86288969999998</v>
      </c>
      <c r="Q178" s="198">
        <v>0</v>
      </c>
      <c r="R178" s="198">
        <v>0</v>
      </c>
      <c r="S178" s="198">
        <v>5882</v>
      </c>
      <c r="T178" s="198">
        <v>392</v>
      </c>
      <c r="U178" s="198">
        <v>2000</v>
      </c>
      <c r="V178" s="198">
        <v>4720</v>
      </c>
      <c r="W178" s="198">
        <v>60.668999999999997</v>
      </c>
      <c r="X178" s="198">
        <v>1500</v>
      </c>
      <c r="Y178" s="198">
        <v>186</v>
      </c>
      <c r="Z178" s="277">
        <v>58927.955807610007</v>
      </c>
      <c r="AA178" s="272">
        <v>21.960704</v>
      </c>
      <c r="AB178" s="198">
        <v>6.1163880493084379</v>
      </c>
      <c r="AC178" s="272">
        <v>0</v>
      </c>
      <c r="AD178" s="198">
        <v>0</v>
      </c>
      <c r="AE178" s="198">
        <v>6.1163880493084379</v>
      </c>
      <c r="AF178" s="198">
        <v>457.84550030105373</v>
      </c>
      <c r="AG178" s="198">
        <v>0.20127695293879924</v>
      </c>
      <c r="AH178" s="198">
        <v>1.0635126609033119E-3</v>
      </c>
      <c r="AI178" s="198">
        <v>464.16563969970741</v>
      </c>
      <c r="AJ178" s="198">
        <v>0.19530853621901248</v>
      </c>
      <c r="AK178" s="198">
        <v>4.557671866979768</v>
      </c>
      <c r="AL178" s="198">
        <v>0.21338574801674023</v>
      </c>
      <c r="AM178" s="198">
        <v>3.8355214392053132E-2</v>
      </c>
      <c r="AN178" s="198">
        <v>1.5770657642258989E-2</v>
      </c>
      <c r="AO178" s="198">
        <v>3.1577431332671531E-3</v>
      </c>
      <c r="AP178" s="198">
        <v>2.6204416854099946E-3</v>
      </c>
      <c r="AQ178" s="198">
        <v>2.4889552449587913E-3</v>
      </c>
      <c r="AS178" s="258">
        <f t="shared" si="16"/>
        <v>79051.852715908826</v>
      </c>
      <c r="AT178" s="3">
        <f t="shared" si="17"/>
        <v>10.710727636118959</v>
      </c>
      <c r="AU178" s="3">
        <f t="shared" si="18"/>
        <v>4.1342791868578841</v>
      </c>
      <c r="AV178" s="3">
        <f t="shared" si="19"/>
        <v>0</v>
      </c>
      <c r="AW178" s="3">
        <f t="shared" si="20"/>
        <v>0</v>
      </c>
      <c r="AX178" s="3">
        <f t="shared" si="21"/>
        <v>4.1342791868578841</v>
      </c>
      <c r="AY178" s="102">
        <f t="shared" si="22"/>
        <v>1</v>
      </c>
      <c r="AZ178" s="102">
        <f t="shared" si="23"/>
        <v>0</v>
      </c>
    </row>
    <row r="179" spans="1:52" x14ac:dyDescent="0.35">
      <c r="A179" t="s">
        <v>1021</v>
      </c>
      <c r="B179">
        <v>2050</v>
      </c>
      <c r="C179" t="s">
        <v>837</v>
      </c>
      <c r="D179" t="s">
        <v>1018</v>
      </c>
      <c r="E179" t="s">
        <v>1023</v>
      </c>
      <c r="F179" t="s">
        <v>983</v>
      </c>
      <c r="G179" t="s">
        <v>978</v>
      </c>
      <c r="H179" s="198">
        <v>27332.098742040002</v>
      </c>
      <c r="I179" s="198">
        <v>9929</v>
      </c>
      <c r="J179" s="198">
        <v>0</v>
      </c>
      <c r="K179" s="198">
        <v>0</v>
      </c>
      <c r="L179" s="198">
        <v>0</v>
      </c>
      <c r="M179" s="198">
        <v>4092.4012499999999</v>
      </c>
      <c r="N179" s="198">
        <v>28.89</v>
      </c>
      <c r="O179" s="198">
        <v>0</v>
      </c>
      <c r="P179" s="198">
        <v>2642.734567</v>
      </c>
      <c r="Q179" s="198">
        <v>0</v>
      </c>
      <c r="R179" s="198">
        <v>924.1173953</v>
      </c>
      <c r="S179" s="198">
        <v>1500</v>
      </c>
      <c r="T179" s="198">
        <v>0</v>
      </c>
      <c r="U179" s="198">
        <v>2000</v>
      </c>
      <c r="V179" s="198">
        <v>4720</v>
      </c>
      <c r="W179" s="198">
        <v>60.668999999999997</v>
      </c>
      <c r="X179" s="198">
        <v>1500</v>
      </c>
      <c r="Y179" s="198">
        <v>186</v>
      </c>
      <c r="Z179" s="277">
        <v>54915.910954340012</v>
      </c>
      <c r="AA179" s="272">
        <v>154.88440270000004</v>
      </c>
      <c r="AB179" s="198">
        <v>0.8672286244352736</v>
      </c>
      <c r="AC179" s="272">
        <v>406.40000000000003</v>
      </c>
      <c r="AD179" s="198">
        <v>1.4630400000000001</v>
      </c>
      <c r="AE179" s="198">
        <v>2.3302686244352735</v>
      </c>
      <c r="AF179" s="198">
        <v>64.916862734838503</v>
      </c>
      <c r="AG179" s="198">
        <v>2.853859722771749E-2</v>
      </c>
      <c r="AH179" s="198">
        <v>1.5079301943390582E-4</v>
      </c>
      <c r="AI179" s="198">
        <v>65.812980795489239</v>
      </c>
      <c r="AJ179" s="198">
        <v>2.7692349118501727E-2</v>
      </c>
      <c r="AK179" s="198">
        <v>0.64622183418776247</v>
      </c>
      <c r="AL179" s="198">
        <v>3.0255475492202148E-2</v>
      </c>
      <c r="AM179" s="198">
        <v>2.706844271366865E-2</v>
      </c>
      <c r="AN179" s="198">
        <v>7.7637890476417127E-3</v>
      </c>
      <c r="AO179" s="198">
        <v>4.4772915186322041E-4</v>
      </c>
      <c r="AP179" s="198">
        <v>1.1618785060845795E-3</v>
      </c>
      <c r="AQ179" s="198">
        <v>1.3410005570370443E-3</v>
      </c>
      <c r="AS179" s="258">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102">
        <f t="shared" si="22"/>
        <v>0.39202606343467716</v>
      </c>
      <c r="AZ179" s="102">
        <f t="shared" si="23"/>
        <v>0.60797393656532284</v>
      </c>
    </row>
    <row r="180" spans="1:52" x14ac:dyDescent="0.35">
      <c r="A180" t="s">
        <v>246</v>
      </c>
      <c r="B180">
        <v>2050</v>
      </c>
      <c r="C180" t="s">
        <v>837</v>
      </c>
      <c r="D180" t="s">
        <v>1018</v>
      </c>
      <c r="E180" t="s">
        <v>1023</v>
      </c>
      <c r="F180" t="s">
        <v>977</v>
      </c>
      <c r="G180" t="s">
        <v>978</v>
      </c>
      <c r="H180" s="198">
        <v>27332.098742040002</v>
      </c>
      <c r="I180" s="198">
        <v>0</v>
      </c>
      <c r="J180" s="198">
        <v>0</v>
      </c>
      <c r="K180" s="198">
        <v>0</v>
      </c>
      <c r="L180" s="198">
        <v>0</v>
      </c>
      <c r="M180" s="198">
        <v>8645.3062499999996</v>
      </c>
      <c r="N180" s="198">
        <v>28.89</v>
      </c>
      <c r="O180" s="198">
        <v>0</v>
      </c>
      <c r="P180" s="198">
        <v>2629.9418838000001</v>
      </c>
      <c r="Q180" s="198">
        <v>0</v>
      </c>
      <c r="R180" s="198">
        <v>0</v>
      </c>
      <c r="S180" s="198">
        <v>1500</v>
      </c>
      <c r="T180" s="198">
        <v>0</v>
      </c>
      <c r="U180" s="198">
        <v>2000</v>
      </c>
      <c r="V180" s="198">
        <v>4500</v>
      </c>
      <c r="W180" s="198">
        <v>60.668999999999997</v>
      </c>
      <c r="X180" s="198">
        <v>1500</v>
      </c>
      <c r="Y180" s="198">
        <v>186</v>
      </c>
      <c r="Z180" s="277">
        <v>48382.905875839999</v>
      </c>
      <c r="AA180" s="272">
        <v>0</v>
      </c>
      <c r="AB180" s="198">
        <v>0</v>
      </c>
      <c r="AC180" s="272">
        <v>485</v>
      </c>
      <c r="AD180" s="198">
        <v>1.746</v>
      </c>
      <c r="AE180" s="198">
        <v>1.746</v>
      </c>
      <c r="AF180" s="198">
        <v>0</v>
      </c>
      <c r="AG180" s="198">
        <v>0</v>
      </c>
      <c r="AH180" s="198">
        <v>0</v>
      </c>
      <c r="AI180" s="198">
        <v>0</v>
      </c>
      <c r="AJ180" s="198">
        <v>0</v>
      </c>
      <c r="AK180" s="198">
        <v>0</v>
      </c>
      <c r="AL180" s="198">
        <v>0</v>
      </c>
      <c r="AM180" s="198">
        <v>2.581353413302178E-2</v>
      </c>
      <c r="AN180" s="198">
        <v>6.5967920562166596E-3</v>
      </c>
      <c r="AO180" s="198">
        <v>0</v>
      </c>
      <c r="AP180" s="198">
        <v>9.4318667643571391E-4</v>
      </c>
      <c r="AQ180" s="198">
        <v>1.1792007699838159E-3</v>
      </c>
      <c r="AS180" s="258">
        <f t="shared" si="16"/>
        <v>64905.668232439355</v>
      </c>
      <c r="AT180" s="3">
        <f t="shared" si="17"/>
        <v>0</v>
      </c>
      <c r="AU180" s="3">
        <f t="shared" si="18"/>
        <v>0</v>
      </c>
      <c r="AV180" s="3">
        <f t="shared" si="19"/>
        <v>30.136577727515629</v>
      </c>
      <c r="AW180" s="3">
        <f t="shared" si="20"/>
        <v>1.0849167981905627</v>
      </c>
      <c r="AX180" s="3">
        <f t="shared" si="21"/>
        <v>1.0849167981905627</v>
      </c>
      <c r="AY180" s="102">
        <f t="shared" si="22"/>
        <v>0</v>
      </c>
      <c r="AZ180" s="102">
        <f t="shared" si="23"/>
        <v>1</v>
      </c>
    </row>
    <row r="181" spans="1:52" x14ac:dyDescent="0.35">
      <c r="A181" t="s">
        <v>627</v>
      </c>
      <c r="B181">
        <v>2050</v>
      </c>
      <c r="C181" t="s">
        <v>837</v>
      </c>
      <c r="D181" t="s">
        <v>1018</v>
      </c>
      <c r="E181" t="s">
        <v>1023</v>
      </c>
      <c r="F181" t="s">
        <v>989</v>
      </c>
      <c r="G181" t="s">
        <v>978</v>
      </c>
      <c r="H181" s="198">
        <v>27332.098742040002</v>
      </c>
      <c r="I181" s="198">
        <v>0</v>
      </c>
      <c r="J181" s="198">
        <v>14727.674552</v>
      </c>
      <c r="K181" s="198">
        <v>4481.6150610000004</v>
      </c>
      <c r="L181" s="198">
        <v>0</v>
      </c>
      <c r="M181" s="198">
        <v>2107.6967336000002</v>
      </c>
      <c r="N181" s="198">
        <v>28.89</v>
      </c>
      <c r="O181" s="198">
        <v>0</v>
      </c>
      <c r="P181" s="198">
        <v>2629.9418838000001</v>
      </c>
      <c r="Q181" s="198">
        <v>0</v>
      </c>
      <c r="R181" s="198">
        <v>0</v>
      </c>
      <c r="S181" s="198">
        <v>1500</v>
      </c>
      <c r="T181" s="198">
        <v>0</v>
      </c>
      <c r="U181" s="198">
        <v>2000</v>
      </c>
      <c r="V181" s="198">
        <v>4500</v>
      </c>
      <c r="W181" s="198">
        <v>60.668999999999997</v>
      </c>
      <c r="X181" s="198">
        <v>1500</v>
      </c>
      <c r="Y181" s="198">
        <v>186</v>
      </c>
      <c r="Z181" s="277">
        <v>61054.585972440007</v>
      </c>
      <c r="AA181" s="272">
        <v>40.860245769999999</v>
      </c>
      <c r="AB181" s="198">
        <v>3.2873073807749642</v>
      </c>
      <c r="AC181" s="272">
        <v>0</v>
      </c>
      <c r="AD181" s="198">
        <v>0</v>
      </c>
      <c r="AE181" s="198">
        <v>3.2873073807749642</v>
      </c>
      <c r="AF181" s="198">
        <v>0</v>
      </c>
      <c r="AG181" s="198">
        <v>0</v>
      </c>
      <c r="AH181" s="198">
        <v>0</v>
      </c>
      <c r="AI181" s="198">
        <v>0</v>
      </c>
      <c r="AJ181" s="198">
        <v>0</v>
      </c>
      <c r="AK181" s="198">
        <v>0</v>
      </c>
      <c r="AL181" s="198">
        <v>0</v>
      </c>
      <c r="AM181" s="198">
        <v>3.0731666794031803E-2</v>
      </c>
      <c r="AN181" s="198">
        <v>7.8536481806970298E-3</v>
      </c>
      <c r="AO181" s="198">
        <v>0</v>
      </c>
      <c r="AP181" s="198">
        <v>1.1228876493789783E-3</v>
      </c>
      <c r="AQ181" s="198">
        <v>1.4038684110305693E-3</v>
      </c>
      <c r="AS181" s="258">
        <f t="shared" si="16"/>
        <v>81904.727082028257</v>
      </c>
      <c r="AT181" s="3">
        <f t="shared" si="17"/>
        <v>5.7565762224104251</v>
      </c>
      <c r="AU181" s="3">
        <f t="shared" si="18"/>
        <v>2.2220052710159379</v>
      </c>
      <c r="AV181" s="3">
        <f t="shared" si="19"/>
        <v>0</v>
      </c>
      <c r="AW181" s="3">
        <f t="shared" si="20"/>
        <v>0</v>
      </c>
      <c r="AX181" s="3">
        <f t="shared" si="21"/>
        <v>2.2220052710159379</v>
      </c>
      <c r="AY181" s="102">
        <f t="shared" si="22"/>
        <v>1</v>
      </c>
      <c r="AZ181" s="102">
        <f t="shared" si="23"/>
        <v>0</v>
      </c>
    </row>
    <row r="182" spans="1:52" x14ac:dyDescent="0.35">
      <c r="A182" t="s">
        <v>1065</v>
      </c>
      <c r="B182">
        <v>2050</v>
      </c>
      <c r="C182" t="s">
        <v>837</v>
      </c>
      <c r="D182" t="s">
        <v>1018</v>
      </c>
      <c r="E182" t="s">
        <v>1023</v>
      </c>
      <c r="F182" t="s">
        <v>989</v>
      </c>
      <c r="G182" t="s">
        <v>978</v>
      </c>
      <c r="H182" s="198">
        <v>27332.098742040002</v>
      </c>
      <c r="I182" s="198">
        <v>0</v>
      </c>
      <c r="J182" s="198">
        <v>3374.9263280000005</v>
      </c>
      <c r="K182" s="198">
        <v>4518.5669100000005</v>
      </c>
      <c r="L182" s="198">
        <v>0</v>
      </c>
      <c r="M182" s="198">
        <v>1146.915</v>
      </c>
      <c r="N182" s="198">
        <v>28.89</v>
      </c>
      <c r="O182" s="198">
        <v>0</v>
      </c>
      <c r="P182" s="198">
        <v>2650.0763112999998</v>
      </c>
      <c r="Q182" s="198">
        <v>0</v>
      </c>
      <c r="R182" s="198">
        <v>0</v>
      </c>
      <c r="S182" s="198">
        <v>1500</v>
      </c>
      <c r="T182" s="198">
        <v>0</v>
      </c>
      <c r="U182" s="198">
        <v>2000</v>
      </c>
      <c r="V182" s="198">
        <v>4500</v>
      </c>
      <c r="W182" s="198">
        <v>60.668999999999997</v>
      </c>
      <c r="X182" s="198">
        <v>1500</v>
      </c>
      <c r="Y182" s="198">
        <v>186</v>
      </c>
      <c r="Z182" s="277">
        <v>48798.142291340002</v>
      </c>
      <c r="AA182" s="272">
        <v>44.070382649999999</v>
      </c>
      <c r="AB182" s="198">
        <v>3.0478561660503307</v>
      </c>
      <c r="AC182" s="272">
        <v>0</v>
      </c>
      <c r="AD182" s="198">
        <v>0</v>
      </c>
      <c r="AE182" s="198">
        <v>3.0478561660503307</v>
      </c>
      <c r="AF182" s="198">
        <v>0</v>
      </c>
      <c r="AG182" s="198">
        <v>0</v>
      </c>
      <c r="AH182" s="198">
        <v>0</v>
      </c>
      <c r="AI182" s="198">
        <v>0</v>
      </c>
      <c r="AJ182" s="198">
        <v>0</v>
      </c>
      <c r="AK182" s="198">
        <v>0</v>
      </c>
      <c r="AL182" s="198">
        <v>0</v>
      </c>
      <c r="AM182" s="198">
        <v>2.8493137173291314E-2</v>
      </c>
      <c r="AN182" s="198">
        <v>7.2815794998411249E-3</v>
      </c>
      <c r="AO182" s="198">
        <v>0</v>
      </c>
      <c r="AP182" s="198">
        <v>1.0410952337334117E-3</v>
      </c>
      <c r="AQ182" s="198">
        <v>1.301609036595203E-3</v>
      </c>
      <c r="AS182" s="258">
        <f t="shared" si="16"/>
        <v>65462.707883832605</v>
      </c>
      <c r="AT182" s="3">
        <f t="shared" si="17"/>
        <v>5.3372606521134474</v>
      </c>
      <c r="AU182" s="3">
        <f t="shared" si="18"/>
        <v>2.0601518756258557</v>
      </c>
      <c r="AV182" s="3">
        <f t="shared" si="19"/>
        <v>0</v>
      </c>
      <c r="AW182" s="3">
        <f t="shared" si="20"/>
        <v>0</v>
      </c>
      <c r="AX182" s="3">
        <f t="shared" si="21"/>
        <v>2.0601518756258557</v>
      </c>
      <c r="AY182" s="102">
        <f t="shared" si="22"/>
        <v>1</v>
      </c>
      <c r="AZ182" s="102">
        <f t="shared" si="23"/>
        <v>0</v>
      </c>
    </row>
    <row r="183" spans="1:52" x14ac:dyDescent="0.35">
      <c r="A183" t="s">
        <v>1017</v>
      </c>
      <c r="B183">
        <v>2021</v>
      </c>
      <c r="C183" t="s">
        <v>837</v>
      </c>
      <c r="D183" t="s">
        <v>1024</v>
      </c>
      <c r="E183" t="s">
        <v>1023</v>
      </c>
      <c r="F183" t="s">
        <v>983</v>
      </c>
      <c r="G183" t="s">
        <v>978</v>
      </c>
      <c r="H183" s="198">
        <v>27000</v>
      </c>
      <c r="I183" s="198">
        <v>12954</v>
      </c>
      <c r="J183" s="198">
        <v>0</v>
      </c>
      <c r="K183" s="198">
        <v>0</v>
      </c>
      <c r="L183" s="198">
        <v>120</v>
      </c>
      <c r="M183" s="198">
        <v>0</v>
      </c>
      <c r="N183" s="198">
        <v>0</v>
      </c>
      <c r="O183" s="198">
        <v>150</v>
      </c>
      <c r="P183" s="198">
        <v>0</v>
      </c>
      <c r="Q183" s="198">
        <v>0</v>
      </c>
      <c r="R183" s="198">
        <v>104.8</v>
      </c>
      <c r="S183" s="198">
        <v>5375</v>
      </c>
      <c r="T183" s="198">
        <v>506</v>
      </c>
      <c r="U183" s="198">
        <v>2000</v>
      </c>
      <c r="V183" s="198">
        <v>1920</v>
      </c>
      <c r="W183" s="198">
        <v>0</v>
      </c>
      <c r="X183" s="198">
        <v>0</v>
      </c>
      <c r="Y183" s="198">
        <v>186</v>
      </c>
      <c r="Z183" s="277">
        <v>50315.8</v>
      </c>
      <c r="AA183" s="272">
        <v>12.22535295</v>
      </c>
      <c r="AB183" s="198">
        <v>10.987019192766949</v>
      </c>
      <c r="AC183" s="272">
        <v>0</v>
      </c>
      <c r="AD183" s="198">
        <v>0</v>
      </c>
      <c r="AE183" s="198">
        <v>10.987019192766949</v>
      </c>
      <c r="AF183" s="198">
        <v>822.43920081205954</v>
      </c>
      <c r="AG183" s="198">
        <v>0.36155877082558185</v>
      </c>
      <c r="AH183" s="198">
        <v>1.9104141076229629E-3</v>
      </c>
      <c r="AI183" s="198">
        <v>833.79222359514176</v>
      </c>
      <c r="AJ183" s="198">
        <v>0.35083755619333784</v>
      </c>
      <c r="AK183" s="198">
        <v>8.1870587466245777</v>
      </c>
      <c r="AL183" s="198">
        <v>0.38331009903597263</v>
      </c>
      <c r="AM183" s="198">
        <v>6.889842064808599E-2</v>
      </c>
      <c r="AN183" s="198">
        <v>2.8329222541340831E-2</v>
      </c>
      <c r="AO183" s="198">
        <v>5.6723321233611108E-3</v>
      </c>
      <c r="AP183" s="198">
        <v>4.7071642379494672E-3</v>
      </c>
      <c r="AQ183" s="198">
        <v>4.4709718915548783E-3</v>
      </c>
      <c r="AS183" s="258">
        <f t="shared" si="16"/>
        <v>67498.645699999994</v>
      </c>
      <c r="AT183" s="3">
        <f t="shared" si="17"/>
        <v>19.239945071804911</v>
      </c>
      <c r="AU183" s="3">
        <f t="shared" si="18"/>
        <v>7.4265079991777796</v>
      </c>
      <c r="AV183" s="3">
        <f t="shared" si="19"/>
        <v>0</v>
      </c>
      <c r="AW183" s="3">
        <f t="shared" si="20"/>
        <v>0</v>
      </c>
      <c r="AX183" s="3">
        <f t="shared" si="21"/>
        <v>7.4265079991777796</v>
      </c>
      <c r="AY183" s="102">
        <f t="shared" si="22"/>
        <v>1</v>
      </c>
      <c r="AZ183" s="102">
        <f t="shared" si="23"/>
        <v>0</v>
      </c>
    </row>
    <row r="184" spans="1:52" x14ac:dyDescent="0.35">
      <c r="A184" t="s">
        <v>1020</v>
      </c>
      <c r="B184">
        <v>2021</v>
      </c>
      <c r="C184" t="s">
        <v>837</v>
      </c>
      <c r="D184" t="s">
        <v>1024</v>
      </c>
      <c r="E184" t="s">
        <v>1023</v>
      </c>
      <c r="F184" t="s">
        <v>983</v>
      </c>
      <c r="G184" t="s">
        <v>978</v>
      </c>
      <c r="H184" s="198">
        <v>27000</v>
      </c>
      <c r="I184" s="198">
        <v>12481</v>
      </c>
      <c r="J184" s="198">
        <v>0</v>
      </c>
      <c r="K184" s="198">
        <v>0</v>
      </c>
      <c r="L184" s="198">
        <v>150</v>
      </c>
      <c r="M184" s="198">
        <v>830.50251259999993</v>
      </c>
      <c r="N184" s="198">
        <v>75</v>
      </c>
      <c r="O184" s="198">
        <v>150</v>
      </c>
      <c r="P184" s="198">
        <v>1973.4798420000002</v>
      </c>
      <c r="Q184" s="198">
        <v>0</v>
      </c>
      <c r="R184" s="198">
        <v>0</v>
      </c>
      <c r="S184" s="198">
        <v>5146</v>
      </c>
      <c r="T184" s="198">
        <v>392</v>
      </c>
      <c r="U184" s="198">
        <v>2000</v>
      </c>
      <c r="V184" s="198">
        <v>4720</v>
      </c>
      <c r="W184" s="198">
        <v>225</v>
      </c>
      <c r="X184" s="198">
        <v>1500</v>
      </c>
      <c r="Y184" s="198">
        <v>186</v>
      </c>
      <c r="Z184" s="277">
        <v>56828.982354599997</v>
      </c>
      <c r="AA184" s="272">
        <v>16.265344450000001</v>
      </c>
      <c r="AB184" s="198">
        <v>8.2580598223974295</v>
      </c>
      <c r="AC184" s="272">
        <v>0</v>
      </c>
      <c r="AD184" s="198">
        <v>0</v>
      </c>
      <c r="AE184" s="198">
        <v>8.2580598223974295</v>
      </c>
      <c r="AF184" s="198">
        <v>618.16148688098349</v>
      </c>
      <c r="AG184" s="198">
        <v>0.27175468672665587</v>
      </c>
      <c r="AH184" s="198">
        <v>1.4359048354706072E-3</v>
      </c>
      <c r="AI184" s="198">
        <v>626.69464220389898</v>
      </c>
      <c r="AJ184" s="198">
        <v>0.26369641084231776</v>
      </c>
      <c r="AK184" s="198">
        <v>6.1535544548440271</v>
      </c>
      <c r="AL184" s="198">
        <v>0.28810341302143277</v>
      </c>
      <c r="AM184" s="198">
        <v>5.1785408708047299E-2</v>
      </c>
      <c r="AN184" s="198">
        <v>2.1292801110460811E-2</v>
      </c>
      <c r="AO184" s="198">
        <v>4.2634364412560913E-3</v>
      </c>
      <c r="AP184" s="198">
        <v>3.5379972664858019E-3</v>
      </c>
      <c r="AQ184" s="198">
        <v>3.3604704512597951E-3</v>
      </c>
      <c r="AS184" s="258">
        <f t="shared" si="16"/>
        <v>76236.079828695889</v>
      </c>
      <c r="AT184" s="3">
        <f t="shared" si="17"/>
        <v>14.461121310064119</v>
      </c>
      <c r="AU184" s="3">
        <f t="shared" si="18"/>
        <v>5.5819095473226614</v>
      </c>
      <c r="AV184" s="3">
        <f t="shared" si="19"/>
        <v>0</v>
      </c>
      <c r="AW184" s="3">
        <f t="shared" si="20"/>
        <v>0</v>
      </c>
      <c r="AX184" s="3">
        <f t="shared" si="21"/>
        <v>5.5819095473226614</v>
      </c>
      <c r="AY184" s="102">
        <f t="shared" si="22"/>
        <v>1</v>
      </c>
      <c r="AZ184" s="102">
        <f t="shared" si="23"/>
        <v>0</v>
      </c>
    </row>
    <row r="185" spans="1:52" x14ac:dyDescent="0.35">
      <c r="A185" t="s">
        <v>1021</v>
      </c>
      <c r="B185">
        <v>2021</v>
      </c>
      <c r="C185" t="s">
        <v>837</v>
      </c>
      <c r="D185" t="s">
        <v>1024</v>
      </c>
      <c r="E185" t="s">
        <v>1023</v>
      </c>
      <c r="F185" t="s">
        <v>983</v>
      </c>
      <c r="G185" t="s">
        <v>978</v>
      </c>
      <c r="H185" s="198">
        <v>27000</v>
      </c>
      <c r="I185" s="198">
        <v>11166</v>
      </c>
      <c r="J185" s="198">
        <v>0</v>
      </c>
      <c r="K185" s="198">
        <v>0</v>
      </c>
      <c r="L185" s="198">
        <v>0</v>
      </c>
      <c r="M185" s="198">
        <v>13345.92</v>
      </c>
      <c r="N185" s="198">
        <v>75</v>
      </c>
      <c r="O185" s="198">
        <v>0</v>
      </c>
      <c r="P185" s="198">
        <v>5347.3858614000001</v>
      </c>
      <c r="Q185" s="198">
        <v>0</v>
      </c>
      <c r="R185" s="198">
        <v>4062.8598096199999</v>
      </c>
      <c r="S185" s="198">
        <v>1500</v>
      </c>
      <c r="T185" s="198">
        <v>0</v>
      </c>
      <c r="U185" s="198">
        <v>2000</v>
      </c>
      <c r="V185" s="198">
        <v>4720</v>
      </c>
      <c r="W185" s="198">
        <v>225</v>
      </c>
      <c r="X185" s="198">
        <v>1500</v>
      </c>
      <c r="Y185" s="198">
        <v>186</v>
      </c>
      <c r="Z185" s="277">
        <v>71128.16567101999</v>
      </c>
      <c r="AA185" s="272">
        <v>88.643245550000017</v>
      </c>
      <c r="AB185" s="198">
        <v>1.5152895933197246</v>
      </c>
      <c r="AC185" s="272">
        <v>564</v>
      </c>
      <c r="AD185" s="198">
        <v>2.0303999999999998</v>
      </c>
      <c r="AE185" s="198">
        <v>3.5456895933197243</v>
      </c>
      <c r="AF185" s="198">
        <v>113.42781333713643</v>
      </c>
      <c r="AG185" s="198">
        <v>4.9864866274753623E-2</v>
      </c>
      <c r="AH185" s="198">
        <v>2.6347734225475906E-4</v>
      </c>
      <c r="AI185" s="198">
        <v>114.99358081001493</v>
      </c>
      <c r="AJ185" s="198">
        <v>4.8386235476449248E-2</v>
      </c>
      <c r="AK185" s="198">
        <v>1.1291292661820869</v>
      </c>
      <c r="AL185" s="198">
        <v>5.2864730086749606E-2</v>
      </c>
      <c r="AM185" s="198">
        <v>3.9520431640902409E-2</v>
      </c>
      <c r="AN185" s="198">
        <v>1.1578384065677927E-2</v>
      </c>
      <c r="AO185" s="198">
        <v>7.8230734702281553E-4</v>
      </c>
      <c r="AP185" s="198">
        <v>1.7460140597310449E-3</v>
      </c>
      <c r="AQ185" s="198">
        <v>1.9878968995392207E-3</v>
      </c>
      <c r="AS185" s="258">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102">
        <f t="shared" si="22"/>
        <v>0.44807270202140231</v>
      </c>
      <c r="AZ185" s="102">
        <f t="shared" si="23"/>
        <v>0.55192729797859763</v>
      </c>
    </row>
    <row r="186" spans="1:52" x14ac:dyDescent="0.35">
      <c r="A186" t="s">
        <v>246</v>
      </c>
      <c r="B186">
        <v>2021</v>
      </c>
      <c r="C186" t="s">
        <v>837</v>
      </c>
      <c r="D186" t="s">
        <v>1024</v>
      </c>
      <c r="E186" t="s">
        <v>1023</v>
      </c>
      <c r="F186" t="s">
        <v>977</v>
      </c>
      <c r="G186" t="s">
        <v>978</v>
      </c>
      <c r="H186" s="198">
        <v>27000</v>
      </c>
      <c r="I186" s="198">
        <v>0</v>
      </c>
      <c r="J186" s="198">
        <v>0</v>
      </c>
      <c r="K186" s="198">
        <v>0</v>
      </c>
      <c r="L186" s="198">
        <v>0</v>
      </c>
      <c r="M186" s="198">
        <v>27525.96</v>
      </c>
      <c r="N186" s="198">
        <v>75</v>
      </c>
      <c r="O186" s="198">
        <v>0</v>
      </c>
      <c r="P186" s="198">
        <v>5341.9032981</v>
      </c>
      <c r="Q186" s="198">
        <v>0</v>
      </c>
      <c r="R186" s="198">
        <v>0</v>
      </c>
      <c r="S186" s="198">
        <v>1500</v>
      </c>
      <c r="T186" s="198">
        <v>0</v>
      </c>
      <c r="U186" s="198">
        <v>2000</v>
      </c>
      <c r="V186" s="198">
        <v>4500</v>
      </c>
      <c r="W186" s="198">
        <v>225</v>
      </c>
      <c r="X186" s="198">
        <v>1500</v>
      </c>
      <c r="Y186" s="198">
        <v>186</v>
      </c>
      <c r="Z186" s="277">
        <v>69853.863298099997</v>
      </c>
      <c r="AA186" s="272">
        <v>0</v>
      </c>
      <c r="AB186" s="198">
        <v>0</v>
      </c>
      <c r="AC186" s="272">
        <v>690</v>
      </c>
      <c r="AD186" s="198">
        <v>2.484</v>
      </c>
      <c r="AE186" s="198">
        <v>2.484</v>
      </c>
      <c r="AF186" s="198">
        <v>0</v>
      </c>
      <c r="AG186" s="198">
        <v>0</v>
      </c>
      <c r="AH186" s="198">
        <v>0</v>
      </c>
      <c r="AI186" s="198">
        <v>0</v>
      </c>
      <c r="AJ186" s="198">
        <v>0</v>
      </c>
      <c r="AK186" s="198">
        <v>0</v>
      </c>
      <c r="AL186" s="198">
        <v>0</v>
      </c>
      <c r="AM186" s="198">
        <v>3.6724409385123766E-2</v>
      </c>
      <c r="AN186" s="198">
        <v>9.3851268428649381E-3</v>
      </c>
      <c r="AO186" s="198">
        <v>0</v>
      </c>
      <c r="AP186" s="198">
        <v>1.3418532097745207E-3</v>
      </c>
      <c r="AQ186" s="198">
        <v>1.677625837708934E-3</v>
      </c>
      <c r="AS186" s="258">
        <f t="shared" si="16"/>
        <v>93708.957614401137</v>
      </c>
      <c r="AT186" s="3">
        <f t="shared" si="17"/>
        <v>0</v>
      </c>
      <c r="AU186" s="3">
        <f t="shared" si="18"/>
        <v>0</v>
      </c>
      <c r="AV186" s="3">
        <f t="shared" si="19"/>
        <v>42.874718828836663</v>
      </c>
      <c r="AW186" s="3">
        <f t="shared" si="20"/>
        <v>1.5434898778381199</v>
      </c>
      <c r="AX186" s="3">
        <f t="shared" si="21"/>
        <v>1.5434898778381199</v>
      </c>
      <c r="AY186" s="102">
        <f t="shared" si="22"/>
        <v>0</v>
      </c>
      <c r="AZ186" s="102">
        <f t="shared" si="23"/>
        <v>1</v>
      </c>
    </row>
    <row r="187" spans="1:52" x14ac:dyDescent="0.35">
      <c r="A187" t="s">
        <v>627</v>
      </c>
      <c r="B187">
        <v>2021</v>
      </c>
      <c r="C187" t="s">
        <v>837</v>
      </c>
      <c r="D187" t="s">
        <v>1024</v>
      </c>
      <c r="E187" t="s">
        <v>1023</v>
      </c>
      <c r="F187" t="s">
        <v>989</v>
      </c>
      <c r="G187" t="s">
        <v>978</v>
      </c>
      <c r="H187" s="198">
        <v>27000</v>
      </c>
      <c r="I187" s="198">
        <v>0</v>
      </c>
      <c r="J187" s="198">
        <v>24679.593232200001</v>
      </c>
      <c r="K187" s="198">
        <v>6703.6085000000003</v>
      </c>
      <c r="L187" s="198">
        <v>0</v>
      </c>
      <c r="M187" s="198">
        <v>1708.4623116</v>
      </c>
      <c r="N187" s="198">
        <v>75</v>
      </c>
      <c r="O187" s="198">
        <v>0</v>
      </c>
      <c r="P187" s="198">
        <v>5341.9032981</v>
      </c>
      <c r="Q187" s="198">
        <v>0</v>
      </c>
      <c r="R187" s="198">
        <v>0</v>
      </c>
      <c r="S187" s="198">
        <v>1500</v>
      </c>
      <c r="T187" s="198">
        <v>0</v>
      </c>
      <c r="U187" s="198">
        <v>2000</v>
      </c>
      <c r="V187" s="198">
        <v>4500</v>
      </c>
      <c r="W187" s="198">
        <v>225</v>
      </c>
      <c r="X187" s="198">
        <v>1500</v>
      </c>
      <c r="Y187" s="198">
        <v>186</v>
      </c>
      <c r="Z187" s="277">
        <v>75419.567341899994</v>
      </c>
      <c r="AA187" s="272">
        <v>30.405066810000005</v>
      </c>
      <c r="AB187" s="198">
        <v>4.4176909177460866</v>
      </c>
      <c r="AC187" s="272">
        <v>0</v>
      </c>
      <c r="AD187" s="198">
        <v>0</v>
      </c>
      <c r="AE187" s="198">
        <v>4.4176909177460866</v>
      </c>
      <c r="AF187" s="198">
        <v>0</v>
      </c>
      <c r="AG187" s="198">
        <v>0</v>
      </c>
      <c r="AH187" s="198">
        <v>0</v>
      </c>
      <c r="AI187" s="198">
        <v>0</v>
      </c>
      <c r="AJ187" s="198">
        <v>0</v>
      </c>
      <c r="AK187" s="198">
        <v>0</v>
      </c>
      <c r="AL187" s="198">
        <v>0</v>
      </c>
      <c r="AM187" s="198">
        <v>4.1299151420147368E-2</v>
      </c>
      <c r="AN187" s="198">
        <v>1.055422758514879E-2</v>
      </c>
      <c r="AO187" s="198">
        <v>0</v>
      </c>
      <c r="AP187" s="198">
        <v>1.5090072195017364E-3</v>
      </c>
      <c r="AQ187" s="198">
        <v>1.8866068823957447E-3</v>
      </c>
      <c r="AS187" s="258">
        <f t="shared" si="16"/>
        <v>101175.34958915884</v>
      </c>
      <c r="AT187" s="3">
        <f t="shared" si="17"/>
        <v>7.7360500705779609</v>
      </c>
      <c r="AU187" s="3">
        <f t="shared" si="18"/>
        <v>2.9860707770616028</v>
      </c>
      <c r="AV187" s="3">
        <f t="shared" si="19"/>
        <v>0</v>
      </c>
      <c r="AW187" s="3">
        <f t="shared" si="20"/>
        <v>0</v>
      </c>
      <c r="AX187" s="3">
        <f t="shared" si="21"/>
        <v>2.9860707770616028</v>
      </c>
      <c r="AY187" s="102">
        <f t="shared" si="22"/>
        <v>1</v>
      </c>
      <c r="AZ187" s="102">
        <f t="shared" si="23"/>
        <v>0</v>
      </c>
    </row>
    <row r="188" spans="1:52" x14ac:dyDescent="0.35">
      <c r="A188" t="s">
        <v>1065</v>
      </c>
      <c r="B188">
        <v>2021</v>
      </c>
      <c r="C188" t="s">
        <v>837</v>
      </c>
      <c r="D188" t="s">
        <v>1024</v>
      </c>
      <c r="E188" t="s">
        <v>1023</v>
      </c>
      <c r="F188" t="s">
        <v>989</v>
      </c>
      <c r="G188" t="s">
        <v>978</v>
      </c>
      <c r="H188" s="198">
        <v>27000</v>
      </c>
      <c r="I188" s="198">
        <v>0</v>
      </c>
      <c r="J188" s="198">
        <v>14007.9324942</v>
      </c>
      <c r="K188" s="198">
        <v>6879.3677000000007</v>
      </c>
      <c r="L188" s="198">
        <v>0</v>
      </c>
      <c r="M188" s="198">
        <v>1459.71</v>
      </c>
      <c r="N188" s="198">
        <v>75</v>
      </c>
      <c r="O188" s="198">
        <v>0</v>
      </c>
      <c r="P188" s="198">
        <v>5352.5597228999995</v>
      </c>
      <c r="Q188" s="198">
        <v>0</v>
      </c>
      <c r="R188" s="198">
        <v>0</v>
      </c>
      <c r="S188" s="198">
        <v>1500</v>
      </c>
      <c r="T188" s="198">
        <v>0</v>
      </c>
      <c r="U188" s="198">
        <v>2000</v>
      </c>
      <c r="V188" s="198">
        <v>4500</v>
      </c>
      <c r="W188" s="198">
        <v>225</v>
      </c>
      <c r="X188" s="198">
        <v>1500</v>
      </c>
      <c r="Y188" s="198">
        <v>186</v>
      </c>
      <c r="Z188" s="277">
        <v>64685.569917100001</v>
      </c>
      <c r="AA188" s="272">
        <v>31.253797559999999</v>
      </c>
      <c r="AB188" s="198">
        <v>4.2977237323604154</v>
      </c>
      <c r="AC188" s="272">
        <v>0</v>
      </c>
      <c r="AD188" s="198">
        <v>0</v>
      </c>
      <c r="AE188" s="198">
        <v>4.2977237323604154</v>
      </c>
      <c r="AF188" s="198">
        <v>0</v>
      </c>
      <c r="AG188" s="198">
        <v>0</v>
      </c>
      <c r="AH188" s="198">
        <v>0</v>
      </c>
      <c r="AI188" s="198">
        <v>0</v>
      </c>
      <c r="AJ188" s="198">
        <v>0</v>
      </c>
      <c r="AK188" s="198">
        <v>0</v>
      </c>
      <c r="AL188" s="198">
        <v>0</v>
      </c>
      <c r="AM188" s="198">
        <v>4.0177628197508801E-2</v>
      </c>
      <c r="AN188" s="198">
        <v>1.0267616094918932E-2</v>
      </c>
      <c r="AO188" s="198">
        <v>0</v>
      </c>
      <c r="AP188" s="198">
        <v>1.4680284927820672E-3</v>
      </c>
      <c r="AQ188" s="198">
        <v>1.8353740275346066E-3</v>
      </c>
      <c r="AS188" s="258">
        <f t="shared" si="16"/>
        <v>86775.692043789648</v>
      </c>
      <c r="AT188" s="3">
        <f t="shared" si="17"/>
        <v>7.5259692454931271</v>
      </c>
      <c r="AU188" s="3">
        <f t="shared" si="18"/>
        <v>2.9049807883873253</v>
      </c>
      <c r="AV188" s="3">
        <f t="shared" si="19"/>
        <v>0</v>
      </c>
      <c r="AW188" s="3">
        <f t="shared" si="20"/>
        <v>0</v>
      </c>
      <c r="AX188" s="3">
        <f t="shared" si="21"/>
        <v>2.9049807883873253</v>
      </c>
      <c r="AY188" s="102">
        <f t="shared" si="22"/>
        <v>1</v>
      </c>
      <c r="AZ188" s="102">
        <f t="shared" si="23"/>
        <v>0</v>
      </c>
    </row>
    <row r="189" spans="1:52" x14ac:dyDescent="0.35">
      <c r="A189" t="s">
        <v>1017</v>
      </c>
      <c r="B189">
        <v>2025</v>
      </c>
      <c r="C189" t="s">
        <v>837</v>
      </c>
      <c r="D189" t="s">
        <v>1024</v>
      </c>
      <c r="E189" t="s">
        <v>1023</v>
      </c>
      <c r="F189" t="s">
        <v>983</v>
      </c>
      <c r="G189" t="s">
        <v>978</v>
      </c>
      <c r="H189" s="198">
        <v>27121.118364744001</v>
      </c>
      <c r="I189" s="198">
        <v>13277</v>
      </c>
      <c r="J189" s="198">
        <v>0</v>
      </c>
      <c r="K189" s="198">
        <v>0</v>
      </c>
      <c r="L189" s="198">
        <v>120</v>
      </c>
      <c r="M189" s="198">
        <v>0</v>
      </c>
      <c r="N189" s="198">
        <v>0</v>
      </c>
      <c r="O189" s="198">
        <v>150</v>
      </c>
      <c r="P189" s="198">
        <v>0</v>
      </c>
      <c r="Q189" s="198">
        <v>0</v>
      </c>
      <c r="R189" s="198">
        <v>92</v>
      </c>
      <c r="S189" s="198">
        <v>5346</v>
      </c>
      <c r="T189" s="198">
        <v>506</v>
      </c>
      <c r="U189" s="198">
        <v>2000</v>
      </c>
      <c r="V189" s="198">
        <v>1920</v>
      </c>
      <c r="W189" s="198">
        <v>0</v>
      </c>
      <c r="X189" s="198">
        <v>0</v>
      </c>
      <c r="Y189" s="198">
        <v>186</v>
      </c>
      <c r="Z189" s="277">
        <v>50718.118364744005</v>
      </c>
      <c r="AA189" s="272">
        <v>13.13628641</v>
      </c>
      <c r="AB189" s="198">
        <v>10.225126288183603</v>
      </c>
      <c r="AC189" s="272">
        <v>0</v>
      </c>
      <c r="AD189" s="198">
        <v>0</v>
      </c>
      <c r="AE189" s="198">
        <v>10.225126288183603</v>
      </c>
      <c r="AF189" s="198">
        <v>765.40729975172269</v>
      </c>
      <c r="AG189" s="198">
        <v>0.33648654174790482</v>
      </c>
      <c r="AH189" s="198">
        <v>1.7779367788883344E-3</v>
      </c>
      <c r="AI189" s="198">
        <v>775.9730491759218</v>
      </c>
      <c r="AJ189" s="198">
        <v>0.32650878784996074</v>
      </c>
      <c r="AK189" s="198">
        <v>7.6193286044430923</v>
      </c>
      <c r="AL189" s="198">
        <v>0.35672952794687268</v>
      </c>
      <c r="AM189" s="198">
        <v>6.4120671842173904E-2</v>
      </c>
      <c r="AN189" s="198">
        <v>2.636473760981187E-2</v>
      </c>
      <c r="AO189" s="198">
        <v>5.2789852545330205E-3</v>
      </c>
      <c r="AP189" s="198">
        <v>4.3807467655959855E-3</v>
      </c>
      <c r="AQ189" s="198">
        <v>4.1609331357283872E-3</v>
      </c>
      <c r="AS189" s="258">
        <f t="shared" si="16"/>
        <v>68038.355786304077</v>
      </c>
      <c r="AT189" s="3">
        <f t="shared" si="17"/>
        <v>17.905754480381198</v>
      </c>
      <c r="AU189" s="3">
        <f t="shared" si="18"/>
        <v>6.9115181141933295</v>
      </c>
      <c r="AV189" s="3">
        <f t="shared" si="19"/>
        <v>0</v>
      </c>
      <c r="AW189" s="3">
        <f t="shared" si="20"/>
        <v>0</v>
      </c>
      <c r="AX189" s="3">
        <f t="shared" si="21"/>
        <v>6.9115181141933295</v>
      </c>
      <c r="AY189" s="102">
        <f t="shared" si="22"/>
        <v>1</v>
      </c>
      <c r="AZ189" s="102">
        <f t="shared" si="23"/>
        <v>0</v>
      </c>
    </row>
    <row r="190" spans="1:52" x14ac:dyDescent="0.35">
      <c r="A190" t="s">
        <v>1020</v>
      </c>
      <c r="B190">
        <v>2025</v>
      </c>
      <c r="C190" t="s">
        <v>837</v>
      </c>
      <c r="D190" t="s">
        <v>1024</v>
      </c>
      <c r="E190" t="s">
        <v>1023</v>
      </c>
      <c r="F190" t="s">
        <v>983</v>
      </c>
      <c r="G190" t="s">
        <v>978</v>
      </c>
      <c r="H190" s="198">
        <v>27121.118364744001</v>
      </c>
      <c r="I190" s="198">
        <v>12560</v>
      </c>
      <c r="J190" s="198">
        <v>0</v>
      </c>
      <c r="K190" s="198">
        <v>0</v>
      </c>
      <c r="L190" s="198">
        <v>150</v>
      </c>
      <c r="M190" s="198">
        <v>806.77386940000008</v>
      </c>
      <c r="N190" s="198">
        <v>50</v>
      </c>
      <c r="O190" s="198">
        <v>150</v>
      </c>
      <c r="P190" s="198">
        <v>1673.6481414999998</v>
      </c>
      <c r="Q190" s="198">
        <v>0</v>
      </c>
      <c r="R190" s="198">
        <v>0</v>
      </c>
      <c r="S190" s="198">
        <v>4999</v>
      </c>
      <c r="T190" s="198">
        <v>392</v>
      </c>
      <c r="U190" s="198">
        <v>2000</v>
      </c>
      <c r="V190" s="198">
        <v>4720</v>
      </c>
      <c r="W190" s="198">
        <v>139.97999999999999</v>
      </c>
      <c r="X190" s="198">
        <v>1500</v>
      </c>
      <c r="Y190" s="198">
        <v>186</v>
      </c>
      <c r="Z190" s="277">
        <v>56448.52037564401</v>
      </c>
      <c r="AA190" s="272">
        <v>17.959296139999999</v>
      </c>
      <c r="AB190" s="198">
        <v>7.4791454215643896</v>
      </c>
      <c r="AC190" s="272">
        <v>0</v>
      </c>
      <c r="AD190" s="198">
        <v>0</v>
      </c>
      <c r="AE190" s="198">
        <v>7.4791454215643896</v>
      </c>
      <c r="AF190" s="198">
        <v>559.8554326106987</v>
      </c>
      <c r="AG190" s="198">
        <v>0.24612231743681801</v>
      </c>
      <c r="AH190" s="198">
        <v>1.3004678225852788E-3</v>
      </c>
      <c r="AI190" s="198">
        <v>567.58372605219063</v>
      </c>
      <c r="AJ190" s="198">
        <v>0.23882411198877934</v>
      </c>
      <c r="AK190" s="198">
        <v>5.5731406186317312</v>
      </c>
      <c r="AL190" s="198">
        <v>0.26092900375850808</v>
      </c>
      <c r="AM190" s="198">
        <v>4.6900919922155636E-2</v>
      </c>
      <c r="AN190" s="198">
        <v>1.9284427500229837E-2</v>
      </c>
      <c r="AO190" s="198">
        <v>3.8613017858344927E-3</v>
      </c>
      <c r="AP190" s="198">
        <v>3.2042872813026627E-3</v>
      </c>
      <c r="AQ190" s="198">
        <v>3.0435051005171243E-3</v>
      </c>
      <c r="AS190" s="258">
        <f t="shared" si="16"/>
        <v>75725.690083926427</v>
      </c>
      <c r="AT190" s="3">
        <f t="shared" si="17"/>
        <v>13.097123484563697</v>
      </c>
      <c r="AU190" s="3">
        <f t="shared" si="18"/>
        <v>5.055414241637795</v>
      </c>
      <c r="AV190" s="3">
        <f t="shared" si="19"/>
        <v>0</v>
      </c>
      <c r="AW190" s="3">
        <f t="shared" si="20"/>
        <v>0</v>
      </c>
      <c r="AX190" s="3">
        <f t="shared" si="21"/>
        <v>5.055414241637795</v>
      </c>
      <c r="AY190" s="102">
        <f t="shared" si="22"/>
        <v>1</v>
      </c>
      <c r="AZ190" s="102">
        <f t="shared" si="23"/>
        <v>0</v>
      </c>
    </row>
    <row r="191" spans="1:52" x14ac:dyDescent="0.35">
      <c r="A191" t="s">
        <v>1021</v>
      </c>
      <c r="B191">
        <v>2025</v>
      </c>
      <c r="C191" t="s">
        <v>837</v>
      </c>
      <c r="D191" t="s">
        <v>1024</v>
      </c>
      <c r="E191" t="s">
        <v>1023</v>
      </c>
      <c r="F191" t="s">
        <v>983</v>
      </c>
      <c r="G191" t="s">
        <v>978</v>
      </c>
      <c r="H191" s="198">
        <v>27121.118364744001</v>
      </c>
      <c r="I191" s="198">
        <v>11267</v>
      </c>
      <c r="J191" s="198">
        <v>0</v>
      </c>
      <c r="K191" s="198">
        <v>0</v>
      </c>
      <c r="L191" s="198">
        <v>0</v>
      </c>
      <c r="M191" s="198">
        <v>11248.704</v>
      </c>
      <c r="N191" s="198">
        <v>50</v>
      </c>
      <c r="O191" s="198">
        <v>0</v>
      </c>
      <c r="P191" s="198">
        <v>4383.6383629000002</v>
      </c>
      <c r="Q191" s="198">
        <v>0</v>
      </c>
      <c r="R191" s="198">
        <v>3351.1418185999996</v>
      </c>
      <c r="S191" s="198">
        <v>1500</v>
      </c>
      <c r="T191" s="198">
        <v>0</v>
      </c>
      <c r="U191" s="198">
        <v>2000</v>
      </c>
      <c r="V191" s="198">
        <v>4720</v>
      </c>
      <c r="W191" s="198">
        <v>139.97999999999999</v>
      </c>
      <c r="X191" s="198">
        <v>1500</v>
      </c>
      <c r="Y191" s="198">
        <v>186</v>
      </c>
      <c r="Z191" s="277">
        <v>67467.582546243997</v>
      </c>
      <c r="AA191" s="272">
        <v>100.58238325000002</v>
      </c>
      <c r="AB191" s="198">
        <v>1.3354245858953633</v>
      </c>
      <c r="AC191" s="272">
        <v>522.4</v>
      </c>
      <c r="AD191" s="198">
        <v>1.8806399999999999</v>
      </c>
      <c r="AE191" s="198">
        <v>3.2160645858953631</v>
      </c>
      <c r="AF191" s="198">
        <v>99.96392196089019</v>
      </c>
      <c r="AG191" s="198">
        <v>4.394590228116213E-2</v>
      </c>
      <c r="AH191" s="198">
        <v>2.3220255865581707E-4</v>
      </c>
      <c r="AI191" s="198">
        <v>101.34383269762024</v>
      </c>
      <c r="AJ191" s="198">
        <v>4.2642785088103499E-2</v>
      </c>
      <c r="AK191" s="198">
        <v>0.99510152340588964</v>
      </c>
      <c r="AL191" s="198">
        <v>4.6589681995969384E-2</v>
      </c>
      <c r="AM191" s="198">
        <v>3.6178408123435597E-2</v>
      </c>
      <c r="AN191" s="198">
        <v>1.0548787408932741E-2</v>
      </c>
      <c r="AO191" s="198">
        <v>6.8944739642279741E-4</v>
      </c>
      <c r="AP191" s="198">
        <v>1.5880544310004027E-3</v>
      </c>
      <c r="AQ191" s="198">
        <v>1.8135602177437168E-3</v>
      </c>
      <c r="AS191" s="258">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102">
        <f t="shared" si="22"/>
        <v>0.43580686760479703</v>
      </c>
      <c r="AZ191" s="102">
        <f t="shared" si="23"/>
        <v>0.56419313239520297</v>
      </c>
    </row>
    <row r="192" spans="1:52" x14ac:dyDescent="0.35">
      <c r="A192" t="s">
        <v>246</v>
      </c>
      <c r="B192">
        <v>2025</v>
      </c>
      <c r="C192" t="s">
        <v>837</v>
      </c>
      <c r="D192" t="s">
        <v>1024</v>
      </c>
      <c r="E192" t="s">
        <v>1023</v>
      </c>
      <c r="F192" t="s">
        <v>977</v>
      </c>
      <c r="G192" t="s">
        <v>978</v>
      </c>
      <c r="H192" s="198">
        <v>27121.118364744001</v>
      </c>
      <c r="I192" s="198">
        <v>0</v>
      </c>
      <c r="J192" s="198">
        <v>0</v>
      </c>
      <c r="K192" s="198">
        <v>0</v>
      </c>
      <c r="L192" s="198">
        <v>0</v>
      </c>
      <c r="M192" s="198">
        <v>23260.031999999999</v>
      </c>
      <c r="N192" s="198">
        <v>50</v>
      </c>
      <c r="O192" s="198">
        <v>0</v>
      </c>
      <c r="P192" s="198">
        <v>4319.3103873999999</v>
      </c>
      <c r="Q192" s="198">
        <v>0</v>
      </c>
      <c r="R192" s="198">
        <v>0</v>
      </c>
      <c r="S192" s="198">
        <v>1500</v>
      </c>
      <c r="T192" s="198">
        <v>0</v>
      </c>
      <c r="U192" s="198">
        <v>2000</v>
      </c>
      <c r="V192" s="198">
        <v>4500</v>
      </c>
      <c r="W192" s="198">
        <v>139.97999999999999</v>
      </c>
      <c r="X192" s="198">
        <v>1500</v>
      </c>
      <c r="Y192" s="198">
        <v>186</v>
      </c>
      <c r="Z192" s="277">
        <v>64576.440752144001</v>
      </c>
      <c r="AA192" s="272">
        <v>0</v>
      </c>
      <c r="AB192" s="198">
        <v>0</v>
      </c>
      <c r="AC192" s="272">
        <v>636</v>
      </c>
      <c r="AD192" s="198">
        <v>2.2896000000000001</v>
      </c>
      <c r="AE192" s="198">
        <v>2.2896000000000001</v>
      </c>
      <c r="AF192" s="198">
        <v>0</v>
      </c>
      <c r="AG192" s="198">
        <v>0</v>
      </c>
      <c r="AH192" s="198">
        <v>0</v>
      </c>
      <c r="AI192" s="198">
        <v>0</v>
      </c>
      <c r="AJ192" s="198">
        <v>0</v>
      </c>
      <c r="AK192" s="198">
        <v>0</v>
      </c>
      <c r="AL192" s="198">
        <v>0</v>
      </c>
      <c r="AM192" s="198">
        <v>3.3850325172374955E-2</v>
      </c>
      <c r="AN192" s="198">
        <v>8.6506386551624664E-3</v>
      </c>
      <c r="AO192" s="198">
        <v>0</v>
      </c>
      <c r="AP192" s="198">
        <v>1.2368386107486887E-3</v>
      </c>
      <c r="AQ192" s="198">
        <v>1.5463333808447568E-3</v>
      </c>
      <c r="AS192" s="258">
        <f t="shared" si="16"/>
        <v>86629.295269001173</v>
      </c>
      <c r="AT192" s="3">
        <f t="shared" si="17"/>
        <v>0</v>
      </c>
      <c r="AU192" s="3">
        <f t="shared" si="18"/>
        <v>0</v>
      </c>
      <c r="AV192" s="3">
        <f t="shared" si="19"/>
        <v>39.51930605092771</v>
      </c>
      <c r="AW192" s="3">
        <f t="shared" si="20"/>
        <v>1.4226950178333977</v>
      </c>
      <c r="AX192" s="3">
        <f t="shared" si="21"/>
        <v>1.4226950178333977</v>
      </c>
      <c r="AY192" s="102">
        <f t="shared" si="22"/>
        <v>0</v>
      </c>
      <c r="AZ192" s="102">
        <f t="shared" si="23"/>
        <v>1</v>
      </c>
    </row>
    <row r="193" spans="1:52" x14ac:dyDescent="0.35">
      <c r="A193" t="s">
        <v>627</v>
      </c>
      <c r="B193">
        <v>2025</v>
      </c>
      <c r="C193" t="s">
        <v>837</v>
      </c>
      <c r="D193" t="s">
        <v>1024</v>
      </c>
      <c r="E193" t="s">
        <v>1023</v>
      </c>
      <c r="F193" t="s">
        <v>989</v>
      </c>
      <c r="G193" t="s">
        <v>978</v>
      </c>
      <c r="H193" s="198">
        <v>27121.118364744001</v>
      </c>
      <c r="I193" s="198">
        <v>0</v>
      </c>
      <c r="J193" s="198">
        <v>18280.001874150941</v>
      </c>
      <c r="K193" s="198">
        <v>6316.6221690000002</v>
      </c>
      <c r="L193" s="198">
        <v>0</v>
      </c>
      <c r="M193" s="198">
        <v>1708.4623116</v>
      </c>
      <c r="N193" s="198">
        <v>50</v>
      </c>
      <c r="O193" s="198">
        <v>0</v>
      </c>
      <c r="P193" s="198">
        <v>4319.3103873999999</v>
      </c>
      <c r="Q193" s="198">
        <v>0</v>
      </c>
      <c r="R193" s="198">
        <v>0</v>
      </c>
      <c r="S193" s="198">
        <v>1500</v>
      </c>
      <c r="T193" s="198">
        <v>0</v>
      </c>
      <c r="U193" s="198">
        <v>2000</v>
      </c>
      <c r="V193" s="198">
        <v>4500</v>
      </c>
      <c r="W193" s="198">
        <v>139.97999999999999</v>
      </c>
      <c r="X193" s="198">
        <v>1500</v>
      </c>
      <c r="Y193" s="198">
        <v>186</v>
      </c>
      <c r="Z193" s="277">
        <v>67621.495106894945</v>
      </c>
      <c r="AA193" s="272">
        <v>32.601089649999999</v>
      </c>
      <c r="AB193" s="198">
        <v>4.120113436147065</v>
      </c>
      <c r="AC193" s="272">
        <v>0</v>
      </c>
      <c r="AD193" s="198">
        <v>0</v>
      </c>
      <c r="AE193" s="198">
        <v>4.120113436147065</v>
      </c>
      <c r="AF193" s="198">
        <v>0</v>
      </c>
      <c r="AG193" s="198">
        <v>0</v>
      </c>
      <c r="AH193" s="198">
        <v>0</v>
      </c>
      <c r="AI193" s="198">
        <v>0</v>
      </c>
      <c r="AJ193" s="198">
        <v>0</v>
      </c>
      <c r="AK193" s="198">
        <v>0</v>
      </c>
      <c r="AL193" s="198">
        <v>0</v>
      </c>
      <c r="AM193" s="198">
        <v>3.851722355316696E-2</v>
      </c>
      <c r="AN193" s="198">
        <v>9.8432904635871281E-3</v>
      </c>
      <c r="AO193" s="198">
        <v>0</v>
      </c>
      <c r="AP193" s="198">
        <v>1.4073598710441461E-3</v>
      </c>
      <c r="AQ193" s="198">
        <v>1.7595242649642063E-3</v>
      </c>
      <c r="AS193" s="258">
        <f t="shared" si="16"/>
        <v>90714.235685899563</v>
      </c>
      <c r="AT193" s="3">
        <f t="shared" si="17"/>
        <v>7.2149465483104844</v>
      </c>
      <c r="AU193" s="3">
        <f t="shared" si="18"/>
        <v>2.7849278183849502</v>
      </c>
      <c r="AV193" s="3">
        <f t="shared" si="19"/>
        <v>0</v>
      </c>
      <c r="AW193" s="3">
        <f t="shared" si="20"/>
        <v>0</v>
      </c>
      <c r="AX193" s="3">
        <f t="shared" si="21"/>
        <v>2.7849278183849502</v>
      </c>
      <c r="AY193" s="102">
        <f t="shared" si="22"/>
        <v>1</v>
      </c>
      <c r="AZ193" s="102">
        <f t="shared" si="23"/>
        <v>0</v>
      </c>
    </row>
    <row r="194" spans="1:52" x14ac:dyDescent="0.35">
      <c r="A194" t="s">
        <v>1065</v>
      </c>
      <c r="B194">
        <v>2025</v>
      </c>
      <c r="C194" t="s">
        <v>837</v>
      </c>
      <c r="D194" t="s">
        <v>1024</v>
      </c>
      <c r="E194" t="s">
        <v>1023</v>
      </c>
      <c r="F194" t="s">
        <v>989</v>
      </c>
      <c r="G194" t="s">
        <v>978</v>
      </c>
      <c r="H194" s="198">
        <v>27121.118364744001</v>
      </c>
      <c r="I194" s="198">
        <v>0</v>
      </c>
      <c r="J194" s="198">
        <v>10139.727891698114</v>
      </c>
      <c r="K194" s="198">
        <v>6479.8610909999998</v>
      </c>
      <c r="L194" s="198">
        <v>0</v>
      </c>
      <c r="M194" s="198">
        <v>1445.808</v>
      </c>
      <c r="N194" s="198">
        <v>50</v>
      </c>
      <c r="O194" s="198">
        <v>0</v>
      </c>
      <c r="P194" s="198">
        <v>4378.7210089</v>
      </c>
      <c r="Q194" s="198">
        <v>0</v>
      </c>
      <c r="R194" s="198">
        <v>0</v>
      </c>
      <c r="S194" s="198">
        <v>1500</v>
      </c>
      <c r="T194" s="198">
        <v>0</v>
      </c>
      <c r="U194" s="198">
        <v>2000</v>
      </c>
      <c r="V194" s="198">
        <v>4500</v>
      </c>
      <c r="W194" s="198">
        <v>139.97999999999999</v>
      </c>
      <c r="X194" s="198">
        <v>1500</v>
      </c>
      <c r="Y194" s="198">
        <v>186</v>
      </c>
      <c r="Z194" s="277">
        <v>59441.216356342113</v>
      </c>
      <c r="AA194" s="272">
        <v>33.680765989999998</v>
      </c>
      <c r="AB194" s="198">
        <v>3.9880383819026091</v>
      </c>
      <c r="AC194" s="272">
        <v>0</v>
      </c>
      <c r="AD194" s="198">
        <v>0</v>
      </c>
      <c r="AE194" s="198">
        <v>3.9880383819026091</v>
      </c>
      <c r="AF194" s="198">
        <v>0</v>
      </c>
      <c r="AG194" s="198">
        <v>0</v>
      </c>
      <c r="AH194" s="198">
        <v>0</v>
      </c>
      <c r="AI194" s="198">
        <v>0</v>
      </c>
      <c r="AJ194" s="198">
        <v>0</v>
      </c>
      <c r="AK194" s="198">
        <v>0</v>
      </c>
      <c r="AL194" s="198">
        <v>0</v>
      </c>
      <c r="AM194" s="198">
        <v>3.7282508910240125E-2</v>
      </c>
      <c r="AN194" s="198">
        <v>9.5277522770613812E-3</v>
      </c>
      <c r="AO194" s="198">
        <v>0</v>
      </c>
      <c r="AP194" s="198">
        <v>1.3622453046152542E-3</v>
      </c>
      <c r="AQ194" s="198">
        <v>1.7031206570681811E-3</v>
      </c>
      <c r="AS194" s="258">
        <f t="shared" si="16"/>
        <v>79740.391742032938</v>
      </c>
      <c r="AT194" s="3">
        <f t="shared" si="17"/>
        <v>6.9836629995667199</v>
      </c>
      <c r="AU194" s="3">
        <f t="shared" si="18"/>
        <v>2.6956537004800669</v>
      </c>
      <c r="AV194" s="3">
        <f t="shared" si="19"/>
        <v>0</v>
      </c>
      <c r="AW194" s="3">
        <f t="shared" si="20"/>
        <v>0</v>
      </c>
      <c r="AX194" s="3">
        <f t="shared" si="21"/>
        <v>2.6956537004800669</v>
      </c>
      <c r="AY194" s="102">
        <f t="shared" si="22"/>
        <v>1</v>
      </c>
      <c r="AZ194" s="102">
        <f t="shared" si="23"/>
        <v>0</v>
      </c>
    </row>
    <row r="195" spans="1:52" x14ac:dyDescent="0.35">
      <c r="A195" t="s">
        <v>1017</v>
      </c>
      <c r="B195">
        <v>2030</v>
      </c>
      <c r="C195" t="s">
        <v>837</v>
      </c>
      <c r="D195" t="s">
        <v>1024</v>
      </c>
      <c r="E195" t="s">
        <v>1023</v>
      </c>
      <c r="F195" t="s">
        <v>983</v>
      </c>
      <c r="G195" t="s">
        <v>978</v>
      </c>
      <c r="H195" s="198">
        <v>27256.562557575999</v>
      </c>
      <c r="I195" s="198">
        <v>13224</v>
      </c>
      <c r="J195" s="198">
        <v>0</v>
      </c>
      <c r="K195" s="198">
        <v>0</v>
      </c>
      <c r="L195" s="198">
        <v>120</v>
      </c>
      <c r="M195" s="198">
        <v>0</v>
      </c>
      <c r="N195" s="198">
        <v>0</v>
      </c>
      <c r="O195" s="198">
        <v>150</v>
      </c>
      <c r="P195" s="198">
        <v>0</v>
      </c>
      <c r="Q195" s="198">
        <v>0</v>
      </c>
      <c r="R195" s="198">
        <v>73.2</v>
      </c>
      <c r="S195" s="198">
        <v>5200</v>
      </c>
      <c r="T195" s="198">
        <v>506</v>
      </c>
      <c r="U195" s="198">
        <v>2000</v>
      </c>
      <c r="V195" s="198">
        <v>1920</v>
      </c>
      <c r="W195" s="198">
        <v>0</v>
      </c>
      <c r="X195" s="198">
        <v>0</v>
      </c>
      <c r="Y195" s="198">
        <v>186</v>
      </c>
      <c r="Z195" s="277">
        <v>50635.762557575996</v>
      </c>
      <c r="AA195" s="272">
        <v>14.230845550000002</v>
      </c>
      <c r="AB195" s="198">
        <v>9.4386652590716942</v>
      </c>
      <c r="AC195" s="272">
        <v>0</v>
      </c>
      <c r="AD195" s="198">
        <v>0</v>
      </c>
      <c r="AE195" s="198">
        <v>9.4386652590716942</v>
      </c>
      <c r="AF195" s="198">
        <v>706.5363385834338</v>
      </c>
      <c r="AG195" s="198">
        <v>0.31060582942739479</v>
      </c>
      <c r="AH195" s="198">
        <v>1.6411875643151789E-3</v>
      </c>
      <c r="AI195" s="198">
        <v>716.28942810189687</v>
      </c>
      <c r="AJ195" s="198">
        <v>0.30139551002146969</v>
      </c>
      <c r="AK195" s="198">
        <v>7.0332913422611112</v>
      </c>
      <c r="AL195" s="198">
        <v>0.32929183536913725</v>
      </c>
      <c r="AM195" s="198">
        <v>5.9188858958589351E-2</v>
      </c>
      <c r="AN195" s="198">
        <v>2.4336905572486349E-2</v>
      </c>
      <c r="AO195" s="198">
        <v>4.8729544575594466E-3</v>
      </c>
      <c r="AP195" s="198">
        <v>4.0438035814779824E-3</v>
      </c>
      <c r="AQ195" s="198">
        <v>3.8408968189376147E-3</v>
      </c>
      <c r="AS195" s="258">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102">
        <f t="shared" si="22"/>
        <v>1</v>
      </c>
      <c r="AZ195" s="102">
        <f t="shared" si="23"/>
        <v>0</v>
      </c>
    </row>
    <row r="196" spans="1:52" x14ac:dyDescent="0.35">
      <c r="A196" t="s">
        <v>1020</v>
      </c>
      <c r="B196">
        <v>2030</v>
      </c>
      <c r="C196" t="s">
        <v>837</v>
      </c>
      <c r="D196" t="s">
        <v>1024</v>
      </c>
      <c r="E196" t="s">
        <v>1023</v>
      </c>
      <c r="F196" t="s">
        <v>983</v>
      </c>
      <c r="G196" t="s">
        <v>978</v>
      </c>
      <c r="H196" s="198">
        <v>27256.562557575999</v>
      </c>
      <c r="I196" s="198">
        <v>12727</v>
      </c>
      <c r="J196" s="198">
        <v>0</v>
      </c>
      <c r="K196" s="198">
        <v>0</v>
      </c>
      <c r="L196" s="198">
        <v>150</v>
      </c>
      <c r="M196" s="198">
        <v>811.51959800999998</v>
      </c>
      <c r="N196" s="198">
        <v>40</v>
      </c>
      <c r="O196" s="198">
        <v>150</v>
      </c>
      <c r="P196" s="198">
        <v>1329.69136815</v>
      </c>
      <c r="Q196" s="198">
        <v>0</v>
      </c>
      <c r="R196" s="198">
        <v>0</v>
      </c>
      <c r="S196" s="198">
        <v>4960</v>
      </c>
      <c r="T196" s="198">
        <v>392</v>
      </c>
      <c r="U196" s="198">
        <v>2000</v>
      </c>
      <c r="V196" s="198">
        <v>4720</v>
      </c>
      <c r="W196" s="198">
        <v>103.96800000000002</v>
      </c>
      <c r="X196" s="198">
        <v>1500</v>
      </c>
      <c r="Y196" s="198">
        <v>186</v>
      </c>
      <c r="Z196" s="277">
        <v>56326.741523736004</v>
      </c>
      <c r="AA196" s="272">
        <v>19.405456279999999</v>
      </c>
      <c r="AB196" s="198">
        <v>6.9217742454443343</v>
      </c>
      <c r="AC196" s="272">
        <v>0</v>
      </c>
      <c r="AD196" s="198">
        <v>0</v>
      </c>
      <c r="AE196" s="198">
        <v>6.9217742454443343</v>
      </c>
      <c r="AF196" s="198">
        <v>518.13311497375173</v>
      </c>
      <c r="AG196" s="198">
        <v>0.2277804511129434</v>
      </c>
      <c r="AH196" s="198">
        <v>1.2035525683784646E-3</v>
      </c>
      <c r="AI196" s="198">
        <v>525.28546988723133</v>
      </c>
      <c r="AJ196" s="198">
        <v>0.22102613258310938</v>
      </c>
      <c r="AK196" s="198">
        <v>5.1578113575729878</v>
      </c>
      <c r="AL196" s="198">
        <v>0.24148369316334464</v>
      </c>
      <c r="AM196" s="198">
        <v>4.3405704971159732E-2</v>
      </c>
      <c r="AN196" s="198">
        <v>1.7847286833648602E-2</v>
      </c>
      <c r="AO196" s="198">
        <v>3.5735445359861701E-3</v>
      </c>
      <c r="AP196" s="198">
        <v>2.9654929712660183E-3</v>
      </c>
      <c r="AQ196" s="198">
        <v>2.816692821602003E-3</v>
      </c>
      <c r="AS196" s="258">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102">
        <f t="shared" ref="AY196:AY259" si="30">AU196/AX196</f>
        <v>1</v>
      </c>
      <c r="AZ196" s="102">
        <f t="shared" ref="AZ196:AZ259" si="31">AW196/AX196</f>
        <v>0</v>
      </c>
    </row>
    <row r="197" spans="1:52" x14ac:dyDescent="0.35">
      <c r="A197" t="s">
        <v>1021</v>
      </c>
      <c r="B197">
        <v>2030</v>
      </c>
      <c r="C197" t="s">
        <v>837</v>
      </c>
      <c r="D197" t="s">
        <v>1024</v>
      </c>
      <c r="E197" t="s">
        <v>1023</v>
      </c>
      <c r="F197" t="s">
        <v>983</v>
      </c>
      <c r="G197" t="s">
        <v>978</v>
      </c>
      <c r="H197" s="198">
        <v>27256.562557575999</v>
      </c>
      <c r="I197" s="198">
        <v>11516</v>
      </c>
      <c r="J197" s="198">
        <v>0</v>
      </c>
      <c r="K197" s="198">
        <v>0</v>
      </c>
      <c r="L197" s="198">
        <v>0</v>
      </c>
      <c r="M197" s="198">
        <v>8092.9500000000007</v>
      </c>
      <c r="N197" s="198">
        <v>40</v>
      </c>
      <c r="O197" s="198">
        <v>0</v>
      </c>
      <c r="P197" s="198">
        <v>3295.1544152400002</v>
      </c>
      <c r="Q197" s="198">
        <v>0</v>
      </c>
      <c r="R197" s="198">
        <v>2666.3432730599998</v>
      </c>
      <c r="S197" s="198">
        <v>1500</v>
      </c>
      <c r="T197" s="198">
        <v>0</v>
      </c>
      <c r="U197" s="198">
        <v>2000</v>
      </c>
      <c r="V197" s="198">
        <v>4720</v>
      </c>
      <c r="W197" s="198">
        <v>103.96800000000002</v>
      </c>
      <c r="X197" s="198">
        <v>1500</v>
      </c>
      <c r="Y197" s="198">
        <v>186</v>
      </c>
      <c r="Z197" s="277">
        <v>62876.978245876009</v>
      </c>
      <c r="AA197" s="272">
        <v>112.11985030000002</v>
      </c>
      <c r="AB197" s="198">
        <v>1.1980054124278472</v>
      </c>
      <c r="AC197" s="272">
        <v>488.8</v>
      </c>
      <c r="AD197" s="198">
        <v>1.7596799999999999</v>
      </c>
      <c r="AE197" s="198">
        <v>2.9576854124278471</v>
      </c>
      <c r="AF197" s="198">
        <v>89.677336198185685</v>
      </c>
      <c r="AG197" s="198">
        <v>3.9423737845562384E-2</v>
      </c>
      <c r="AH197" s="198">
        <v>2.0830822270862412E-4</v>
      </c>
      <c r="AI197" s="198">
        <v>90.915250003824895</v>
      </c>
      <c r="AJ197" s="198">
        <v>3.8254715298875239E-2</v>
      </c>
      <c r="AK197" s="198">
        <v>0.89270260825410719</v>
      </c>
      <c r="AL197" s="198">
        <v>4.1795464741306548E-2</v>
      </c>
      <c r="AM197" s="198">
        <v>3.3528348138503902E-2</v>
      </c>
      <c r="AN197" s="198">
        <v>9.7374472843658778E-3</v>
      </c>
      <c r="AO197" s="198">
        <v>6.1850120270551679E-4</v>
      </c>
      <c r="AP197" s="198">
        <v>1.4638375723077552E-3</v>
      </c>
      <c r="AQ197" s="198">
        <v>1.6759468468913552E-3</v>
      </c>
      <c r="AS197" s="258">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102">
        <f t="shared" si="30"/>
        <v>0.42548205958604463</v>
      </c>
      <c r="AZ197" s="102">
        <f t="shared" si="31"/>
        <v>0.57451794041395543</v>
      </c>
    </row>
    <row r="198" spans="1:52" x14ac:dyDescent="0.35">
      <c r="A198" t="s">
        <v>246</v>
      </c>
      <c r="B198">
        <v>2030</v>
      </c>
      <c r="C198" t="s">
        <v>837</v>
      </c>
      <c r="D198" t="s">
        <v>1024</v>
      </c>
      <c r="E198" t="s">
        <v>1023</v>
      </c>
      <c r="F198" t="s">
        <v>977</v>
      </c>
      <c r="G198" t="s">
        <v>978</v>
      </c>
      <c r="H198" s="198">
        <v>27256.562557575999</v>
      </c>
      <c r="I198" s="198">
        <v>0</v>
      </c>
      <c r="J198" s="198">
        <v>0</v>
      </c>
      <c r="K198" s="198">
        <v>0</v>
      </c>
      <c r="L198" s="198">
        <v>0</v>
      </c>
      <c r="M198" s="198">
        <v>17203.724999999999</v>
      </c>
      <c r="N198" s="198">
        <v>40</v>
      </c>
      <c r="O198" s="198">
        <v>0</v>
      </c>
      <c r="P198" s="198">
        <v>3307.3026561300003</v>
      </c>
      <c r="Q198" s="198">
        <v>0</v>
      </c>
      <c r="R198" s="198">
        <v>0</v>
      </c>
      <c r="S198" s="198">
        <v>1500</v>
      </c>
      <c r="T198" s="198">
        <v>0</v>
      </c>
      <c r="U198" s="198">
        <v>2000</v>
      </c>
      <c r="V198" s="198">
        <v>4500</v>
      </c>
      <c r="W198" s="198">
        <v>103.96800000000002</v>
      </c>
      <c r="X198" s="198">
        <v>1500</v>
      </c>
      <c r="Y198" s="198">
        <v>186</v>
      </c>
      <c r="Z198" s="277">
        <v>57597.558213705997</v>
      </c>
      <c r="AA198" s="272">
        <v>0</v>
      </c>
      <c r="AB198" s="198">
        <v>0</v>
      </c>
      <c r="AC198" s="272">
        <v>589</v>
      </c>
      <c r="AD198" s="198">
        <v>2.1204000000000001</v>
      </c>
      <c r="AE198" s="198">
        <v>2.1204000000000001</v>
      </c>
      <c r="AF198" s="198">
        <v>0</v>
      </c>
      <c r="AG198" s="198">
        <v>0</v>
      </c>
      <c r="AH198" s="198">
        <v>0</v>
      </c>
      <c r="AI198" s="198">
        <v>0</v>
      </c>
      <c r="AJ198" s="198">
        <v>0</v>
      </c>
      <c r="AK198" s="198">
        <v>0</v>
      </c>
      <c r="AL198" s="198">
        <v>0</v>
      </c>
      <c r="AM198" s="198">
        <v>3.1348807431649132E-2</v>
      </c>
      <c r="AN198" s="198">
        <v>8.011361899199201E-3</v>
      </c>
      <c r="AO198" s="198">
        <v>0</v>
      </c>
      <c r="AP198" s="198">
        <v>1.1454370153002793E-3</v>
      </c>
      <c r="AQ198" s="198">
        <v>1.4320603165370468E-3</v>
      </c>
      <c r="AS198" s="258">
        <f t="shared" si="24"/>
        <v>77267.124343686592</v>
      </c>
      <c r="AT198" s="3">
        <f t="shared" si="25"/>
        <v>0</v>
      </c>
      <c r="AU198" s="3">
        <f t="shared" si="26"/>
        <v>0</v>
      </c>
      <c r="AV198" s="3">
        <f t="shared" si="27"/>
        <v>36.59885418867362</v>
      </c>
      <c r="AW198" s="3">
        <f t="shared" si="28"/>
        <v>1.3175587507922504</v>
      </c>
      <c r="AX198" s="3">
        <f t="shared" si="29"/>
        <v>1.3175587507922504</v>
      </c>
      <c r="AY198" s="102">
        <f t="shared" si="30"/>
        <v>0</v>
      </c>
      <c r="AZ198" s="102">
        <f t="shared" si="31"/>
        <v>1</v>
      </c>
    </row>
    <row r="199" spans="1:52" x14ac:dyDescent="0.35">
      <c r="A199" t="s">
        <v>627</v>
      </c>
      <c r="B199">
        <v>2030</v>
      </c>
      <c r="C199" t="s">
        <v>837</v>
      </c>
      <c r="D199" t="s">
        <v>1024</v>
      </c>
      <c r="E199" t="s">
        <v>1023</v>
      </c>
      <c r="F199" t="s">
        <v>989</v>
      </c>
      <c r="G199" t="s">
        <v>978</v>
      </c>
      <c r="H199" s="198">
        <v>27256.562557575999</v>
      </c>
      <c r="I199" s="198">
        <v>0</v>
      </c>
      <c r="J199" s="198">
        <v>15307.570211999999</v>
      </c>
      <c r="K199" s="198">
        <v>5538.2187300000005</v>
      </c>
      <c r="L199" s="198">
        <v>0</v>
      </c>
      <c r="M199" s="198">
        <v>1577.95477394</v>
      </c>
      <c r="N199" s="198">
        <v>40</v>
      </c>
      <c r="O199" s="198">
        <v>0</v>
      </c>
      <c r="P199" s="198">
        <v>3307.3026561300003</v>
      </c>
      <c r="Q199" s="198">
        <v>0</v>
      </c>
      <c r="R199" s="198">
        <v>0</v>
      </c>
      <c r="S199" s="198">
        <v>1500</v>
      </c>
      <c r="T199" s="198">
        <v>0</v>
      </c>
      <c r="U199" s="198">
        <v>2000</v>
      </c>
      <c r="V199" s="198">
        <v>4500</v>
      </c>
      <c r="W199" s="198">
        <v>103.96800000000002</v>
      </c>
      <c r="X199" s="198">
        <v>1500</v>
      </c>
      <c r="Y199" s="198">
        <v>186</v>
      </c>
      <c r="Z199" s="277">
        <v>62817.576929645998</v>
      </c>
      <c r="AA199" s="272">
        <v>34.975199289999999</v>
      </c>
      <c r="AB199" s="198">
        <v>3.8404409474917398</v>
      </c>
      <c r="AC199" s="272">
        <v>0</v>
      </c>
      <c r="AD199" s="198">
        <v>0</v>
      </c>
      <c r="AE199" s="198">
        <v>3.8404409474917398</v>
      </c>
      <c r="AF199" s="198">
        <v>0</v>
      </c>
      <c r="AG199" s="198">
        <v>0</v>
      </c>
      <c r="AH199" s="198">
        <v>0</v>
      </c>
      <c r="AI199" s="198">
        <v>0</v>
      </c>
      <c r="AJ199" s="198">
        <v>0</v>
      </c>
      <c r="AK199" s="198">
        <v>0</v>
      </c>
      <c r="AL199" s="198">
        <v>0</v>
      </c>
      <c r="AM199" s="198">
        <v>3.590268200372812E-2</v>
      </c>
      <c r="AN199" s="198">
        <v>9.1751298453972025E-3</v>
      </c>
      <c r="AO199" s="198">
        <v>0</v>
      </c>
      <c r="AP199" s="198">
        <v>1.3118285601546502E-3</v>
      </c>
      <c r="AQ199" s="198">
        <v>1.6400881043685527E-3</v>
      </c>
      <c r="AS199" s="258">
        <f t="shared" si="24"/>
        <v>84269.779451120106</v>
      </c>
      <c r="AT199" s="3">
        <f t="shared" si="25"/>
        <v>6.7251973974793078</v>
      </c>
      <c r="AU199" s="3">
        <f t="shared" si="26"/>
        <v>2.595887466519899</v>
      </c>
      <c r="AV199" s="3">
        <f t="shared" si="27"/>
        <v>0</v>
      </c>
      <c r="AW199" s="3">
        <f t="shared" si="28"/>
        <v>0</v>
      </c>
      <c r="AX199" s="3">
        <f t="shared" si="29"/>
        <v>2.595887466519899</v>
      </c>
      <c r="AY199" s="102">
        <f t="shared" si="30"/>
        <v>1</v>
      </c>
      <c r="AZ199" s="102">
        <f t="shared" si="31"/>
        <v>0</v>
      </c>
    </row>
    <row r="200" spans="1:52" x14ac:dyDescent="0.35">
      <c r="A200" t="s">
        <v>1065</v>
      </c>
      <c r="B200">
        <v>2030</v>
      </c>
      <c r="C200" t="s">
        <v>837</v>
      </c>
      <c r="D200" t="s">
        <v>1024</v>
      </c>
      <c r="E200" t="s">
        <v>1023</v>
      </c>
      <c r="F200" t="s">
        <v>989</v>
      </c>
      <c r="G200" t="s">
        <v>978</v>
      </c>
      <c r="H200" s="198">
        <v>27256.562557575999</v>
      </c>
      <c r="I200" s="198">
        <v>0</v>
      </c>
      <c r="J200" s="198">
        <v>8061.2675109999991</v>
      </c>
      <c r="K200" s="198">
        <v>5673.3883800000003</v>
      </c>
      <c r="L200" s="198">
        <v>0</v>
      </c>
      <c r="M200" s="198">
        <v>1253.6625000000001</v>
      </c>
      <c r="N200" s="198">
        <v>40</v>
      </c>
      <c r="O200" s="198">
        <v>0</v>
      </c>
      <c r="P200" s="198">
        <v>3281.8825781400001</v>
      </c>
      <c r="Q200" s="198">
        <v>0</v>
      </c>
      <c r="R200" s="198">
        <v>0</v>
      </c>
      <c r="S200" s="198">
        <v>1500</v>
      </c>
      <c r="T200" s="198">
        <v>0</v>
      </c>
      <c r="U200" s="198">
        <v>2000</v>
      </c>
      <c r="V200" s="198">
        <v>4500</v>
      </c>
      <c r="W200" s="198">
        <v>103.96800000000002</v>
      </c>
      <c r="X200" s="198">
        <v>1500</v>
      </c>
      <c r="Y200" s="198">
        <v>186</v>
      </c>
      <c r="Z200" s="277">
        <v>55356.731526715994</v>
      </c>
      <c r="AA200" s="272">
        <v>36.353628069999999</v>
      </c>
      <c r="AB200" s="198">
        <v>3.694822075017175</v>
      </c>
      <c r="AC200" s="272">
        <v>0</v>
      </c>
      <c r="AD200" s="198">
        <v>0</v>
      </c>
      <c r="AE200" s="198">
        <v>3.694822075017175</v>
      </c>
      <c r="AF200" s="198">
        <v>0</v>
      </c>
      <c r="AG200" s="198">
        <v>0</v>
      </c>
      <c r="AH200" s="198">
        <v>0</v>
      </c>
      <c r="AI200" s="198">
        <v>0</v>
      </c>
      <c r="AJ200" s="198">
        <v>0</v>
      </c>
      <c r="AK200" s="198">
        <v>0</v>
      </c>
      <c r="AL200" s="198">
        <v>0</v>
      </c>
      <c r="AM200" s="198">
        <v>3.4541351848238998E-2</v>
      </c>
      <c r="AN200" s="198">
        <v>8.8272343612166466E-3</v>
      </c>
      <c r="AO200" s="198">
        <v>0</v>
      </c>
      <c r="AP200" s="198">
        <v>1.2620876584140792E-3</v>
      </c>
      <c r="AQ200" s="198">
        <v>1.5779005108649791E-3</v>
      </c>
      <c r="AS200" s="258">
        <f t="shared" si="24"/>
        <v>74261.055343089494</v>
      </c>
      <c r="AT200" s="3">
        <f t="shared" si="25"/>
        <v>6.470196558883047</v>
      </c>
      <c r="AU200" s="3">
        <f t="shared" si="26"/>
        <v>2.4974586113145176</v>
      </c>
      <c r="AV200" s="3">
        <f t="shared" si="27"/>
        <v>0</v>
      </c>
      <c r="AW200" s="3">
        <f t="shared" si="28"/>
        <v>0</v>
      </c>
      <c r="AX200" s="3">
        <f t="shared" si="29"/>
        <v>2.4974586113145176</v>
      </c>
      <c r="AY200" s="102">
        <f t="shared" si="30"/>
        <v>1</v>
      </c>
      <c r="AZ200" s="102">
        <f t="shared" si="31"/>
        <v>0</v>
      </c>
    </row>
    <row r="201" spans="1:52" x14ac:dyDescent="0.35">
      <c r="A201" t="s">
        <v>1017</v>
      </c>
      <c r="B201">
        <v>2035</v>
      </c>
      <c r="C201" t="s">
        <v>837</v>
      </c>
      <c r="D201" t="s">
        <v>1024</v>
      </c>
      <c r="E201" t="s">
        <v>1023</v>
      </c>
      <c r="F201" t="s">
        <v>983</v>
      </c>
      <c r="G201" t="s">
        <v>978</v>
      </c>
      <c r="H201" s="198">
        <v>27256.562557575999</v>
      </c>
      <c r="I201" s="198">
        <v>13168</v>
      </c>
      <c r="J201" s="198">
        <v>0</v>
      </c>
      <c r="K201" s="198">
        <v>0</v>
      </c>
      <c r="L201" s="198">
        <v>120</v>
      </c>
      <c r="M201" s="198">
        <v>0</v>
      </c>
      <c r="N201" s="198">
        <v>0</v>
      </c>
      <c r="O201" s="198">
        <v>150</v>
      </c>
      <c r="P201" s="198">
        <v>0</v>
      </c>
      <c r="Q201" s="198">
        <v>0</v>
      </c>
      <c r="R201" s="198">
        <v>62.6</v>
      </c>
      <c r="S201" s="198">
        <v>5200</v>
      </c>
      <c r="T201" s="198">
        <v>506</v>
      </c>
      <c r="U201" s="198">
        <v>2000</v>
      </c>
      <c r="V201" s="198">
        <v>1920</v>
      </c>
      <c r="W201" s="198">
        <v>0</v>
      </c>
      <c r="X201" s="198">
        <v>0</v>
      </c>
      <c r="Y201" s="198">
        <v>186</v>
      </c>
      <c r="Z201" s="277">
        <v>50569.162557575997</v>
      </c>
      <c r="AA201" s="272">
        <v>14.90724698</v>
      </c>
      <c r="AB201" s="198">
        <v>9.0103952581055324</v>
      </c>
      <c r="AC201" s="272">
        <v>0</v>
      </c>
      <c r="AD201" s="198">
        <v>0</v>
      </c>
      <c r="AE201" s="198">
        <v>9.0103952581055324</v>
      </c>
      <c r="AF201" s="198">
        <v>674.47795849447664</v>
      </c>
      <c r="AG201" s="198">
        <v>0.29651240040774451</v>
      </c>
      <c r="AH201" s="198">
        <v>1.5667203191631835E-3</v>
      </c>
      <c r="AI201" s="198">
        <v>683.78851132551131</v>
      </c>
      <c r="AJ201" s="198">
        <v>0.28771999003796023</v>
      </c>
      <c r="AK201" s="198">
        <v>6.7141627782885278</v>
      </c>
      <c r="AL201" s="198">
        <v>0.31435054750895525</v>
      </c>
      <c r="AM201" s="198">
        <v>5.6503223650247653E-2</v>
      </c>
      <c r="AN201" s="198">
        <v>2.3232642810013172E-2</v>
      </c>
      <c r="AO201" s="198">
        <v>4.6518490201946407E-3</v>
      </c>
      <c r="AP201" s="198">
        <v>3.86032003627205E-3</v>
      </c>
      <c r="AQ201" s="198">
        <v>3.6666199652504524E-3</v>
      </c>
      <c r="AS201" s="258">
        <f t="shared" si="24"/>
        <v>67838.531570988198</v>
      </c>
      <c r="AT201" s="3">
        <f t="shared" si="25"/>
        <v>15.77857531689115</v>
      </c>
      <c r="AU201" s="3">
        <f t="shared" si="26"/>
        <v>6.0904392070350379</v>
      </c>
      <c r="AV201" s="3">
        <f t="shared" si="27"/>
        <v>0</v>
      </c>
      <c r="AW201" s="3">
        <f t="shared" si="28"/>
        <v>0</v>
      </c>
      <c r="AX201" s="3">
        <f t="shared" si="29"/>
        <v>6.0904392070350379</v>
      </c>
      <c r="AY201" s="102">
        <f t="shared" si="30"/>
        <v>1</v>
      </c>
      <c r="AZ201" s="102">
        <f t="shared" si="31"/>
        <v>0</v>
      </c>
    </row>
    <row r="202" spans="1:52" x14ac:dyDescent="0.35">
      <c r="A202" t="s">
        <v>1020</v>
      </c>
      <c r="B202">
        <v>2035</v>
      </c>
      <c r="C202" t="s">
        <v>837</v>
      </c>
      <c r="D202" t="s">
        <v>1024</v>
      </c>
      <c r="E202" t="s">
        <v>1023</v>
      </c>
      <c r="F202" t="s">
        <v>983</v>
      </c>
      <c r="G202" t="s">
        <v>978</v>
      </c>
      <c r="H202" s="198">
        <v>27256.562557575999</v>
      </c>
      <c r="I202" s="198">
        <v>12668</v>
      </c>
      <c r="J202" s="198">
        <v>0</v>
      </c>
      <c r="K202" s="198">
        <v>0</v>
      </c>
      <c r="L202" s="198">
        <v>150</v>
      </c>
      <c r="M202" s="198">
        <v>768.80804022000007</v>
      </c>
      <c r="N202" s="198">
        <v>35</v>
      </c>
      <c r="O202" s="198">
        <v>150</v>
      </c>
      <c r="P202" s="198">
        <v>1137.48646033</v>
      </c>
      <c r="Q202" s="198">
        <v>0</v>
      </c>
      <c r="R202" s="198">
        <v>0</v>
      </c>
      <c r="S202" s="198">
        <v>4958</v>
      </c>
      <c r="T202" s="198">
        <v>392</v>
      </c>
      <c r="U202" s="198">
        <v>2000</v>
      </c>
      <c r="V202" s="198">
        <v>4720</v>
      </c>
      <c r="W202" s="198">
        <v>84</v>
      </c>
      <c r="X202" s="198">
        <v>1500</v>
      </c>
      <c r="Y202" s="198">
        <v>186</v>
      </c>
      <c r="Z202" s="277">
        <v>56005.857058125999</v>
      </c>
      <c r="AA202" s="272">
        <v>20.60119315</v>
      </c>
      <c r="AB202" s="198">
        <v>6.520019812541781</v>
      </c>
      <c r="AC202" s="272">
        <v>0</v>
      </c>
      <c r="AD202" s="198">
        <v>0</v>
      </c>
      <c r="AE202" s="198">
        <v>6.520019812541781</v>
      </c>
      <c r="AF202" s="198">
        <v>488.05957192063664</v>
      </c>
      <c r="AG202" s="198">
        <v>0.21455959144341602</v>
      </c>
      <c r="AH202" s="198">
        <v>1.1336958289889149E-3</v>
      </c>
      <c r="AI202" s="198">
        <v>494.79678901102506</v>
      </c>
      <c r="AJ202" s="198">
        <v>0.20819730786219112</v>
      </c>
      <c r="AK202" s="198">
        <v>4.858441065578285</v>
      </c>
      <c r="AL202" s="198">
        <v>0.22746746831089343</v>
      </c>
      <c r="AM202" s="198">
        <v>4.0886345950327585E-2</v>
      </c>
      <c r="AN202" s="198">
        <v>1.6811392517184744E-2</v>
      </c>
      <c r="AO202" s="198">
        <v>3.3661284447358583E-3</v>
      </c>
      <c r="AP202" s="198">
        <v>2.7933694802793501E-3</v>
      </c>
      <c r="AQ202" s="198">
        <v>2.6532060063612145E-3</v>
      </c>
      <c r="AS202" s="258">
        <f t="shared" si="24"/>
        <v>75131.857243476028</v>
      </c>
      <c r="AT202" s="3">
        <f t="shared" si="25"/>
        <v>11.417548368620977</v>
      </c>
      <c r="AU202" s="3">
        <f t="shared" si="26"/>
        <v>4.4071079191812084</v>
      </c>
      <c r="AV202" s="3">
        <f t="shared" si="27"/>
        <v>0</v>
      </c>
      <c r="AW202" s="3">
        <f t="shared" si="28"/>
        <v>0</v>
      </c>
      <c r="AX202" s="3">
        <f t="shared" si="29"/>
        <v>4.4071079191812084</v>
      </c>
      <c r="AY202" s="102">
        <f t="shared" si="30"/>
        <v>1</v>
      </c>
      <c r="AZ202" s="102">
        <f t="shared" si="31"/>
        <v>0</v>
      </c>
    </row>
    <row r="203" spans="1:52" x14ac:dyDescent="0.35">
      <c r="A203" t="s">
        <v>1021</v>
      </c>
      <c r="B203">
        <v>2035</v>
      </c>
      <c r="C203" t="s">
        <v>837</v>
      </c>
      <c r="D203" t="s">
        <v>1024</v>
      </c>
      <c r="E203" t="s">
        <v>1023</v>
      </c>
      <c r="F203" t="s">
        <v>983</v>
      </c>
      <c r="G203" t="s">
        <v>978</v>
      </c>
      <c r="H203" s="198">
        <v>27256.562557575999</v>
      </c>
      <c r="I203" s="198">
        <v>11130</v>
      </c>
      <c r="J203" s="198">
        <v>0</v>
      </c>
      <c r="K203" s="198">
        <v>0</v>
      </c>
      <c r="L203" s="198">
        <v>0</v>
      </c>
      <c r="M203" s="198">
        <v>6568.6949999999997</v>
      </c>
      <c r="N203" s="198">
        <v>35</v>
      </c>
      <c r="O203" s="198">
        <v>0</v>
      </c>
      <c r="P203" s="198">
        <v>2647.9488920699996</v>
      </c>
      <c r="Q203" s="198">
        <v>0</v>
      </c>
      <c r="R203" s="198">
        <v>2108.8804858549997</v>
      </c>
      <c r="S203" s="198">
        <v>1500</v>
      </c>
      <c r="T203" s="198">
        <v>0</v>
      </c>
      <c r="U203" s="198">
        <v>2000</v>
      </c>
      <c r="V203" s="198">
        <v>4720</v>
      </c>
      <c r="W203" s="198">
        <v>84</v>
      </c>
      <c r="X203" s="198">
        <v>1500</v>
      </c>
      <c r="Y203" s="198">
        <v>186</v>
      </c>
      <c r="Z203" s="277">
        <v>59737.086935501</v>
      </c>
      <c r="AA203" s="272">
        <v>126.11140170000002</v>
      </c>
      <c r="AB203" s="198">
        <v>1.0650915435824546</v>
      </c>
      <c r="AC203" s="272">
        <v>457.6</v>
      </c>
      <c r="AD203" s="198">
        <v>1.6473599999999999</v>
      </c>
      <c r="AE203" s="198">
        <v>2.7124515435824543</v>
      </c>
      <c r="AF203" s="198">
        <v>79.727997423751972</v>
      </c>
      <c r="AG203" s="198">
        <v>3.5049833131074459E-2</v>
      </c>
      <c r="AH203" s="198">
        <v>1.8519726552488234E-4</v>
      </c>
      <c r="AI203" s="198">
        <v>80.828569685273123</v>
      </c>
      <c r="AJ203" s="198">
        <v>3.4010508921169275E-2</v>
      </c>
      <c r="AK203" s="198">
        <v>0.79366085421814836</v>
      </c>
      <c r="AL203" s="198">
        <v>3.7158426493123488E-2</v>
      </c>
      <c r="AM203" s="198">
        <v>3.1034277512461596E-2</v>
      </c>
      <c r="AN203" s="198">
        <v>8.9703676765312424E-3</v>
      </c>
      <c r="AO203" s="198">
        <v>5.4988098873626668E-4</v>
      </c>
      <c r="AP203" s="198">
        <v>1.3462182349845016E-3</v>
      </c>
      <c r="AQ203" s="198">
        <v>1.5460020498656189E-3</v>
      </c>
      <c r="AS203" s="258">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102">
        <f t="shared" si="30"/>
        <v>0.41291015512946472</v>
      </c>
      <c r="AZ203" s="102">
        <f t="shared" si="31"/>
        <v>0.58708984487053528</v>
      </c>
    </row>
    <row r="204" spans="1:52" x14ac:dyDescent="0.35">
      <c r="A204" t="s">
        <v>246</v>
      </c>
      <c r="B204">
        <v>2035</v>
      </c>
      <c r="C204" t="s">
        <v>837</v>
      </c>
      <c r="D204" t="s">
        <v>1024</v>
      </c>
      <c r="E204" t="s">
        <v>1023</v>
      </c>
      <c r="F204" t="s">
        <v>977</v>
      </c>
      <c r="G204" t="s">
        <v>978</v>
      </c>
      <c r="H204" s="198">
        <v>27256.562557575999</v>
      </c>
      <c r="I204" s="198">
        <v>0</v>
      </c>
      <c r="J204" s="198">
        <v>0</v>
      </c>
      <c r="K204" s="198">
        <v>0</v>
      </c>
      <c r="L204" s="198">
        <v>0</v>
      </c>
      <c r="M204" s="198">
        <v>14153.973750000001</v>
      </c>
      <c r="N204" s="198">
        <v>35</v>
      </c>
      <c r="O204" s="198">
        <v>0</v>
      </c>
      <c r="P204" s="198">
        <v>2734.2925163</v>
      </c>
      <c r="Q204" s="198">
        <v>0</v>
      </c>
      <c r="R204" s="198">
        <v>0</v>
      </c>
      <c r="S204" s="198">
        <v>1500</v>
      </c>
      <c r="T204" s="198">
        <v>0</v>
      </c>
      <c r="U204" s="198">
        <v>2000</v>
      </c>
      <c r="V204" s="198">
        <v>4500</v>
      </c>
      <c r="W204" s="198">
        <v>84</v>
      </c>
      <c r="X204" s="198">
        <v>1500</v>
      </c>
      <c r="Y204" s="198">
        <v>186</v>
      </c>
      <c r="Z204" s="277">
        <v>53949.828823876</v>
      </c>
      <c r="AA204" s="272">
        <v>0</v>
      </c>
      <c r="AB204" s="198">
        <v>0</v>
      </c>
      <c r="AC204" s="272">
        <v>551</v>
      </c>
      <c r="AD204" s="198">
        <v>1.9836</v>
      </c>
      <c r="AE204" s="198">
        <v>1.9836</v>
      </c>
      <c r="AF204" s="198">
        <v>0</v>
      </c>
      <c r="AG204" s="198">
        <v>0</v>
      </c>
      <c r="AH204" s="198">
        <v>0</v>
      </c>
      <c r="AI204" s="198">
        <v>0</v>
      </c>
      <c r="AJ204" s="198">
        <v>0</v>
      </c>
      <c r="AK204" s="198">
        <v>0</v>
      </c>
      <c r="AL204" s="198">
        <v>0</v>
      </c>
      <c r="AM204" s="198">
        <v>2.9326303726381443E-2</v>
      </c>
      <c r="AN204" s="198">
        <v>7.4944998411863497E-3</v>
      </c>
      <c r="AO204" s="198">
        <v>0</v>
      </c>
      <c r="AP204" s="198">
        <v>1.071537853022842E-3</v>
      </c>
      <c r="AQ204" s="198">
        <v>1.3396693283733662E-3</v>
      </c>
      <c r="AS204" s="258">
        <f t="shared" si="24"/>
        <v>72373.695367229651</v>
      </c>
      <c r="AT204" s="3">
        <f t="shared" si="25"/>
        <v>0</v>
      </c>
      <c r="AU204" s="3">
        <f t="shared" si="26"/>
        <v>0</v>
      </c>
      <c r="AV204" s="3">
        <f t="shared" si="27"/>
        <v>34.237637789404353</v>
      </c>
      <c r="AW204" s="3">
        <f t="shared" si="28"/>
        <v>1.2325549604185568</v>
      </c>
      <c r="AX204" s="3">
        <f t="shared" si="29"/>
        <v>1.2325549604185568</v>
      </c>
      <c r="AY204" s="102">
        <f t="shared" si="30"/>
        <v>0</v>
      </c>
      <c r="AZ204" s="102">
        <f t="shared" si="31"/>
        <v>1</v>
      </c>
    </row>
    <row r="205" spans="1:52" x14ac:dyDescent="0.35">
      <c r="A205" t="s">
        <v>627</v>
      </c>
      <c r="B205">
        <v>2035</v>
      </c>
      <c r="C205" t="s">
        <v>837</v>
      </c>
      <c r="D205" t="s">
        <v>1024</v>
      </c>
      <c r="E205" t="s">
        <v>1023</v>
      </c>
      <c r="F205" t="s">
        <v>989</v>
      </c>
      <c r="G205" t="s">
        <v>978</v>
      </c>
      <c r="H205" s="198">
        <v>27256.562557575999</v>
      </c>
      <c r="I205" s="198">
        <v>0</v>
      </c>
      <c r="J205" s="198">
        <v>12739.713217999999</v>
      </c>
      <c r="K205" s="198">
        <v>5226.9001785000009</v>
      </c>
      <c r="L205" s="198">
        <v>0</v>
      </c>
      <c r="M205" s="198">
        <v>1473.5487438</v>
      </c>
      <c r="N205" s="198">
        <v>35</v>
      </c>
      <c r="O205" s="198">
        <v>0</v>
      </c>
      <c r="P205" s="198">
        <v>2734.2925163</v>
      </c>
      <c r="Q205" s="198">
        <v>0</v>
      </c>
      <c r="R205" s="198">
        <v>0</v>
      </c>
      <c r="S205" s="198">
        <v>1500</v>
      </c>
      <c r="T205" s="198">
        <v>0</v>
      </c>
      <c r="U205" s="198">
        <v>2000</v>
      </c>
      <c r="V205" s="198">
        <v>4500</v>
      </c>
      <c r="W205" s="198">
        <v>84</v>
      </c>
      <c r="X205" s="198">
        <v>1500</v>
      </c>
      <c r="Y205" s="198">
        <v>186</v>
      </c>
      <c r="Z205" s="277">
        <v>59236.017214175998</v>
      </c>
      <c r="AA205" s="272">
        <v>36.97534297</v>
      </c>
      <c r="AB205" s="198">
        <v>3.6326961891599194</v>
      </c>
      <c r="AC205" s="272">
        <v>0</v>
      </c>
      <c r="AD205" s="198">
        <v>0</v>
      </c>
      <c r="AE205" s="198">
        <v>3.6326961891599194</v>
      </c>
      <c r="AF205" s="198">
        <v>0</v>
      </c>
      <c r="AG205" s="198">
        <v>0</v>
      </c>
      <c r="AH205" s="198">
        <v>0</v>
      </c>
      <c r="AI205" s="198">
        <v>0</v>
      </c>
      <c r="AJ205" s="198">
        <v>0</v>
      </c>
      <c r="AK205" s="198">
        <v>0</v>
      </c>
      <c r="AL205" s="198">
        <v>0</v>
      </c>
      <c r="AM205" s="198">
        <v>3.396056283087636E-2</v>
      </c>
      <c r="AN205" s="198">
        <v>8.6788105012239724E-3</v>
      </c>
      <c r="AO205" s="198">
        <v>0</v>
      </c>
      <c r="AP205" s="198">
        <v>1.240866524563373E-3</v>
      </c>
      <c r="AQ205" s="198">
        <v>1.5513692016322748E-3</v>
      </c>
      <c r="AS205" s="258">
        <f t="shared" si="24"/>
        <v>79465.11709281709</v>
      </c>
      <c r="AT205" s="3">
        <f t="shared" si="25"/>
        <v>6.3614046645157636</v>
      </c>
      <c r="AU205" s="3">
        <f t="shared" si="26"/>
        <v>2.4554655665969247</v>
      </c>
      <c r="AV205" s="3">
        <f t="shared" si="27"/>
        <v>0</v>
      </c>
      <c r="AW205" s="3">
        <f t="shared" si="28"/>
        <v>0</v>
      </c>
      <c r="AX205" s="3">
        <f t="shared" si="29"/>
        <v>2.4554655665969247</v>
      </c>
      <c r="AY205" s="102">
        <f t="shared" si="30"/>
        <v>1</v>
      </c>
      <c r="AZ205" s="102">
        <f t="shared" si="31"/>
        <v>0</v>
      </c>
    </row>
    <row r="206" spans="1:52" x14ac:dyDescent="0.35">
      <c r="A206" t="s">
        <v>1065</v>
      </c>
      <c r="B206">
        <v>2035</v>
      </c>
      <c r="C206" t="s">
        <v>837</v>
      </c>
      <c r="D206" t="s">
        <v>1024</v>
      </c>
      <c r="E206" t="s">
        <v>1023</v>
      </c>
      <c r="F206" t="s">
        <v>989</v>
      </c>
      <c r="G206" t="s">
        <v>978</v>
      </c>
      <c r="H206" s="198">
        <v>27256.562557575999</v>
      </c>
      <c r="I206" s="198">
        <v>0</v>
      </c>
      <c r="J206" s="198">
        <v>6405.9727684999998</v>
      </c>
      <c r="K206" s="198">
        <v>5363.4975322500013</v>
      </c>
      <c r="L206" s="198">
        <v>0</v>
      </c>
      <c r="M206" s="198">
        <v>1206.4949999999999</v>
      </c>
      <c r="N206" s="198">
        <v>35</v>
      </c>
      <c r="O206" s="198">
        <v>0</v>
      </c>
      <c r="P206" s="198">
        <v>2676.70327722</v>
      </c>
      <c r="Q206" s="198">
        <v>0</v>
      </c>
      <c r="R206" s="198">
        <v>0</v>
      </c>
      <c r="S206" s="198">
        <v>1500</v>
      </c>
      <c r="T206" s="198">
        <v>0</v>
      </c>
      <c r="U206" s="198">
        <v>2000</v>
      </c>
      <c r="V206" s="198">
        <v>4500</v>
      </c>
      <c r="W206" s="198">
        <v>84</v>
      </c>
      <c r="X206" s="198">
        <v>1500</v>
      </c>
      <c r="Y206" s="198">
        <v>186</v>
      </c>
      <c r="Z206" s="277">
        <v>52714.231135546012</v>
      </c>
      <c r="AA206" s="272">
        <v>38.755968340000003</v>
      </c>
      <c r="AB206" s="198">
        <v>3.4657936120091279</v>
      </c>
      <c r="AC206" s="272">
        <v>0</v>
      </c>
      <c r="AD206" s="198">
        <v>0</v>
      </c>
      <c r="AE206" s="198">
        <v>3.4657936120091279</v>
      </c>
      <c r="AF206" s="198">
        <v>0</v>
      </c>
      <c r="AG206" s="198">
        <v>0</v>
      </c>
      <c r="AH206" s="198">
        <v>0</v>
      </c>
      <c r="AI206" s="198">
        <v>0</v>
      </c>
      <c r="AJ206" s="198">
        <v>0</v>
      </c>
      <c r="AK206" s="198">
        <v>0</v>
      </c>
      <c r="AL206" s="198">
        <v>0</v>
      </c>
      <c r="AM206" s="198">
        <v>3.2400260189857699E-2</v>
      </c>
      <c r="AN206" s="198">
        <v>8.2800664929636482E-3</v>
      </c>
      <c r="AO206" s="198">
        <v>0</v>
      </c>
      <c r="AP206" s="198">
        <v>1.1838554754512074E-3</v>
      </c>
      <c r="AQ206" s="198">
        <v>1.4800922479917694E-3</v>
      </c>
      <c r="AS206" s="258">
        <f t="shared" si="24"/>
        <v>70716.141068334968</v>
      </c>
      <c r="AT206" s="3">
        <f t="shared" si="25"/>
        <v>6.0691328153104829</v>
      </c>
      <c r="AU206" s="3">
        <f t="shared" si="26"/>
        <v>2.342650315931873</v>
      </c>
      <c r="AV206" s="3">
        <f t="shared" si="27"/>
        <v>0</v>
      </c>
      <c r="AW206" s="3">
        <f t="shared" si="28"/>
        <v>0</v>
      </c>
      <c r="AX206" s="3">
        <f t="shared" si="29"/>
        <v>2.342650315931873</v>
      </c>
      <c r="AY206" s="102">
        <f t="shared" si="30"/>
        <v>1</v>
      </c>
      <c r="AZ206" s="102">
        <f t="shared" si="31"/>
        <v>0</v>
      </c>
    </row>
    <row r="207" spans="1:52" x14ac:dyDescent="0.35">
      <c r="A207" t="s">
        <v>1017</v>
      </c>
      <c r="B207">
        <v>2050</v>
      </c>
      <c r="C207" t="s">
        <v>837</v>
      </c>
      <c r="D207" t="s">
        <v>1024</v>
      </c>
      <c r="E207" t="s">
        <v>1023</v>
      </c>
      <c r="F207" t="s">
        <v>983</v>
      </c>
      <c r="G207" t="s">
        <v>978</v>
      </c>
      <c r="H207" s="198">
        <v>27332.098742040002</v>
      </c>
      <c r="I207" s="198">
        <v>13493</v>
      </c>
      <c r="J207" s="198">
        <v>0</v>
      </c>
      <c r="K207" s="198">
        <v>0</v>
      </c>
      <c r="L207" s="198">
        <v>120</v>
      </c>
      <c r="M207" s="198">
        <v>0</v>
      </c>
      <c r="N207" s="198">
        <v>0</v>
      </c>
      <c r="O207" s="198">
        <v>150</v>
      </c>
      <c r="P207" s="198">
        <v>0</v>
      </c>
      <c r="Q207" s="198">
        <v>0</v>
      </c>
      <c r="R207" s="198">
        <v>44</v>
      </c>
      <c r="S207" s="198">
        <v>5200</v>
      </c>
      <c r="T207" s="198">
        <v>506</v>
      </c>
      <c r="U207" s="198">
        <v>2000</v>
      </c>
      <c r="V207" s="198">
        <v>1920</v>
      </c>
      <c r="W207" s="198">
        <v>0</v>
      </c>
      <c r="X207" s="198">
        <v>0</v>
      </c>
      <c r="Y207" s="198">
        <v>186</v>
      </c>
      <c r="Z207" s="277">
        <v>50951.098742040005</v>
      </c>
      <c r="AA207" s="272">
        <v>16.635862899999999</v>
      </c>
      <c r="AB207" s="198">
        <v>8.0741340745240215</v>
      </c>
      <c r="AC207" s="272">
        <v>0</v>
      </c>
      <c r="AD207" s="198">
        <v>0</v>
      </c>
      <c r="AE207" s="198">
        <v>8.0741340745240215</v>
      </c>
      <c r="AF207" s="198">
        <v>604.39362660552774</v>
      </c>
      <c r="AG207" s="198">
        <v>0.26570209264653771</v>
      </c>
      <c r="AH207" s="198">
        <v>1.4039239735709774E-3</v>
      </c>
      <c r="AI207" s="198">
        <v>612.73672917897898</v>
      </c>
      <c r="AJ207" s="198">
        <v>0.25782329286802502</v>
      </c>
      <c r="AK207" s="198">
        <v>6.0165008212390392</v>
      </c>
      <c r="AL207" s="198">
        <v>0.28168669567565496</v>
      </c>
      <c r="AM207" s="198">
        <v>5.0632030041580754E-2</v>
      </c>
      <c r="AN207" s="198">
        <v>2.0818562069719122E-2</v>
      </c>
      <c r="AO207" s="198">
        <v>4.1684800286321492E-3</v>
      </c>
      <c r="AP207" s="198">
        <v>3.4591980318946967E-3</v>
      </c>
      <c r="AQ207" s="198">
        <v>3.2856251420410238E-3</v>
      </c>
      <c r="AS207" s="258">
        <f t="shared" si="24"/>
        <v>68350.898962446663</v>
      </c>
      <c r="AT207" s="3">
        <f t="shared" si="25"/>
        <v>14.139039294524851</v>
      </c>
      <c r="AU207" s="3">
        <f t="shared" si="26"/>
        <v>5.4575877441227689</v>
      </c>
      <c r="AV207" s="3">
        <f t="shared" si="27"/>
        <v>0</v>
      </c>
      <c r="AW207" s="3">
        <f t="shared" si="28"/>
        <v>0</v>
      </c>
      <c r="AX207" s="3">
        <f t="shared" si="29"/>
        <v>5.4575877441227689</v>
      </c>
      <c r="AY207" s="102">
        <f t="shared" si="30"/>
        <v>1</v>
      </c>
      <c r="AZ207" s="102">
        <f t="shared" si="31"/>
        <v>0</v>
      </c>
    </row>
    <row r="208" spans="1:52" x14ac:dyDescent="0.35">
      <c r="A208" t="s">
        <v>1020</v>
      </c>
      <c r="B208">
        <v>2050</v>
      </c>
      <c r="C208" t="s">
        <v>837</v>
      </c>
      <c r="D208" t="s">
        <v>1024</v>
      </c>
      <c r="E208" t="s">
        <v>1023</v>
      </c>
      <c r="F208" t="s">
        <v>983</v>
      </c>
      <c r="G208" t="s">
        <v>978</v>
      </c>
      <c r="H208" s="198">
        <v>27332.098742040002</v>
      </c>
      <c r="I208" s="198">
        <v>12993</v>
      </c>
      <c r="J208" s="198">
        <v>0</v>
      </c>
      <c r="K208" s="198">
        <v>0</v>
      </c>
      <c r="L208" s="198">
        <v>150</v>
      </c>
      <c r="M208" s="198">
        <v>726.09648243000004</v>
      </c>
      <c r="N208" s="198">
        <v>28.89</v>
      </c>
      <c r="O208" s="198">
        <v>150</v>
      </c>
      <c r="P208" s="198">
        <v>785.12912830000005</v>
      </c>
      <c r="Q208" s="198">
        <v>0</v>
      </c>
      <c r="R208" s="198">
        <v>0</v>
      </c>
      <c r="S208" s="198">
        <v>4958</v>
      </c>
      <c r="T208" s="198">
        <v>392</v>
      </c>
      <c r="U208" s="198">
        <v>2000</v>
      </c>
      <c r="V208" s="198">
        <v>4720</v>
      </c>
      <c r="W208" s="198">
        <v>60.668999999999997</v>
      </c>
      <c r="X208" s="198">
        <v>1500</v>
      </c>
      <c r="Y208" s="198">
        <v>186</v>
      </c>
      <c r="Z208" s="277">
        <v>55981.883352770012</v>
      </c>
      <c r="AA208" s="272">
        <v>23.407751560000001</v>
      </c>
      <c r="AB208" s="198">
        <v>5.7382780723600604</v>
      </c>
      <c r="AC208" s="272">
        <v>0</v>
      </c>
      <c r="AD208" s="198">
        <v>0</v>
      </c>
      <c r="AE208" s="198">
        <v>5.7382780723600604</v>
      </c>
      <c r="AF208" s="198">
        <v>429.54187565050142</v>
      </c>
      <c r="AG208" s="198">
        <v>0.18883418059956972</v>
      </c>
      <c r="AH208" s="198">
        <v>9.9776720059950954E-4</v>
      </c>
      <c r="AI208" s="198">
        <v>435.4713093347579</v>
      </c>
      <c r="AJ208" s="198">
        <v>0.18323472639330302</v>
      </c>
      <c r="AK208" s="198">
        <v>4.2759204165045421</v>
      </c>
      <c r="AL208" s="198">
        <v>0.20019442012627969</v>
      </c>
      <c r="AM208" s="198">
        <v>3.598412722218839E-2</v>
      </c>
      <c r="AN208" s="198">
        <v>1.4795728819969906E-2</v>
      </c>
      <c r="AO208" s="198">
        <v>2.9625341024301483E-3</v>
      </c>
      <c r="AP208" s="198">
        <v>2.4584481792299918E-3</v>
      </c>
      <c r="AQ208" s="198">
        <v>2.3350901201972386E-3</v>
      </c>
      <c r="AS208" s="258">
        <f t="shared" si="24"/>
        <v>75099.696517740973</v>
      </c>
      <c r="AT208" s="3">
        <f t="shared" si="25"/>
        <v>10.048599441023294</v>
      </c>
      <c r="AU208" s="3">
        <f t="shared" si="26"/>
        <v>3.8787015165990879</v>
      </c>
      <c r="AV208" s="3">
        <f t="shared" si="27"/>
        <v>0</v>
      </c>
      <c r="AW208" s="3">
        <f t="shared" si="28"/>
        <v>0</v>
      </c>
      <c r="AX208" s="3">
        <f t="shared" si="29"/>
        <v>3.8787015165990879</v>
      </c>
      <c r="AY208" s="102">
        <f t="shared" si="30"/>
        <v>1</v>
      </c>
      <c r="AZ208" s="102">
        <f t="shared" si="31"/>
        <v>0</v>
      </c>
    </row>
    <row r="209" spans="1:52" x14ac:dyDescent="0.35">
      <c r="A209" t="s">
        <v>1021</v>
      </c>
      <c r="B209">
        <v>2050</v>
      </c>
      <c r="C209" t="s">
        <v>837</v>
      </c>
      <c r="D209" t="s">
        <v>1024</v>
      </c>
      <c r="E209" t="s">
        <v>1023</v>
      </c>
      <c r="F209" t="s">
        <v>983</v>
      </c>
      <c r="G209" t="s">
        <v>978</v>
      </c>
      <c r="H209" s="198">
        <v>27332.098742040002</v>
      </c>
      <c r="I209" s="198">
        <v>11069</v>
      </c>
      <c r="J209" s="198">
        <v>0</v>
      </c>
      <c r="K209" s="198">
        <v>0</v>
      </c>
      <c r="L209" s="198">
        <v>0</v>
      </c>
      <c r="M209" s="198">
        <v>4613.7262499999997</v>
      </c>
      <c r="N209" s="198">
        <v>28.89</v>
      </c>
      <c r="O209" s="198">
        <v>0</v>
      </c>
      <c r="P209" s="198">
        <v>1774.2116205</v>
      </c>
      <c r="Q209" s="198">
        <v>0</v>
      </c>
      <c r="R209" s="198">
        <v>1341.2485449000001</v>
      </c>
      <c r="S209" s="198">
        <v>1500</v>
      </c>
      <c r="T209" s="198">
        <v>0</v>
      </c>
      <c r="U209" s="198">
        <v>2000</v>
      </c>
      <c r="V209" s="198">
        <v>4720</v>
      </c>
      <c r="W209" s="198">
        <v>60.668999999999997</v>
      </c>
      <c r="X209" s="198">
        <v>1500</v>
      </c>
      <c r="Y209" s="198">
        <v>186</v>
      </c>
      <c r="Z209" s="277">
        <v>56125.844157440006</v>
      </c>
      <c r="AA209" s="272">
        <v>151.15003230000002</v>
      </c>
      <c r="AB209" s="198">
        <v>0.88865470589780338</v>
      </c>
      <c r="AC209" s="272">
        <v>410.40000000000003</v>
      </c>
      <c r="AD209" s="198">
        <v>1.4774400000000001</v>
      </c>
      <c r="AE209" s="198">
        <v>2.3660947058978037</v>
      </c>
      <c r="AF209" s="198">
        <v>66.52072352778022</v>
      </c>
      <c r="AG209" s="198">
        <v>2.9243682705523969E-2</v>
      </c>
      <c r="AH209" s="198">
        <v>1.5451856933774535E-4</v>
      </c>
      <c r="AI209" s="198">
        <v>67.438981423333246</v>
      </c>
      <c r="AJ209" s="198">
        <v>2.8376526867464068E-2</v>
      </c>
      <c r="AK209" s="198">
        <v>0.66218763752040588</v>
      </c>
      <c r="AL209" s="198">
        <v>3.1002978819834617E-2</v>
      </c>
      <c r="AM209" s="198">
        <v>2.741569850265713E-2</v>
      </c>
      <c r="AN209" s="198">
        <v>7.8734411584408717E-3</v>
      </c>
      <c r="AO209" s="198">
        <v>4.5879091921115315E-4</v>
      </c>
      <c r="AP209" s="198">
        <v>1.1788369327822372E-3</v>
      </c>
      <c r="AQ209" s="198">
        <v>1.3594448866790947E-3</v>
      </c>
      <c r="AS209" s="258">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102">
        <f t="shared" si="30"/>
        <v>0.39551408483907868</v>
      </c>
      <c r="AZ209" s="102">
        <f t="shared" si="31"/>
        <v>0.60448591516092121</v>
      </c>
    </row>
    <row r="210" spans="1:52" x14ac:dyDescent="0.35">
      <c r="A210" t="s">
        <v>246</v>
      </c>
      <c r="B210">
        <v>2050</v>
      </c>
      <c r="C210" t="s">
        <v>837</v>
      </c>
      <c r="D210" t="s">
        <v>1024</v>
      </c>
      <c r="E210" t="s">
        <v>1023</v>
      </c>
      <c r="F210" t="s">
        <v>977</v>
      </c>
      <c r="G210" t="s">
        <v>978</v>
      </c>
      <c r="H210" s="198">
        <v>27332.098742040002</v>
      </c>
      <c r="I210" s="198">
        <v>0</v>
      </c>
      <c r="J210" s="198">
        <v>0</v>
      </c>
      <c r="K210" s="198">
        <v>0</v>
      </c>
      <c r="L210" s="198">
        <v>0</v>
      </c>
      <c r="M210" s="198">
        <v>9748.7775000000001</v>
      </c>
      <c r="N210" s="198">
        <v>28.89</v>
      </c>
      <c r="O210" s="198">
        <v>0</v>
      </c>
      <c r="P210" s="198">
        <v>1890.7081446000002</v>
      </c>
      <c r="Q210" s="198">
        <v>0</v>
      </c>
      <c r="R210" s="198">
        <v>0</v>
      </c>
      <c r="S210" s="198">
        <v>1500</v>
      </c>
      <c r="T210" s="198">
        <v>0</v>
      </c>
      <c r="U210" s="198">
        <v>2000</v>
      </c>
      <c r="V210" s="198">
        <v>4500</v>
      </c>
      <c r="W210" s="198">
        <v>60.668999999999997</v>
      </c>
      <c r="X210" s="198">
        <v>1500</v>
      </c>
      <c r="Y210" s="198">
        <v>186</v>
      </c>
      <c r="Z210" s="277">
        <v>48747.143386640004</v>
      </c>
      <c r="AA210" s="272">
        <v>0</v>
      </c>
      <c r="AB210" s="198">
        <v>0</v>
      </c>
      <c r="AC210" s="272">
        <v>492</v>
      </c>
      <c r="AD210" s="198">
        <v>1.7711999999999999</v>
      </c>
      <c r="AE210" s="198">
        <v>1.7711999999999999</v>
      </c>
      <c r="AF210" s="198">
        <v>0</v>
      </c>
      <c r="AG210" s="198">
        <v>0</v>
      </c>
      <c r="AH210" s="198">
        <v>0</v>
      </c>
      <c r="AI210" s="198">
        <v>0</v>
      </c>
      <c r="AJ210" s="198">
        <v>0</v>
      </c>
      <c r="AK210" s="198">
        <v>0</v>
      </c>
      <c r="AL210" s="198">
        <v>0</v>
      </c>
      <c r="AM210" s="198">
        <v>2.6186100605044772E-2</v>
      </c>
      <c r="AN210" s="198">
        <v>6.6920034879558686E-3</v>
      </c>
      <c r="AO210" s="198">
        <v>0</v>
      </c>
      <c r="AP210" s="198">
        <v>9.5679968001313655E-4</v>
      </c>
      <c r="AQ210" s="198">
        <v>1.1962201625402833E-3</v>
      </c>
      <c r="AS210" s="258">
        <f t="shared" si="24"/>
        <v>65394.292853177561</v>
      </c>
      <c r="AT210" s="3">
        <f t="shared" si="25"/>
        <v>0</v>
      </c>
      <c r="AU210" s="3">
        <f t="shared" si="26"/>
        <v>0</v>
      </c>
      <c r="AV210" s="3">
        <f t="shared" si="27"/>
        <v>30.571538643170491</v>
      </c>
      <c r="AW210" s="3">
        <f t="shared" si="28"/>
        <v>1.1005753911541378</v>
      </c>
      <c r="AX210" s="3">
        <f t="shared" si="29"/>
        <v>1.1005753911541378</v>
      </c>
      <c r="AY210" s="102">
        <f t="shared" si="30"/>
        <v>0</v>
      </c>
      <c r="AZ210" s="102">
        <f t="shared" si="31"/>
        <v>1</v>
      </c>
    </row>
    <row r="211" spans="1:52" x14ac:dyDescent="0.35">
      <c r="A211" t="s">
        <v>627</v>
      </c>
      <c r="B211">
        <v>2050</v>
      </c>
      <c r="C211" t="s">
        <v>837</v>
      </c>
      <c r="D211" t="s">
        <v>1024</v>
      </c>
      <c r="E211" t="s">
        <v>1023</v>
      </c>
      <c r="F211" t="s">
        <v>989</v>
      </c>
      <c r="G211" t="s">
        <v>978</v>
      </c>
      <c r="H211" s="198">
        <v>27332.098742040002</v>
      </c>
      <c r="I211" s="198">
        <v>0</v>
      </c>
      <c r="J211" s="198">
        <v>10587.965607999999</v>
      </c>
      <c r="K211" s="198">
        <v>4636.5712469999999</v>
      </c>
      <c r="L211" s="198">
        <v>0</v>
      </c>
      <c r="M211" s="198">
        <v>1411.85427142</v>
      </c>
      <c r="N211" s="198">
        <v>28.89</v>
      </c>
      <c r="O211" s="198">
        <v>0</v>
      </c>
      <c r="P211" s="198">
        <v>1890.7081446000002</v>
      </c>
      <c r="Q211" s="198">
        <v>0</v>
      </c>
      <c r="R211" s="198">
        <v>0</v>
      </c>
      <c r="S211" s="198">
        <v>1500</v>
      </c>
      <c r="T211" s="198">
        <v>0</v>
      </c>
      <c r="U211" s="198">
        <v>2000</v>
      </c>
      <c r="V211" s="198">
        <v>4500</v>
      </c>
      <c r="W211" s="198">
        <v>60.668999999999997</v>
      </c>
      <c r="X211" s="198">
        <v>1500</v>
      </c>
      <c r="Y211" s="198">
        <v>186</v>
      </c>
      <c r="Z211" s="277">
        <v>55634.757013060007</v>
      </c>
      <c r="AA211" s="272">
        <v>40.859977209999997</v>
      </c>
      <c r="AB211" s="198">
        <v>3.2873289872302411</v>
      </c>
      <c r="AC211" s="272">
        <v>0</v>
      </c>
      <c r="AD211" s="198">
        <v>0</v>
      </c>
      <c r="AE211" s="198">
        <v>3.2873289872302411</v>
      </c>
      <c r="AF211" s="198">
        <v>0</v>
      </c>
      <c r="AG211" s="198">
        <v>0</v>
      </c>
      <c r="AH211" s="198">
        <v>0</v>
      </c>
      <c r="AI211" s="198">
        <v>0</v>
      </c>
      <c r="AJ211" s="198">
        <v>0</v>
      </c>
      <c r="AK211" s="198">
        <v>0</v>
      </c>
      <c r="AL211" s="198">
        <v>0</v>
      </c>
      <c r="AM211" s="198">
        <v>3.0731868783778201E-2</v>
      </c>
      <c r="AN211" s="198">
        <v>7.8536998002988866E-3</v>
      </c>
      <c r="AO211" s="198">
        <v>0</v>
      </c>
      <c r="AP211" s="198">
        <v>1.1228950297724027E-3</v>
      </c>
      <c r="AQ211" s="198">
        <v>1.4038776382236866E-3</v>
      </c>
      <c r="AS211" s="258">
        <f t="shared" si="24"/>
        <v>74634.026533019991</v>
      </c>
      <c r="AT211" s="3">
        <f t="shared" si="25"/>
        <v>5.756614058606524</v>
      </c>
      <c r="AU211" s="3">
        <f t="shared" si="26"/>
        <v>2.2220198755697416</v>
      </c>
      <c r="AV211" s="3">
        <f t="shared" si="27"/>
        <v>0</v>
      </c>
      <c r="AW211" s="3">
        <f t="shared" si="28"/>
        <v>0</v>
      </c>
      <c r="AX211" s="3">
        <f t="shared" si="29"/>
        <v>2.2220198755697416</v>
      </c>
      <c r="AY211" s="102">
        <f t="shared" si="30"/>
        <v>1</v>
      </c>
      <c r="AZ211" s="102">
        <f t="shared" si="31"/>
        <v>0</v>
      </c>
    </row>
    <row r="212" spans="1:52" x14ac:dyDescent="0.35">
      <c r="A212" t="s">
        <v>1065</v>
      </c>
      <c r="B212">
        <v>2050</v>
      </c>
      <c r="C212" t="s">
        <v>837</v>
      </c>
      <c r="D212" t="s">
        <v>1024</v>
      </c>
      <c r="E212" t="s">
        <v>1023</v>
      </c>
      <c r="F212" t="s">
        <v>989</v>
      </c>
      <c r="G212" t="s">
        <v>978</v>
      </c>
      <c r="H212" s="198">
        <v>27332.098742040002</v>
      </c>
      <c r="I212" s="198">
        <v>0</v>
      </c>
      <c r="J212" s="198">
        <v>4940.2196160000003</v>
      </c>
      <c r="K212" s="198">
        <v>4755.3397649999997</v>
      </c>
      <c r="L212" s="198">
        <v>0</v>
      </c>
      <c r="M212" s="198">
        <v>964.45124999999996</v>
      </c>
      <c r="N212" s="198">
        <v>28.89</v>
      </c>
      <c r="O212" s="198">
        <v>0</v>
      </c>
      <c r="P212" s="198">
        <v>1788.2218782999998</v>
      </c>
      <c r="Q212" s="198">
        <v>0</v>
      </c>
      <c r="R212" s="198">
        <v>0</v>
      </c>
      <c r="S212" s="198">
        <v>1500</v>
      </c>
      <c r="T212" s="198">
        <v>0</v>
      </c>
      <c r="U212" s="198">
        <v>2000</v>
      </c>
      <c r="V212" s="198">
        <v>4500</v>
      </c>
      <c r="W212" s="198">
        <v>60.668999999999997</v>
      </c>
      <c r="X212" s="198">
        <v>1500</v>
      </c>
      <c r="Y212" s="198">
        <v>186</v>
      </c>
      <c r="Z212" s="277">
        <v>49555.890251339995</v>
      </c>
      <c r="AA212" s="272">
        <v>43.478638789999998</v>
      </c>
      <c r="AB212" s="198">
        <v>3.0893374594536152</v>
      </c>
      <c r="AC212" s="272">
        <v>0</v>
      </c>
      <c r="AD212" s="198">
        <v>0</v>
      </c>
      <c r="AE212" s="198">
        <v>3.0893374594536152</v>
      </c>
      <c r="AF212" s="198">
        <v>0</v>
      </c>
      <c r="AG212" s="198">
        <v>0</v>
      </c>
      <c r="AH212" s="198">
        <v>0</v>
      </c>
      <c r="AI212" s="198">
        <v>0</v>
      </c>
      <c r="AJ212" s="198">
        <v>0</v>
      </c>
      <c r="AK212" s="198">
        <v>0</v>
      </c>
      <c r="AL212" s="198">
        <v>0</v>
      </c>
      <c r="AM212" s="198">
        <v>2.8880928498955138E-2</v>
      </c>
      <c r="AN212" s="198">
        <v>7.3806817275107704E-3</v>
      </c>
      <c r="AO212" s="198">
        <v>0</v>
      </c>
      <c r="AP212" s="198">
        <v>1.0552645299529313E-3</v>
      </c>
      <c r="AQ212" s="198">
        <v>1.3193239231914886E-3</v>
      </c>
      <c r="AS212" s="258">
        <f t="shared" si="24"/>
        <v>66479.226772172595</v>
      </c>
      <c r="AT212" s="3">
        <f t="shared" si="25"/>
        <v>5.4099007187761163</v>
      </c>
      <c r="AU212" s="3">
        <f t="shared" si="26"/>
        <v>2.0881905230397546</v>
      </c>
      <c r="AV212" s="3">
        <f t="shared" si="27"/>
        <v>0</v>
      </c>
      <c r="AW212" s="3">
        <f t="shared" si="28"/>
        <v>0</v>
      </c>
      <c r="AX212" s="3">
        <f t="shared" si="29"/>
        <v>2.0881905230397546</v>
      </c>
      <c r="AY212" s="102">
        <f t="shared" si="30"/>
        <v>1</v>
      </c>
      <c r="AZ212" s="102">
        <f t="shared" si="31"/>
        <v>0</v>
      </c>
    </row>
    <row r="213" spans="1:52" x14ac:dyDescent="0.35">
      <c r="A213" t="s">
        <v>1017</v>
      </c>
      <c r="B213">
        <v>2021</v>
      </c>
      <c r="C213" t="s">
        <v>837</v>
      </c>
      <c r="D213" t="s">
        <v>1067</v>
      </c>
      <c r="E213" t="s">
        <v>1023</v>
      </c>
      <c r="F213" t="s">
        <v>983</v>
      </c>
      <c r="G213" t="s">
        <v>978</v>
      </c>
      <c r="H213" s="198">
        <v>27000</v>
      </c>
      <c r="I213" s="198">
        <v>21397</v>
      </c>
      <c r="J213" s="198">
        <v>0</v>
      </c>
      <c r="K213" s="198">
        <v>0</v>
      </c>
      <c r="L213" s="198">
        <v>120</v>
      </c>
      <c r="M213" s="198">
        <v>0</v>
      </c>
      <c r="N213" s="198">
        <v>0</v>
      </c>
      <c r="O213" s="198">
        <v>150</v>
      </c>
      <c r="P213" s="198">
        <v>0</v>
      </c>
      <c r="Q213" s="198">
        <v>0</v>
      </c>
      <c r="R213" s="198">
        <v>104.8</v>
      </c>
      <c r="S213" s="198">
        <v>7456</v>
      </c>
      <c r="T213" s="198">
        <v>506</v>
      </c>
      <c r="U213" s="198">
        <v>2000</v>
      </c>
      <c r="V213" s="198">
        <v>1920</v>
      </c>
      <c r="W213" s="198">
        <v>0</v>
      </c>
      <c r="X213" s="198">
        <v>0</v>
      </c>
      <c r="Y213" s="198">
        <v>186</v>
      </c>
      <c r="Z213" s="277">
        <v>60839.8</v>
      </c>
      <c r="AA213" s="272">
        <v>10.088848369999999</v>
      </c>
      <c r="AB213" s="198">
        <v>13.313728442922375</v>
      </c>
      <c r="AC213" s="272">
        <v>0</v>
      </c>
      <c r="AD213" s="198">
        <v>0</v>
      </c>
      <c r="AE213" s="198">
        <v>13.313728442922375</v>
      </c>
      <c r="AF213" s="198">
        <v>996.60626675107358</v>
      </c>
      <c r="AG213" s="198">
        <v>0.43812568326972501</v>
      </c>
      <c r="AH213" s="198">
        <v>2.3149804506725886E-3</v>
      </c>
      <c r="AI213" s="198">
        <v>1010.3635069714034</v>
      </c>
      <c r="AJ213" s="198">
        <v>0.42513404853353087</v>
      </c>
      <c r="AK213" s="198">
        <v>9.9208233813380318</v>
      </c>
      <c r="AL213" s="198">
        <v>0.46448326688591318</v>
      </c>
      <c r="AM213" s="198">
        <v>8.3488965165249979E-2</v>
      </c>
      <c r="AN213" s="198">
        <v>3.4328471562407634E-2</v>
      </c>
      <c r="AO213" s="198">
        <v>6.873555802852504E-3</v>
      </c>
      <c r="AP213" s="198">
        <v>5.7039953513098561E-3</v>
      </c>
      <c r="AQ213" s="198">
        <v>5.4177848054809763E-3</v>
      </c>
      <c r="AS213" s="258">
        <f t="shared" si="24"/>
        <v>81616.591700000004</v>
      </c>
      <c r="AT213" s="3">
        <f t="shared" si="25"/>
        <v>23.314367568538266</v>
      </c>
      <c r="AU213" s="3">
        <f t="shared" si="26"/>
        <v>8.9992116192293086</v>
      </c>
      <c r="AV213" s="3">
        <f t="shared" si="27"/>
        <v>0</v>
      </c>
      <c r="AW213" s="3">
        <f t="shared" si="28"/>
        <v>0</v>
      </c>
      <c r="AX213" s="3">
        <f t="shared" si="29"/>
        <v>8.9992116192293086</v>
      </c>
      <c r="AY213" s="102">
        <f t="shared" si="30"/>
        <v>1</v>
      </c>
      <c r="AZ213" s="102">
        <f t="shared" si="31"/>
        <v>0</v>
      </c>
    </row>
    <row r="214" spans="1:52" x14ac:dyDescent="0.35">
      <c r="A214" t="s">
        <v>1020</v>
      </c>
      <c r="B214">
        <v>2021</v>
      </c>
      <c r="C214" t="s">
        <v>837</v>
      </c>
      <c r="D214" t="s">
        <v>1067</v>
      </c>
      <c r="E214" t="s">
        <v>1023</v>
      </c>
      <c r="F214" t="s">
        <v>983</v>
      </c>
      <c r="G214" t="s">
        <v>978</v>
      </c>
      <c r="H214" s="198">
        <v>27000</v>
      </c>
      <c r="I214" s="198">
        <v>15515</v>
      </c>
      <c r="J214" s="198">
        <v>0</v>
      </c>
      <c r="K214" s="198">
        <v>0</v>
      </c>
      <c r="L214" s="198">
        <v>150</v>
      </c>
      <c r="M214" s="198">
        <v>877.95979900000009</v>
      </c>
      <c r="N214" s="198">
        <v>75</v>
      </c>
      <c r="O214" s="198">
        <v>150</v>
      </c>
      <c r="P214" s="198">
        <v>1861.0698267000002</v>
      </c>
      <c r="Q214" s="198">
        <v>0</v>
      </c>
      <c r="R214" s="198">
        <v>0</v>
      </c>
      <c r="S214" s="198">
        <v>6322</v>
      </c>
      <c r="T214" s="198">
        <v>392</v>
      </c>
      <c r="U214" s="198">
        <v>2000</v>
      </c>
      <c r="V214" s="198">
        <v>4720</v>
      </c>
      <c r="W214" s="198">
        <v>225</v>
      </c>
      <c r="X214" s="198">
        <v>1500</v>
      </c>
      <c r="Y214" s="198">
        <v>186</v>
      </c>
      <c r="Z214" s="277">
        <v>60974.029625699994</v>
      </c>
      <c r="AA214" s="272">
        <v>15.858404670000001</v>
      </c>
      <c r="AB214" s="198">
        <v>8.4699684675154661</v>
      </c>
      <c r="AC214" s="272">
        <v>0</v>
      </c>
      <c r="AD214" s="198">
        <v>0</v>
      </c>
      <c r="AE214" s="198">
        <v>8.4699684675154661</v>
      </c>
      <c r="AF214" s="198">
        <v>634.02402190329224</v>
      </c>
      <c r="AG214" s="198">
        <v>0.2787281367509018</v>
      </c>
      <c r="AH214" s="198">
        <v>1.4727513411568153E-3</v>
      </c>
      <c r="AI214" s="198">
        <v>642.77614504939504</v>
      </c>
      <c r="AJ214" s="198">
        <v>0.27046307884253357</v>
      </c>
      <c r="AK214" s="198">
        <v>6.3114597516365469</v>
      </c>
      <c r="AL214" s="198">
        <v>0.29549638488410568</v>
      </c>
      <c r="AM214" s="198">
        <v>5.311426512616662E-2</v>
      </c>
      <c r="AN214" s="198">
        <v>2.1839191997803115E-2</v>
      </c>
      <c r="AO214" s="198">
        <v>4.3728397465413217E-3</v>
      </c>
      <c r="AP214" s="198">
        <v>3.6287852025502641E-3</v>
      </c>
      <c r="AQ214" s="198">
        <v>3.4467029024166972E-3</v>
      </c>
      <c r="AS214" s="258">
        <f t="shared" si="24"/>
        <v>81796.660742876542</v>
      </c>
      <c r="AT214" s="3">
        <f t="shared" si="25"/>
        <v>14.832205643383178</v>
      </c>
      <c r="AU214" s="3">
        <f t="shared" si="26"/>
        <v>5.7251459629921699</v>
      </c>
      <c r="AV214" s="3">
        <f t="shared" si="27"/>
        <v>0</v>
      </c>
      <c r="AW214" s="3">
        <f t="shared" si="28"/>
        <v>0</v>
      </c>
      <c r="AX214" s="3">
        <f t="shared" si="29"/>
        <v>5.7251459629921699</v>
      </c>
      <c r="AY214" s="102">
        <f t="shared" si="30"/>
        <v>1</v>
      </c>
      <c r="AZ214" s="102">
        <f t="shared" si="31"/>
        <v>0</v>
      </c>
    </row>
    <row r="215" spans="1:52" x14ac:dyDescent="0.35">
      <c r="A215" t="s">
        <v>1021</v>
      </c>
      <c r="B215">
        <v>2021</v>
      </c>
      <c r="C215" t="s">
        <v>837</v>
      </c>
      <c r="D215" t="s">
        <v>1067</v>
      </c>
      <c r="E215" t="s">
        <v>1023</v>
      </c>
      <c r="F215" t="s">
        <v>983</v>
      </c>
      <c r="G215" t="s">
        <v>978</v>
      </c>
      <c r="H215" s="198">
        <v>27000</v>
      </c>
      <c r="I215" s="198">
        <v>11148</v>
      </c>
      <c r="J215" s="198">
        <v>0</v>
      </c>
      <c r="K215" s="198">
        <v>0</v>
      </c>
      <c r="L215" s="198">
        <v>0</v>
      </c>
      <c r="M215" s="198">
        <v>12233.76</v>
      </c>
      <c r="N215" s="198">
        <v>75</v>
      </c>
      <c r="O215" s="198">
        <v>0</v>
      </c>
      <c r="P215" s="198">
        <v>9239.7962520000001</v>
      </c>
      <c r="Q215" s="198">
        <v>0</v>
      </c>
      <c r="R215" s="198">
        <v>4047.1897389599994</v>
      </c>
      <c r="S215" s="198">
        <v>1500</v>
      </c>
      <c r="T215" s="198">
        <v>0</v>
      </c>
      <c r="U215" s="198">
        <v>2000</v>
      </c>
      <c r="V215" s="198">
        <v>4720</v>
      </c>
      <c r="W215" s="198">
        <v>225</v>
      </c>
      <c r="X215" s="198">
        <v>1500</v>
      </c>
      <c r="Y215" s="198">
        <v>186</v>
      </c>
      <c r="Z215" s="277">
        <v>73874.74599096</v>
      </c>
      <c r="AA215" s="272">
        <v>98.06964960000002</v>
      </c>
      <c r="AB215" s="198">
        <v>1.3696407405130566</v>
      </c>
      <c r="AC215" s="272">
        <v>523.20000000000005</v>
      </c>
      <c r="AD215" s="198">
        <v>1.8835200000000001</v>
      </c>
      <c r="AE215" s="198">
        <v>3.2531607405130565</v>
      </c>
      <c r="AF215" s="198">
        <v>102.52519052381064</v>
      </c>
      <c r="AG215" s="198">
        <v>4.5071881092057044E-2</v>
      </c>
      <c r="AH215" s="198">
        <v>2.3815203624781789E-4</v>
      </c>
      <c r="AI215" s="198">
        <v>103.94045723617964</v>
      </c>
      <c r="AJ215" s="198">
        <v>4.3735375522122921E-2</v>
      </c>
      <c r="AK215" s="198">
        <v>1.0205979445028022</v>
      </c>
      <c r="AL215" s="198">
        <v>4.7783399544380732E-2</v>
      </c>
      <c r="AM215" s="198">
        <v>3.6435552989867045E-2</v>
      </c>
      <c r="AN215" s="198">
        <v>1.0647892558633194E-2</v>
      </c>
      <c r="AO215" s="198">
        <v>7.0711236902097077E-4</v>
      </c>
      <c r="AP215" s="198">
        <v>1.6042694162742188E-3</v>
      </c>
      <c r="AQ215" s="198">
        <v>1.8294289462528601E-3</v>
      </c>
      <c r="AS215" s="258">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102">
        <f t="shared" si="30"/>
        <v>0.44165981806781762</v>
      </c>
      <c r="AZ215" s="102">
        <f t="shared" si="31"/>
        <v>0.55834018193218249</v>
      </c>
    </row>
    <row r="216" spans="1:52" x14ac:dyDescent="0.35">
      <c r="A216" t="s">
        <v>246</v>
      </c>
      <c r="B216">
        <v>2021</v>
      </c>
      <c r="C216" t="s">
        <v>837</v>
      </c>
      <c r="D216" t="s">
        <v>1067</v>
      </c>
      <c r="E216" t="s">
        <v>1023</v>
      </c>
      <c r="F216" t="s">
        <v>977</v>
      </c>
      <c r="G216" t="s">
        <v>978</v>
      </c>
      <c r="H216" s="198">
        <v>27000</v>
      </c>
      <c r="I216" s="198">
        <v>0</v>
      </c>
      <c r="J216" s="198">
        <v>0</v>
      </c>
      <c r="K216" s="198">
        <v>0</v>
      </c>
      <c r="L216" s="198">
        <v>0</v>
      </c>
      <c r="M216" s="198">
        <v>25440.66</v>
      </c>
      <c r="N216" s="198">
        <v>75</v>
      </c>
      <c r="O216" s="198">
        <v>0</v>
      </c>
      <c r="P216" s="198">
        <v>9202.8638727000016</v>
      </c>
      <c r="Q216" s="198">
        <v>0</v>
      </c>
      <c r="R216" s="198">
        <v>0</v>
      </c>
      <c r="S216" s="198">
        <v>1500</v>
      </c>
      <c r="T216" s="198">
        <v>0</v>
      </c>
      <c r="U216" s="198">
        <v>2000</v>
      </c>
      <c r="V216" s="198">
        <v>4500</v>
      </c>
      <c r="W216" s="198">
        <v>225</v>
      </c>
      <c r="X216" s="198">
        <v>1500</v>
      </c>
      <c r="Y216" s="198">
        <v>186</v>
      </c>
      <c r="Z216" s="277">
        <v>71629.523872699996</v>
      </c>
      <c r="AA216" s="272">
        <v>0</v>
      </c>
      <c r="AB216" s="198">
        <v>0</v>
      </c>
      <c r="AC216" s="272">
        <v>632</v>
      </c>
      <c r="AD216" s="198">
        <v>2.2751999999999999</v>
      </c>
      <c r="AE216" s="198">
        <v>2.2751999999999999</v>
      </c>
      <c r="AF216" s="198">
        <v>0</v>
      </c>
      <c r="AG216" s="198">
        <v>0</v>
      </c>
      <c r="AH216" s="198">
        <v>0</v>
      </c>
      <c r="AI216" s="198">
        <v>0</v>
      </c>
      <c r="AJ216" s="198">
        <v>0</v>
      </c>
      <c r="AK216" s="198">
        <v>0</v>
      </c>
      <c r="AL216" s="198">
        <v>0</v>
      </c>
      <c r="AM216" s="198">
        <v>3.3637430045504665E-2</v>
      </c>
      <c r="AN216" s="198">
        <v>8.59623212274006E-3</v>
      </c>
      <c r="AO216" s="198">
        <v>0</v>
      </c>
      <c r="AP216" s="198">
        <v>1.2290597515615901E-3</v>
      </c>
      <c r="AQ216" s="198">
        <v>1.5366080136696323E-3</v>
      </c>
      <c r="AS216" s="258">
        <f t="shared" si="24"/>
        <v>96091.006275227031</v>
      </c>
      <c r="AT216" s="3">
        <f t="shared" si="25"/>
        <v>0</v>
      </c>
      <c r="AU216" s="3">
        <f t="shared" si="26"/>
        <v>0</v>
      </c>
      <c r="AV216" s="3">
        <f t="shared" si="27"/>
        <v>39.270756956267789</v>
      </c>
      <c r="AW216" s="3">
        <f t="shared" si="28"/>
        <v>1.4137472504256405</v>
      </c>
      <c r="AX216" s="3">
        <f t="shared" si="29"/>
        <v>1.4137472504256405</v>
      </c>
      <c r="AY216" s="102">
        <f t="shared" si="30"/>
        <v>0</v>
      </c>
      <c r="AZ216" s="102">
        <f t="shared" si="31"/>
        <v>1</v>
      </c>
    </row>
    <row r="217" spans="1:52" x14ac:dyDescent="0.35">
      <c r="A217" t="s">
        <v>627</v>
      </c>
      <c r="B217">
        <v>2021</v>
      </c>
      <c r="C217" t="s">
        <v>837</v>
      </c>
      <c r="D217" t="s">
        <v>1067</v>
      </c>
      <c r="E217" t="s">
        <v>1023</v>
      </c>
      <c r="F217" t="s">
        <v>989</v>
      </c>
      <c r="G217" t="s">
        <v>978</v>
      </c>
      <c r="H217" s="198">
        <v>27000</v>
      </c>
      <c r="I217" s="198">
        <v>0</v>
      </c>
      <c r="J217" s="198">
        <v>42517.2310956</v>
      </c>
      <c r="K217" s="198">
        <v>6541.2290000000003</v>
      </c>
      <c r="L217" s="198">
        <v>0</v>
      </c>
      <c r="M217" s="198">
        <v>2325.4070360000001</v>
      </c>
      <c r="N217" s="198">
        <v>75</v>
      </c>
      <c r="O217" s="198">
        <v>0</v>
      </c>
      <c r="P217" s="198">
        <v>9202.8638727000016</v>
      </c>
      <c r="Q217" s="198">
        <v>0</v>
      </c>
      <c r="R217" s="198">
        <v>0</v>
      </c>
      <c r="S217" s="198">
        <v>1500</v>
      </c>
      <c r="T217" s="198">
        <v>0</v>
      </c>
      <c r="U217" s="198">
        <v>2000</v>
      </c>
      <c r="V217" s="198">
        <v>4500</v>
      </c>
      <c r="W217" s="198">
        <v>225</v>
      </c>
      <c r="X217" s="198">
        <v>1500</v>
      </c>
      <c r="Y217" s="198">
        <v>186</v>
      </c>
      <c r="Z217" s="277">
        <v>97572.731004300018</v>
      </c>
      <c r="AA217" s="272">
        <v>31.02530917</v>
      </c>
      <c r="AB217" s="198">
        <v>4.3293746651808149</v>
      </c>
      <c r="AC217" s="272">
        <v>0</v>
      </c>
      <c r="AD217" s="198">
        <v>0</v>
      </c>
      <c r="AE217" s="198">
        <v>4.3293746651808149</v>
      </c>
      <c r="AF217" s="198">
        <v>0</v>
      </c>
      <c r="AG217" s="198">
        <v>0</v>
      </c>
      <c r="AH217" s="198">
        <v>0</v>
      </c>
      <c r="AI217" s="198">
        <v>0</v>
      </c>
      <c r="AJ217" s="198">
        <v>0</v>
      </c>
      <c r="AK217" s="198">
        <v>0</v>
      </c>
      <c r="AL217" s="198">
        <v>0</v>
      </c>
      <c r="AM217" s="198">
        <v>4.0473519578657191E-2</v>
      </c>
      <c r="AN217" s="198">
        <v>1.0343232781212412E-2</v>
      </c>
      <c r="AO217" s="198">
        <v>0</v>
      </c>
      <c r="AP217" s="198">
        <v>1.478839906939198E-3</v>
      </c>
      <c r="AQ217" s="198">
        <v>1.8488907874902071E-3</v>
      </c>
      <c r="AS217" s="258">
        <f t="shared" si="24"/>
        <v>130893.81864226847</v>
      </c>
      <c r="AT217" s="3">
        <f t="shared" si="25"/>
        <v>7.5813948525892529</v>
      </c>
      <c r="AU217" s="3">
        <f t="shared" si="26"/>
        <v>2.9263747535427593</v>
      </c>
      <c r="AV217" s="3">
        <f t="shared" si="27"/>
        <v>0</v>
      </c>
      <c r="AW217" s="3">
        <f t="shared" si="28"/>
        <v>0</v>
      </c>
      <c r="AX217" s="3">
        <f t="shared" si="29"/>
        <v>2.9263747535427593</v>
      </c>
      <c r="AY217" s="102">
        <f t="shared" si="30"/>
        <v>1</v>
      </c>
      <c r="AZ217" s="102">
        <f t="shared" si="31"/>
        <v>0</v>
      </c>
    </row>
    <row r="218" spans="1:52" x14ac:dyDescent="0.35">
      <c r="A218" t="s">
        <v>1065</v>
      </c>
      <c r="B218">
        <v>2021</v>
      </c>
      <c r="C218" t="s">
        <v>837</v>
      </c>
      <c r="D218" t="s">
        <v>1067</v>
      </c>
      <c r="E218" t="s">
        <v>1023</v>
      </c>
      <c r="F218" t="s">
        <v>989</v>
      </c>
      <c r="G218" t="s">
        <v>978</v>
      </c>
      <c r="H218" s="198">
        <v>27000</v>
      </c>
      <c r="I218" s="198">
        <v>0</v>
      </c>
      <c r="J218" s="198">
        <v>13384.8591426</v>
      </c>
      <c r="K218" s="198">
        <v>6861.2911999999997</v>
      </c>
      <c r="L218" s="198">
        <v>0</v>
      </c>
      <c r="M218" s="198">
        <v>2033.1675</v>
      </c>
      <c r="N218" s="198">
        <v>75</v>
      </c>
      <c r="O218" s="198">
        <v>0</v>
      </c>
      <c r="P218" s="198">
        <v>9240.9843519000005</v>
      </c>
      <c r="Q218" s="198">
        <v>0</v>
      </c>
      <c r="R218" s="198">
        <v>0</v>
      </c>
      <c r="S218" s="198">
        <v>1500</v>
      </c>
      <c r="T218" s="198">
        <v>0</v>
      </c>
      <c r="U218" s="198">
        <v>2000</v>
      </c>
      <c r="V218" s="198">
        <v>4500</v>
      </c>
      <c r="W218" s="198">
        <v>225</v>
      </c>
      <c r="X218" s="198">
        <v>1500</v>
      </c>
      <c r="Y218" s="198">
        <v>186</v>
      </c>
      <c r="Z218" s="277">
        <v>68506.302194499993</v>
      </c>
      <c r="AA218" s="272">
        <v>34.023342409999998</v>
      </c>
      <c r="AB218" s="198">
        <v>3.9478833643493294</v>
      </c>
      <c r="AC218" s="272">
        <v>0</v>
      </c>
      <c r="AD218" s="198">
        <v>0</v>
      </c>
      <c r="AE218" s="198">
        <v>3.9478833643493294</v>
      </c>
      <c r="AF218" s="198">
        <v>0</v>
      </c>
      <c r="AG218" s="198">
        <v>0</v>
      </c>
      <c r="AH218" s="198">
        <v>0</v>
      </c>
      <c r="AI218" s="198">
        <v>0</v>
      </c>
      <c r="AJ218" s="198">
        <v>0</v>
      </c>
      <c r="AK218" s="198">
        <v>0</v>
      </c>
      <c r="AL218" s="198">
        <v>0</v>
      </c>
      <c r="AM218" s="198">
        <v>3.6907116384803401E-2</v>
      </c>
      <c r="AN218" s="198">
        <v>9.4318186316719975E-3</v>
      </c>
      <c r="AO218" s="198">
        <v>0</v>
      </c>
      <c r="AP218" s="198">
        <v>1.3485290414100336E-3</v>
      </c>
      <c r="AQ218" s="198">
        <v>1.6859721661734424E-3</v>
      </c>
      <c r="AS218" s="258">
        <f t="shared" si="24"/>
        <v>91901.20439392174</v>
      </c>
      <c r="AT218" s="3">
        <f t="shared" si="25"/>
        <v>6.9133454440471054</v>
      </c>
      <c r="AU218" s="3">
        <f t="shared" si="26"/>
        <v>2.6685115289925649</v>
      </c>
      <c r="AV218" s="3">
        <f t="shared" si="27"/>
        <v>0</v>
      </c>
      <c r="AW218" s="3">
        <f t="shared" si="28"/>
        <v>0</v>
      </c>
      <c r="AX218" s="3">
        <f t="shared" si="29"/>
        <v>2.6685115289925649</v>
      </c>
      <c r="AY218" s="102">
        <f t="shared" si="30"/>
        <v>1</v>
      </c>
      <c r="AZ218" s="102">
        <f t="shared" si="31"/>
        <v>0</v>
      </c>
    </row>
    <row r="219" spans="1:52" x14ac:dyDescent="0.35">
      <c r="A219" t="s">
        <v>1017</v>
      </c>
      <c r="B219">
        <v>2025</v>
      </c>
      <c r="C219" t="s">
        <v>837</v>
      </c>
      <c r="D219" t="s">
        <v>1067</v>
      </c>
      <c r="E219" t="s">
        <v>1023</v>
      </c>
      <c r="F219" t="s">
        <v>983</v>
      </c>
      <c r="G219" t="s">
        <v>978</v>
      </c>
      <c r="H219" s="198">
        <v>27121.118364744001</v>
      </c>
      <c r="I219" s="198">
        <v>21478</v>
      </c>
      <c r="J219" s="198">
        <v>0</v>
      </c>
      <c r="K219" s="198">
        <v>0</v>
      </c>
      <c r="L219" s="198">
        <v>120</v>
      </c>
      <c r="M219" s="198">
        <v>0</v>
      </c>
      <c r="N219" s="198">
        <v>0</v>
      </c>
      <c r="O219" s="198">
        <v>150</v>
      </c>
      <c r="P219" s="198">
        <v>0</v>
      </c>
      <c r="Q219" s="198">
        <v>0</v>
      </c>
      <c r="R219" s="198">
        <v>92</v>
      </c>
      <c r="S219" s="198">
        <v>7418</v>
      </c>
      <c r="T219" s="198">
        <v>506</v>
      </c>
      <c r="U219" s="198">
        <v>2000</v>
      </c>
      <c r="V219" s="198">
        <v>1920</v>
      </c>
      <c r="W219" s="198">
        <v>0</v>
      </c>
      <c r="X219" s="198">
        <v>0</v>
      </c>
      <c r="Y219" s="198">
        <v>186</v>
      </c>
      <c r="Z219" s="277">
        <v>60991.118364744005</v>
      </c>
      <c r="AA219" s="272">
        <v>10.764827690000001</v>
      </c>
      <c r="AB219" s="198">
        <v>12.477690434820142</v>
      </c>
      <c r="AC219" s="272">
        <v>0</v>
      </c>
      <c r="AD219" s="198">
        <v>0</v>
      </c>
      <c r="AE219" s="198">
        <v>12.477690434820142</v>
      </c>
      <c r="AF219" s="198">
        <v>934.02419429189683</v>
      </c>
      <c r="AG219" s="198">
        <v>0.41061350100541177</v>
      </c>
      <c r="AH219" s="198">
        <v>2.1696108306541785E-3</v>
      </c>
      <c r="AI219" s="198">
        <v>946.91754610109535</v>
      </c>
      <c r="AJ219" s="198">
        <v>0.39843767834420507</v>
      </c>
      <c r="AK219" s="198">
        <v>9.2978434659802769</v>
      </c>
      <c r="AL219" s="198">
        <v>0.4353159553466312</v>
      </c>
      <c r="AM219" s="198">
        <v>7.8246260356111541E-2</v>
      </c>
      <c r="AN219" s="198">
        <v>3.2172808923705824E-2</v>
      </c>
      <c r="AO219" s="198">
        <v>6.4419296113891163E-3</v>
      </c>
      <c r="AP219" s="198">
        <v>5.3458119219138194E-3</v>
      </c>
      <c r="AQ219" s="198">
        <v>5.0775740195603165E-3</v>
      </c>
      <c r="AS219" s="258">
        <f t="shared" si="24"/>
        <v>81819.585286304078</v>
      </c>
      <c r="AT219" s="3">
        <f t="shared" si="25"/>
        <v>21.850337600845343</v>
      </c>
      <c r="AU219" s="3">
        <f t="shared" si="26"/>
        <v>8.434104482720862</v>
      </c>
      <c r="AV219" s="3">
        <f t="shared" si="27"/>
        <v>0</v>
      </c>
      <c r="AW219" s="3">
        <f t="shared" si="28"/>
        <v>0</v>
      </c>
      <c r="AX219" s="3">
        <f t="shared" si="29"/>
        <v>8.434104482720862</v>
      </c>
      <c r="AY219" s="102">
        <f t="shared" si="30"/>
        <v>1</v>
      </c>
      <c r="AZ219" s="102">
        <f t="shared" si="31"/>
        <v>0</v>
      </c>
    </row>
    <row r="220" spans="1:52" x14ac:dyDescent="0.35">
      <c r="A220" t="s">
        <v>1020</v>
      </c>
      <c r="B220">
        <v>2025</v>
      </c>
      <c r="C220" t="s">
        <v>837</v>
      </c>
      <c r="D220" t="s">
        <v>1067</v>
      </c>
      <c r="E220" t="s">
        <v>1023</v>
      </c>
      <c r="F220" t="s">
        <v>983</v>
      </c>
      <c r="G220" t="s">
        <v>978</v>
      </c>
      <c r="H220" s="198">
        <v>27121.118364744001</v>
      </c>
      <c r="I220" s="198">
        <v>15831</v>
      </c>
      <c r="J220" s="198">
        <v>0</v>
      </c>
      <c r="K220" s="198">
        <v>0</v>
      </c>
      <c r="L220" s="198">
        <v>150</v>
      </c>
      <c r="M220" s="198">
        <v>830.50251259999993</v>
      </c>
      <c r="N220" s="198">
        <v>50</v>
      </c>
      <c r="O220" s="198">
        <v>150</v>
      </c>
      <c r="P220" s="198">
        <v>1582.2193602999998</v>
      </c>
      <c r="Q220" s="198">
        <v>0</v>
      </c>
      <c r="R220" s="198">
        <v>0</v>
      </c>
      <c r="S220" s="198">
        <v>6301</v>
      </c>
      <c r="T220" s="198">
        <v>392</v>
      </c>
      <c r="U220" s="198">
        <v>2000</v>
      </c>
      <c r="V220" s="198">
        <v>4720</v>
      </c>
      <c r="W220" s="198">
        <v>139.97999999999999</v>
      </c>
      <c r="X220" s="198">
        <v>1500</v>
      </c>
      <c r="Y220" s="198">
        <v>186</v>
      </c>
      <c r="Z220" s="277">
        <v>60953.820237644002</v>
      </c>
      <c r="AA220" s="272">
        <v>17.165405530000001</v>
      </c>
      <c r="AB220" s="198">
        <v>7.8250518034804628</v>
      </c>
      <c r="AC220" s="272">
        <v>0</v>
      </c>
      <c r="AD220" s="198">
        <v>0</v>
      </c>
      <c r="AE220" s="198">
        <v>7.8250518034804628</v>
      </c>
      <c r="AF220" s="198">
        <v>585.74843992301248</v>
      </c>
      <c r="AG220" s="198">
        <v>0.25750533989923746</v>
      </c>
      <c r="AH220" s="198">
        <v>1.3606137475477402E-3</v>
      </c>
      <c r="AI220" s="198">
        <v>593.83416270596683</v>
      </c>
      <c r="AJ220" s="198">
        <v>0.24986959644401785</v>
      </c>
      <c r="AK220" s="198">
        <v>5.8308953216947428</v>
      </c>
      <c r="AL220" s="198">
        <v>0.27299682735862629</v>
      </c>
      <c r="AM220" s="198">
        <v>4.907006179657783E-2</v>
      </c>
      <c r="AN220" s="198">
        <v>2.0176321716472E-2</v>
      </c>
      <c r="AO220" s="198">
        <v>4.0398848798833186E-3</v>
      </c>
      <c r="AP220" s="198">
        <v>3.3524838141444132E-3</v>
      </c>
      <c r="AQ220" s="198">
        <v>3.1842655455042723E-3</v>
      </c>
      <c r="AS220" s="258">
        <f t="shared" si="24"/>
        <v>81769.549848799419</v>
      </c>
      <c r="AT220" s="3">
        <f t="shared" si="25"/>
        <v>13.70285827680228</v>
      </c>
      <c r="AU220" s="3">
        <f t="shared" si="26"/>
        <v>5.2892243831507457</v>
      </c>
      <c r="AV220" s="3">
        <f t="shared" si="27"/>
        <v>0</v>
      </c>
      <c r="AW220" s="3">
        <f t="shared" si="28"/>
        <v>0</v>
      </c>
      <c r="AX220" s="3">
        <f t="shared" si="29"/>
        <v>5.2892243831507457</v>
      </c>
      <c r="AY220" s="102">
        <f t="shared" si="30"/>
        <v>1</v>
      </c>
      <c r="AZ220" s="102">
        <f t="shared" si="31"/>
        <v>0</v>
      </c>
    </row>
    <row r="221" spans="1:52" x14ac:dyDescent="0.35">
      <c r="A221" t="s">
        <v>1021</v>
      </c>
      <c r="B221">
        <v>2025</v>
      </c>
      <c r="C221" t="s">
        <v>837</v>
      </c>
      <c r="D221" t="s">
        <v>1067</v>
      </c>
      <c r="E221" t="s">
        <v>1023</v>
      </c>
      <c r="F221" t="s">
        <v>983</v>
      </c>
      <c r="G221" t="s">
        <v>978</v>
      </c>
      <c r="H221" s="198">
        <v>27121.118364744001</v>
      </c>
      <c r="I221" s="198">
        <v>11267</v>
      </c>
      <c r="J221" s="198">
        <v>0</v>
      </c>
      <c r="K221" s="198">
        <v>0</v>
      </c>
      <c r="L221" s="198">
        <v>0</v>
      </c>
      <c r="M221" s="198">
        <v>10676.736000000001</v>
      </c>
      <c r="N221" s="198">
        <v>50</v>
      </c>
      <c r="O221" s="198">
        <v>0</v>
      </c>
      <c r="P221" s="198">
        <v>7750.2204311000005</v>
      </c>
      <c r="Q221" s="198">
        <v>0</v>
      </c>
      <c r="R221" s="198">
        <v>3351.1418185999996</v>
      </c>
      <c r="S221" s="198">
        <v>1500</v>
      </c>
      <c r="T221" s="198">
        <v>0</v>
      </c>
      <c r="U221" s="198">
        <v>2000</v>
      </c>
      <c r="V221" s="198">
        <v>4720</v>
      </c>
      <c r="W221" s="198">
        <v>139.97999999999999</v>
      </c>
      <c r="X221" s="198">
        <v>1500</v>
      </c>
      <c r="Y221" s="198">
        <v>186</v>
      </c>
      <c r="Z221" s="277">
        <v>70262.196614444008</v>
      </c>
      <c r="AA221" s="272">
        <v>110.33861010000003</v>
      </c>
      <c r="AB221" s="198">
        <v>1.217345291718515</v>
      </c>
      <c r="AC221" s="272">
        <v>484.8</v>
      </c>
      <c r="AD221" s="198">
        <v>1.7452799999999999</v>
      </c>
      <c r="AE221" s="198">
        <v>2.9626252917185152</v>
      </c>
      <c r="AF221" s="198">
        <v>91.125033211229024</v>
      </c>
      <c r="AG221" s="198">
        <v>4.0060170972834278E-2</v>
      </c>
      <c r="AH221" s="198">
        <v>2.1167102544778204E-4</v>
      </c>
      <c r="AI221" s="198">
        <v>92.382931153271088</v>
      </c>
      <c r="AJ221" s="198">
        <v>3.8872276428820192E-2</v>
      </c>
      <c r="AK221" s="198">
        <v>0.90711386258317606</v>
      </c>
      <c r="AL221" s="198">
        <v>4.2470185602004593E-2</v>
      </c>
      <c r="AM221" s="198">
        <v>3.3436731323364326E-2</v>
      </c>
      <c r="AN221" s="198">
        <v>9.7329072111473174E-3</v>
      </c>
      <c r="AO221" s="198">
        <v>6.2848591435820972E-4</v>
      </c>
      <c r="AP221" s="198">
        <v>1.4643444898692058E-3</v>
      </c>
      <c r="AQ221" s="198">
        <v>1.6740914993437169E-3</v>
      </c>
      <c r="AS221" s="258">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102">
        <f t="shared" si="30"/>
        <v>0.43141579149950221</v>
      </c>
      <c r="AZ221" s="102">
        <f t="shared" si="31"/>
        <v>0.56858420850049773</v>
      </c>
    </row>
    <row r="222" spans="1:52" x14ac:dyDescent="0.35">
      <c r="A222" t="s">
        <v>246</v>
      </c>
      <c r="B222">
        <v>2025</v>
      </c>
      <c r="C222" t="s">
        <v>837</v>
      </c>
      <c r="D222" t="s">
        <v>1067</v>
      </c>
      <c r="E222" t="s">
        <v>1023</v>
      </c>
      <c r="F222" t="s">
        <v>977</v>
      </c>
      <c r="G222" t="s">
        <v>978</v>
      </c>
      <c r="H222" s="198">
        <v>27121.118364744001</v>
      </c>
      <c r="I222" s="198">
        <v>0</v>
      </c>
      <c r="J222" s="198">
        <v>0</v>
      </c>
      <c r="K222" s="198">
        <v>0</v>
      </c>
      <c r="L222" s="198">
        <v>0</v>
      </c>
      <c r="M222" s="198">
        <v>21798.335999999999</v>
      </c>
      <c r="N222" s="198">
        <v>50</v>
      </c>
      <c r="O222" s="198">
        <v>0</v>
      </c>
      <c r="P222" s="198">
        <v>7735.5716943000007</v>
      </c>
      <c r="Q222" s="198">
        <v>0</v>
      </c>
      <c r="R222" s="198">
        <v>0</v>
      </c>
      <c r="S222" s="198">
        <v>1500</v>
      </c>
      <c r="T222" s="198">
        <v>0</v>
      </c>
      <c r="U222" s="198">
        <v>2000</v>
      </c>
      <c r="V222" s="198">
        <v>4500</v>
      </c>
      <c r="W222" s="198">
        <v>139.97999999999999</v>
      </c>
      <c r="X222" s="198">
        <v>1500</v>
      </c>
      <c r="Y222" s="198">
        <v>186</v>
      </c>
      <c r="Z222" s="277">
        <v>66531.006059044012</v>
      </c>
      <c r="AA222" s="272">
        <v>0</v>
      </c>
      <c r="AB222" s="198">
        <v>0</v>
      </c>
      <c r="AC222" s="272">
        <v>584</v>
      </c>
      <c r="AD222" s="198">
        <v>2.1023999999999998</v>
      </c>
      <c r="AE222" s="198">
        <v>2.1023999999999998</v>
      </c>
      <c r="AF222" s="198">
        <v>0</v>
      </c>
      <c r="AG222" s="198">
        <v>0</v>
      </c>
      <c r="AH222" s="198">
        <v>0</v>
      </c>
      <c r="AI222" s="198">
        <v>0</v>
      </c>
      <c r="AJ222" s="198">
        <v>0</v>
      </c>
      <c r="AK222" s="198">
        <v>0</v>
      </c>
      <c r="AL222" s="198">
        <v>0</v>
      </c>
      <c r="AM222" s="198">
        <v>3.1082688523061272E-2</v>
      </c>
      <c r="AN222" s="198">
        <v>7.9433537336711935E-3</v>
      </c>
      <c r="AO222" s="198">
        <v>0</v>
      </c>
      <c r="AP222" s="198">
        <v>1.1357134413164059E-3</v>
      </c>
      <c r="AQ222" s="198">
        <v>1.4199036075681411E-3</v>
      </c>
      <c r="AS222" s="258">
        <f t="shared" si="24"/>
        <v>89251.344628207531</v>
      </c>
      <c r="AT222" s="3">
        <f t="shared" si="25"/>
        <v>0</v>
      </c>
      <c r="AU222" s="3">
        <f t="shared" si="26"/>
        <v>0</v>
      </c>
      <c r="AV222" s="3">
        <f t="shared" si="27"/>
        <v>36.288167820348711</v>
      </c>
      <c r="AW222" s="3">
        <f t="shared" si="28"/>
        <v>1.3063740415325538</v>
      </c>
      <c r="AX222" s="3">
        <f t="shared" si="29"/>
        <v>1.3063740415325538</v>
      </c>
      <c r="AY222" s="102">
        <f t="shared" si="30"/>
        <v>0</v>
      </c>
      <c r="AZ222" s="102">
        <f t="shared" si="31"/>
        <v>1</v>
      </c>
    </row>
    <row r="223" spans="1:52" x14ac:dyDescent="0.35">
      <c r="A223" t="s">
        <v>627</v>
      </c>
      <c r="B223">
        <v>2025</v>
      </c>
      <c r="C223" t="s">
        <v>837</v>
      </c>
      <c r="D223" t="s">
        <v>1067</v>
      </c>
      <c r="E223" t="s">
        <v>1023</v>
      </c>
      <c r="F223" t="s">
        <v>989</v>
      </c>
      <c r="G223" t="s">
        <v>978</v>
      </c>
      <c r="H223" s="198">
        <v>27121.118364744001</v>
      </c>
      <c r="I223" s="198">
        <v>0</v>
      </c>
      <c r="J223" s="198">
        <v>32738.157815849059</v>
      </c>
      <c r="K223" s="198">
        <v>6203.6986769999994</v>
      </c>
      <c r="L223" s="198">
        <v>0</v>
      </c>
      <c r="M223" s="198">
        <v>2372.8643219999999</v>
      </c>
      <c r="N223" s="198">
        <v>50</v>
      </c>
      <c r="O223" s="198">
        <v>0</v>
      </c>
      <c r="P223" s="198">
        <v>7735.5716943000007</v>
      </c>
      <c r="Q223" s="198">
        <v>0</v>
      </c>
      <c r="R223" s="198">
        <v>0</v>
      </c>
      <c r="S223" s="198">
        <v>1500</v>
      </c>
      <c r="T223" s="198">
        <v>0</v>
      </c>
      <c r="U223" s="198">
        <v>2000</v>
      </c>
      <c r="V223" s="198">
        <v>4500</v>
      </c>
      <c r="W223" s="198">
        <v>139.97999999999999</v>
      </c>
      <c r="X223" s="198">
        <v>1500</v>
      </c>
      <c r="Y223" s="198">
        <v>186</v>
      </c>
      <c r="Z223" s="277">
        <v>86047.390873893048</v>
      </c>
      <c r="AA223" s="272">
        <v>32.974354949999999</v>
      </c>
      <c r="AB223" s="198">
        <v>4.0734743015799317</v>
      </c>
      <c r="AC223" s="272">
        <v>0</v>
      </c>
      <c r="AD223" s="198">
        <v>0</v>
      </c>
      <c r="AE223" s="198">
        <v>4.0734743015799317</v>
      </c>
      <c r="AF223" s="198">
        <v>0</v>
      </c>
      <c r="AG223" s="198">
        <v>0</v>
      </c>
      <c r="AH223" s="198">
        <v>0</v>
      </c>
      <c r="AI223" s="198">
        <v>0</v>
      </c>
      <c r="AJ223" s="198">
        <v>0</v>
      </c>
      <c r="AK223" s="198">
        <v>0</v>
      </c>
      <c r="AL223" s="198">
        <v>0</v>
      </c>
      <c r="AM223" s="198">
        <v>3.8081213719872553E-2</v>
      </c>
      <c r="AN223" s="198">
        <v>9.7318657284118908E-3</v>
      </c>
      <c r="AO223" s="198">
        <v>0</v>
      </c>
      <c r="AP223" s="198">
        <v>1.3914287450139382E-3</v>
      </c>
      <c r="AQ223" s="198">
        <v>1.7396066849655976E-3</v>
      </c>
      <c r="AS223" s="258">
        <f t="shared" si="24"/>
        <v>115432.57485732752</v>
      </c>
      <c r="AT223" s="3">
        <f t="shared" si="25"/>
        <v>7.1332743156944804</v>
      </c>
      <c r="AU223" s="3">
        <f t="shared" si="26"/>
        <v>2.7534028069272862</v>
      </c>
      <c r="AV223" s="3">
        <f t="shared" si="27"/>
        <v>0</v>
      </c>
      <c r="AW223" s="3">
        <f t="shared" si="28"/>
        <v>0</v>
      </c>
      <c r="AX223" s="3">
        <f t="shared" si="29"/>
        <v>2.7534028069272862</v>
      </c>
      <c r="AY223" s="102">
        <f t="shared" si="30"/>
        <v>1</v>
      </c>
      <c r="AZ223" s="102">
        <f t="shared" si="31"/>
        <v>0</v>
      </c>
    </row>
    <row r="224" spans="1:52" x14ac:dyDescent="0.35">
      <c r="A224" t="s">
        <v>1065</v>
      </c>
      <c r="B224">
        <v>2025</v>
      </c>
      <c r="C224" t="s">
        <v>837</v>
      </c>
      <c r="D224" t="s">
        <v>1067</v>
      </c>
      <c r="E224" t="s">
        <v>1023</v>
      </c>
      <c r="F224" t="s">
        <v>989</v>
      </c>
      <c r="G224" t="s">
        <v>978</v>
      </c>
      <c r="H224" s="198">
        <v>27121.118364744001</v>
      </c>
      <c r="I224" s="198">
        <v>0</v>
      </c>
      <c r="J224" s="198">
        <v>9705.7252405660383</v>
      </c>
      <c r="K224" s="198">
        <v>6507.6400290000001</v>
      </c>
      <c r="L224" s="198">
        <v>0</v>
      </c>
      <c r="M224" s="198">
        <v>1858.896</v>
      </c>
      <c r="N224" s="198">
        <v>50</v>
      </c>
      <c r="O224" s="198">
        <v>0</v>
      </c>
      <c r="P224" s="198">
        <v>7710.6659741000003</v>
      </c>
      <c r="Q224" s="198">
        <v>0</v>
      </c>
      <c r="R224" s="198">
        <v>0</v>
      </c>
      <c r="S224" s="198">
        <v>1500</v>
      </c>
      <c r="T224" s="198">
        <v>0</v>
      </c>
      <c r="U224" s="198">
        <v>2000</v>
      </c>
      <c r="V224" s="198">
        <v>4500</v>
      </c>
      <c r="W224" s="198">
        <v>139.97999999999999</v>
      </c>
      <c r="X224" s="198">
        <v>1500</v>
      </c>
      <c r="Y224" s="198">
        <v>186</v>
      </c>
      <c r="Z224" s="277">
        <v>62780.025608410047</v>
      </c>
      <c r="AA224" s="272">
        <v>36.685323580000002</v>
      </c>
      <c r="AB224" s="198">
        <v>3.6614148218452218</v>
      </c>
      <c r="AC224" s="272">
        <v>0</v>
      </c>
      <c r="AD224" s="198">
        <v>0</v>
      </c>
      <c r="AE224" s="198">
        <v>3.6614148218452218</v>
      </c>
      <c r="AF224" s="198">
        <v>0</v>
      </c>
      <c r="AG224" s="198">
        <v>0</v>
      </c>
      <c r="AH224" s="198">
        <v>0</v>
      </c>
      <c r="AI224" s="198">
        <v>0</v>
      </c>
      <c r="AJ224" s="198">
        <v>0</v>
      </c>
      <c r="AK224" s="198">
        <v>0</v>
      </c>
      <c r="AL224" s="198">
        <v>0</v>
      </c>
      <c r="AM224" s="198">
        <v>3.4229041360029556E-2</v>
      </c>
      <c r="AN224" s="198">
        <v>8.7474216808964556E-3</v>
      </c>
      <c r="AO224" s="198">
        <v>0</v>
      </c>
      <c r="AP224" s="198">
        <v>1.2506763154390213E-3</v>
      </c>
      <c r="AQ224" s="198">
        <v>1.5636337015907124E-3</v>
      </c>
      <c r="AS224" s="258">
        <f t="shared" si="24"/>
        <v>84219.404353682068</v>
      </c>
      <c r="AT224" s="3">
        <f t="shared" si="25"/>
        <v>6.4116953671811698</v>
      </c>
      <c r="AU224" s="3">
        <f t="shared" si="26"/>
        <v>2.4748774882128668</v>
      </c>
      <c r="AV224" s="3">
        <f t="shared" si="27"/>
        <v>0</v>
      </c>
      <c r="AW224" s="3">
        <f t="shared" si="28"/>
        <v>0</v>
      </c>
      <c r="AX224" s="3">
        <f t="shared" si="29"/>
        <v>2.4748774882128668</v>
      </c>
      <c r="AY224" s="102">
        <f t="shared" si="30"/>
        <v>1</v>
      </c>
      <c r="AZ224" s="102">
        <f t="shared" si="31"/>
        <v>0</v>
      </c>
    </row>
    <row r="225" spans="1:52" x14ac:dyDescent="0.35">
      <c r="A225" t="s">
        <v>1017</v>
      </c>
      <c r="B225">
        <v>2030</v>
      </c>
      <c r="C225" t="s">
        <v>837</v>
      </c>
      <c r="D225" t="s">
        <v>1067</v>
      </c>
      <c r="E225" t="s">
        <v>1023</v>
      </c>
      <c r="F225" t="s">
        <v>983</v>
      </c>
      <c r="G225" t="s">
        <v>978</v>
      </c>
      <c r="H225" s="198">
        <v>27256.562557575999</v>
      </c>
      <c r="I225" s="198">
        <v>21416</v>
      </c>
      <c r="J225" s="198">
        <v>0</v>
      </c>
      <c r="K225" s="198">
        <v>0</v>
      </c>
      <c r="L225" s="198">
        <v>120</v>
      </c>
      <c r="M225" s="198">
        <v>0</v>
      </c>
      <c r="N225" s="198">
        <v>0</v>
      </c>
      <c r="O225" s="198">
        <v>150</v>
      </c>
      <c r="P225" s="198">
        <v>0</v>
      </c>
      <c r="Q225" s="198">
        <v>0</v>
      </c>
      <c r="R225" s="198">
        <v>73.2</v>
      </c>
      <c r="S225" s="198">
        <v>7380</v>
      </c>
      <c r="T225" s="198">
        <v>506</v>
      </c>
      <c r="U225" s="198">
        <v>2000</v>
      </c>
      <c r="V225" s="198">
        <v>1920</v>
      </c>
      <c r="W225" s="198">
        <v>0</v>
      </c>
      <c r="X225" s="198">
        <v>0</v>
      </c>
      <c r="Y225" s="198">
        <v>186</v>
      </c>
      <c r="Z225" s="277">
        <v>61007.762557575996</v>
      </c>
      <c r="AA225" s="272">
        <v>11.416106660000001</v>
      </c>
      <c r="AB225" s="198">
        <v>11.765849032458148</v>
      </c>
      <c r="AC225" s="272">
        <v>0</v>
      </c>
      <c r="AD225" s="198">
        <v>0</v>
      </c>
      <c r="AE225" s="198">
        <v>11.765849032458148</v>
      </c>
      <c r="AF225" s="198">
        <v>880.73892521282312</v>
      </c>
      <c r="AG225" s="198">
        <v>0.38718835739319385</v>
      </c>
      <c r="AH225" s="198">
        <v>2.045836417084597E-3</v>
      </c>
      <c r="AI225" s="198">
        <v>892.89672249925559</v>
      </c>
      <c r="AJ225" s="198">
        <v>0.3757071548400383</v>
      </c>
      <c r="AK225" s="198">
        <v>8.7674095714755751</v>
      </c>
      <c r="AL225" s="198">
        <v>0.41048155816846749</v>
      </c>
      <c r="AM225" s="198">
        <v>7.3782379160113667E-2</v>
      </c>
      <c r="AN225" s="198">
        <v>3.0337378116874352E-2</v>
      </c>
      <c r="AO225" s="198">
        <v>6.0744231219115562E-3</v>
      </c>
      <c r="AP225" s="198">
        <v>5.0408379946364316E-3</v>
      </c>
      <c r="AQ225" s="198">
        <v>4.7879028316460655E-3</v>
      </c>
      <c r="AS225" s="258">
        <f t="shared" si="24"/>
        <v>81841.913470988191</v>
      </c>
      <c r="AT225" s="3">
        <f t="shared" si="25"/>
        <v>20.603794817858521</v>
      </c>
      <c r="AU225" s="3">
        <f t="shared" si="26"/>
        <v>7.9529461470489338</v>
      </c>
      <c r="AV225" s="3">
        <f t="shared" si="27"/>
        <v>0</v>
      </c>
      <c r="AW225" s="3">
        <f t="shared" si="28"/>
        <v>0</v>
      </c>
      <c r="AX225" s="3">
        <f t="shared" si="29"/>
        <v>7.9529461470489338</v>
      </c>
      <c r="AY225" s="102">
        <f t="shared" si="30"/>
        <v>1</v>
      </c>
      <c r="AZ225" s="102">
        <f t="shared" si="31"/>
        <v>0</v>
      </c>
    </row>
    <row r="226" spans="1:52" x14ac:dyDescent="0.35">
      <c r="A226" t="s">
        <v>1020</v>
      </c>
      <c r="B226">
        <v>2030</v>
      </c>
      <c r="C226" t="s">
        <v>837</v>
      </c>
      <c r="D226" t="s">
        <v>1067</v>
      </c>
      <c r="E226" t="s">
        <v>1023</v>
      </c>
      <c r="F226" t="s">
        <v>983</v>
      </c>
      <c r="G226" t="s">
        <v>978</v>
      </c>
      <c r="H226" s="198">
        <v>27256.562557575999</v>
      </c>
      <c r="I226" s="198">
        <v>15841</v>
      </c>
      <c r="J226" s="198">
        <v>0</v>
      </c>
      <c r="K226" s="198">
        <v>0</v>
      </c>
      <c r="L226" s="198">
        <v>150</v>
      </c>
      <c r="M226" s="198">
        <v>811.51959800999998</v>
      </c>
      <c r="N226" s="198">
        <v>40</v>
      </c>
      <c r="O226" s="198">
        <v>150</v>
      </c>
      <c r="P226" s="198">
        <v>1245.98277981</v>
      </c>
      <c r="Q226" s="198">
        <v>0</v>
      </c>
      <c r="R226" s="198">
        <v>0</v>
      </c>
      <c r="S226" s="198">
        <v>6227</v>
      </c>
      <c r="T226" s="198">
        <v>392</v>
      </c>
      <c r="U226" s="198">
        <v>2000</v>
      </c>
      <c r="V226" s="198">
        <v>4720</v>
      </c>
      <c r="W226" s="198">
        <v>103.96800000000002</v>
      </c>
      <c r="X226" s="198">
        <v>1500</v>
      </c>
      <c r="Y226" s="198">
        <v>186</v>
      </c>
      <c r="Z226" s="277">
        <v>60624.032935396004</v>
      </c>
      <c r="AA226" s="272">
        <v>18.371278409999999</v>
      </c>
      <c r="AB226" s="198">
        <v>7.311422999658304</v>
      </c>
      <c r="AC226" s="272">
        <v>0</v>
      </c>
      <c r="AD226" s="198">
        <v>0</v>
      </c>
      <c r="AE226" s="198">
        <v>7.311422999658304</v>
      </c>
      <c r="AF226" s="198">
        <v>547.3004809709023</v>
      </c>
      <c r="AG226" s="198">
        <v>0.24060293937436991</v>
      </c>
      <c r="AH226" s="198">
        <v>1.2713043820421863E-3</v>
      </c>
      <c r="AI226" s="198">
        <v>554.85546476000115</v>
      </c>
      <c r="AJ226" s="198">
        <v>0.23346839870677313</v>
      </c>
      <c r="AK226" s="198">
        <v>5.4481610134103935</v>
      </c>
      <c r="AL226" s="198">
        <v>0.25507758063605657</v>
      </c>
      <c r="AM226" s="198">
        <v>4.5849150577453958E-2</v>
      </c>
      <c r="AN226" s="198">
        <v>1.8851967546170762E-2</v>
      </c>
      <c r="AO226" s="198">
        <v>3.7747107582869906E-3</v>
      </c>
      <c r="AP226" s="198">
        <v>3.1324300311744075E-3</v>
      </c>
      <c r="AQ226" s="198">
        <v>2.975253446381553E-3</v>
      </c>
      <c r="AS226" s="258">
        <f t="shared" si="24"/>
        <v>81327.14018283374</v>
      </c>
      <c r="AT226" s="3">
        <f t="shared" si="25"/>
        <v>12.803415962244305</v>
      </c>
      <c r="AU226" s="3">
        <f t="shared" si="26"/>
        <v>4.9420448294184158</v>
      </c>
      <c r="AV226" s="3">
        <f t="shared" si="27"/>
        <v>0</v>
      </c>
      <c r="AW226" s="3">
        <f t="shared" si="28"/>
        <v>0</v>
      </c>
      <c r="AX226" s="3">
        <f t="shared" si="29"/>
        <v>4.9420448294184158</v>
      </c>
      <c r="AY226" s="102">
        <f t="shared" si="30"/>
        <v>1</v>
      </c>
      <c r="AZ226" s="102">
        <f t="shared" si="31"/>
        <v>0</v>
      </c>
    </row>
    <row r="227" spans="1:52" x14ac:dyDescent="0.35">
      <c r="A227" t="s">
        <v>1021</v>
      </c>
      <c r="B227">
        <v>2030</v>
      </c>
      <c r="C227" t="s">
        <v>837</v>
      </c>
      <c r="D227" t="s">
        <v>1067</v>
      </c>
      <c r="E227" t="s">
        <v>1023</v>
      </c>
      <c r="F227" t="s">
        <v>983</v>
      </c>
      <c r="G227" t="s">
        <v>978</v>
      </c>
      <c r="H227" s="198">
        <v>27256.562557575999</v>
      </c>
      <c r="I227" s="198">
        <v>11516</v>
      </c>
      <c r="J227" s="198">
        <v>0</v>
      </c>
      <c r="K227" s="198">
        <v>0</v>
      </c>
      <c r="L227" s="198">
        <v>0</v>
      </c>
      <c r="M227" s="198">
        <v>7795.05</v>
      </c>
      <c r="N227" s="198">
        <v>40</v>
      </c>
      <c r="O227" s="198">
        <v>0</v>
      </c>
      <c r="P227" s="198">
        <v>5957.4057479100002</v>
      </c>
      <c r="Q227" s="198">
        <v>0</v>
      </c>
      <c r="R227" s="198">
        <v>2666.3432730599998</v>
      </c>
      <c r="S227" s="198">
        <v>1500</v>
      </c>
      <c r="T227" s="198">
        <v>0</v>
      </c>
      <c r="U227" s="198">
        <v>2000</v>
      </c>
      <c r="V227" s="198">
        <v>4720</v>
      </c>
      <c r="W227" s="198">
        <v>103.96800000000002</v>
      </c>
      <c r="X227" s="198">
        <v>1500</v>
      </c>
      <c r="Y227" s="198">
        <v>186</v>
      </c>
      <c r="Z227" s="277">
        <v>65241.329578546</v>
      </c>
      <c r="AA227" s="272">
        <v>122.60190215000003</v>
      </c>
      <c r="AB227" s="198">
        <v>1.0955799636425134</v>
      </c>
      <c r="AC227" s="272">
        <v>455.20000000000005</v>
      </c>
      <c r="AD227" s="198">
        <v>1.6387200000000002</v>
      </c>
      <c r="AE227" s="198">
        <v>2.7342999636425134</v>
      </c>
      <c r="AF227" s="198">
        <v>82.010224421655522</v>
      </c>
      <c r="AG227" s="198">
        <v>3.6053140350978639E-2</v>
      </c>
      <c r="AH227" s="198">
        <v>1.9049856761418934E-4</v>
      </c>
      <c r="AI227" s="198">
        <v>83.142300744604896</v>
      </c>
      <c r="AJ227" s="198">
        <v>3.4984065315164542E-2</v>
      </c>
      <c r="AK227" s="198">
        <v>0.81637952629326349</v>
      </c>
      <c r="AL227" s="198">
        <v>3.8222092543726639E-2</v>
      </c>
      <c r="AM227" s="198">
        <v>3.1097730053226271E-2</v>
      </c>
      <c r="AN227" s="198">
        <v>9.0163359103526304E-3</v>
      </c>
      <c r="AO227" s="198">
        <v>5.6562142219350952E-4</v>
      </c>
      <c r="AP227" s="198">
        <v>1.3546130610832055E-3</v>
      </c>
      <c r="AQ227" s="198">
        <v>1.5525735494101084E-3</v>
      </c>
      <c r="AS227" s="258">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102">
        <f t="shared" si="30"/>
        <v>0.4210496010971827</v>
      </c>
      <c r="AZ227" s="102">
        <f t="shared" si="31"/>
        <v>0.5789503989028173</v>
      </c>
    </row>
    <row r="228" spans="1:52" x14ac:dyDescent="0.35">
      <c r="A228" t="s">
        <v>246</v>
      </c>
      <c r="B228">
        <v>2030</v>
      </c>
      <c r="C228" t="s">
        <v>837</v>
      </c>
      <c r="D228" t="s">
        <v>1067</v>
      </c>
      <c r="E228" t="s">
        <v>1023</v>
      </c>
      <c r="F228" t="s">
        <v>977</v>
      </c>
      <c r="G228" t="s">
        <v>978</v>
      </c>
      <c r="H228" s="198">
        <v>27256.562557575999</v>
      </c>
      <c r="I228" s="198">
        <v>0</v>
      </c>
      <c r="J228" s="198">
        <v>0</v>
      </c>
      <c r="K228" s="198">
        <v>0</v>
      </c>
      <c r="L228" s="198">
        <v>0</v>
      </c>
      <c r="M228" s="198">
        <v>15987.3</v>
      </c>
      <c r="N228" s="198">
        <v>40</v>
      </c>
      <c r="O228" s="198">
        <v>0</v>
      </c>
      <c r="P228" s="198">
        <v>6064.1979818700011</v>
      </c>
      <c r="Q228" s="198">
        <v>0</v>
      </c>
      <c r="R228" s="198">
        <v>0</v>
      </c>
      <c r="S228" s="198">
        <v>1500</v>
      </c>
      <c r="T228" s="198">
        <v>0</v>
      </c>
      <c r="U228" s="198">
        <v>2000</v>
      </c>
      <c r="V228" s="198">
        <v>4500</v>
      </c>
      <c r="W228" s="198">
        <v>103.96800000000002</v>
      </c>
      <c r="X228" s="198">
        <v>1500</v>
      </c>
      <c r="Y228" s="198">
        <v>186</v>
      </c>
      <c r="Z228" s="277">
        <v>59138.028539445993</v>
      </c>
      <c r="AA228" s="272">
        <v>0</v>
      </c>
      <c r="AB228" s="198">
        <v>0</v>
      </c>
      <c r="AC228" s="272">
        <v>542</v>
      </c>
      <c r="AD228" s="198">
        <v>1.9512</v>
      </c>
      <c r="AE228" s="198">
        <v>1.9512</v>
      </c>
      <c r="AF228" s="198">
        <v>0</v>
      </c>
      <c r="AG228" s="198">
        <v>0</v>
      </c>
      <c r="AH228" s="198">
        <v>0</v>
      </c>
      <c r="AI228" s="198">
        <v>0</v>
      </c>
      <c r="AJ228" s="198">
        <v>0</v>
      </c>
      <c r="AK228" s="198">
        <v>0</v>
      </c>
      <c r="AL228" s="198">
        <v>0</v>
      </c>
      <c r="AM228" s="198">
        <v>2.884728969092331E-2</v>
      </c>
      <c r="AN228" s="198">
        <v>7.3720851432359374E-3</v>
      </c>
      <c r="AO228" s="198">
        <v>0</v>
      </c>
      <c r="AP228" s="198">
        <v>1.0540354198518699E-3</v>
      </c>
      <c r="AQ228" s="198">
        <v>1.3177872522293368E-3</v>
      </c>
      <c r="AS228" s="258">
        <f t="shared" si="24"/>
        <v>79333.665285666793</v>
      </c>
      <c r="AT228" s="3">
        <f t="shared" si="25"/>
        <v>0</v>
      </c>
      <c r="AU228" s="3">
        <f t="shared" si="26"/>
        <v>0</v>
      </c>
      <c r="AV228" s="3">
        <f t="shared" si="27"/>
        <v>33.678402326419523</v>
      </c>
      <c r="AW228" s="3">
        <f t="shared" si="28"/>
        <v>1.2124224837511028</v>
      </c>
      <c r="AX228" s="3">
        <f t="shared" si="29"/>
        <v>1.2124224837511028</v>
      </c>
      <c r="AY228" s="102">
        <f t="shared" si="30"/>
        <v>0</v>
      </c>
      <c r="AZ228" s="102">
        <f t="shared" si="31"/>
        <v>1</v>
      </c>
    </row>
    <row r="229" spans="1:52" x14ac:dyDescent="0.35">
      <c r="A229" t="s">
        <v>627</v>
      </c>
      <c r="B229">
        <v>2030</v>
      </c>
      <c r="C229" t="s">
        <v>837</v>
      </c>
      <c r="D229" t="s">
        <v>1067</v>
      </c>
      <c r="E229" t="s">
        <v>1023</v>
      </c>
      <c r="F229" t="s">
        <v>989</v>
      </c>
      <c r="G229" t="s">
        <v>978</v>
      </c>
      <c r="H229" s="198">
        <v>27256.562557575999</v>
      </c>
      <c r="I229" s="198">
        <v>0</v>
      </c>
      <c r="J229" s="198">
        <v>28067.62673</v>
      </c>
      <c r="K229" s="198">
        <v>5475.2765099999997</v>
      </c>
      <c r="L229" s="198">
        <v>0</v>
      </c>
      <c r="M229" s="198">
        <v>2288.0344217000002</v>
      </c>
      <c r="N229" s="198">
        <v>40</v>
      </c>
      <c r="O229" s="198">
        <v>0</v>
      </c>
      <c r="P229" s="198">
        <v>6064.1979818700011</v>
      </c>
      <c r="Q229" s="198">
        <v>0</v>
      </c>
      <c r="R229" s="198">
        <v>0</v>
      </c>
      <c r="S229" s="198">
        <v>1500</v>
      </c>
      <c r="T229" s="198">
        <v>0</v>
      </c>
      <c r="U229" s="198">
        <v>2000</v>
      </c>
      <c r="V229" s="198">
        <v>4500</v>
      </c>
      <c r="W229" s="198">
        <v>103.96800000000002</v>
      </c>
      <c r="X229" s="198">
        <v>1500</v>
      </c>
      <c r="Y229" s="198">
        <v>186</v>
      </c>
      <c r="Z229" s="277">
        <v>78981.666201145985</v>
      </c>
      <c r="AA229" s="272">
        <v>35.171051589999998</v>
      </c>
      <c r="AB229" s="198">
        <v>3.8190552010162411</v>
      </c>
      <c r="AC229" s="272">
        <v>0</v>
      </c>
      <c r="AD229" s="198">
        <v>0</v>
      </c>
      <c r="AE229" s="198">
        <v>3.8190552010162411</v>
      </c>
      <c r="AF229" s="198">
        <v>0</v>
      </c>
      <c r="AG229" s="198">
        <v>0</v>
      </c>
      <c r="AH229" s="198">
        <v>0</v>
      </c>
      <c r="AI229" s="198">
        <v>0</v>
      </c>
      <c r="AJ229" s="198">
        <v>0</v>
      </c>
      <c r="AK229" s="198">
        <v>0</v>
      </c>
      <c r="AL229" s="198">
        <v>0</v>
      </c>
      <c r="AM229" s="198">
        <v>3.5702755571940741E-2</v>
      </c>
      <c r="AN229" s="198">
        <v>9.1240375350515376E-3</v>
      </c>
      <c r="AO229" s="198">
        <v>0</v>
      </c>
      <c r="AP229" s="198">
        <v>1.3045235570598602E-3</v>
      </c>
      <c r="AQ229" s="198">
        <v>1.6309551665426463E-3</v>
      </c>
      <c r="AS229" s="258">
        <f t="shared" si="24"/>
        <v>105953.90520883733</v>
      </c>
      <c r="AT229" s="3">
        <f t="shared" si="25"/>
        <v>6.6877476961281888</v>
      </c>
      <c r="AU229" s="3">
        <f t="shared" si="26"/>
        <v>2.5814320974628178</v>
      </c>
      <c r="AV229" s="3">
        <f t="shared" si="27"/>
        <v>0</v>
      </c>
      <c r="AW229" s="3">
        <f t="shared" si="28"/>
        <v>0</v>
      </c>
      <c r="AX229" s="3">
        <f t="shared" si="29"/>
        <v>2.5814320974628178</v>
      </c>
      <c r="AY229" s="102">
        <f t="shared" si="30"/>
        <v>1</v>
      </c>
      <c r="AZ229" s="102">
        <f t="shared" si="31"/>
        <v>0</v>
      </c>
    </row>
    <row r="230" spans="1:52" x14ac:dyDescent="0.35">
      <c r="A230" t="s">
        <v>1065</v>
      </c>
      <c r="B230">
        <v>2030</v>
      </c>
      <c r="C230" t="s">
        <v>837</v>
      </c>
      <c r="D230" t="s">
        <v>1067</v>
      </c>
      <c r="E230" t="s">
        <v>1023</v>
      </c>
      <c r="F230" t="s">
        <v>989</v>
      </c>
      <c r="G230" t="s">
        <v>978</v>
      </c>
      <c r="H230" s="198">
        <v>27256.562557575999</v>
      </c>
      <c r="I230" s="198">
        <v>0</v>
      </c>
      <c r="J230" s="198">
        <v>7928.9625689999993</v>
      </c>
      <c r="K230" s="198">
        <v>5741.3703600000008</v>
      </c>
      <c r="L230" s="198">
        <v>0</v>
      </c>
      <c r="M230" s="198">
        <v>1452.2625</v>
      </c>
      <c r="N230" s="198">
        <v>40</v>
      </c>
      <c r="O230" s="198">
        <v>0</v>
      </c>
      <c r="P230" s="198">
        <v>6001.3094975099993</v>
      </c>
      <c r="Q230" s="198">
        <v>0</v>
      </c>
      <c r="R230" s="198">
        <v>0</v>
      </c>
      <c r="S230" s="198">
        <v>1500</v>
      </c>
      <c r="T230" s="198">
        <v>0</v>
      </c>
      <c r="U230" s="198">
        <v>2000</v>
      </c>
      <c r="V230" s="198">
        <v>4500</v>
      </c>
      <c r="W230" s="198">
        <v>103.96800000000002</v>
      </c>
      <c r="X230" s="198">
        <v>1500</v>
      </c>
      <c r="Y230" s="198">
        <v>186</v>
      </c>
      <c r="Z230" s="277">
        <v>58210.435484085996</v>
      </c>
      <c r="AA230" s="272">
        <v>39.398967059999997</v>
      </c>
      <c r="AB230" s="198">
        <v>3.4092311936870363</v>
      </c>
      <c r="AC230" s="272">
        <v>0</v>
      </c>
      <c r="AD230" s="198">
        <v>0</v>
      </c>
      <c r="AE230" s="198">
        <v>3.4092311936870363</v>
      </c>
      <c r="AF230" s="198">
        <v>0</v>
      </c>
      <c r="AG230" s="198">
        <v>0</v>
      </c>
      <c r="AH230" s="198">
        <v>0</v>
      </c>
      <c r="AI230" s="198">
        <v>0</v>
      </c>
      <c r="AJ230" s="198">
        <v>0</v>
      </c>
      <c r="AK230" s="198">
        <v>0</v>
      </c>
      <c r="AL230" s="198">
        <v>0</v>
      </c>
      <c r="AM230" s="198">
        <v>3.1871481712035715E-2</v>
      </c>
      <c r="AN230" s="198">
        <v>8.1449342152980306E-3</v>
      </c>
      <c r="AO230" s="198">
        <v>0</v>
      </c>
      <c r="AP230" s="198">
        <v>1.1645347264015973E-3</v>
      </c>
      <c r="AQ230" s="198">
        <v>1.4559368578392483E-3</v>
      </c>
      <c r="AS230" s="258">
        <f t="shared" si="24"/>
        <v>78089.299201901362</v>
      </c>
      <c r="AT230" s="3">
        <f t="shared" si="25"/>
        <v>5.9700834004917729</v>
      </c>
      <c r="AU230" s="3">
        <f t="shared" si="26"/>
        <v>2.3044178122152696</v>
      </c>
      <c r="AV230" s="3">
        <f t="shared" si="27"/>
        <v>0</v>
      </c>
      <c r="AW230" s="3">
        <f t="shared" si="28"/>
        <v>0</v>
      </c>
      <c r="AX230" s="3">
        <f t="shared" si="29"/>
        <v>2.3044178122152696</v>
      </c>
      <c r="AY230" s="102">
        <f t="shared" si="30"/>
        <v>1</v>
      </c>
      <c r="AZ230" s="102">
        <f t="shared" si="31"/>
        <v>0</v>
      </c>
    </row>
    <row r="231" spans="1:52" x14ac:dyDescent="0.35">
      <c r="A231" t="s">
        <v>1017</v>
      </c>
      <c r="B231">
        <v>2035</v>
      </c>
      <c r="C231" t="s">
        <v>837</v>
      </c>
      <c r="D231" t="s">
        <v>1067</v>
      </c>
      <c r="E231" t="s">
        <v>1023</v>
      </c>
      <c r="F231" t="s">
        <v>983</v>
      </c>
      <c r="G231" t="s">
        <v>978</v>
      </c>
      <c r="H231" s="198">
        <v>27256.562557575999</v>
      </c>
      <c r="I231" s="198">
        <v>21044</v>
      </c>
      <c r="J231" s="198">
        <v>0</v>
      </c>
      <c r="K231" s="198">
        <v>0</v>
      </c>
      <c r="L231" s="198">
        <v>120</v>
      </c>
      <c r="M231" s="198">
        <v>0</v>
      </c>
      <c r="N231" s="198">
        <v>0</v>
      </c>
      <c r="O231" s="198">
        <v>150</v>
      </c>
      <c r="P231" s="198">
        <v>0</v>
      </c>
      <c r="Q231" s="198">
        <v>0</v>
      </c>
      <c r="R231" s="198">
        <v>62.6</v>
      </c>
      <c r="S231" s="198">
        <v>7340</v>
      </c>
      <c r="T231" s="198">
        <v>506</v>
      </c>
      <c r="U231" s="198">
        <v>2000</v>
      </c>
      <c r="V231" s="198">
        <v>1920</v>
      </c>
      <c r="W231" s="198">
        <v>0</v>
      </c>
      <c r="X231" s="198">
        <v>0</v>
      </c>
      <c r="Y231" s="198">
        <v>186</v>
      </c>
      <c r="Z231" s="277">
        <v>60585.162557575997</v>
      </c>
      <c r="AA231" s="272">
        <v>11.91667822</v>
      </c>
      <c r="AB231" s="198">
        <v>11.271613197926898</v>
      </c>
      <c r="AC231" s="272">
        <v>0</v>
      </c>
      <c r="AD231" s="198">
        <v>0</v>
      </c>
      <c r="AE231" s="198">
        <v>11.271613197926898</v>
      </c>
      <c r="AF231" s="198">
        <v>843.74263735413274</v>
      </c>
      <c r="AG231" s="198">
        <v>0.37092413707138772</v>
      </c>
      <c r="AH231" s="198">
        <v>1.9598990855649707E-3</v>
      </c>
      <c r="AI231" s="198">
        <v>855.38973464166622</v>
      </c>
      <c r="AJ231" s="198">
        <v>0.35992521350291296</v>
      </c>
      <c r="AK231" s="198">
        <v>8.3991260779272832</v>
      </c>
      <c r="AL231" s="198">
        <v>0.39323888448623556</v>
      </c>
      <c r="AM231" s="198">
        <v>7.0683079174426081E-2</v>
      </c>
      <c r="AN231" s="198">
        <v>2.9063027294445782E-2</v>
      </c>
      <c r="AO231" s="198">
        <v>5.819261121050268E-3</v>
      </c>
      <c r="AP231" s="198">
        <v>4.8290927337425417E-3</v>
      </c>
      <c r="AQ231" s="198">
        <v>4.5867823561814283E-3</v>
      </c>
      <c r="AS231" s="258">
        <f t="shared" si="24"/>
        <v>81274.995570988191</v>
      </c>
      <c r="AT231" s="3">
        <f t="shared" si="25"/>
        <v>19.73831254809431</v>
      </c>
      <c r="AU231" s="3">
        <f t="shared" si="26"/>
        <v>7.6188749750386968</v>
      </c>
      <c r="AV231" s="3">
        <f t="shared" si="27"/>
        <v>0</v>
      </c>
      <c r="AW231" s="3">
        <f t="shared" si="28"/>
        <v>0</v>
      </c>
      <c r="AX231" s="3">
        <f t="shared" si="29"/>
        <v>7.6188749750386968</v>
      </c>
      <c r="AY231" s="102">
        <f t="shared" si="30"/>
        <v>1</v>
      </c>
      <c r="AZ231" s="102">
        <f t="shared" si="31"/>
        <v>0</v>
      </c>
    </row>
    <row r="232" spans="1:52" x14ac:dyDescent="0.35">
      <c r="A232" t="s">
        <v>1020</v>
      </c>
      <c r="B232">
        <v>2035</v>
      </c>
      <c r="C232" t="s">
        <v>837</v>
      </c>
      <c r="D232" t="s">
        <v>1067</v>
      </c>
      <c r="E232" t="s">
        <v>1023</v>
      </c>
      <c r="F232" t="s">
        <v>983</v>
      </c>
      <c r="G232" t="s">
        <v>978</v>
      </c>
      <c r="H232" s="198">
        <v>27256.562557575999</v>
      </c>
      <c r="I232" s="198">
        <v>15546</v>
      </c>
      <c r="J232" s="198">
        <v>0</v>
      </c>
      <c r="K232" s="198">
        <v>0</v>
      </c>
      <c r="L232" s="198">
        <v>150</v>
      </c>
      <c r="M232" s="198">
        <v>800.84170854000001</v>
      </c>
      <c r="N232" s="198">
        <v>35</v>
      </c>
      <c r="O232" s="198">
        <v>150</v>
      </c>
      <c r="P232" s="198">
        <v>1058.43260358</v>
      </c>
      <c r="Q232" s="198">
        <v>0</v>
      </c>
      <c r="R232" s="198">
        <v>0</v>
      </c>
      <c r="S232" s="198">
        <v>6152</v>
      </c>
      <c r="T232" s="198">
        <v>392</v>
      </c>
      <c r="U232" s="198">
        <v>2000</v>
      </c>
      <c r="V232" s="198">
        <v>4720</v>
      </c>
      <c r="W232" s="198">
        <v>84</v>
      </c>
      <c r="X232" s="198">
        <v>1500</v>
      </c>
      <c r="Y232" s="198">
        <v>186</v>
      </c>
      <c r="Z232" s="277">
        <v>60030.836869695995</v>
      </c>
      <c r="AA232" s="272">
        <v>19.620069359999999</v>
      </c>
      <c r="AB232" s="198">
        <v>6.8460607878299582</v>
      </c>
      <c r="AC232" s="272">
        <v>0</v>
      </c>
      <c r="AD232" s="198">
        <v>0</v>
      </c>
      <c r="AE232" s="198">
        <v>6.8460607878299582</v>
      </c>
      <c r="AF232" s="198">
        <v>512.46554358986998</v>
      </c>
      <c r="AG232" s="198">
        <v>0.22528888682332876</v>
      </c>
      <c r="AH232" s="198">
        <v>1.1903875729392429E-3</v>
      </c>
      <c r="AI232" s="198">
        <v>519.53966285142246</v>
      </c>
      <c r="AJ232" s="198">
        <v>0.21860845004571447</v>
      </c>
      <c r="AK232" s="198">
        <v>5.101392913723628</v>
      </c>
      <c r="AL232" s="198">
        <v>0.23884223669300114</v>
      </c>
      <c r="AM232" s="198">
        <v>4.293091398737129E-2</v>
      </c>
      <c r="AN232" s="198">
        <v>1.7652065240557721E-2</v>
      </c>
      <c r="AO232" s="198">
        <v>3.5344555100855421E-3</v>
      </c>
      <c r="AP232" s="198">
        <v>2.933055084905674E-3</v>
      </c>
      <c r="AQ232" s="198">
        <v>2.7858825777253783E-3</v>
      </c>
      <c r="AS232" s="258">
        <f t="shared" si="24"/>
        <v>80531.367660697171</v>
      </c>
      <c r="AT232" s="3">
        <f t="shared" si="25"/>
        <v>11.988495806287412</v>
      </c>
      <c r="AU232" s="3">
        <f t="shared" si="26"/>
        <v>4.6274903421619031</v>
      </c>
      <c r="AV232" s="3">
        <f t="shared" si="27"/>
        <v>0</v>
      </c>
      <c r="AW232" s="3">
        <f t="shared" si="28"/>
        <v>0</v>
      </c>
      <c r="AX232" s="3">
        <f t="shared" si="29"/>
        <v>4.6274903421619031</v>
      </c>
      <c r="AY232" s="102">
        <f t="shared" si="30"/>
        <v>1</v>
      </c>
      <c r="AZ232" s="102">
        <f t="shared" si="31"/>
        <v>0</v>
      </c>
    </row>
    <row r="233" spans="1:52" x14ac:dyDescent="0.35">
      <c r="A233" t="s">
        <v>1021</v>
      </c>
      <c r="B233">
        <v>2035</v>
      </c>
      <c r="C233" t="s">
        <v>837</v>
      </c>
      <c r="D233" t="s">
        <v>1067</v>
      </c>
      <c r="E233" t="s">
        <v>1023</v>
      </c>
      <c r="F233" t="s">
        <v>983</v>
      </c>
      <c r="G233" t="s">
        <v>978</v>
      </c>
      <c r="H233" s="198">
        <v>27256.562557575999</v>
      </c>
      <c r="I233" s="198">
        <v>11138</v>
      </c>
      <c r="J233" s="198">
        <v>0</v>
      </c>
      <c r="K233" s="198">
        <v>0</v>
      </c>
      <c r="L233" s="198">
        <v>0</v>
      </c>
      <c r="M233" s="198">
        <v>6367.6125000000002</v>
      </c>
      <c r="N233" s="198">
        <v>35</v>
      </c>
      <c r="O233" s="198">
        <v>0</v>
      </c>
      <c r="P233" s="198">
        <v>5040.3326001000005</v>
      </c>
      <c r="Q233" s="198">
        <v>0</v>
      </c>
      <c r="R233" s="198">
        <v>2113.0156759649999</v>
      </c>
      <c r="S233" s="198">
        <v>1500</v>
      </c>
      <c r="T233" s="198">
        <v>0</v>
      </c>
      <c r="U233" s="198">
        <v>2000</v>
      </c>
      <c r="V233" s="198">
        <v>4720</v>
      </c>
      <c r="W233" s="198">
        <v>84</v>
      </c>
      <c r="X233" s="198">
        <v>1500</v>
      </c>
      <c r="Y233" s="198">
        <v>186</v>
      </c>
      <c r="Z233" s="277">
        <v>61940.523333641002</v>
      </c>
      <c r="AA233" s="272">
        <v>133.92549680000002</v>
      </c>
      <c r="AB233" s="198">
        <v>1.0029470915503822</v>
      </c>
      <c r="AC233" s="272">
        <v>430.40000000000003</v>
      </c>
      <c r="AD233" s="198">
        <v>1.5494400000000002</v>
      </c>
      <c r="AE233" s="198">
        <v>2.5523870915503823</v>
      </c>
      <c r="AF233" s="198">
        <v>75.076141213488128</v>
      </c>
      <c r="AG233" s="198">
        <v>3.3004795137044435E-2</v>
      </c>
      <c r="AH233" s="198">
        <v>1.7439163792110722E-4</v>
      </c>
      <c r="AI233" s="198">
        <v>76.112498844327035</v>
      </c>
      <c r="AJ233" s="198">
        <v>3.20261119433011E-2</v>
      </c>
      <c r="AK233" s="198">
        <v>0.74735345540170561</v>
      </c>
      <c r="AL233" s="198">
        <v>3.4990359281715351E-2</v>
      </c>
      <c r="AM233" s="198">
        <v>2.9196889446721361E-2</v>
      </c>
      <c r="AN233" s="198">
        <v>8.4401683478969661E-3</v>
      </c>
      <c r="AO233" s="198">
        <v>5.1779731204784683E-4</v>
      </c>
      <c r="AP233" s="198">
        <v>1.2666974697859107E-3</v>
      </c>
      <c r="AQ233" s="198">
        <v>1.4545809744915684E-3</v>
      </c>
      <c r="AS233" s="258">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102">
        <f t="shared" si="30"/>
        <v>0.41319197614411379</v>
      </c>
      <c r="AZ233" s="102">
        <f t="shared" si="31"/>
        <v>0.58680802385588626</v>
      </c>
    </row>
    <row r="234" spans="1:52" x14ac:dyDescent="0.35">
      <c r="A234" t="s">
        <v>246</v>
      </c>
      <c r="B234">
        <v>2035</v>
      </c>
      <c r="C234" t="s">
        <v>837</v>
      </c>
      <c r="D234" t="s">
        <v>1067</v>
      </c>
      <c r="E234" t="s">
        <v>1023</v>
      </c>
      <c r="F234" t="s">
        <v>977</v>
      </c>
      <c r="G234" t="s">
        <v>978</v>
      </c>
      <c r="H234" s="198">
        <v>27256.562557575999</v>
      </c>
      <c r="I234" s="198">
        <v>0</v>
      </c>
      <c r="J234" s="198">
        <v>0</v>
      </c>
      <c r="K234" s="198">
        <v>0</v>
      </c>
      <c r="L234" s="198">
        <v>0</v>
      </c>
      <c r="M234" s="198">
        <v>13204.417500000001</v>
      </c>
      <c r="N234" s="198">
        <v>35</v>
      </c>
      <c r="O234" s="198">
        <v>0</v>
      </c>
      <c r="P234" s="198">
        <v>5021.8132097999996</v>
      </c>
      <c r="Q234" s="198">
        <v>0</v>
      </c>
      <c r="R234" s="198">
        <v>0</v>
      </c>
      <c r="S234" s="198">
        <v>1500</v>
      </c>
      <c r="T234" s="198">
        <v>0</v>
      </c>
      <c r="U234" s="198">
        <v>2000</v>
      </c>
      <c r="V234" s="198">
        <v>4500</v>
      </c>
      <c r="W234" s="198">
        <v>84</v>
      </c>
      <c r="X234" s="198">
        <v>1500</v>
      </c>
      <c r="Y234" s="198">
        <v>186</v>
      </c>
      <c r="Z234" s="277">
        <v>55287.793267376001</v>
      </c>
      <c r="AA234" s="272">
        <v>0</v>
      </c>
      <c r="AB234" s="198">
        <v>0</v>
      </c>
      <c r="AC234" s="272">
        <v>510</v>
      </c>
      <c r="AD234" s="198">
        <v>1.8359999999999999</v>
      </c>
      <c r="AE234" s="198">
        <v>1.8359999999999999</v>
      </c>
      <c r="AF234" s="198">
        <v>0</v>
      </c>
      <c r="AG234" s="198">
        <v>0</v>
      </c>
      <c r="AH234" s="198">
        <v>0</v>
      </c>
      <c r="AI234" s="198">
        <v>0</v>
      </c>
      <c r="AJ234" s="198">
        <v>0</v>
      </c>
      <c r="AK234" s="198">
        <v>0</v>
      </c>
      <c r="AL234" s="198">
        <v>0</v>
      </c>
      <c r="AM234" s="198">
        <v>2.7144128675961044E-2</v>
      </c>
      <c r="AN234" s="198">
        <v>6.9368328838566931E-3</v>
      </c>
      <c r="AO234" s="198">
        <v>0</v>
      </c>
      <c r="AP234" s="198">
        <v>9.9180454635508053E-4</v>
      </c>
      <c r="AQ234" s="198">
        <v>1.2399843148283424E-3</v>
      </c>
      <c r="AS234" s="258">
        <f t="shared" si="24"/>
        <v>74168.574668184898</v>
      </c>
      <c r="AT234" s="3">
        <f t="shared" si="25"/>
        <v>0</v>
      </c>
      <c r="AU234" s="3">
        <f t="shared" si="26"/>
        <v>0</v>
      </c>
      <c r="AV234" s="3">
        <f t="shared" si="27"/>
        <v>31.690009569140141</v>
      </c>
      <c r="AW234" s="3">
        <f t="shared" si="28"/>
        <v>1.1408403444890451</v>
      </c>
      <c r="AX234" s="3">
        <f t="shared" si="29"/>
        <v>1.1408403444890451</v>
      </c>
      <c r="AY234" s="102">
        <f t="shared" si="30"/>
        <v>0</v>
      </c>
      <c r="AZ234" s="102">
        <f t="shared" si="31"/>
        <v>1</v>
      </c>
    </row>
    <row r="235" spans="1:52" x14ac:dyDescent="0.35">
      <c r="A235" t="s">
        <v>627</v>
      </c>
      <c r="B235">
        <v>2035</v>
      </c>
      <c r="C235" t="s">
        <v>837</v>
      </c>
      <c r="D235" t="s">
        <v>1067</v>
      </c>
      <c r="E235" t="s">
        <v>1023</v>
      </c>
      <c r="F235" t="s">
        <v>989</v>
      </c>
      <c r="G235" t="s">
        <v>978</v>
      </c>
      <c r="H235" s="198">
        <v>27256.562557575999</v>
      </c>
      <c r="I235" s="198">
        <v>0</v>
      </c>
      <c r="J235" s="198">
        <v>23397.811231</v>
      </c>
      <c r="K235" s="198">
        <v>5200.194928500001</v>
      </c>
      <c r="L235" s="198">
        <v>0</v>
      </c>
      <c r="M235" s="198">
        <v>2210.3231148</v>
      </c>
      <c r="N235" s="198">
        <v>35</v>
      </c>
      <c r="O235" s="198">
        <v>0</v>
      </c>
      <c r="P235" s="198">
        <v>5021.8132097999996</v>
      </c>
      <c r="Q235" s="198">
        <v>0</v>
      </c>
      <c r="R235" s="198">
        <v>0</v>
      </c>
      <c r="S235" s="198">
        <v>1500</v>
      </c>
      <c r="T235" s="198">
        <v>0</v>
      </c>
      <c r="U235" s="198">
        <v>2000</v>
      </c>
      <c r="V235" s="198">
        <v>4500</v>
      </c>
      <c r="W235" s="198">
        <v>84</v>
      </c>
      <c r="X235" s="198">
        <v>1500</v>
      </c>
      <c r="Y235" s="198">
        <v>186</v>
      </c>
      <c r="Z235" s="277">
        <v>72891.705041676003</v>
      </c>
      <c r="AA235" s="272">
        <v>37.01807393</v>
      </c>
      <c r="AB235" s="198">
        <v>3.6285028700843602</v>
      </c>
      <c r="AC235" s="272">
        <v>0</v>
      </c>
      <c r="AD235" s="198">
        <v>0</v>
      </c>
      <c r="AE235" s="198">
        <v>3.6285028700843602</v>
      </c>
      <c r="AF235" s="198">
        <v>0</v>
      </c>
      <c r="AG235" s="198">
        <v>0</v>
      </c>
      <c r="AH235" s="198">
        <v>0</v>
      </c>
      <c r="AI235" s="198">
        <v>0</v>
      </c>
      <c r="AJ235" s="198">
        <v>0</v>
      </c>
      <c r="AK235" s="198">
        <v>0</v>
      </c>
      <c r="AL235" s="198">
        <v>0</v>
      </c>
      <c r="AM235" s="198">
        <v>3.3921361238307073E-2</v>
      </c>
      <c r="AN235" s="198">
        <v>8.6687923164562673E-3</v>
      </c>
      <c r="AO235" s="198">
        <v>0</v>
      </c>
      <c r="AP235" s="198">
        <v>1.23943415890527E-3</v>
      </c>
      <c r="AQ235" s="198">
        <v>1.5495784143691252E-3</v>
      </c>
      <c r="AS235" s="258">
        <f t="shared" si="24"/>
        <v>97784.222313408347</v>
      </c>
      <c r="AT235" s="3">
        <f t="shared" si="25"/>
        <v>6.3540615237360116</v>
      </c>
      <c r="AU235" s="3">
        <f t="shared" si="26"/>
        <v>2.4526311565434451</v>
      </c>
      <c r="AV235" s="3">
        <f t="shared" si="27"/>
        <v>0</v>
      </c>
      <c r="AW235" s="3">
        <f t="shared" si="28"/>
        <v>0</v>
      </c>
      <c r="AX235" s="3">
        <f t="shared" si="29"/>
        <v>2.4526311565434451</v>
      </c>
      <c r="AY235" s="102">
        <f t="shared" si="30"/>
        <v>1</v>
      </c>
      <c r="AZ235" s="102">
        <f t="shared" si="31"/>
        <v>0</v>
      </c>
    </row>
    <row r="236" spans="1:52" x14ac:dyDescent="0.35">
      <c r="A236" t="s">
        <v>1065</v>
      </c>
      <c r="B236">
        <v>2035</v>
      </c>
      <c r="C236" t="s">
        <v>837</v>
      </c>
      <c r="D236" t="s">
        <v>1067</v>
      </c>
      <c r="E236" t="s">
        <v>1023</v>
      </c>
      <c r="F236" t="s">
        <v>989</v>
      </c>
      <c r="G236" t="s">
        <v>978</v>
      </c>
      <c r="H236" s="198">
        <v>27256.562557575999</v>
      </c>
      <c r="I236" s="198">
        <v>0</v>
      </c>
      <c r="J236" s="198">
        <v>6221.7780759999996</v>
      </c>
      <c r="K236" s="198">
        <v>5459.3693797500009</v>
      </c>
      <c r="L236" s="198">
        <v>0</v>
      </c>
      <c r="M236" s="198">
        <v>1273.5225</v>
      </c>
      <c r="N236" s="198">
        <v>35</v>
      </c>
      <c r="O236" s="198">
        <v>0</v>
      </c>
      <c r="P236" s="198">
        <v>5025.1420195699993</v>
      </c>
      <c r="Q236" s="198">
        <v>0</v>
      </c>
      <c r="R236" s="198">
        <v>0</v>
      </c>
      <c r="S236" s="198">
        <v>1500</v>
      </c>
      <c r="T236" s="198">
        <v>0</v>
      </c>
      <c r="U236" s="198">
        <v>2000</v>
      </c>
      <c r="V236" s="198">
        <v>4500</v>
      </c>
      <c r="W236" s="198">
        <v>84</v>
      </c>
      <c r="X236" s="198">
        <v>1500</v>
      </c>
      <c r="Y236" s="198">
        <v>186</v>
      </c>
      <c r="Z236" s="277">
        <v>55041.374532895999</v>
      </c>
      <c r="AA236" s="272">
        <v>41.648217000000002</v>
      </c>
      <c r="AB236" s="198">
        <v>3.2251125540380272</v>
      </c>
      <c r="AC236" s="272">
        <v>0</v>
      </c>
      <c r="AD236" s="198">
        <v>0</v>
      </c>
      <c r="AE236" s="198">
        <v>3.2251125540380272</v>
      </c>
      <c r="AF236" s="198">
        <v>0</v>
      </c>
      <c r="AG236" s="198">
        <v>0</v>
      </c>
      <c r="AH236" s="198">
        <v>0</v>
      </c>
      <c r="AI236" s="198">
        <v>0</v>
      </c>
      <c r="AJ236" s="198">
        <v>0</v>
      </c>
      <c r="AK236" s="198">
        <v>0</v>
      </c>
      <c r="AL236" s="198">
        <v>0</v>
      </c>
      <c r="AM236" s="198">
        <v>3.0150233277114531E-2</v>
      </c>
      <c r="AN236" s="198">
        <v>7.7050596152626154E-3</v>
      </c>
      <c r="AO236" s="198">
        <v>0</v>
      </c>
      <c r="AP236" s="198">
        <v>1.1016429665097699E-3</v>
      </c>
      <c r="AQ236" s="198">
        <v>1.3773076600961916E-3</v>
      </c>
      <c r="AS236" s="258">
        <f t="shared" si="24"/>
        <v>73838.003935879984</v>
      </c>
      <c r="AT236" s="3">
        <f t="shared" si="25"/>
        <v>5.6476636020559567</v>
      </c>
      <c r="AU236" s="3">
        <f t="shared" si="26"/>
        <v>2.1799656267625251</v>
      </c>
      <c r="AV236" s="3">
        <f t="shared" si="27"/>
        <v>0</v>
      </c>
      <c r="AW236" s="3">
        <f t="shared" si="28"/>
        <v>0</v>
      </c>
      <c r="AX236" s="3">
        <f t="shared" si="29"/>
        <v>2.1799656267625251</v>
      </c>
      <c r="AY236" s="102">
        <f t="shared" si="30"/>
        <v>1</v>
      </c>
      <c r="AZ236" s="102">
        <f t="shared" si="31"/>
        <v>0</v>
      </c>
    </row>
    <row r="237" spans="1:52" x14ac:dyDescent="0.35">
      <c r="A237" t="s">
        <v>1017</v>
      </c>
      <c r="B237">
        <v>2050</v>
      </c>
      <c r="C237" t="s">
        <v>837</v>
      </c>
      <c r="D237" t="s">
        <v>1067</v>
      </c>
      <c r="E237" t="s">
        <v>1023</v>
      </c>
      <c r="F237" t="s">
        <v>983</v>
      </c>
      <c r="G237" t="s">
        <v>978</v>
      </c>
      <c r="H237" s="198">
        <v>27332.098742040002</v>
      </c>
      <c r="I237" s="198">
        <v>20980</v>
      </c>
      <c r="J237" s="198">
        <v>0</v>
      </c>
      <c r="K237" s="198">
        <v>0</v>
      </c>
      <c r="L237" s="198">
        <v>120</v>
      </c>
      <c r="M237" s="198">
        <v>0</v>
      </c>
      <c r="N237" s="198">
        <v>0</v>
      </c>
      <c r="O237" s="198">
        <v>150</v>
      </c>
      <c r="P237" s="198">
        <v>0</v>
      </c>
      <c r="Q237" s="198">
        <v>0</v>
      </c>
      <c r="R237" s="198">
        <v>44</v>
      </c>
      <c r="S237" s="198">
        <v>7292</v>
      </c>
      <c r="T237" s="198">
        <v>506</v>
      </c>
      <c r="U237" s="198">
        <v>2000</v>
      </c>
      <c r="V237" s="198">
        <v>1920</v>
      </c>
      <c r="W237" s="198">
        <v>0</v>
      </c>
      <c r="X237" s="198">
        <v>0</v>
      </c>
      <c r="Y237" s="198">
        <v>186</v>
      </c>
      <c r="Z237" s="277">
        <v>60530.098742040005</v>
      </c>
      <c r="AA237" s="272">
        <v>13.272597149999999</v>
      </c>
      <c r="AB237" s="198">
        <v>10.120113341946796</v>
      </c>
      <c r="AC237" s="272">
        <v>0</v>
      </c>
      <c r="AD237" s="198">
        <v>0</v>
      </c>
      <c r="AE237" s="198">
        <v>10.120113341946796</v>
      </c>
      <c r="AF237" s="198">
        <v>757.54649946889651</v>
      </c>
      <c r="AG237" s="198">
        <v>0.33303079537156755</v>
      </c>
      <c r="AH237" s="198">
        <v>1.7596772118070355E-3</v>
      </c>
      <c r="AI237" s="198">
        <v>768.00373771729551</v>
      </c>
      <c r="AJ237" s="198">
        <v>0.3231555138836571</v>
      </c>
      <c r="AK237" s="198">
        <v>7.5410774295873262</v>
      </c>
      <c r="AL237" s="198">
        <v>0.35306588432198588</v>
      </c>
      <c r="AM237" s="198">
        <v>6.3462146903209435E-2</v>
      </c>
      <c r="AN237" s="198">
        <v>2.6093969435890516E-2</v>
      </c>
      <c r="AO237" s="198">
        <v>5.2247696117042556E-3</v>
      </c>
      <c r="AP237" s="198">
        <v>4.335756111044929E-3</v>
      </c>
      <c r="AQ237" s="198">
        <v>4.1181999864877616E-3</v>
      </c>
      <c r="AS237" s="258">
        <f t="shared" si="24"/>
        <v>81201.127462446661</v>
      </c>
      <c r="AT237" s="3">
        <f t="shared" si="25"/>
        <v>17.721860807131343</v>
      </c>
      <c r="AU237" s="3">
        <f t="shared" si="26"/>
        <v>6.8405362153214053</v>
      </c>
      <c r="AV237" s="3">
        <f t="shared" si="27"/>
        <v>0</v>
      </c>
      <c r="AW237" s="3">
        <f t="shared" si="28"/>
        <v>0</v>
      </c>
      <c r="AX237" s="3">
        <f t="shared" si="29"/>
        <v>6.8405362153214053</v>
      </c>
      <c r="AY237" s="102">
        <f t="shared" si="30"/>
        <v>1</v>
      </c>
      <c r="AZ237" s="102">
        <f t="shared" si="31"/>
        <v>0</v>
      </c>
    </row>
    <row r="238" spans="1:52" x14ac:dyDescent="0.35">
      <c r="A238" t="s">
        <v>1020</v>
      </c>
      <c r="B238">
        <v>2050</v>
      </c>
      <c r="C238" t="s">
        <v>837</v>
      </c>
      <c r="D238" t="s">
        <v>1067</v>
      </c>
      <c r="E238" t="s">
        <v>1023</v>
      </c>
      <c r="F238" t="s">
        <v>983</v>
      </c>
      <c r="G238" t="s">
        <v>978</v>
      </c>
      <c r="H238" s="198">
        <v>27332.098742040002</v>
      </c>
      <c r="I238" s="198">
        <v>15579</v>
      </c>
      <c r="J238" s="198">
        <v>0</v>
      </c>
      <c r="K238" s="198">
        <v>0</v>
      </c>
      <c r="L238" s="198">
        <v>150</v>
      </c>
      <c r="M238" s="198">
        <v>766.43517586999997</v>
      </c>
      <c r="N238" s="198">
        <v>28.89</v>
      </c>
      <c r="O238" s="198">
        <v>150</v>
      </c>
      <c r="P238" s="198">
        <v>727.23478520000003</v>
      </c>
      <c r="Q238" s="198">
        <v>0</v>
      </c>
      <c r="R238" s="198">
        <v>0</v>
      </c>
      <c r="S238" s="198">
        <v>6060</v>
      </c>
      <c r="T238" s="198">
        <v>392</v>
      </c>
      <c r="U238" s="198">
        <v>2000</v>
      </c>
      <c r="V238" s="198">
        <v>4720</v>
      </c>
      <c r="W238" s="198">
        <v>60.668999999999997</v>
      </c>
      <c r="X238" s="198">
        <v>1500</v>
      </c>
      <c r="Y238" s="198">
        <v>186</v>
      </c>
      <c r="Z238" s="277">
        <v>59652.327703110008</v>
      </c>
      <c r="AA238" s="272">
        <v>22.651493009999999</v>
      </c>
      <c r="AB238" s="198">
        <v>5.9298602277872554</v>
      </c>
      <c r="AC238" s="272">
        <v>0</v>
      </c>
      <c r="AD238" s="198">
        <v>0</v>
      </c>
      <c r="AE238" s="198">
        <v>5.9298602277872554</v>
      </c>
      <c r="AF238" s="198">
        <v>443.88286041032808</v>
      </c>
      <c r="AG238" s="198">
        <v>0.19513873030618836</v>
      </c>
      <c r="AH238" s="198">
        <v>1.0310793525194657E-3</v>
      </c>
      <c r="AI238" s="198">
        <v>450.0102583046434</v>
      </c>
      <c r="AJ238" s="198">
        <v>0.18935232881494785</v>
      </c>
      <c r="AK238" s="198">
        <v>4.4186792789191989</v>
      </c>
      <c r="AL238" s="198">
        <v>0.20687825071598756</v>
      </c>
      <c r="AM238" s="198">
        <v>3.718551840042348E-2</v>
      </c>
      <c r="AN238" s="198">
        <v>1.5289709345608719E-2</v>
      </c>
      <c r="AO238" s="198">
        <v>3.0614433329890474E-3</v>
      </c>
      <c r="AP238" s="198">
        <v>2.5405276454468027E-3</v>
      </c>
      <c r="AQ238" s="198">
        <v>2.4130510681859688E-3</v>
      </c>
      <c r="AS238" s="258">
        <f t="shared" si="24"/>
        <v>80023.597613722071</v>
      </c>
      <c r="AT238" s="3">
        <f t="shared" si="25"/>
        <v>10.384088993056098</v>
      </c>
      <c r="AU238" s="3">
        <f t="shared" si="26"/>
        <v>4.0081985516744822</v>
      </c>
      <c r="AV238" s="3">
        <f t="shared" si="27"/>
        <v>0</v>
      </c>
      <c r="AW238" s="3">
        <f t="shared" si="28"/>
        <v>0</v>
      </c>
      <c r="AX238" s="3">
        <f t="shared" si="29"/>
        <v>4.0081985516744822</v>
      </c>
      <c r="AY238" s="102">
        <f t="shared" si="30"/>
        <v>1</v>
      </c>
      <c r="AZ238" s="102">
        <f t="shared" si="31"/>
        <v>0</v>
      </c>
    </row>
    <row r="239" spans="1:52" x14ac:dyDescent="0.35">
      <c r="A239" t="s">
        <v>1021</v>
      </c>
      <c r="B239">
        <v>2050</v>
      </c>
      <c r="C239" t="s">
        <v>837</v>
      </c>
      <c r="D239" t="s">
        <v>1067</v>
      </c>
      <c r="E239" t="s">
        <v>1023</v>
      </c>
      <c r="F239" t="s">
        <v>983</v>
      </c>
      <c r="G239" t="s">
        <v>978</v>
      </c>
      <c r="H239" s="198">
        <v>27332.098742040002</v>
      </c>
      <c r="I239" s="198">
        <v>11128</v>
      </c>
      <c r="J239" s="198">
        <v>0</v>
      </c>
      <c r="K239" s="198">
        <v>0</v>
      </c>
      <c r="L239" s="198">
        <v>0</v>
      </c>
      <c r="M239" s="198">
        <v>4405.19625</v>
      </c>
      <c r="N239" s="198">
        <v>28.89</v>
      </c>
      <c r="O239" s="198">
        <v>0</v>
      </c>
      <c r="P239" s="198">
        <v>3479.4820027000001</v>
      </c>
      <c r="Q239" s="198">
        <v>0</v>
      </c>
      <c r="R239" s="198">
        <v>1362.6522184</v>
      </c>
      <c r="S239" s="198">
        <v>1500</v>
      </c>
      <c r="T239" s="198">
        <v>0</v>
      </c>
      <c r="U239" s="198">
        <v>2000</v>
      </c>
      <c r="V239" s="198">
        <v>4720</v>
      </c>
      <c r="W239" s="198">
        <v>60.668999999999997</v>
      </c>
      <c r="X239" s="198">
        <v>1500</v>
      </c>
      <c r="Y239" s="198">
        <v>186</v>
      </c>
      <c r="Z239" s="277">
        <v>57702.988213140008</v>
      </c>
      <c r="AA239" s="272">
        <v>161.55354680000002</v>
      </c>
      <c r="AB239" s="198">
        <v>0.8314282797287369</v>
      </c>
      <c r="AC239" s="272">
        <v>386.40000000000003</v>
      </c>
      <c r="AD239" s="198">
        <v>1.3910400000000001</v>
      </c>
      <c r="AE239" s="198">
        <v>2.2224682797287372</v>
      </c>
      <c r="AF239" s="198">
        <v>62.237008775119939</v>
      </c>
      <c r="AG239" s="198">
        <v>2.7360486185939309E-2</v>
      </c>
      <c r="AH239" s="198">
        <v>1.44568084136609E-4</v>
      </c>
      <c r="AI239" s="198">
        <v>63.09613389692489</v>
      </c>
      <c r="AJ239" s="198">
        <v>2.6549172318010735E-2</v>
      </c>
      <c r="AK239" s="198">
        <v>0.619544942109993</v>
      </c>
      <c r="AL239" s="198">
        <v>2.9006489444738198E-2</v>
      </c>
      <c r="AM239" s="198">
        <v>2.5779466951879462E-2</v>
      </c>
      <c r="AN239" s="198">
        <v>7.3994478244491825E-3</v>
      </c>
      <c r="AO239" s="198">
        <v>4.2924630025957744E-4</v>
      </c>
      <c r="AP239" s="198">
        <v>1.1076462827866026E-3</v>
      </c>
      <c r="AQ239" s="198">
        <v>1.2778054081292334E-3</v>
      </c>
      <c r="AS239" s="258">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102">
        <f t="shared" si="30"/>
        <v>0.39400778036214773</v>
      </c>
      <c r="AZ239" s="102">
        <f t="shared" si="31"/>
        <v>0.60599221963785221</v>
      </c>
    </row>
    <row r="240" spans="1:52" x14ac:dyDescent="0.35">
      <c r="A240" t="s">
        <v>246</v>
      </c>
      <c r="B240">
        <v>2050</v>
      </c>
      <c r="C240" t="s">
        <v>837</v>
      </c>
      <c r="D240" t="s">
        <v>1067</v>
      </c>
      <c r="E240" t="s">
        <v>1023</v>
      </c>
      <c r="F240" t="s">
        <v>977</v>
      </c>
      <c r="G240" t="s">
        <v>978</v>
      </c>
      <c r="H240" s="198">
        <v>27332.098742040002</v>
      </c>
      <c r="I240" s="198">
        <v>0</v>
      </c>
      <c r="J240" s="198">
        <v>0</v>
      </c>
      <c r="K240" s="198">
        <v>0</v>
      </c>
      <c r="L240" s="198">
        <v>0</v>
      </c>
      <c r="M240" s="198">
        <v>9175.32</v>
      </c>
      <c r="N240" s="198">
        <v>28.89</v>
      </c>
      <c r="O240" s="198">
        <v>0</v>
      </c>
      <c r="P240" s="198">
        <v>3466.4279132999995</v>
      </c>
      <c r="Q240" s="198">
        <v>0</v>
      </c>
      <c r="R240" s="198">
        <v>0</v>
      </c>
      <c r="S240" s="198">
        <v>1500</v>
      </c>
      <c r="T240" s="198">
        <v>0</v>
      </c>
      <c r="U240" s="198">
        <v>2000</v>
      </c>
      <c r="V240" s="198">
        <v>4500</v>
      </c>
      <c r="W240" s="198">
        <v>60.668999999999997</v>
      </c>
      <c r="X240" s="198">
        <v>1500</v>
      </c>
      <c r="Y240" s="198">
        <v>186</v>
      </c>
      <c r="Z240" s="277">
        <v>49749.405655340001</v>
      </c>
      <c r="AA240" s="272">
        <v>0</v>
      </c>
      <c r="AB240" s="198">
        <v>0</v>
      </c>
      <c r="AC240" s="272">
        <v>454</v>
      </c>
      <c r="AD240" s="198">
        <v>1.6343999999999999</v>
      </c>
      <c r="AE240" s="198">
        <v>1.6343999999999999</v>
      </c>
      <c r="AF240" s="198">
        <v>0</v>
      </c>
      <c r="AG240" s="198">
        <v>0</v>
      </c>
      <c r="AH240" s="198">
        <v>0</v>
      </c>
      <c r="AI240" s="198">
        <v>0</v>
      </c>
      <c r="AJ240" s="198">
        <v>0</v>
      </c>
      <c r="AK240" s="198">
        <v>0</v>
      </c>
      <c r="AL240" s="198">
        <v>0</v>
      </c>
      <c r="AM240" s="198">
        <v>2.4163596899777085E-2</v>
      </c>
      <c r="AN240" s="198">
        <v>6.1751414299430173E-3</v>
      </c>
      <c r="AO240" s="198">
        <v>0</v>
      </c>
      <c r="AP240" s="198">
        <v>8.8290051773569909E-4</v>
      </c>
      <c r="AQ240" s="198">
        <v>1.103829174376603E-3</v>
      </c>
      <c r="AS240" s="258">
        <f t="shared" si="24"/>
        <v>66738.8276866386</v>
      </c>
      <c r="AT240" s="3">
        <f t="shared" si="25"/>
        <v>0</v>
      </c>
      <c r="AU240" s="3">
        <f t="shared" si="26"/>
        <v>0</v>
      </c>
      <c r="AV240" s="3">
        <f t="shared" si="27"/>
        <v>28.210322243901224</v>
      </c>
      <c r="AW240" s="3">
        <f t="shared" si="28"/>
        <v>1.0155716007804441</v>
      </c>
      <c r="AX240" s="3">
        <f t="shared" si="29"/>
        <v>1.0155716007804441</v>
      </c>
      <c r="AY240" s="102">
        <f t="shared" si="30"/>
        <v>0</v>
      </c>
      <c r="AZ240" s="102">
        <f t="shared" si="31"/>
        <v>1</v>
      </c>
    </row>
    <row r="241" spans="1:52" x14ac:dyDescent="0.35">
      <c r="A241" t="s">
        <v>627</v>
      </c>
      <c r="B241">
        <v>2050</v>
      </c>
      <c r="C241" t="s">
        <v>837</v>
      </c>
      <c r="D241" t="s">
        <v>1067</v>
      </c>
      <c r="E241" t="s">
        <v>1023</v>
      </c>
      <c r="F241" t="s">
        <v>989</v>
      </c>
      <c r="G241" t="s">
        <v>978</v>
      </c>
      <c r="H241" s="198">
        <v>27332.098742040002</v>
      </c>
      <c r="I241" s="198">
        <v>0</v>
      </c>
      <c r="J241" s="198">
        <v>19411.996312000003</v>
      </c>
      <c r="K241" s="198">
        <v>4625.7987599999997</v>
      </c>
      <c r="L241" s="198">
        <v>0</v>
      </c>
      <c r="M241" s="198">
        <v>2107.6967336000002</v>
      </c>
      <c r="N241" s="198">
        <v>28.89</v>
      </c>
      <c r="O241" s="198">
        <v>0</v>
      </c>
      <c r="P241" s="198">
        <v>3466.4279132999995</v>
      </c>
      <c r="Q241" s="198">
        <v>0</v>
      </c>
      <c r="R241" s="198">
        <v>0</v>
      </c>
      <c r="S241" s="198">
        <v>1500</v>
      </c>
      <c r="T241" s="198">
        <v>0</v>
      </c>
      <c r="U241" s="198">
        <v>2000</v>
      </c>
      <c r="V241" s="198">
        <v>4500</v>
      </c>
      <c r="W241" s="198">
        <v>60.668999999999997</v>
      </c>
      <c r="X241" s="198">
        <v>1500</v>
      </c>
      <c r="Y241" s="198">
        <v>186</v>
      </c>
      <c r="Z241" s="277">
        <v>66719.57746094001</v>
      </c>
      <c r="AA241" s="272">
        <v>40.667599490000001</v>
      </c>
      <c r="AB241" s="198">
        <v>3.3028796679535706</v>
      </c>
      <c r="AC241" s="272">
        <v>0</v>
      </c>
      <c r="AD241" s="198">
        <v>0</v>
      </c>
      <c r="AE241" s="198">
        <v>3.3028796679535706</v>
      </c>
      <c r="AF241" s="198">
        <v>0</v>
      </c>
      <c r="AG241" s="198">
        <v>0</v>
      </c>
      <c r="AH241" s="198">
        <v>0</v>
      </c>
      <c r="AI241" s="198">
        <v>0</v>
      </c>
      <c r="AJ241" s="198">
        <v>0</v>
      </c>
      <c r="AK241" s="198">
        <v>0</v>
      </c>
      <c r="AL241" s="198">
        <v>0</v>
      </c>
      <c r="AM241" s="198">
        <v>3.0877245617476384E-2</v>
      </c>
      <c r="AN241" s="198">
        <v>7.8908516577995327E-3</v>
      </c>
      <c r="AO241" s="198">
        <v>0</v>
      </c>
      <c r="AP241" s="198">
        <v>1.1282068747875001E-3</v>
      </c>
      <c r="AQ241" s="198">
        <v>1.410518668984965E-3</v>
      </c>
      <c r="AS241" s="258">
        <f t="shared" si="24"/>
        <v>89504.313163851024</v>
      </c>
      <c r="AT241" s="3">
        <f t="shared" si="25"/>
        <v>5.7838456705384491</v>
      </c>
      <c r="AU241" s="3">
        <f t="shared" si="26"/>
        <v>2.2325311209547043</v>
      </c>
      <c r="AV241" s="3">
        <f t="shared" si="27"/>
        <v>0</v>
      </c>
      <c r="AW241" s="3">
        <f t="shared" si="28"/>
        <v>0</v>
      </c>
      <c r="AX241" s="3">
        <f t="shared" si="29"/>
        <v>2.2325311209547043</v>
      </c>
      <c r="AY241" s="102">
        <f t="shared" si="30"/>
        <v>1</v>
      </c>
      <c r="AZ241" s="102">
        <f t="shared" si="31"/>
        <v>0</v>
      </c>
    </row>
    <row r="242" spans="1:52" x14ac:dyDescent="0.35">
      <c r="A242" t="s">
        <v>1065</v>
      </c>
      <c r="B242">
        <v>2050</v>
      </c>
      <c r="C242" t="s">
        <v>837</v>
      </c>
      <c r="D242" t="s">
        <v>1067</v>
      </c>
      <c r="E242" t="s">
        <v>1023</v>
      </c>
      <c r="F242" t="s">
        <v>989</v>
      </c>
      <c r="G242" t="s">
        <v>978</v>
      </c>
      <c r="H242" s="198">
        <v>27332.098742040002</v>
      </c>
      <c r="I242" s="198">
        <v>0</v>
      </c>
      <c r="J242" s="198">
        <v>4729.5959359999997</v>
      </c>
      <c r="K242" s="198">
        <v>4857.9125760000006</v>
      </c>
      <c r="L242" s="198">
        <v>0</v>
      </c>
      <c r="M242" s="198">
        <v>1016.58375</v>
      </c>
      <c r="N242" s="198">
        <v>28.89</v>
      </c>
      <c r="O242" s="198">
        <v>0</v>
      </c>
      <c r="P242" s="198">
        <v>3507.4253082</v>
      </c>
      <c r="Q242" s="198">
        <v>0</v>
      </c>
      <c r="R242" s="198">
        <v>0</v>
      </c>
      <c r="S242" s="198">
        <v>1500</v>
      </c>
      <c r="T242" s="198">
        <v>0</v>
      </c>
      <c r="U242" s="198">
        <v>2000</v>
      </c>
      <c r="V242" s="198">
        <v>4500</v>
      </c>
      <c r="W242" s="198">
        <v>60.668999999999997</v>
      </c>
      <c r="X242" s="198">
        <v>1500</v>
      </c>
      <c r="Y242" s="198">
        <v>186</v>
      </c>
      <c r="Z242" s="277">
        <v>51219.175312240004</v>
      </c>
      <c r="AA242" s="272">
        <v>46.76930359</v>
      </c>
      <c r="AB242" s="198">
        <v>2.8719732215281422</v>
      </c>
      <c r="AC242" s="272">
        <v>0</v>
      </c>
      <c r="AD242" s="198">
        <v>0</v>
      </c>
      <c r="AE242" s="198">
        <v>2.8719732215281422</v>
      </c>
      <c r="AF242" s="198">
        <v>0</v>
      </c>
      <c r="AG242" s="198">
        <v>0</v>
      </c>
      <c r="AH242" s="198">
        <v>0</v>
      </c>
      <c r="AI242" s="198">
        <v>0</v>
      </c>
      <c r="AJ242" s="198">
        <v>0</v>
      </c>
      <c r="AK242" s="198">
        <v>0</v>
      </c>
      <c r="AL242" s="198">
        <v>0</v>
      </c>
      <c r="AM242" s="198">
        <v>2.684888082007653E-2</v>
      </c>
      <c r="AN242" s="198">
        <v>6.8613806540195688E-3</v>
      </c>
      <c r="AO242" s="198">
        <v>0</v>
      </c>
      <c r="AP242" s="198">
        <v>9.8101664561737892E-4</v>
      </c>
      <c r="AQ242" s="198">
        <v>1.2264969520673686E-3</v>
      </c>
      <c r="AS242" s="258">
        <f t="shared" si="24"/>
        <v>68710.523681369959</v>
      </c>
      <c r="AT242" s="3">
        <f t="shared" si="25"/>
        <v>5.0292628109972703</v>
      </c>
      <c r="AU242" s="3">
        <f t="shared" si="26"/>
        <v>1.9412664826456669</v>
      </c>
      <c r="AV242" s="3">
        <f t="shared" si="27"/>
        <v>0</v>
      </c>
      <c r="AW242" s="3">
        <f t="shared" si="28"/>
        <v>0</v>
      </c>
      <c r="AX242" s="3">
        <f t="shared" si="29"/>
        <v>1.9412664826456669</v>
      </c>
      <c r="AY242" s="102">
        <f t="shared" si="30"/>
        <v>1</v>
      </c>
      <c r="AZ242" s="102">
        <f t="shared" si="31"/>
        <v>0</v>
      </c>
    </row>
    <row r="243" spans="1:52" x14ac:dyDescent="0.35">
      <c r="A243" t="s">
        <v>1017</v>
      </c>
      <c r="B243">
        <v>2021</v>
      </c>
      <c r="C243" t="s">
        <v>837</v>
      </c>
      <c r="D243" t="s">
        <v>1068</v>
      </c>
      <c r="E243" t="s">
        <v>1069</v>
      </c>
      <c r="F243" t="s">
        <v>983</v>
      </c>
      <c r="G243" t="s">
        <v>978</v>
      </c>
      <c r="H243" s="198">
        <v>34000</v>
      </c>
      <c r="I243" s="198">
        <v>17574</v>
      </c>
      <c r="J243" s="198">
        <v>0</v>
      </c>
      <c r="K243" s="198">
        <v>0</v>
      </c>
      <c r="L243" s="198">
        <v>120</v>
      </c>
      <c r="M243" s="198">
        <v>0</v>
      </c>
      <c r="N243" s="198">
        <v>0</v>
      </c>
      <c r="O243" s="198">
        <v>150</v>
      </c>
      <c r="P243" s="198">
        <v>0</v>
      </c>
      <c r="Q243" s="198">
        <v>0</v>
      </c>
      <c r="R243" s="198">
        <v>104.8</v>
      </c>
      <c r="S243" s="198">
        <v>6966</v>
      </c>
      <c r="T243" s="198">
        <v>506</v>
      </c>
      <c r="U243" s="198">
        <v>2000</v>
      </c>
      <c r="V243" s="198">
        <v>1920</v>
      </c>
      <c r="W243" s="198">
        <v>0</v>
      </c>
      <c r="X243" s="198">
        <v>0</v>
      </c>
      <c r="Y243" s="198">
        <v>186</v>
      </c>
      <c r="Z243" s="277">
        <v>63526.8</v>
      </c>
      <c r="AA243" s="272">
        <v>11.01046361</v>
      </c>
      <c r="AB243" s="198">
        <v>12.199321686873095</v>
      </c>
      <c r="AC243" s="272">
        <v>0</v>
      </c>
      <c r="AD243" s="198">
        <v>0</v>
      </c>
      <c r="AE243" s="198">
        <v>12.199321686873095</v>
      </c>
      <c r="AF243" s="198">
        <v>913.18675270962115</v>
      </c>
      <c r="AG243" s="198">
        <v>0.40145299435859999</v>
      </c>
      <c r="AH243" s="198">
        <v>2.1212082954561442E-3</v>
      </c>
      <c r="AI243" s="198">
        <v>925.79246264961989</v>
      </c>
      <c r="AJ243" s="198">
        <v>0.38954880598156877</v>
      </c>
      <c r="AK243" s="198">
        <v>9.0904149312083398</v>
      </c>
      <c r="AL243" s="198">
        <v>0.42560435382195677</v>
      </c>
      <c r="AM243" s="198">
        <v>7.6500639751028512E-2</v>
      </c>
      <c r="AN243" s="198">
        <v>3.1455055539390459E-2</v>
      </c>
      <c r="AO243" s="198">
        <v>6.2982145633477564E-3</v>
      </c>
      <c r="AP243" s="198">
        <v>5.2265505105783651E-3</v>
      </c>
      <c r="AQ243" s="198">
        <v>4.9642968125469793E-3</v>
      </c>
      <c r="AS243" s="258">
        <f t="shared" si="24"/>
        <v>85221.2022</v>
      </c>
      <c r="AT243" s="3">
        <f t="shared" si="25"/>
        <v>21.362871498689611</v>
      </c>
      <c r="AU243" s="3">
        <f t="shared" si="26"/>
        <v>8.245945374496964</v>
      </c>
      <c r="AV243" s="3">
        <f t="shared" si="27"/>
        <v>0</v>
      </c>
      <c r="AW243" s="3">
        <f t="shared" si="28"/>
        <v>0</v>
      </c>
      <c r="AX243" s="3">
        <f t="shared" si="29"/>
        <v>8.245945374496964</v>
      </c>
      <c r="AY243" s="102">
        <f t="shared" si="30"/>
        <v>1</v>
      </c>
      <c r="AZ243" s="102">
        <f t="shared" si="31"/>
        <v>0</v>
      </c>
    </row>
    <row r="244" spans="1:52" x14ac:dyDescent="0.35">
      <c r="A244" t="s">
        <v>1020</v>
      </c>
      <c r="B244">
        <v>2021</v>
      </c>
      <c r="C244" t="s">
        <v>837</v>
      </c>
      <c r="D244" t="s">
        <v>1068</v>
      </c>
      <c r="E244" t="s">
        <v>1069</v>
      </c>
      <c r="F244" t="s">
        <v>983</v>
      </c>
      <c r="G244" t="s">
        <v>978</v>
      </c>
      <c r="H244" s="198">
        <v>34000</v>
      </c>
      <c r="I244" s="198">
        <v>16956</v>
      </c>
      <c r="J244" s="198">
        <v>0</v>
      </c>
      <c r="K244" s="198">
        <v>0</v>
      </c>
      <c r="L244" s="198">
        <v>150</v>
      </c>
      <c r="M244" s="198">
        <v>1067.7889448000001</v>
      </c>
      <c r="N244" s="198">
        <v>75</v>
      </c>
      <c r="O244" s="198">
        <v>150</v>
      </c>
      <c r="P244" s="198">
        <v>2072.7073368000001</v>
      </c>
      <c r="Q244" s="198">
        <v>0</v>
      </c>
      <c r="R244" s="198">
        <v>0</v>
      </c>
      <c r="S244" s="198">
        <v>6773</v>
      </c>
      <c r="T244" s="198">
        <v>392</v>
      </c>
      <c r="U244" s="198">
        <v>2000</v>
      </c>
      <c r="V244" s="198">
        <v>4720</v>
      </c>
      <c r="W244" s="198">
        <v>300</v>
      </c>
      <c r="X244" s="198">
        <v>1500</v>
      </c>
      <c r="Y244" s="198">
        <v>186</v>
      </c>
      <c r="Z244" s="277">
        <v>70342.496281600004</v>
      </c>
      <c r="AA244" s="272">
        <v>15.005621970000002</v>
      </c>
      <c r="AB244" s="198">
        <v>8.9513242282485663</v>
      </c>
      <c r="AC244" s="272">
        <v>0</v>
      </c>
      <c r="AD244" s="198">
        <v>0</v>
      </c>
      <c r="AE244" s="198">
        <v>8.9513242282485663</v>
      </c>
      <c r="AF244" s="198">
        <v>670.05616494571393</v>
      </c>
      <c r="AG244" s="198">
        <v>0.29456850201530826</v>
      </c>
      <c r="AH244" s="198">
        <v>1.5564490957484783E-3</v>
      </c>
      <c r="AI244" s="198">
        <v>679.30567895120191</v>
      </c>
      <c r="AJ244" s="198">
        <v>0.28583373359358405</v>
      </c>
      <c r="AK244" s="198">
        <v>6.6701455627746995</v>
      </c>
      <c r="AL244" s="198">
        <v>0.31228970444430154</v>
      </c>
      <c r="AM244" s="198">
        <v>5.6132795548521915E-2</v>
      </c>
      <c r="AN244" s="198">
        <v>2.3080332495340576E-2</v>
      </c>
      <c r="AO244" s="198">
        <v>4.6213520769984116E-3</v>
      </c>
      <c r="AP244" s="198">
        <v>3.835012258578842E-3</v>
      </c>
      <c r="AQ244" s="198">
        <v>3.6425820611144912E-3</v>
      </c>
      <c r="AS244" s="258">
        <f t="shared" si="24"/>
        <v>94364.458761766393</v>
      </c>
      <c r="AT244" s="3">
        <f t="shared" si="25"/>
        <v>15.675132940952539</v>
      </c>
      <c r="AU244" s="3">
        <f t="shared" si="26"/>
        <v>6.0505110456242326</v>
      </c>
      <c r="AV244" s="3">
        <f t="shared" si="27"/>
        <v>0</v>
      </c>
      <c r="AW244" s="3">
        <f t="shared" si="28"/>
        <v>0</v>
      </c>
      <c r="AX244" s="3">
        <f t="shared" si="29"/>
        <v>6.0505110456242326</v>
      </c>
      <c r="AY244" s="102">
        <f t="shared" si="30"/>
        <v>1</v>
      </c>
      <c r="AZ244" s="102">
        <f t="shared" si="31"/>
        <v>0</v>
      </c>
    </row>
    <row r="245" spans="1:52" x14ac:dyDescent="0.35">
      <c r="A245" t="s">
        <v>1021</v>
      </c>
      <c r="B245">
        <v>2021</v>
      </c>
      <c r="C245" t="s">
        <v>837</v>
      </c>
      <c r="D245" t="s">
        <v>1068</v>
      </c>
      <c r="E245" t="s">
        <v>1069</v>
      </c>
      <c r="F245" t="s">
        <v>983</v>
      </c>
      <c r="G245" t="s">
        <v>978</v>
      </c>
      <c r="H245" s="198">
        <v>34000</v>
      </c>
      <c r="I245" s="198">
        <v>9266</v>
      </c>
      <c r="J245" s="198">
        <v>0</v>
      </c>
      <c r="K245" s="198">
        <v>0</v>
      </c>
      <c r="L245" s="198">
        <v>0</v>
      </c>
      <c r="M245" s="198">
        <v>9748.7775000000001</v>
      </c>
      <c r="N245" s="198">
        <v>75</v>
      </c>
      <c r="O245" s="198">
        <v>0</v>
      </c>
      <c r="P245" s="198">
        <v>7780.1956515000002</v>
      </c>
      <c r="Q245" s="198">
        <v>0</v>
      </c>
      <c r="R245" s="198">
        <v>2407.5396176200002</v>
      </c>
      <c r="S245" s="198">
        <v>1500</v>
      </c>
      <c r="T245" s="198">
        <v>0</v>
      </c>
      <c r="U245" s="198">
        <v>2000</v>
      </c>
      <c r="V245" s="198">
        <v>4720</v>
      </c>
      <c r="W245" s="198">
        <v>300</v>
      </c>
      <c r="X245" s="198">
        <v>1500</v>
      </c>
      <c r="Y245" s="198">
        <v>186</v>
      </c>
      <c r="Z245" s="277">
        <v>73483.512769119989</v>
      </c>
      <c r="AA245" s="272">
        <v>99.091245750000027</v>
      </c>
      <c r="AB245" s="198">
        <v>1.3555202226327847</v>
      </c>
      <c r="AC245" s="272">
        <v>528</v>
      </c>
      <c r="AD245" s="198">
        <v>1.9008</v>
      </c>
      <c r="AE245" s="198">
        <v>3.2563202226327848</v>
      </c>
      <c r="AF245" s="198">
        <v>101.46819160201495</v>
      </c>
      <c r="AG245" s="198">
        <v>4.4607205733014001E-2</v>
      </c>
      <c r="AH245" s="198">
        <v>2.3569677189521051E-4</v>
      </c>
      <c r="AI245" s="198">
        <v>102.8688674086623</v>
      </c>
      <c r="AJ245" s="198">
        <v>4.3284479068919281E-2</v>
      </c>
      <c r="AK245" s="198">
        <v>1.0100759359952849</v>
      </c>
      <c r="AL245" s="198">
        <v>4.7290769376710742E-2</v>
      </c>
      <c r="AM245" s="198">
        <v>3.6602478886791669E-2</v>
      </c>
      <c r="AN245" s="198">
        <v>1.0676771678631812E-2</v>
      </c>
      <c r="AO245" s="198">
        <v>6.9982228735591902E-4</v>
      </c>
      <c r="AP245" s="198">
        <v>1.6075543994714995E-3</v>
      </c>
      <c r="AQ245" s="198">
        <v>1.8353532934568505E-3</v>
      </c>
      <c r="AS245" s="258">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102">
        <f t="shared" si="30"/>
        <v>0.43685787497012379</v>
      </c>
      <c r="AZ245" s="102">
        <f t="shared" si="31"/>
        <v>0.56314212502987637</v>
      </c>
    </row>
    <row r="246" spans="1:52" x14ac:dyDescent="0.35">
      <c r="A246" t="s">
        <v>246</v>
      </c>
      <c r="B246">
        <v>2021</v>
      </c>
      <c r="C246" t="s">
        <v>837</v>
      </c>
      <c r="D246" t="s">
        <v>1068</v>
      </c>
      <c r="E246" t="s">
        <v>1069</v>
      </c>
      <c r="F246" t="s">
        <v>977</v>
      </c>
      <c r="G246" t="s">
        <v>978</v>
      </c>
      <c r="H246" s="198">
        <v>34000</v>
      </c>
      <c r="I246" s="198">
        <v>0</v>
      </c>
      <c r="J246" s="198">
        <v>0</v>
      </c>
      <c r="K246" s="198">
        <v>0</v>
      </c>
      <c r="L246" s="198">
        <v>0</v>
      </c>
      <c r="M246" s="198">
        <v>20540.205000000002</v>
      </c>
      <c r="N246" s="198">
        <v>75</v>
      </c>
      <c r="O246" s="198">
        <v>0</v>
      </c>
      <c r="P246" s="198">
        <v>7743.4148853000006</v>
      </c>
      <c r="Q246" s="198">
        <v>0</v>
      </c>
      <c r="R246" s="198">
        <v>0</v>
      </c>
      <c r="S246" s="198">
        <v>1500</v>
      </c>
      <c r="T246" s="198">
        <v>0</v>
      </c>
      <c r="U246" s="198">
        <v>2000</v>
      </c>
      <c r="V246" s="198">
        <v>4500</v>
      </c>
      <c r="W246" s="198">
        <v>300</v>
      </c>
      <c r="X246" s="198">
        <v>1500</v>
      </c>
      <c r="Y246" s="198">
        <v>186</v>
      </c>
      <c r="Z246" s="277">
        <v>72344.619885299995</v>
      </c>
      <c r="AA246" s="272">
        <v>0</v>
      </c>
      <c r="AB246" s="198">
        <v>0</v>
      </c>
      <c r="AC246" s="272">
        <v>640</v>
      </c>
      <c r="AD246" s="198">
        <v>2.3039999999999998</v>
      </c>
      <c r="AE246" s="198">
        <v>2.3039999999999998</v>
      </c>
      <c r="AF246" s="198">
        <v>0</v>
      </c>
      <c r="AG246" s="198">
        <v>0</v>
      </c>
      <c r="AH246" s="198">
        <v>0</v>
      </c>
      <c r="AI246" s="198">
        <v>0</v>
      </c>
      <c r="AJ246" s="198">
        <v>0</v>
      </c>
      <c r="AK246" s="198">
        <v>0</v>
      </c>
      <c r="AL246" s="198">
        <v>0</v>
      </c>
      <c r="AM246" s="198">
        <v>3.4063220299245231E-2</v>
      </c>
      <c r="AN246" s="198">
        <v>8.7050451875848693E-3</v>
      </c>
      <c r="AO246" s="198">
        <v>0</v>
      </c>
      <c r="AP246" s="198">
        <v>1.2446174699357873E-3</v>
      </c>
      <c r="AQ246" s="198">
        <v>1.5560587480198808E-3</v>
      </c>
      <c r="AS246" s="258">
        <f t="shared" si="24"/>
        <v>97050.307576129941</v>
      </c>
      <c r="AT246" s="3">
        <f t="shared" si="25"/>
        <v>0</v>
      </c>
      <c r="AU246" s="3">
        <f t="shared" si="26"/>
        <v>0</v>
      </c>
      <c r="AV246" s="3">
        <f t="shared" si="27"/>
        <v>39.767855145587632</v>
      </c>
      <c r="AW246" s="3">
        <f t="shared" si="28"/>
        <v>1.4316427852411548</v>
      </c>
      <c r="AX246" s="3">
        <f t="shared" si="29"/>
        <v>1.4316427852411548</v>
      </c>
      <c r="AY246" s="102">
        <f t="shared" si="30"/>
        <v>0</v>
      </c>
      <c r="AZ246" s="102">
        <f t="shared" si="31"/>
        <v>1</v>
      </c>
    </row>
    <row r="247" spans="1:52" x14ac:dyDescent="0.35">
      <c r="A247" t="s">
        <v>627</v>
      </c>
      <c r="B247">
        <v>2021</v>
      </c>
      <c r="C247" t="s">
        <v>837</v>
      </c>
      <c r="D247" t="s">
        <v>1068</v>
      </c>
      <c r="E247" t="s">
        <v>1069</v>
      </c>
      <c r="F247" t="s">
        <v>989</v>
      </c>
      <c r="G247" t="s">
        <v>978</v>
      </c>
      <c r="H247" s="198">
        <v>34000</v>
      </c>
      <c r="I247" s="198">
        <v>0</v>
      </c>
      <c r="J247" s="198">
        <v>35774.576769599997</v>
      </c>
      <c r="K247" s="198">
        <v>5981.2592000000004</v>
      </c>
      <c r="L247" s="198">
        <v>0</v>
      </c>
      <c r="M247" s="198">
        <v>2728.7939699999997</v>
      </c>
      <c r="N247" s="198">
        <v>75</v>
      </c>
      <c r="O247" s="198">
        <v>0</v>
      </c>
      <c r="P247" s="198">
        <v>7743.4148853000006</v>
      </c>
      <c r="Q247" s="198">
        <v>0</v>
      </c>
      <c r="R247" s="198">
        <v>0</v>
      </c>
      <c r="S247" s="198">
        <v>1500</v>
      </c>
      <c r="T247" s="198">
        <v>0</v>
      </c>
      <c r="U247" s="198">
        <v>2000</v>
      </c>
      <c r="V247" s="198">
        <v>4500</v>
      </c>
      <c r="W247" s="198">
        <v>300</v>
      </c>
      <c r="X247" s="198">
        <v>1500</v>
      </c>
      <c r="Y247" s="198">
        <v>186</v>
      </c>
      <c r="Z247" s="277">
        <v>96289.044824899989</v>
      </c>
      <c r="AA247" s="272">
        <v>31.660538649999996</v>
      </c>
      <c r="AB247" s="198">
        <v>4.242511126701884</v>
      </c>
      <c r="AC247" s="272">
        <v>0</v>
      </c>
      <c r="AD247" s="198">
        <v>0</v>
      </c>
      <c r="AE247" s="198">
        <v>4.242511126701884</v>
      </c>
      <c r="AF247" s="198">
        <v>0</v>
      </c>
      <c r="AG247" s="198">
        <v>0</v>
      </c>
      <c r="AH247" s="198">
        <v>0</v>
      </c>
      <c r="AI247" s="198">
        <v>0</v>
      </c>
      <c r="AJ247" s="198">
        <v>0</v>
      </c>
      <c r="AK247" s="198">
        <v>0</v>
      </c>
      <c r="AL247" s="198">
        <v>0</v>
      </c>
      <c r="AM247" s="198">
        <v>3.9661468555775431E-2</v>
      </c>
      <c r="AN247" s="198">
        <v>1.0135708630920405E-2</v>
      </c>
      <c r="AO247" s="198">
        <v>0</v>
      </c>
      <c r="AP247" s="198">
        <v>1.4491688165173607E-3</v>
      </c>
      <c r="AQ247" s="198">
        <v>1.8117950846502247E-3</v>
      </c>
      <c r="AS247" s="258">
        <f t="shared" si="24"/>
        <v>129171.75363260333</v>
      </c>
      <c r="AT247" s="3">
        <f t="shared" si="25"/>
        <v>7.4292835583651122</v>
      </c>
      <c r="AU247" s="3">
        <f t="shared" si="26"/>
        <v>2.8676606699471514</v>
      </c>
      <c r="AV247" s="3">
        <f t="shared" si="27"/>
        <v>0</v>
      </c>
      <c r="AW247" s="3">
        <f t="shared" si="28"/>
        <v>0</v>
      </c>
      <c r="AX247" s="3">
        <f t="shared" si="29"/>
        <v>2.8676606699471514</v>
      </c>
      <c r="AY247" s="102">
        <f t="shared" si="30"/>
        <v>1</v>
      </c>
      <c r="AZ247" s="102">
        <f t="shared" si="31"/>
        <v>0</v>
      </c>
    </row>
    <row r="248" spans="1:52" x14ac:dyDescent="0.35">
      <c r="A248" t="s">
        <v>1065</v>
      </c>
      <c r="B248">
        <v>2021</v>
      </c>
      <c r="C248" t="s">
        <v>837</v>
      </c>
      <c r="D248" t="s">
        <v>1068</v>
      </c>
      <c r="E248" t="s">
        <v>1069</v>
      </c>
      <c r="F248" t="s">
        <v>989</v>
      </c>
      <c r="G248" t="s">
        <v>978</v>
      </c>
      <c r="H248" s="198">
        <v>34000</v>
      </c>
      <c r="I248" s="198">
        <v>0</v>
      </c>
      <c r="J248" s="198">
        <v>7842.4166304</v>
      </c>
      <c r="K248" s="198">
        <v>6009.4400000000005</v>
      </c>
      <c r="L248" s="198">
        <v>0</v>
      </c>
      <c r="M248" s="198">
        <v>3058.44</v>
      </c>
      <c r="N248" s="198">
        <v>75</v>
      </c>
      <c r="O248" s="198">
        <v>0</v>
      </c>
      <c r="P248" s="198">
        <v>7716.3157251000002</v>
      </c>
      <c r="Q248" s="198">
        <v>0</v>
      </c>
      <c r="R248" s="198">
        <v>0</v>
      </c>
      <c r="S248" s="198">
        <v>1500</v>
      </c>
      <c r="T248" s="198">
        <v>0</v>
      </c>
      <c r="U248" s="198">
        <v>2000</v>
      </c>
      <c r="V248" s="198">
        <v>4500</v>
      </c>
      <c r="W248" s="198">
        <v>300</v>
      </c>
      <c r="X248" s="198">
        <v>1500</v>
      </c>
      <c r="Y248" s="198">
        <v>186</v>
      </c>
      <c r="Z248" s="277">
        <v>68687.612355500009</v>
      </c>
      <c r="AA248" s="272">
        <v>33.64986528</v>
      </c>
      <c r="AB248" s="198">
        <v>3.9917006021368544</v>
      </c>
      <c r="AC248" s="272">
        <v>0</v>
      </c>
      <c r="AD248" s="198">
        <v>0</v>
      </c>
      <c r="AE248" s="198">
        <v>3.9917006021368544</v>
      </c>
      <c r="AF248" s="198">
        <v>0</v>
      </c>
      <c r="AG248" s="198">
        <v>0</v>
      </c>
      <c r="AH248" s="198">
        <v>0</v>
      </c>
      <c r="AI248" s="198">
        <v>0</v>
      </c>
      <c r="AJ248" s="198">
        <v>0</v>
      </c>
      <c r="AK248" s="198">
        <v>0</v>
      </c>
      <c r="AL248" s="198">
        <v>0</v>
      </c>
      <c r="AM248" s="198">
        <v>3.7316745481065047E-2</v>
      </c>
      <c r="AN248" s="198">
        <v>9.5365016229388613E-3</v>
      </c>
      <c r="AO248" s="198">
        <v>0</v>
      </c>
      <c r="AP248" s="198">
        <v>1.3634962560457136E-3</v>
      </c>
      <c r="AQ248" s="198">
        <v>1.7046846347269671E-3</v>
      </c>
      <c r="AS248" s="258">
        <f t="shared" si="24"/>
        <v>92144.431974903258</v>
      </c>
      <c r="AT248" s="3">
        <f t="shared" si="25"/>
        <v>6.9900761053337606</v>
      </c>
      <c r="AU248" s="3">
        <f t="shared" si="26"/>
        <v>2.6981291223745032</v>
      </c>
      <c r="AV248" s="3">
        <f t="shared" si="27"/>
        <v>0</v>
      </c>
      <c r="AW248" s="3">
        <f t="shared" si="28"/>
        <v>0</v>
      </c>
      <c r="AX248" s="3">
        <f t="shared" si="29"/>
        <v>2.6981291223745032</v>
      </c>
      <c r="AY248" s="102">
        <f t="shared" si="30"/>
        <v>1</v>
      </c>
      <c r="AZ248" s="102">
        <f t="shared" si="31"/>
        <v>0</v>
      </c>
    </row>
    <row r="249" spans="1:52" x14ac:dyDescent="0.35">
      <c r="A249" t="s">
        <v>1017</v>
      </c>
      <c r="B249">
        <v>2025</v>
      </c>
      <c r="C249" t="s">
        <v>837</v>
      </c>
      <c r="D249" t="s">
        <v>1068</v>
      </c>
      <c r="E249" t="s">
        <v>1069</v>
      </c>
      <c r="F249" t="s">
        <v>983</v>
      </c>
      <c r="G249" t="s">
        <v>978</v>
      </c>
      <c r="H249" s="198">
        <v>34121.118364743998</v>
      </c>
      <c r="I249" s="198">
        <v>17837</v>
      </c>
      <c r="J249" s="198">
        <v>0</v>
      </c>
      <c r="K249" s="198">
        <v>0</v>
      </c>
      <c r="L249" s="198">
        <v>120</v>
      </c>
      <c r="M249" s="198">
        <v>0</v>
      </c>
      <c r="N249" s="198">
        <v>0</v>
      </c>
      <c r="O249" s="198">
        <v>150</v>
      </c>
      <c r="P249" s="198">
        <v>0</v>
      </c>
      <c r="Q249" s="198">
        <v>0</v>
      </c>
      <c r="R249" s="198">
        <v>92</v>
      </c>
      <c r="S249" s="198">
        <v>6929</v>
      </c>
      <c r="T249" s="198">
        <v>506</v>
      </c>
      <c r="U249" s="198">
        <v>2000</v>
      </c>
      <c r="V249" s="198">
        <v>1920</v>
      </c>
      <c r="W249" s="198">
        <v>0</v>
      </c>
      <c r="X249" s="198">
        <v>0</v>
      </c>
      <c r="Y249" s="198">
        <v>186</v>
      </c>
      <c r="Z249" s="277">
        <v>63861.118364743998</v>
      </c>
      <c r="AA249" s="272">
        <v>11.786271169999999</v>
      </c>
      <c r="AB249" s="198">
        <v>11.396325908561293</v>
      </c>
      <c r="AC249" s="272">
        <v>0</v>
      </c>
      <c r="AD249" s="198">
        <v>0</v>
      </c>
      <c r="AE249" s="198">
        <v>11.396325908561293</v>
      </c>
      <c r="AF249" s="198">
        <v>853.0780740422548</v>
      </c>
      <c r="AG249" s="198">
        <v>0.37502815960672492</v>
      </c>
      <c r="AH249" s="198">
        <v>1.9815840319199109E-3</v>
      </c>
      <c r="AI249" s="198">
        <v>864.8540385157221</v>
      </c>
      <c r="AJ249" s="198">
        <v>0.36390754045233908</v>
      </c>
      <c r="AK249" s="198">
        <v>8.4920566781656763</v>
      </c>
      <c r="AL249" s="198">
        <v>0.39758980447878323</v>
      </c>
      <c r="AM249" s="198">
        <v>7.1465139226083066E-2</v>
      </c>
      <c r="AN249" s="198">
        <v>2.9384589864903606E-2</v>
      </c>
      <c r="AO249" s="198">
        <v>5.8836472755032085E-3</v>
      </c>
      <c r="AP249" s="198">
        <v>4.8825233504745519E-3</v>
      </c>
      <c r="AQ249" s="198">
        <v>4.6375319738878457E-3</v>
      </c>
      <c r="AS249" s="258">
        <f t="shared" si="24"/>
        <v>85669.690286304074</v>
      </c>
      <c r="AT249" s="3">
        <f t="shared" si="25"/>
        <v>19.956703511126509</v>
      </c>
      <c r="AU249" s="3">
        <f t="shared" si="26"/>
        <v>7.703172629104432</v>
      </c>
      <c r="AV249" s="3">
        <f t="shared" si="27"/>
        <v>0</v>
      </c>
      <c r="AW249" s="3">
        <f t="shared" si="28"/>
        <v>0</v>
      </c>
      <c r="AX249" s="3">
        <f t="shared" si="29"/>
        <v>7.703172629104432</v>
      </c>
      <c r="AY249" s="102">
        <f t="shared" si="30"/>
        <v>1</v>
      </c>
      <c r="AZ249" s="102">
        <f t="shared" si="31"/>
        <v>0</v>
      </c>
    </row>
    <row r="250" spans="1:52" x14ac:dyDescent="0.35">
      <c r="A250" t="s">
        <v>1020</v>
      </c>
      <c r="B250">
        <v>2025</v>
      </c>
      <c r="C250" t="s">
        <v>837</v>
      </c>
      <c r="D250" t="s">
        <v>1068</v>
      </c>
      <c r="E250" t="s">
        <v>1069</v>
      </c>
      <c r="F250" t="s">
        <v>983</v>
      </c>
      <c r="G250" t="s">
        <v>978</v>
      </c>
      <c r="H250" s="198">
        <v>34121.118364743998</v>
      </c>
      <c r="I250" s="198">
        <v>17150</v>
      </c>
      <c r="J250" s="198">
        <v>0</v>
      </c>
      <c r="K250" s="198">
        <v>0</v>
      </c>
      <c r="L250" s="198">
        <v>150</v>
      </c>
      <c r="M250" s="198">
        <v>996.60301500000003</v>
      </c>
      <c r="N250" s="198">
        <v>50</v>
      </c>
      <c r="O250" s="198">
        <v>150</v>
      </c>
      <c r="P250" s="198">
        <v>1767.0027379999999</v>
      </c>
      <c r="Q250" s="198">
        <v>0</v>
      </c>
      <c r="R250" s="198">
        <v>0</v>
      </c>
      <c r="S250" s="198">
        <v>6714</v>
      </c>
      <c r="T250" s="198">
        <v>392</v>
      </c>
      <c r="U250" s="198">
        <v>2000</v>
      </c>
      <c r="V250" s="198">
        <v>4720</v>
      </c>
      <c r="W250" s="198">
        <v>186.64</v>
      </c>
      <c r="X250" s="198">
        <v>1500</v>
      </c>
      <c r="Y250" s="198">
        <v>186</v>
      </c>
      <c r="Z250" s="277">
        <v>70083.364117744</v>
      </c>
      <c r="AA250" s="272">
        <v>16.258517210000001</v>
      </c>
      <c r="AB250" s="198">
        <v>8.2615275283151117</v>
      </c>
      <c r="AC250" s="272">
        <v>0</v>
      </c>
      <c r="AD250" s="198">
        <v>0</v>
      </c>
      <c r="AE250" s="198">
        <v>8.2615275283151117</v>
      </c>
      <c r="AF250" s="198">
        <v>618.42106386301577</v>
      </c>
      <c r="AG250" s="198">
        <v>0.27186880134384039</v>
      </c>
      <c r="AH250" s="198">
        <v>1.4365077974014091E-3</v>
      </c>
      <c r="AI250" s="198">
        <v>626.95780240933323</v>
      </c>
      <c r="AJ250" s="198">
        <v>0.26380714164640678</v>
      </c>
      <c r="AK250" s="198">
        <v>6.1561384415983937</v>
      </c>
      <c r="AL250" s="198">
        <v>0.2882243927590134</v>
      </c>
      <c r="AM250" s="198">
        <v>5.180715432046578E-2</v>
      </c>
      <c r="AN250" s="198">
        <v>2.1301742335639938E-2</v>
      </c>
      <c r="AO250" s="198">
        <v>4.2652267339029068E-3</v>
      </c>
      <c r="AP250" s="198">
        <v>3.5394829343450319E-3</v>
      </c>
      <c r="AQ250" s="198">
        <v>3.3618815724578309E-3</v>
      </c>
      <c r="AS250" s="258">
        <f t="shared" si="24"/>
        <v>94016.832963953566</v>
      </c>
      <c r="AT250" s="3">
        <f t="shared" si="25"/>
        <v>14.467193791618106</v>
      </c>
      <c r="AU250" s="3">
        <f t="shared" si="26"/>
        <v>5.5842534902324381</v>
      </c>
      <c r="AV250" s="3">
        <f t="shared" si="27"/>
        <v>0</v>
      </c>
      <c r="AW250" s="3">
        <f t="shared" si="28"/>
        <v>0</v>
      </c>
      <c r="AX250" s="3">
        <f t="shared" si="29"/>
        <v>5.5842534902324381</v>
      </c>
      <c r="AY250" s="102">
        <f t="shared" si="30"/>
        <v>1</v>
      </c>
      <c r="AZ250" s="102">
        <f t="shared" si="31"/>
        <v>0</v>
      </c>
    </row>
    <row r="251" spans="1:52" x14ac:dyDescent="0.35">
      <c r="A251" t="s">
        <v>1021</v>
      </c>
      <c r="B251">
        <v>2025</v>
      </c>
      <c r="C251" t="s">
        <v>837</v>
      </c>
      <c r="D251" t="s">
        <v>1068</v>
      </c>
      <c r="E251" t="s">
        <v>1069</v>
      </c>
      <c r="F251" t="s">
        <v>983</v>
      </c>
      <c r="G251" t="s">
        <v>978</v>
      </c>
      <c r="H251" s="198">
        <v>34121.118364743998</v>
      </c>
      <c r="I251" s="198">
        <v>9445</v>
      </c>
      <c r="J251" s="198">
        <v>0</v>
      </c>
      <c r="K251" s="198">
        <v>0</v>
      </c>
      <c r="L251" s="198">
        <v>0</v>
      </c>
      <c r="M251" s="198">
        <v>8388.8639999999996</v>
      </c>
      <c r="N251" s="198">
        <v>50</v>
      </c>
      <c r="O251" s="198">
        <v>0</v>
      </c>
      <c r="P251" s="198">
        <v>6562.4246690999998</v>
      </c>
      <c r="Q251" s="198">
        <v>0</v>
      </c>
      <c r="R251" s="198">
        <v>1957.8332434999998</v>
      </c>
      <c r="S251" s="198">
        <v>1500</v>
      </c>
      <c r="T251" s="198">
        <v>0</v>
      </c>
      <c r="U251" s="198">
        <v>2000</v>
      </c>
      <c r="V251" s="198">
        <v>4720</v>
      </c>
      <c r="W251" s="198">
        <v>186.64</v>
      </c>
      <c r="X251" s="198">
        <v>1500</v>
      </c>
      <c r="Y251" s="198">
        <v>186</v>
      </c>
      <c r="Z251" s="277">
        <v>70617.880277343997</v>
      </c>
      <c r="AA251" s="272">
        <v>112.33716180000003</v>
      </c>
      <c r="AB251" s="198">
        <v>1.1956879215013243</v>
      </c>
      <c r="AC251" s="272">
        <v>490.40000000000003</v>
      </c>
      <c r="AD251" s="198">
        <v>1.7654400000000001</v>
      </c>
      <c r="AE251" s="198">
        <v>2.9611279215013244</v>
      </c>
      <c r="AF251" s="198">
        <v>89.503859174794897</v>
      </c>
      <c r="AG251" s="198">
        <v>3.9347474287986677E-2</v>
      </c>
      <c r="AH251" s="198">
        <v>2.0790525924031309E-4</v>
      </c>
      <c r="AI251" s="198">
        <v>90.739378288404652</v>
      </c>
      <c r="AJ251" s="198">
        <v>3.8180713166095059E-2</v>
      </c>
      <c r="AK251" s="198">
        <v>0.89097571272154064</v>
      </c>
      <c r="AL251" s="198">
        <v>4.1714613178114118E-2</v>
      </c>
      <c r="AM251" s="198">
        <v>3.3598973451855071E-2</v>
      </c>
      <c r="AN251" s="198">
        <v>9.7532344170846337E-3</v>
      </c>
      <c r="AO251" s="198">
        <v>6.1730473822343339E-4</v>
      </c>
      <c r="AP251" s="198">
        <v>1.4659562342719409E-3</v>
      </c>
      <c r="AQ251" s="198">
        <v>1.678893932080195E-3</v>
      </c>
      <c r="AS251" s="258">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102">
        <f t="shared" si="30"/>
        <v>0.4242103777432833</v>
      </c>
      <c r="AZ251" s="102">
        <f t="shared" si="31"/>
        <v>0.5757896222567167</v>
      </c>
    </row>
    <row r="252" spans="1:52" x14ac:dyDescent="0.35">
      <c r="A252" t="s">
        <v>246</v>
      </c>
      <c r="B252">
        <v>2025</v>
      </c>
      <c r="C252" t="s">
        <v>837</v>
      </c>
      <c r="D252" t="s">
        <v>1068</v>
      </c>
      <c r="E252" t="s">
        <v>1069</v>
      </c>
      <c r="F252" t="s">
        <v>977</v>
      </c>
      <c r="G252" t="s">
        <v>978</v>
      </c>
      <c r="H252" s="198">
        <v>34121.118364743998</v>
      </c>
      <c r="I252" s="198">
        <v>0</v>
      </c>
      <c r="J252" s="198">
        <v>0</v>
      </c>
      <c r="K252" s="198">
        <v>0</v>
      </c>
      <c r="L252" s="198">
        <v>0</v>
      </c>
      <c r="M252" s="198">
        <v>17635.68</v>
      </c>
      <c r="N252" s="198">
        <v>50</v>
      </c>
      <c r="O252" s="198">
        <v>0</v>
      </c>
      <c r="P252" s="198">
        <v>6539.8468340999998</v>
      </c>
      <c r="Q252" s="198">
        <v>0</v>
      </c>
      <c r="R252" s="198">
        <v>0</v>
      </c>
      <c r="S252" s="198">
        <v>1500</v>
      </c>
      <c r="T252" s="198">
        <v>0</v>
      </c>
      <c r="U252" s="198">
        <v>2000</v>
      </c>
      <c r="V252" s="198">
        <v>4500</v>
      </c>
      <c r="W252" s="198">
        <v>186.64</v>
      </c>
      <c r="X252" s="198">
        <v>1500</v>
      </c>
      <c r="Y252" s="198">
        <v>186</v>
      </c>
      <c r="Z252" s="277">
        <v>68219.285198843994</v>
      </c>
      <c r="AA252" s="272">
        <v>0</v>
      </c>
      <c r="AB252" s="198">
        <v>0</v>
      </c>
      <c r="AC252" s="272">
        <v>593</v>
      </c>
      <c r="AD252" s="198">
        <v>2.1347999999999998</v>
      </c>
      <c r="AE252" s="198">
        <v>2.1347999999999998</v>
      </c>
      <c r="AF252" s="198">
        <v>0</v>
      </c>
      <c r="AG252" s="198">
        <v>0</v>
      </c>
      <c r="AH252" s="198">
        <v>0</v>
      </c>
      <c r="AI252" s="198">
        <v>0</v>
      </c>
      <c r="AJ252" s="198">
        <v>0</v>
      </c>
      <c r="AK252" s="198">
        <v>0</v>
      </c>
      <c r="AL252" s="198">
        <v>0</v>
      </c>
      <c r="AM252" s="198">
        <v>3.1561702558519408E-2</v>
      </c>
      <c r="AN252" s="198">
        <v>8.0657684316216057E-3</v>
      </c>
      <c r="AO252" s="198">
        <v>0</v>
      </c>
      <c r="AP252" s="198">
        <v>1.1532158744873779E-3</v>
      </c>
      <c r="AQ252" s="198">
        <v>1.4417856837121708E-3</v>
      </c>
      <c r="AS252" s="258">
        <f t="shared" si="24"/>
        <v>91516.171094249206</v>
      </c>
      <c r="AT252" s="3">
        <f t="shared" si="25"/>
        <v>0</v>
      </c>
      <c r="AU252" s="3">
        <f t="shared" si="26"/>
        <v>0</v>
      </c>
      <c r="AV252" s="3">
        <f t="shared" si="27"/>
        <v>36.847403283333541</v>
      </c>
      <c r="AW252" s="3">
        <f t="shared" si="28"/>
        <v>1.3265065182000075</v>
      </c>
      <c r="AX252" s="3">
        <f t="shared" si="29"/>
        <v>1.3265065182000075</v>
      </c>
      <c r="AY252" s="102">
        <f t="shared" si="30"/>
        <v>0</v>
      </c>
      <c r="AZ252" s="102">
        <f t="shared" si="31"/>
        <v>1</v>
      </c>
    </row>
    <row r="253" spans="1:52" x14ac:dyDescent="0.35">
      <c r="A253" t="s">
        <v>627</v>
      </c>
      <c r="B253">
        <v>2025</v>
      </c>
      <c r="C253" t="s">
        <v>837</v>
      </c>
      <c r="D253" t="s">
        <v>1068</v>
      </c>
      <c r="E253" t="s">
        <v>1069</v>
      </c>
      <c r="F253" t="s">
        <v>989</v>
      </c>
      <c r="G253" t="s">
        <v>978</v>
      </c>
      <c r="H253" s="198">
        <v>34121.118364743998</v>
      </c>
      <c r="I253" s="198">
        <v>0</v>
      </c>
      <c r="J253" s="198">
        <v>27677.661873207548</v>
      </c>
      <c r="K253" s="198">
        <v>5702.0809559999998</v>
      </c>
      <c r="L253" s="198">
        <v>0</v>
      </c>
      <c r="M253" s="198">
        <v>2776.251256</v>
      </c>
      <c r="N253" s="198">
        <v>50</v>
      </c>
      <c r="O253" s="198">
        <v>0</v>
      </c>
      <c r="P253" s="198">
        <v>6539.8468340999998</v>
      </c>
      <c r="Q253" s="198">
        <v>0</v>
      </c>
      <c r="R253" s="198">
        <v>0</v>
      </c>
      <c r="S253" s="198">
        <v>1500</v>
      </c>
      <c r="T253" s="198">
        <v>0</v>
      </c>
      <c r="U253" s="198">
        <v>2000</v>
      </c>
      <c r="V253" s="198">
        <v>4500</v>
      </c>
      <c r="W253" s="198">
        <v>186.64</v>
      </c>
      <c r="X253" s="198">
        <v>1500</v>
      </c>
      <c r="Y253" s="198">
        <v>186</v>
      </c>
      <c r="Z253" s="277">
        <v>86739.599284051554</v>
      </c>
      <c r="AA253" s="272">
        <v>33.605633779999998</v>
      </c>
      <c r="AB253" s="198">
        <v>3.9969544505343952</v>
      </c>
      <c r="AC253" s="272">
        <v>0</v>
      </c>
      <c r="AD253" s="198">
        <v>0</v>
      </c>
      <c r="AE253" s="198">
        <v>3.9969544505343952</v>
      </c>
      <c r="AF253" s="198">
        <v>0</v>
      </c>
      <c r="AG253" s="198">
        <v>0</v>
      </c>
      <c r="AH253" s="198">
        <v>0</v>
      </c>
      <c r="AI253" s="198">
        <v>0</v>
      </c>
      <c r="AJ253" s="198">
        <v>0</v>
      </c>
      <c r="AK253" s="198">
        <v>0</v>
      </c>
      <c r="AL253" s="198">
        <v>0</v>
      </c>
      <c r="AM253" s="198">
        <v>3.7365861520314632E-2</v>
      </c>
      <c r="AN253" s="198">
        <v>9.5490534996359767E-3</v>
      </c>
      <c r="AO253" s="198">
        <v>0</v>
      </c>
      <c r="AP253" s="198">
        <v>1.3652908802758083E-3</v>
      </c>
      <c r="AQ253" s="198">
        <v>1.7069283287133544E-3</v>
      </c>
      <c r="AS253" s="258">
        <f t="shared" si="24"/>
        <v>116361.17243955516</v>
      </c>
      <c r="AT253" s="3">
        <f t="shared" si="25"/>
        <v>6.9992763945851744</v>
      </c>
      <c r="AU253" s="3">
        <f t="shared" si="26"/>
        <v>2.7016803810431416</v>
      </c>
      <c r="AV253" s="3">
        <f t="shared" si="27"/>
        <v>0</v>
      </c>
      <c r="AW253" s="3">
        <f t="shared" si="28"/>
        <v>0</v>
      </c>
      <c r="AX253" s="3">
        <f t="shared" si="29"/>
        <v>2.7016803810431416</v>
      </c>
      <c r="AY253" s="102">
        <f t="shared" si="30"/>
        <v>1</v>
      </c>
      <c r="AZ253" s="102">
        <f t="shared" si="31"/>
        <v>0</v>
      </c>
    </row>
    <row r="254" spans="1:52" x14ac:dyDescent="0.35">
      <c r="A254" t="s">
        <v>1065</v>
      </c>
      <c r="B254">
        <v>2025</v>
      </c>
      <c r="C254" t="s">
        <v>837</v>
      </c>
      <c r="D254" t="s">
        <v>1068</v>
      </c>
      <c r="E254" t="s">
        <v>1069</v>
      </c>
      <c r="F254" t="s">
        <v>989</v>
      </c>
      <c r="G254" t="s">
        <v>978</v>
      </c>
      <c r="H254" s="198">
        <v>34121.118364743998</v>
      </c>
      <c r="I254" s="198">
        <v>0</v>
      </c>
      <c r="J254" s="198">
        <v>5728.1377701886795</v>
      </c>
      <c r="K254" s="198">
        <v>5722.1167409999998</v>
      </c>
      <c r="L254" s="198">
        <v>0</v>
      </c>
      <c r="M254" s="198">
        <v>2796.288</v>
      </c>
      <c r="N254" s="198">
        <v>50</v>
      </c>
      <c r="O254" s="198">
        <v>0</v>
      </c>
      <c r="P254" s="198">
        <v>6464.3690036999997</v>
      </c>
      <c r="Q254" s="198">
        <v>0</v>
      </c>
      <c r="R254" s="198">
        <v>0</v>
      </c>
      <c r="S254" s="198">
        <v>1500</v>
      </c>
      <c r="T254" s="198">
        <v>0</v>
      </c>
      <c r="U254" s="198">
        <v>2000</v>
      </c>
      <c r="V254" s="198">
        <v>4500</v>
      </c>
      <c r="W254" s="198">
        <v>186.64</v>
      </c>
      <c r="X254" s="198">
        <v>1500</v>
      </c>
      <c r="Y254" s="198">
        <v>186</v>
      </c>
      <c r="Z254" s="277">
        <v>64754.669879632675</v>
      </c>
      <c r="AA254" s="272">
        <v>36.176865210000003</v>
      </c>
      <c r="AB254" s="198">
        <v>3.7128752510837022</v>
      </c>
      <c r="AC254" s="272">
        <v>0</v>
      </c>
      <c r="AD254" s="198">
        <v>0</v>
      </c>
      <c r="AE254" s="198">
        <v>3.7128752510837022</v>
      </c>
      <c r="AF254" s="198">
        <v>0</v>
      </c>
      <c r="AG254" s="198">
        <v>0</v>
      </c>
      <c r="AH254" s="198">
        <v>0</v>
      </c>
      <c r="AI254" s="198">
        <v>0</v>
      </c>
      <c r="AJ254" s="198">
        <v>0</v>
      </c>
      <c r="AK254" s="198">
        <v>0</v>
      </c>
      <c r="AL254" s="198">
        <v>0</v>
      </c>
      <c r="AM254" s="198">
        <v>3.471012346804405E-2</v>
      </c>
      <c r="AN254" s="198">
        <v>8.8703648862779386E-3</v>
      </c>
      <c r="AO254" s="198">
        <v>0</v>
      </c>
      <c r="AP254" s="198">
        <v>1.2682543127877231E-3</v>
      </c>
      <c r="AQ254" s="198">
        <v>1.5856102503760425E-3</v>
      </c>
      <c r="AS254" s="258">
        <f t="shared" si="24"/>
        <v>86868.389643527233</v>
      </c>
      <c r="AT254" s="3">
        <f t="shared" si="25"/>
        <v>6.5018104215511192</v>
      </c>
      <c r="AU254" s="3">
        <f t="shared" si="26"/>
        <v>2.5096613802472318</v>
      </c>
      <c r="AV254" s="3">
        <f t="shared" si="27"/>
        <v>0</v>
      </c>
      <c r="AW254" s="3">
        <f t="shared" si="28"/>
        <v>0</v>
      </c>
      <c r="AX254" s="3">
        <f t="shared" si="29"/>
        <v>2.5096613802472318</v>
      </c>
      <c r="AY254" s="102">
        <f t="shared" si="30"/>
        <v>1</v>
      </c>
      <c r="AZ254" s="102">
        <f t="shared" si="31"/>
        <v>0</v>
      </c>
    </row>
    <row r="255" spans="1:52" x14ac:dyDescent="0.35">
      <c r="A255" t="s">
        <v>1017</v>
      </c>
      <c r="B255">
        <v>2030</v>
      </c>
      <c r="C255" t="s">
        <v>837</v>
      </c>
      <c r="D255" t="s">
        <v>1068</v>
      </c>
      <c r="E255" t="s">
        <v>1069</v>
      </c>
      <c r="F255" t="s">
        <v>983</v>
      </c>
      <c r="G255" t="s">
        <v>978</v>
      </c>
      <c r="H255" s="198">
        <v>34256.562557575999</v>
      </c>
      <c r="I255" s="198">
        <v>17977</v>
      </c>
      <c r="J255" s="198">
        <v>0</v>
      </c>
      <c r="K255" s="198">
        <v>0</v>
      </c>
      <c r="L255" s="198">
        <v>120</v>
      </c>
      <c r="M255" s="198">
        <v>0</v>
      </c>
      <c r="N255" s="198">
        <v>0</v>
      </c>
      <c r="O255" s="198">
        <v>150</v>
      </c>
      <c r="P255" s="198">
        <v>0</v>
      </c>
      <c r="Q255" s="198">
        <v>0</v>
      </c>
      <c r="R255" s="198">
        <v>73.2</v>
      </c>
      <c r="S255" s="198">
        <v>6895</v>
      </c>
      <c r="T255" s="198">
        <v>506</v>
      </c>
      <c r="U255" s="198">
        <v>2000</v>
      </c>
      <c r="V255" s="198">
        <v>1920</v>
      </c>
      <c r="W255" s="198">
        <v>0</v>
      </c>
      <c r="X255" s="198">
        <v>0</v>
      </c>
      <c r="Y255" s="198">
        <v>186</v>
      </c>
      <c r="Z255" s="277">
        <v>64083.762557575996</v>
      </c>
      <c r="AA255" s="272">
        <v>12.531425329999999</v>
      </c>
      <c r="AB255" s="198">
        <v>10.71866798571109</v>
      </c>
      <c r="AC255" s="272">
        <v>0</v>
      </c>
      <c r="AD255" s="198">
        <v>0</v>
      </c>
      <c r="AE255" s="198">
        <v>10.71866798571109</v>
      </c>
      <c r="AF255" s="198">
        <v>802.3516276135648</v>
      </c>
      <c r="AG255" s="198">
        <v>0.35272791953913357</v>
      </c>
      <c r="AH255" s="198">
        <v>1.8637534144210557E-3</v>
      </c>
      <c r="AI255" s="198">
        <v>813.42735977631401</v>
      </c>
      <c r="AJ255" s="198">
        <v>0.34226856400053363</v>
      </c>
      <c r="AK255" s="198">
        <v>7.987094856660657</v>
      </c>
      <c r="AL255" s="198">
        <v>0.37394798489488501</v>
      </c>
      <c r="AM255" s="198">
        <v>6.7215618969052968E-2</v>
      </c>
      <c r="AN255" s="198">
        <v>2.7637298650925894E-2</v>
      </c>
      <c r="AO255" s="198">
        <v>5.5337888892573817E-3</v>
      </c>
      <c r="AP255" s="198">
        <v>4.5921946376510083E-3</v>
      </c>
      <c r="AQ255" s="198">
        <v>4.3617711444949823E-3</v>
      </c>
      <c r="AS255" s="258">
        <f t="shared" si="24"/>
        <v>85968.367470988189</v>
      </c>
      <c r="AT255" s="3">
        <f t="shared" si="25"/>
        <v>18.770021210462588</v>
      </c>
      <c r="AU255" s="3">
        <f t="shared" si="26"/>
        <v>7.2451200948860182</v>
      </c>
      <c r="AV255" s="3">
        <f t="shared" si="27"/>
        <v>0</v>
      </c>
      <c r="AW255" s="3">
        <f t="shared" si="28"/>
        <v>0</v>
      </c>
      <c r="AX255" s="3">
        <f t="shared" si="29"/>
        <v>7.2451200948860182</v>
      </c>
      <c r="AY255" s="102">
        <f t="shared" si="30"/>
        <v>1</v>
      </c>
      <c r="AZ255" s="102">
        <f t="shared" si="31"/>
        <v>0</v>
      </c>
    </row>
    <row r="256" spans="1:52" x14ac:dyDescent="0.35">
      <c r="A256" t="s">
        <v>1020</v>
      </c>
      <c r="B256">
        <v>2030</v>
      </c>
      <c r="C256" t="s">
        <v>837</v>
      </c>
      <c r="D256" t="s">
        <v>1068</v>
      </c>
      <c r="E256" t="s">
        <v>1069</v>
      </c>
      <c r="F256" t="s">
        <v>983</v>
      </c>
      <c r="G256" t="s">
        <v>978</v>
      </c>
      <c r="H256" s="198">
        <v>34256.562557575999</v>
      </c>
      <c r="I256" s="198">
        <v>17236</v>
      </c>
      <c r="J256" s="198">
        <v>0</v>
      </c>
      <c r="K256" s="198">
        <v>0</v>
      </c>
      <c r="L256" s="198">
        <v>150</v>
      </c>
      <c r="M256" s="198">
        <v>980.58618081000009</v>
      </c>
      <c r="N256" s="198">
        <v>40</v>
      </c>
      <c r="O256" s="198">
        <v>150</v>
      </c>
      <c r="P256" s="198">
        <v>1387.7149164600003</v>
      </c>
      <c r="Q256" s="198">
        <v>0</v>
      </c>
      <c r="R256" s="198">
        <v>0</v>
      </c>
      <c r="S256" s="198">
        <v>6663</v>
      </c>
      <c r="T256" s="198">
        <v>392</v>
      </c>
      <c r="U256" s="198">
        <v>2000</v>
      </c>
      <c r="V256" s="198">
        <v>4720</v>
      </c>
      <c r="W256" s="198">
        <v>138.624</v>
      </c>
      <c r="X256" s="198">
        <v>1500</v>
      </c>
      <c r="Y256" s="198">
        <v>186</v>
      </c>
      <c r="Z256" s="277">
        <v>69800.487654846002</v>
      </c>
      <c r="AA256" s="272">
        <v>17.711349049999999</v>
      </c>
      <c r="AB256" s="198">
        <v>7.5838484759578497</v>
      </c>
      <c r="AC256" s="272">
        <v>0</v>
      </c>
      <c r="AD256" s="198">
        <v>0</v>
      </c>
      <c r="AE256" s="198">
        <v>7.5838484759578497</v>
      </c>
      <c r="AF256" s="198">
        <v>567.69303577376854</v>
      </c>
      <c r="AG256" s="198">
        <v>0.24956786595038621</v>
      </c>
      <c r="AH256" s="198">
        <v>1.3186735059207701E-3</v>
      </c>
      <c r="AI256" s="198">
        <v>575.52952017598705</v>
      </c>
      <c r="AJ256" s="198">
        <v>0.24216749048706782</v>
      </c>
      <c r="AK256" s="198">
        <v>5.6511608752846563</v>
      </c>
      <c r="AL256" s="198">
        <v>0.26458183601853974</v>
      </c>
      <c r="AM256" s="198">
        <v>4.7557501562559903E-2</v>
      </c>
      <c r="AN256" s="198">
        <v>1.9554396640779181E-2</v>
      </c>
      <c r="AO256" s="198">
        <v>3.9153574390039195E-3</v>
      </c>
      <c r="AP256" s="198">
        <v>3.2491451690152312E-3</v>
      </c>
      <c r="AQ256" s="198">
        <v>3.0861121447881747E-3</v>
      </c>
      <c r="AS256" s="258">
        <f t="shared" si="24"/>
        <v>93637.354188975907</v>
      </c>
      <c r="AT256" s="3">
        <f t="shared" si="25"/>
        <v>13.280474489967107</v>
      </c>
      <c r="AU256" s="3">
        <f t="shared" si="26"/>
        <v>5.1261866738460942</v>
      </c>
      <c r="AV256" s="3">
        <f t="shared" si="27"/>
        <v>0</v>
      </c>
      <c r="AW256" s="3">
        <f t="shared" si="28"/>
        <v>0</v>
      </c>
      <c r="AX256" s="3">
        <f t="shared" si="29"/>
        <v>5.1261866738460942</v>
      </c>
      <c r="AY256" s="102">
        <f t="shared" si="30"/>
        <v>1</v>
      </c>
      <c r="AZ256" s="102">
        <f t="shared" si="31"/>
        <v>0</v>
      </c>
    </row>
    <row r="257" spans="1:52" x14ac:dyDescent="0.35">
      <c r="A257" t="s">
        <v>1021</v>
      </c>
      <c r="B257">
        <v>2030</v>
      </c>
      <c r="C257" t="s">
        <v>837</v>
      </c>
      <c r="D257" t="s">
        <v>1068</v>
      </c>
      <c r="E257" t="s">
        <v>1069</v>
      </c>
      <c r="F257" t="s">
        <v>983</v>
      </c>
      <c r="G257" t="s">
        <v>978</v>
      </c>
      <c r="H257" s="198">
        <v>34256.562557575999</v>
      </c>
      <c r="I257" s="198">
        <v>9551</v>
      </c>
      <c r="J257" s="198">
        <v>0</v>
      </c>
      <c r="K257" s="198">
        <v>0</v>
      </c>
      <c r="L257" s="198">
        <v>0</v>
      </c>
      <c r="M257" s="198">
        <v>6293.1375000000007</v>
      </c>
      <c r="N257" s="198">
        <v>40</v>
      </c>
      <c r="O257" s="198">
        <v>0</v>
      </c>
      <c r="P257" s="198">
        <v>5169.314174520001</v>
      </c>
      <c r="Q257" s="198">
        <v>0</v>
      </c>
      <c r="R257" s="198">
        <v>1470.6434544900001</v>
      </c>
      <c r="S257" s="198">
        <v>1500</v>
      </c>
      <c r="T257" s="198">
        <v>0</v>
      </c>
      <c r="U257" s="198">
        <v>2000</v>
      </c>
      <c r="V257" s="198">
        <v>4720</v>
      </c>
      <c r="W257" s="198">
        <v>138.624</v>
      </c>
      <c r="X257" s="198">
        <v>1500</v>
      </c>
      <c r="Y257" s="198">
        <v>186</v>
      </c>
      <c r="Z257" s="277">
        <v>66825.281686586008</v>
      </c>
      <c r="AA257" s="272">
        <v>123.45844790000002</v>
      </c>
      <c r="AB257" s="198">
        <v>1.0879789093800845</v>
      </c>
      <c r="AC257" s="272">
        <v>462.40000000000003</v>
      </c>
      <c r="AD257" s="198">
        <v>1.6646400000000001</v>
      </c>
      <c r="AE257" s="198">
        <v>2.7526189093800846</v>
      </c>
      <c r="AF257" s="198">
        <v>81.441243437528655</v>
      </c>
      <c r="AG257" s="198">
        <v>3.5803006280227985E-2</v>
      </c>
      <c r="AH257" s="198">
        <v>1.8917690237988159E-4</v>
      </c>
      <c r="AI257" s="198">
        <v>82.565465497123924</v>
      </c>
      <c r="AJ257" s="198">
        <v>3.4741348409410962E-2</v>
      </c>
      <c r="AK257" s="198">
        <v>0.81071554439872429</v>
      </c>
      <c r="AL257" s="198">
        <v>3.7956910440101348E-2</v>
      </c>
      <c r="AM257" s="198">
        <v>3.1433275884385999E-2</v>
      </c>
      <c r="AN257" s="198">
        <v>9.0946689082146686E-3</v>
      </c>
      <c r="AO257" s="198">
        <v>5.6169718182333059E-4</v>
      </c>
      <c r="AP257" s="198">
        <v>1.3653584909827524E-3</v>
      </c>
      <c r="AQ257" s="198">
        <v>1.5669860965920024E-3</v>
      </c>
      <c r="AS257" s="258">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102">
        <f t="shared" si="30"/>
        <v>0.41553702744395388</v>
      </c>
      <c r="AZ257" s="102">
        <f t="shared" si="31"/>
        <v>0.58446297255604618</v>
      </c>
    </row>
    <row r="258" spans="1:52" x14ac:dyDescent="0.35">
      <c r="A258" t="s">
        <v>246</v>
      </c>
      <c r="B258">
        <v>2030</v>
      </c>
      <c r="C258" t="s">
        <v>837</v>
      </c>
      <c r="D258" t="s">
        <v>1068</v>
      </c>
      <c r="E258" t="s">
        <v>1069</v>
      </c>
      <c r="F258" t="s">
        <v>977</v>
      </c>
      <c r="G258" t="s">
        <v>978</v>
      </c>
      <c r="H258" s="198">
        <v>34256.562557575999</v>
      </c>
      <c r="I258" s="198">
        <v>0</v>
      </c>
      <c r="J258" s="198">
        <v>0</v>
      </c>
      <c r="K258" s="198">
        <v>0</v>
      </c>
      <c r="L258" s="198">
        <v>0</v>
      </c>
      <c r="M258" s="198">
        <v>13033.125000000002</v>
      </c>
      <c r="N258" s="198">
        <v>40</v>
      </c>
      <c r="O258" s="198">
        <v>0</v>
      </c>
      <c r="P258" s="198">
        <v>5158.2512736899998</v>
      </c>
      <c r="Q258" s="198">
        <v>0</v>
      </c>
      <c r="R258" s="198">
        <v>0</v>
      </c>
      <c r="S258" s="198">
        <v>1500</v>
      </c>
      <c r="T258" s="198">
        <v>0</v>
      </c>
      <c r="U258" s="198">
        <v>2000</v>
      </c>
      <c r="V258" s="198">
        <v>4500</v>
      </c>
      <c r="W258" s="198">
        <v>138.624</v>
      </c>
      <c r="X258" s="198">
        <v>1500</v>
      </c>
      <c r="Y258" s="198">
        <v>186</v>
      </c>
      <c r="Z258" s="277">
        <v>62312.562831266005</v>
      </c>
      <c r="AA258" s="272">
        <v>0</v>
      </c>
      <c r="AB258" s="198">
        <v>0</v>
      </c>
      <c r="AC258" s="272">
        <v>554</v>
      </c>
      <c r="AD258" s="198">
        <v>1.9944</v>
      </c>
      <c r="AE258" s="198">
        <v>1.9944</v>
      </c>
      <c r="AF258" s="198">
        <v>0</v>
      </c>
      <c r="AG258" s="198">
        <v>0</v>
      </c>
      <c r="AH258" s="198">
        <v>0</v>
      </c>
      <c r="AI258" s="198">
        <v>0</v>
      </c>
      <c r="AJ258" s="198">
        <v>0</v>
      </c>
      <c r="AK258" s="198">
        <v>0</v>
      </c>
      <c r="AL258" s="198">
        <v>0</v>
      </c>
      <c r="AM258" s="198">
        <v>2.9485975071534155E-2</v>
      </c>
      <c r="AN258" s="198">
        <v>7.5353047405031532E-3</v>
      </c>
      <c r="AO258" s="198">
        <v>0</v>
      </c>
      <c r="AP258" s="198">
        <v>1.0773719974131659E-3</v>
      </c>
      <c r="AQ258" s="198">
        <v>1.3469633537547094E-3</v>
      </c>
      <c r="AS258" s="258">
        <f t="shared" si="24"/>
        <v>83592.303038143335</v>
      </c>
      <c r="AT258" s="3">
        <f t="shared" si="25"/>
        <v>0</v>
      </c>
      <c r="AU258" s="3">
        <f t="shared" si="26"/>
        <v>0</v>
      </c>
      <c r="AV258" s="3">
        <f t="shared" si="27"/>
        <v>34.424049610399294</v>
      </c>
      <c r="AW258" s="3">
        <f t="shared" si="28"/>
        <v>1.2392657859743745</v>
      </c>
      <c r="AX258" s="3">
        <f t="shared" si="29"/>
        <v>1.2392657859743745</v>
      </c>
      <c r="AY258" s="102">
        <f t="shared" si="30"/>
        <v>0</v>
      </c>
      <c r="AZ258" s="102">
        <f t="shared" si="31"/>
        <v>1</v>
      </c>
    </row>
    <row r="259" spans="1:52" x14ac:dyDescent="0.35">
      <c r="A259" t="s">
        <v>627</v>
      </c>
      <c r="B259">
        <v>2030</v>
      </c>
      <c r="C259" t="s">
        <v>837</v>
      </c>
      <c r="D259" t="s">
        <v>1068</v>
      </c>
      <c r="E259" t="s">
        <v>1069</v>
      </c>
      <c r="F259" t="s">
        <v>989</v>
      </c>
      <c r="G259" t="s">
        <v>978</v>
      </c>
      <c r="H259" s="198">
        <v>34256.562557575999</v>
      </c>
      <c r="I259" s="198">
        <v>0</v>
      </c>
      <c r="J259" s="198">
        <v>23874.529117999999</v>
      </c>
      <c r="K259" s="198">
        <v>5061.4410000000007</v>
      </c>
      <c r="L259" s="198">
        <v>0</v>
      </c>
      <c r="M259" s="198">
        <v>2614.8964833</v>
      </c>
      <c r="N259" s="198">
        <v>40</v>
      </c>
      <c r="O259" s="198">
        <v>0</v>
      </c>
      <c r="P259" s="198">
        <v>5158.2512736899998</v>
      </c>
      <c r="Q259" s="198">
        <v>0</v>
      </c>
      <c r="R259" s="198">
        <v>0</v>
      </c>
      <c r="S259" s="198">
        <v>1500</v>
      </c>
      <c r="T259" s="198">
        <v>0</v>
      </c>
      <c r="U259" s="198">
        <v>2000</v>
      </c>
      <c r="V259" s="198">
        <v>4500</v>
      </c>
      <c r="W259" s="198">
        <v>138.624</v>
      </c>
      <c r="X259" s="198">
        <v>1500</v>
      </c>
      <c r="Y259" s="198">
        <v>186</v>
      </c>
      <c r="Z259" s="277">
        <v>80830.304432565987</v>
      </c>
      <c r="AA259" s="272">
        <v>35.789405979999998</v>
      </c>
      <c r="AB259" s="198">
        <v>3.7530711623171795</v>
      </c>
      <c r="AC259" s="272">
        <v>0</v>
      </c>
      <c r="AD259" s="198">
        <v>0</v>
      </c>
      <c r="AE259" s="198">
        <v>3.7530711623171795</v>
      </c>
      <c r="AF259" s="198">
        <v>0</v>
      </c>
      <c r="AG259" s="198">
        <v>0</v>
      </c>
      <c r="AH259" s="198">
        <v>0</v>
      </c>
      <c r="AI259" s="198">
        <v>0</v>
      </c>
      <c r="AJ259" s="198">
        <v>0</v>
      </c>
      <c r="AK259" s="198">
        <v>0</v>
      </c>
      <c r="AL259" s="198">
        <v>0</v>
      </c>
      <c r="AM259" s="198">
        <v>3.5085898291455447E-2</v>
      </c>
      <c r="AN259" s="198">
        <v>8.9663962300386302E-3</v>
      </c>
      <c r="AO259" s="198">
        <v>0</v>
      </c>
      <c r="AP259" s="198">
        <v>1.281984544570601E-3</v>
      </c>
      <c r="AQ259" s="198">
        <v>1.6027762052129048E-3</v>
      </c>
      <c r="AS259" s="258">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102">
        <f t="shared" si="30"/>
        <v>1</v>
      </c>
      <c r="AZ259" s="102">
        <f t="shared" si="31"/>
        <v>0</v>
      </c>
    </row>
    <row r="260" spans="1:52" x14ac:dyDescent="0.35">
      <c r="A260" t="s">
        <v>1065</v>
      </c>
      <c r="B260">
        <v>2030</v>
      </c>
      <c r="C260" t="s">
        <v>837</v>
      </c>
      <c r="D260" t="s">
        <v>1068</v>
      </c>
      <c r="E260" t="s">
        <v>1069</v>
      </c>
      <c r="F260" t="s">
        <v>989</v>
      </c>
      <c r="G260" t="s">
        <v>978</v>
      </c>
      <c r="H260" s="198">
        <v>34256.562557575999</v>
      </c>
      <c r="I260" s="198">
        <v>0</v>
      </c>
      <c r="J260" s="198">
        <v>4622.778182</v>
      </c>
      <c r="K260" s="198">
        <v>5043.0075300000008</v>
      </c>
      <c r="L260" s="198">
        <v>0</v>
      </c>
      <c r="M260" s="198">
        <v>2259.0749999999998</v>
      </c>
      <c r="N260" s="198">
        <v>40</v>
      </c>
      <c r="O260" s="198">
        <v>0</v>
      </c>
      <c r="P260" s="198">
        <v>5167.577101920001</v>
      </c>
      <c r="Q260" s="198">
        <v>0</v>
      </c>
      <c r="R260" s="198">
        <v>0</v>
      </c>
      <c r="S260" s="198">
        <v>1500</v>
      </c>
      <c r="T260" s="198">
        <v>0</v>
      </c>
      <c r="U260" s="198">
        <v>2000</v>
      </c>
      <c r="V260" s="198">
        <v>4500</v>
      </c>
      <c r="W260" s="198">
        <v>138.624</v>
      </c>
      <c r="X260" s="198">
        <v>1500</v>
      </c>
      <c r="Y260" s="198">
        <v>186</v>
      </c>
      <c r="Z260" s="277">
        <v>61213.624371496007</v>
      </c>
      <c r="AA260" s="272">
        <v>38.828977219999999</v>
      </c>
      <c r="AB260" s="198">
        <v>3.4592769914839394</v>
      </c>
      <c r="AC260" s="272">
        <v>0</v>
      </c>
      <c r="AD260" s="198">
        <v>0</v>
      </c>
      <c r="AE260" s="198">
        <v>3.4592769914839394</v>
      </c>
      <c r="AF260" s="198">
        <v>0</v>
      </c>
      <c r="AG260" s="198">
        <v>0</v>
      </c>
      <c r="AH260" s="198">
        <v>0</v>
      </c>
      <c r="AI260" s="198">
        <v>0</v>
      </c>
      <c r="AJ260" s="198">
        <v>0</v>
      </c>
      <c r="AK260" s="198">
        <v>0</v>
      </c>
      <c r="AL260" s="198">
        <v>0</v>
      </c>
      <c r="AM260" s="198">
        <v>3.2339339020217628E-2</v>
      </c>
      <c r="AN260" s="198">
        <v>8.2644977496111865E-3</v>
      </c>
      <c r="AO260" s="198">
        <v>0</v>
      </c>
      <c r="AP260" s="198">
        <v>1.1816295099859096E-3</v>
      </c>
      <c r="AQ260" s="198">
        <v>1.4773092780281181E-3</v>
      </c>
      <c r="AS260" s="258">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102">
        <f t="shared" ref="AY260:AY302" si="38">AU260/AX260</f>
        <v>1</v>
      </c>
      <c r="AZ260" s="102">
        <f t="shared" ref="AZ260:AZ302" si="39">AW260/AX260</f>
        <v>0</v>
      </c>
    </row>
    <row r="261" spans="1:52" x14ac:dyDescent="0.35">
      <c r="A261" t="s">
        <v>1017</v>
      </c>
      <c r="B261">
        <v>2035</v>
      </c>
      <c r="C261" t="s">
        <v>837</v>
      </c>
      <c r="D261" t="s">
        <v>1068</v>
      </c>
      <c r="E261" t="s">
        <v>1069</v>
      </c>
      <c r="F261" t="s">
        <v>983</v>
      </c>
      <c r="G261" t="s">
        <v>978</v>
      </c>
      <c r="H261" s="198">
        <v>34256.562557575999</v>
      </c>
      <c r="I261" s="198">
        <v>17793</v>
      </c>
      <c r="J261" s="198">
        <v>0</v>
      </c>
      <c r="K261" s="198">
        <v>0</v>
      </c>
      <c r="L261" s="198">
        <v>120</v>
      </c>
      <c r="M261" s="198">
        <v>0</v>
      </c>
      <c r="N261" s="198">
        <v>0</v>
      </c>
      <c r="O261" s="198">
        <v>150</v>
      </c>
      <c r="P261" s="198">
        <v>0</v>
      </c>
      <c r="Q261" s="198">
        <v>0</v>
      </c>
      <c r="R261" s="198">
        <v>62.6</v>
      </c>
      <c r="S261" s="198">
        <v>6855</v>
      </c>
      <c r="T261" s="198">
        <v>506</v>
      </c>
      <c r="U261" s="198">
        <v>2000</v>
      </c>
      <c r="V261" s="198">
        <v>1920</v>
      </c>
      <c r="W261" s="198">
        <v>0</v>
      </c>
      <c r="X261" s="198">
        <v>0</v>
      </c>
      <c r="Y261" s="198">
        <v>186</v>
      </c>
      <c r="Z261" s="277">
        <v>63849.162557575997</v>
      </c>
      <c r="AA261" s="272">
        <v>13.122725659999999</v>
      </c>
      <c r="AB261" s="198">
        <v>10.235692719648002</v>
      </c>
      <c r="AC261" s="272">
        <v>0</v>
      </c>
      <c r="AD261" s="198">
        <v>0</v>
      </c>
      <c r="AE261" s="198">
        <v>10.235692719648002</v>
      </c>
      <c r="AF261" s="198">
        <v>766.19825563307188</v>
      </c>
      <c r="AG261" s="198">
        <v>0.33683425989649929</v>
      </c>
      <c r="AH261" s="198">
        <v>1.779774061538219E-3</v>
      </c>
      <c r="AI261" s="198">
        <v>776.77492348155397</v>
      </c>
      <c r="AJ261" s="198">
        <v>0.32684619519654068</v>
      </c>
      <c r="AK261" s="198">
        <v>7.627202259128083</v>
      </c>
      <c r="AL261" s="198">
        <v>0.35709816477366024</v>
      </c>
      <c r="AM261" s="198">
        <v>6.4186932802222346E-2</v>
      </c>
      <c r="AN261" s="198">
        <v>2.6391982377766753E-2</v>
      </c>
      <c r="AO261" s="198">
        <v>5.2844404473904481E-3</v>
      </c>
      <c r="AP261" s="198">
        <v>4.3852737376017057E-3</v>
      </c>
      <c r="AQ261" s="198">
        <v>4.1652329569303445E-3</v>
      </c>
      <c r="AS261" s="258">
        <f t="shared" si="32"/>
        <v>85653.651570988193</v>
      </c>
      <c r="AT261" s="3">
        <f t="shared" si="33"/>
        <v>17.924257912241394</v>
      </c>
      <c r="AU261" s="3">
        <f t="shared" si="34"/>
        <v>6.918660332334241</v>
      </c>
      <c r="AV261" s="3">
        <f t="shared" si="35"/>
        <v>0</v>
      </c>
      <c r="AW261" s="3">
        <f t="shared" si="36"/>
        <v>0</v>
      </c>
      <c r="AX261" s="3">
        <f t="shared" si="37"/>
        <v>6.918660332334241</v>
      </c>
      <c r="AY261" s="102">
        <f t="shared" si="38"/>
        <v>1</v>
      </c>
      <c r="AZ261" s="102">
        <f t="shared" si="39"/>
        <v>0</v>
      </c>
    </row>
    <row r="262" spans="1:52" x14ac:dyDescent="0.35">
      <c r="A262" t="s">
        <v>1020</v>
      </c>
      <c r="B262">
        <v>2035</v>
      </c>
      <c r="C262" t="s">
        <v>837</v>
      </c>
      <c r="D262" t="s">
        <v>1068</v>
      </c>
      <c r="E262" t="s">
        <v>1069</v>
      </c>
      <c r="F262" t="s">
        <v>983</v>
      </c>
      <c r="G262" t="s">
        <v>978</v>
      </c>
      <c r="H262" s="198">
        <v>34256.562557575999</v>
      </c>
      <c r="I262" s="198">
        <v>16980</v>
      </c>
      <c r="J262" s="198">
        <v>0</v>
      </c>
      <c r="K262" s="198">
        <v>0</v>
      </c>
      <c r="L262" s="198">
        <v>150</v>
      </c>
      <c r="M262" s="198">
        <v>896.94271350000008</v>
      </c>
      <c r="N262" s="198">
        <v>35</v>
      </c>
      <c r="O262" s="198">
        <v>150</v>
      </c>
      <c r="P262" s="198">
        <v>1196.21889177</v>
      </c>
      <c r="Q262" s="198">
        <v>0</v>
      </c>
      <c r="R262" s="198">
        <v>0</v>
      </c>
      <c r="S262" s="198">
        <v>6600</v>
      </c>
      <c r="T262" s="198">
        <v>392</v>
      </c>
      <c r="U262" s="198">
        <v>2000</v>
      </c>
      <c r="V262" s="198">
        <v>4720</v>
      </c>
      <c r="W262" s="198">
        <v>112</v>
      </c>
      <c r="X262" s="198">
        <v>1500</v>
      </c>
      <c r="Y262" s="198">
        <v>186</v>
      </c>
      <c r="Z262" s="277">
        <v>69174.724162845989</v>
      </c>
      <c r="AA262" s="272">
        <v>18.674557360000001</v>
      </c>
      <c r="AB262" s="198">
        <v>7.192683869857464</v>
      </c>
      <c r="AC262" s="272">
        <v>0</v>
      </c>
      <c r="AD262" s="198">
        <v>0</v>
      </c>
      <c r="AE262" s="198">
        <v>7.192683869857464</v>
      </c>
      <c r="AF262" s="198">
        <v>538.41219987253021</v>
      </c>
      <c r="AG262" s="198">
        <v>0.23669549431884898</v>
      </c>
      <c r="AH262" s="198">
        <v>1.25065811714372E-3</v>
      </c>
      <c r="AI262" s="198">
        <v>545.84448905063209</v>
      </c>
      <c r="AJ262" s="198">
        <v>0.22967682017278143</v>
      </c>
      <c r="AK262" s="198">
        <v>5.3596816711842026</v>
      </c>
      <c r="AL262" s="198">
        <v>0.25093506419871675</v>
      </c>
      <c r="AM262" s="198">
        <v>4.5104550211433697E-2</v>
      </c>
      <c r="AN262" s="198">
        <v>1.8545807415431426E-2</v>
      </c>
      <c r="AO262" s="198">
        <v>3.7134086190577583E-3</v>
      </c>
      <c r="AP262" s="198">
        <v>3.0815586732894857E-3</v>
      </c>
      <c r="AQ262" s="198">
        <v>2.9269346710656115E-3</v>
      </c>
      <c r="AS262" s="258">
        <f t="shared" si="32"/>
        <v>92797.892464457895</v>
      </c>
      <c r="AT262" s="3">
        <f t="shared" si="33"/>
        <v>12.595485649649055</v>
      </c>
      <c r="AU262" s="3">
        <f t="shared" si="34"/>
        <v>4.8617849261807971</v>
      </c>
      <c r="AV262" s="3">
        <f t="shared" si="35"/>
        <v>0</v>
      </c>
      <c r="AW262" s="3">
        <f t="shared" si="36"/>
        <v>0</v>
      </c>
      <c r="AX262" s="3">
        <f t="shared" si="37"/>
        <v>4.8617849261807971</v>
      </c>
      <c r="AY262" s="102">
        <f t="shared" si="38"/>
        <v>1</v>
      </c>
      <c r="AZ262" s="102">
        <f t="shared" si="39"/>
        <v>0</v>
      </c>
    </row>
    <row r="263" spans="1:52" x14ac:dyDescent="0.35">
      <c r="A263" t="s">
        <v>1021</v>
      </c>
      <c r="B263">
        <v>2035</v>
      </c>
      <c r="C263" t="s">
        <v>837</v>
      </c>
      <c r="D263" t="s">
        <v>1068</v>
      </c>
      <c r="E263" t="s">
        <v>1069</v>
      </c>
      <c r="F263" t="s">
        <v>983</v>
      </c>
      <c r="G263" t="s">
        <v>978</v>
      </c>
      <c r="H263" s="198">
        <v>34256.562557575999</v>
      </c>
      <c r="I263" s="198">
        <v>9353</v>
      </c>
      <c r="J263" s="198">
        <v>0</v>
      </c>
      <c r="K263" s="198">
        <v>0</v>
      </c>
      <c r="L263" s="198">
        <v>0</v>
      </c>
      <c r="M263" s="198">
        <v>5127.6037499999993</v>
      </c>
      <c r="N263" s="198">
        <v>35</v>
      </c>
      <c r="O263" s="198">
        <v>0</v>
      </c>
      <c r="P263" s="198">
        <v>4390.23567121</v>
      </c>
      <c r="Q263" s="198">
        <v>0</v>
      </c>
      <c r="R263" s="198">
        <v>1183.950925095</v>
      </c>
      <c r="S263" s="198">
        <v>1500</v>
      </c>
      <c r="T263" s="198">
        <v>0</v>
      </c>
      <c r="U263" s="198">
        <v>2000</v>
      </c>
      <c r="V263" s="198">
        <v>4720</v>
      </c>
      <c r="W263" s="198">
        <v>112</v>
      </c>
      <c r="X263" s="198">
        <v>1500</v>
      </c>
      <c r="Y263" s="198">
        <v>186</v>
      </c>
      <c r="Z263" s="277">
        <v>64364.352903881001</v>
      </c>
      <c r="AA263" s="272">
        <v>134.46300165000002</v>
      </c>
      <c r="AB263" s="198">
        <v>0.99893789259314791</v>
      </c>
      <c r="AC263" s="272">
        <v>437.6</v>
      </c>
      <c r="AD263" s="198">
        <v>1.5753600000000001</v>
      </c>
      <c r="AE263" s="198">
        <v>2.5742978925931479</v>
      </c>
      <c r="AF263" s="198">
        <v>74.776030480228002</v>
      </c>
      <c r="AG263" s="198">
        <v>3.2872861168281815E-2</v>
      </c>
      <c r="AH263" s="198">
        <v>1.736945216137825E-4</v>
      </c>
      <c r="AI263" s="198">
        <v>75.808245356211856</v>
      </c>
      <c r="AJ263" s="198">
        <v>3.1898090180549017E-2</v>
      </c>
      <c r="AK263" s="198">
        <v>0.7443659710973739</v>
      </c>
      <c r="AL263" s="198">
        <v>3.4850488182703886E-2</v>
      </c>
      <c r="AM263" s="198">
        <v>2.9554959417812263E-2</v>
      </c>
      <c r="AN263" s="198">
        <v>8.5277626810212719E-3</v>
      </c>
      <c r="AO263" s="198">
        <v>5.1572745964884156E-4</v>
      </c>
      <c r="AP263" s="198">
        <v>1.27898175681712E-3</v>
      </c>
      <c r="AQ263" s="198">
        <v>1.4704551632548869E-3</v>
      </c>
      <c r="AS263" s="258">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102">
        <f t="shared" si="38"/>
        <v>0.40820734775595752</v>
      </c>
      <c r="AZ263" s="102">
        <f t="shared" si="39"/>
        <v>0.59179265224404254</v>
      </c>
    </row>
    <row r="264" spans="1:52" x14ac:dyDescent="0.35">
      <c r="A264" t="s">
        <v>246</v>
      </c>
      <c r="B264">
        <v>2035</v>
      </c>
      <c r="C264" t="s">
        <v>837</v>
      </c>
      <c r="D264" t="s">
        <v>1068</v>
      </c>
      <c r="E264" t="s">
        <v>1069</v>
      </c>
      <c r="F264" t="s">
        <v>977</v>
      </c>
      <c r="G264" t="s">
        <v>978</v>
      </c>
      <c r="H264" s="198">
        <v>34256.562557575999</v>
      </c>
      <c r="I264" s="198">
        <v>0</v>
      </c>
      <c r="J264" s="198">
        <v>0</v>
      </c>
      <c r="K264" s="198">
        <v>0</v>
      </c>
      <c r="L264" s="198">
        <v>0</v>
      </c>
      <c r="M264" s="198">
        <v>10724.4</v>
      </c>
      <c r="N264" s="198">
        <v>35</v>
      </c>
      <c r="O264" s="198">
        <v>0</v>
      </c>
      <c r="P264" s="198">
        <v>4383.2390164500002</v>
      </c>
      <c r="Q264" s="198">
        <v>0</v>
      </c>
      <c r="R264" s="198">
        <v>0</v>
      </c>
      <c r="S264" s="198">
        <v>1500</v>
      </c>
      <c r="T264" s="198">
        <v>0</v>
      </c>
      <c r="U264" s="198">
        <v>2000</v>
      </c>
      <c r="V264" s="198">
        <v>4500</v>
      </c>
      <c r="W264" s="198">
        <v>112</v>
      </c>
      <c r="X264" s="198">
        <v>1500</v>
      </c>
      <c r="Y264" s="198">
        <v>186</v>
      </c>
      <c r="Z264" s="277">
        <v>59197.201574026003</v>
      </c>
      <c r="AA264" s="272">
        <v>0</v>
      </c>
      <c r="AB264" s="198">
        <v>0</v>
      </c>
      <c r="AC264" s="272">
        <v>522</v>
      </c>
      <c r="AD264" s="198">
        <v>1.8792</v>
      </c>
      <c r="AE264" s="198">
        <v>1.8792</v>
      </c>
      <c r="AF264" s="198">
        <v>0</v>
      </c>
      <c r="AG264" s="198">
        <v>0</v>
      </c>
      <c r="AH264" s="198">
        <v>0</v>
      </c>
      <c r="AI264" s="198">
        <v>0</v>
      </c>
      <c r="AJ264" s="198">
        <v>0</v>
      </c>
      <c r="AK264" s="198">
        <v>0</v>
      </c>
      <c r="AL264" s="198">
        <v>0</v>
      </c>
      <c r="AM264" s="198">
        <v>2.7782814056571892E-2</v>
      </c>
      <c r="AN264" s="198">
        <v>7.1000524811239097E-3</v>
      </c>
      <c r="AO264" s="198">
        <v>0</v>
      </c>
      <c r="AP264" s="198">
        <v>1.0151411239163765E-3</v>
      </c>
      <c r="AQ264" s="198">
        <v>1.2691604163537153E-3</v>
      </c>
      <c r="AS264" s="258">
        <f t="shared" si="32"/>
        <v>79413.045911555877</v>
      </c>
      <c r="AT264" s="3">
        <f t="shared" si="33"/>
        <v>0</v>
      </c>
      <c r="AU264" s="3">
        <f t="shared" si="34"/>
        <v>0</v>
      </c>
      <c r="AV264" s="3">
        <f t="shared" si="35"/>
        <v>32.435656853119909</v>
      </c>
      <c r="AW264" s="3">
        <f t="shared" si="36"/>
        <v>1.1676836467123168</v>
      </c>
      <c r="AX264" s="3">
        <f t="shared" si="37"/>
        <v>1.1676836467123168</v>
      </c>
      <c r="AY264" s="102">
        <f t="shared" si="38"/>
        <v>0</v>
      </c>
      <c r="AZ264" s="102">
        <f t="shared" si="39"/>
        <v>1</v>
      </c>
    </row>
    <row r="265" spans="1:52" x14ac:dyDescent="0.35">
      <c r="A265" t="s">
        <v>627</v>
      </c>
      <c r="B265">
        <v>2035</v>
      </c>
      <c r="C265" t="s">
        <v>837</v>
      </c>
      <c r="D265" t="s">
        <v>1068</v>
      </c>
      <c r="E265" t="s">
        <v>1069</v>
      </c>
      <c r="F265" t="s">
        <v>989</v>
      </c>
      <c r="G265" t="s">
        <v>978</v>
      </c>
      <c r="H265" s="198">
        <v>34256.562557575999</v>
      </c>
      <c r="I265" s="198">
        <v>0</v>
      </c>
      <c r="J265" s="198">
        <v>20422.543566</v>
      </c>
      <c r="K265" s="198">
        <v>4832.757393750001</v>
      </c>
      <c r="L265" s="198">
        <v>0</v>
      </c>
      <c r="M265" s="198">
        <v>2455.914573</v>
      </c>
      <c r="N265" s="198">
        <v>35</v>
      </c>
      <c r="O265" s="198">
        <v>0</v>
      </c>
      <c r="P265" s="198">
        <v>4383.2390164500002</v>
      </c>
      <c r="Q265" s="198">
        <v>0</v>
      </c>
      <c r="R265" s="198">
        <v>0</v>
      </c>
      <c r="S265" s="198">
        <v>1500</v>
      </c>
      <c r="T265" s="198">
        <v>0</v>
      </c>
      <c r="U265" s="198">
        <v>2000</v>
      </c>
      <c r="V265" s="198">
        <v>4500</v>
      </c>
      <c r="W265" s="198">
        <v>112</v>
      </c>
      <c r="X265" s="198">
        <v>1500</v>
      </c>
      <c r="Y265" s="198">
        <v>186</v>
      </c>
      <c r="Z265" s="277">
        <v>76184.017106775995</v>
      </c>
      <c r="AA265" s="272">
        <v>37.47516177</v>
      </c>
      <c r="AB265" s="198">
        <v>3.5842457018431704</v>
      </c>
      <c r="AC265" s="272">
        <v>0</v>
      </c>
      <c r="AD265" s="198">
        <v>0</v>
      </c>
      <c r="AE265" s="198">
        <v>3.5842457018431704</v>
      </c>
      <c r="AF265" s="198">
        <v>0</v>
      </c>
      <c r="AG265" s="198">
        <v>0</v>
      </c>
      <c r="AH265" s="198">
        <v>0</v>
      </c>
      <c r="AI265" s="198">
        <v>0</v>
      </c>
      <c r="AJ265" s="198">
        <v>0</v>
      </c>
      <c r="AK265" s="198">
        <v>0</v>
      </c>
      <c r="AL265" s="198">
        <v>0</v>
      </c>
      <c r="AM265" s="198">
        <v>3.3507619415564897E-2</v>
      </c>
      <c r="AN265" s="198">
        <v>8.5630582950888216E-3</v>
      </c>
      <c r="AO265" s="198">
        <v>0</v>
      </c>
      <c r="AP265" s="198">
        <v>1.2243166715947878E-3</v>
      </c>
      <c r="AQ265" s="198">
        <v>1.530678070331074E-3</v>
      </c>
      <c r="AS265" s="258">
        <f t="shared" si="32"/>
        <v>102200.85894873999</v>
      </c>
      <c r="AT265" s="3">
        <f t="shared" si="33"/>
        <v>6.2765604771778456</v>
      </c>
      <c r="AU265" s="3">
        <f t="shared" si="34"/>
        <v>2.4227161988831805</v>
      </c>
      <c r="AV265" s="3">
        <f t="shared" si="35"/>
        <v>0</v>
      </c>
      <c r="AW265" s="3">
        <f t="shared" si="36"/>
        <v>0</v>
      </c>
      <c r="AX265" s="3">
        <f t="shared" si="37"/>
        <v>2.4227161988831805</v>
      </c>
      <c r="AY265" s="102">
        <f t="shared" si="38"/>
        <v>1</v>
      </c>
      <c r="AZ265" s="102">
        <f t="shared" si="39"/>
        <v>0</v>
      </c>
    </row>
    <row r="266" spans="1:52" x14ac:dyDescent="0.35">
      <c r="A266" t="s">
        <v>1065</v>
      </c>
      <c r="B266">
        <v>2035</v>
      </c>
      <c r="C266" t="s">
        <v>837</v>
      </c>
      <c r="D266" t="s">
        <v>1068</v>
      </c>
      <c r="E266" t="s">
        <v>1069</v>
      </c>
      <c r="F266" t="s">
        <v>989</v>
      </c>
      <c r="G266" t="s">
        <v>978</v>
      </c>
      <c r="H266" s="198">
        <v>34256.562557575999</v>
      </c>
      <c r="I266" s="198">
        <v>0</v>
      </c>
      <c r="J266" s="198">
        <v>3727.220671</v>
      </c>
      <c r="K266" s="198">
        <v>4808.4022057500006</v>
      </c>
      <c r="L266" s="198">
        <v>0</v>
      </c>
      <c r="M266" s="198">
        <v>2033.1675</v>
      </c>
      <c r="N266" s="198">
        <v>35</v>
      </c>
      <c r="O266" s="198">
        <v>0</v>
      </c>
      <c r="P266" s="198">
        <v>4362.6805038699995</v>
      </c>
      <c r="Q266" s="198">
        <v>0</v>
      </c>
      <c r="R266" s="198">
        <v>0</v>
      </c>
      <c r="S266" s="198">
        <v>1500</v>
      </c>
      <c r="T266" s="198">
        <v>0</v>
      </c>
      <c r="U266" s="198">
        <v>2000</v>
      </c>
      <c r="V266" s="198">
        <v>4500</v>
      </c>
      <c r="W266" s="198">
        <v>112</v>
      </c>
      <c r="X266" s="198">
        <v>1500</v>
      </c>
      <c r="Y266" s="198">
        <v>186</v>
      </c>
      <c r="Z266" s="277">
        <v>59021.033438196006</v>
      </c>
      <c r="AA266" s="272">
        <v>41.066757299999999</v>
      </c>
      <c r="AB266" s="198">
        <v>3.2707765679858056</v>
      </c>
      <c r="AC266" s="272">
        <v>0</v>
      </c>
      <c r="AD266" s="198">
        <v>0</v>
      </c>
      <c r="AE266" s="198">
        <v>3.2707765679858056</v>
      </c>
      <c r="AF266" s="198">
        <v>0</v>
      </c>
      <c r="AG266" s="198">
        <v>0</v>
      </c>
      <c r="AH266" s="198">
        <v>0</v>
      </c>
      <c r="AI266" s="198">
        <v>0</v>
      </c>
      <c r="AJ266" s="198">
        <v>0</v>
      </c>
      <c r="AK266" s="198">
        <v>0</v>
      </c>
      <c r="AL266" s="198">
        <v>0</v>
      </c>
      <c r="AM266" s="198">
        <v>3.0577127114097408E-2</v>
      </c>
      <c r="AN266" s="198">
        <v>7.8141547069360169E-3</v>
      </c>
      <c r="AO266" s="198">
        <v>0</v>
      </c>
      <c r="AP266" s="198">
        <v>1.1172410081115084E-3</v>
      </c>
      <c r="AQ266" s="198">
        <v>1.3968088077762218E-3</v>
      </c>
      <c r="AS266" s="258">
        <f t="shared" si="32"/>
        <v>79176.71635733993</v>
      </c>
      <c r="AT266" s="3">
        <f t="shared" si="33"/>
        <v>5.727628249855222</v>
      </c>
      <c r="AU266" s="3">
        <f t="shared" si="34"/>
        <v>2.2108315203145263</v>
      </c>
      <c r="AV266" s="3">
        <f t="shared" si="35"/>
        <v>0</v>
      </c>
      <c r="AW266" s="3">
        <f t="shared" si="36"/>
        <v>0</v>
      </c>
      <c r="AX266" s="3">
        <f t="shared" si="37"/>
        <v>2.2108315203145263</v>
      </c>
      <c r="AY266" s="102">
        <f t="shared" si="38"/>
        <v>1</v>
      </c>
      <c r="AZ266" s="102">
        <f t="shared" si="39"/>
        <v>0</v>
      </c>
    </row>
    <row r="267" spans="1:52" x14ac:dyDescent="0.35">
      <c r="A267" t="s">
        <v>1017</v>
      </c>
      <c r="B267">
        <v>2050</v>
      </c>
      <c r="C267" t="s">
        <v>837</v>
      </c>
      <c r="D267" t="s">
        <v>1068</v>
      </c>
      <c r="E267" t="s">
        <v>1069</v>
      </c>
      <c r="F267" t="s">
        <v>983</v>
      </c>
      <c r="G267" t="s">
        <v>978</v>
      </c>
      <c r="H267" s="198">
        <v>34332.098742039998</v>
      </c>
      <c r="I267" s="198">
        <v>17957</v>
      </c>
      <c r="J267" s="198">
        <v>0</v>
      </c>
      <c r="K267" s="198">
        <v>0</v>
      </c>
      <c r="L267" s="198">
        <v>120</v>
      </c>
      <c r="M267" s="198">
        <v>0</v>
      </c>
      <c r="N267" s="198">
        <v>0</v>
      </c>
      <c r="O267" s="198">
        <v>150</v>
      </c>
      <c r="P267" s="198">
        <v>0</v>
      </c>
      <c r="Q267" s="198">
        <v>0</v>
      </c>
      <c r="R267" s="198">
        <v>44</v>
      </c>
      <c r="S267" s="198">
        <v>6805</v>
      </c>
      <c r="T267" s="198">
        <v>506</v>
      </c>
      <c r="U267" s="198">
        <v>2000</v>
      </c>
      <c r="V267" s="198">
        <v>1920</v>
      </c>
      <c r="W267" s="198">
        <v>0</v>
      </c>
      <c r="X267" s="198">
        <v>0</v>
      </c>
      <c r="Y267" s="198">
        <v>186</v>
      </c>
      <c r="Z267" s="277">
        <v>64020.098742039998</v>
      </c>
      <c r="AA267" s="272">
        <v>14.69176725</v>
      </c>
      <c r="AB267" s="198">
        <v>9.14254801443305</v>
      </c>
      <c r="AC267" s="272">
        <v>0</v>
      </c>
      <c r="AD267" s="198">
        <v>0</v>
      </c>
      <c r="AE267" s="198">
        <v>9.14254801443305</v>
      </c>
      <c r="AF267" s="198">
        <v>684.3703237841147</v>
      </c>
      <c r="AG267" s="198">
        <v>0.3008612585739745</v>
      </c>
      <c r="AH267" s="198">
        <v>1.5896989347112072E-3</v>
      </c>
      <c r="AI267" s="198">
        <v>693.81743169229173</v>
      </c>
      <c r="AJ267" s="198">
        <v>0.29193989256663538</v>
      </c>
      <c r="AK267" s="198">
        <v>6.8126373836932421</v>
      </c>
      <c r="AL267" s="198">
        <v>0.31896103241182366</v>
      </c>
      <c r="AM267" s="198">
        <v>5.733193943161731E-2</v>
      </c>
      <c r="AN267" s="198">
        <v>2.3573388992191361E-2</v>
      </c>
      <c r="AO267" s="198">
        <v>4.720076290189835E-3</v>
      </c>
      <c r="AP267" s="198">
        <v>3.9169381888043463E-3</v>
      </c>
      <c r="AQ267" s="198">
        <v>3.7203971771188728E-3</v>
      </c>
      <c r="AS267" s="258">
        <f t="shared" si="32"/>
        <v>85882.962462446652</v>
      </c>
      <c r="AT267" s="3">
        <f t="shared" si="33"/>
        <v>16.009994933824462</v>
      </c>
      <c r="AU267" s="3">
        <f t="shared" si="34"/>
        <v>6.1797658464775012</v>
      </c>
      <c r="AV267" s="3">
        <f t="shared" si="35"/>
        <v>0</v>
      </c>
      <c r="AW267" s="3">
        <f t="shared" si="36"/>
        <v>0</v>
      </c>
      <c r="AX267" s="3">
        <f t="shared" si="37"/>
        <v>6.1797658464775012</v>
      </c>
      <c r="AY267" s="102">
        <f t="shared" si="38"/>
        <v>1</v>
      </c>
      <c r="AZ267" s="102">
        <f t="shared" si="39"/>
        <v>0</v>
      </c>
    </row>
    <row r="268" spans="1:52" x14ac:dyDescent="0.35">
      <c r="A268" t="s">
        <v>1020</v>
      </c>
      <c r="B268">
        <v>2050</v>
      </c>
      <c r="C268" t="s">
        <v>837</v>
      </c>
      <c r="D268" t="s">
        <v>1068</v>
      </c>
      <c r="E268" t="s">
        <v>1069</v>
      </c>
      <c r="F268" t="s">
        <v>983</v>
      </c>
      <c r="G268" t="s">
        <v>978</v>
      </c>
      <c r="H268" s="198">
        <v>34332.098742039998</v>
      </c>
      <c r="I268" s="198">
        <v>17078</v>
      </c>
      <c r="J268" s="198">
        <v>0</v>
      </c>
      <c r="K268" s="198">
        <v>0</v>
      </c>
      <c r="L268" s="198">
        <v>150</v>
      </c>
      <c r="M268" s="198">
        <v>958.04396987999996</v>
      </c>
      <c r="N268" s="198">
        <v>28.89</v>
      </c>
      <c r="O268" s="198">
        <v>150</v>
      </c>
      <c r="P268" s="198">
        <v>832.46559109999998</v>
      </c>
      <c r="Q268" s="198">
        <v>0</v>
      </c>
      <c r="R268" s="198">
        <v>0</v>
      </c>
      <c r="S268" s="198">
        <v>6529</v>
      </c>
      <c r="T268" s="198">
        <v>392</v>
      </c>
      <c r="U268" s="198">
        <v>2000</v>
      </c>
      <c r="V268" s="198">
        <v>4720</v>
      </c>
      <c r="W268" s="198">
        <v>80.891999999999996</v>
      </c>
      <c r="X268" s="198">
        <v>1500</v>
      </c>
      <c r="Y268" s="198">
        <v>186</v>
      </c>
      <c r="Z268" s="277">
        <v>68937.390303020002</v>
      </c>
      <c r="AA268" s="272">
        <v>22.141755459999999</v>
      </c>
      <c r="AB268" s="198">
        <v>6.0663748067606935</v>
      </c>
      <c r="AC268" s="272">
        <v>0</v>
      </c>
      <c r="AD268" s="198">
        <v>0</v>
      </c>
      <c r="AE268" s="198">
        <v>6.0663748067606935</v>
      </c>
      <c r="AF268" s="198">
        <v>454.10173226813123</v>
      </c>
      <c r="AG268" s="198">
        <v>0.19963112651551707</v>
      </c>
      <c r="AH268" s="198">
        <v>1.0548163982997041E-3</v>
      </c>
      <c r="AI268" s="198">
        <v>460.37019236486162</v>
      </c>
      <c r="AJ268" s="198">
        <v>0.19371151308790641</v>
      </c>
      <c r="AK268" s="198">
        <v>4.5204041287822117</v>
      </c>
      <c r="AL268" s="198">
        <v>0.21164090889179299</v>
      </c>
      <c r="AM268" s="198">
        <v>3.8041586704454504E-2</v>
      </c>
      <c r="AN268" s="198">
        <v>1.5641702167321633E-2</v>
      </c>
      <c r="AO268" s="198">
        <v>3.1319225064602224E-3</v>
      </c>
      <c r="AP268" s="198">
        <v>2.5990145319105614E-3</v>
      </c>
      <c r="AQ268" s="198">
        <v>2.4686032461397039E-3</v>
      </c>
      <c r="AS268" s="258">
        <f t="shared" si="32"/>
        <v>92479.509091501328</v>
      </c>
      <c r="AT268" s="3">
        <f t="shared" si="33"/>
        <v>10.623146826201474</v>
      </c>
      <c r="AU268" s="3">
        <f t="shared" si="34"/>
        <v>4.1004734985880233</v>
      </c>
      <c r="AV268" s="3">
        <f t="shared" si="35"/>
        <v>0</v>
      </c>
      <c r="AW268" s="3">
        <f t="shared" si="36"/>
        <v>0</v>
      </c>
      <c r="AX268" s="3">
        <f t="shared" si="37"/>
        <v>4.1004734985880233</v>
      </c>
      <c r="AY268" s="102">
        <f t="shared" si="38"/>
        <v>1</v>
      </c>
      <c r="AZ268" s="102">
        <f t="shared" si="39"/>
        <v>0</v>
      </c>
    </row>
    <row r="269" spans="1:52" x14ac:dyDescent="0.35">
      <c r="A269" t="s">
        <v>1021</v>
      </c>
      <c r="B269">
        <v>2050</v>
      </c>
      <c r="C269" t="s">
        <v>837</v>
      </c>
      <c r="D269" t="s">
        <v>1068</v>
      </c>
      <c r="E269" t="s">
        <v>1069</v>
      </c>
      <c r="F269" t="s">
        <v>983</v>
      </c>
      <c r="G269" t="s">
        <v>978</v>
      </c>
      <c r="H269" s="198">
        <v>34332.098742039998</v>
      </c>
      <c r="I269" s="198">
        <v>9472</v>
      </c>
      <c r="J269" s="198">
        <v>0</v>
      </c>
      <c r="K269" s="198">
        <v>0</v>
      </c>
      <c r="L269" s="198">
        <v>0</v>
      </c>
      <c r="M269" s="198">
        <v>3649.2750000000001</v>
      </c>
      <c r="N269" s="198">
        <v>28.89</v>
      </c>
      <c r="O269" s="198">
        <v>0</v>
      </c>
      <c r="P269" s="198">
        <v>3038.1830094000002</v>
      </c>
      <c r="Q269" s="198">
        <v>0</v>
      </c>
      <c r="R269" s="198">
        <v>756.76334250000002</v>
      </c>
      <c r="S269" s="198">
        <v>1500</v>
      </c>
      <c r="T269" s="198">
        <v>0</v>
      </c>
      <c r="U269" s="198">
        <v>2000</v>
      </c>
      <c r="V269" s="198">
        <v>4720</v>
      </c>
      <c r="W269" s="198">
        <v>80.891999999999996</v>
      </c>
      <c r="X269" s="198">
        <v>1500</v>
      </c>
      <c r="Y269" s="198">
        <v>186</v>
      </c>
      <c r="Z269" s="277">
        <v>61264.102093940004</v>
      </c>
      <c r="AA269" s="272">
        <v>161.13609475000004</v>
      </c>
      <c r="AB269" s="198">
        <v>0.83358224430345995</v>
      </c>
      <c r="AC269" s="272">
        <v>392.8</v>
      </c>
      <c r="AD269" s="198">
        <v>1.41408</v>
      </c>
      <c r="AE269" s="198">
        <v>2.2476622443034602</v>
      </c>
      <c r="AF269" s="198">
        <v>62.39824494594405</v>
      </c>
      <c r="AG269" s="198">
        <v>2.7431368448942124E-2</v>
      </c>
      <c r="AH269" s="198">
        <v>1.4494261377369019E-4</v>
      </c>
      <c r="AI269" s="198">
        <v>63.259595785977183</v>
      </c>
      <c r="AJ269" s="198">
        <v>2.6617952726442202E-2</v>
      </c>
      <c r="AK269" s="198">
        <v>0.62114998477006367</v>
      </c>
      <c r="AL269" s="198">
        <v>2.9081635975382342E-2</v>
      </c>
      <c r="AM269" s="198">
        <v>2.6133606436030396E-2</v>
      </c>
      <c r="AN269" s="198">
        <v>7.492052115879954E-3</v>
      </c>
      <c r="AO269" s="198">
        <v>4.3035834004356426E-4</v>
      </c>
      <c r="AP269" s="198">
        <v>1.1210152796671232E-3</v>
      </c>
      <c r="AQ269" s="198">
        <v>1.2942425131525464E-3</v>
      </c>
      <c r="AS269" s="258">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102">
        <f t="shared" si="38"/>
        <v>0.39070812243629899</v>
      </c>
      <c r="AZ269" s="102">
        <f t="shared" si="39"/>
        <v>0.60929187756370107</v>
      </c>
    </row>
    <row r="270" spans="1:52" x14ac:dyDescent="0.35">
      <c r="A270" t="s">
        <v>246</v>
      </c>
      <c r="B270">
        <v>2050</v>
      </c>
      <c r="C270" t="s">
        <v>837</v>
      </c>
      <c r="D270" t="s">
        <v>1068</v>
      </c>
      <c r="E270" t="s">
        <v>1069</v>
      </c>
      <c r="F270" t="s">
        <v>977</v>
      </c>
      <c r="G270" t="s">
        <v>978</v>
      </c>
      <c r="H270" s="198">
        <v>34332.098742039998</v>
      </c>
      <c r="I270" s="198">
        <v>0</v>
      </c>
      <c r="J270" s="198">
        <v>0</v>
      </c>
      <c r="K270" s="198">
        <v>0</v>
      </c>
      <c r="L270" s="198">
        <v>0</v>
      </c>
      <c r="M270" s="198">
        <v>7472.3249999999998</v>
      </c>
      <c r="N270" s="198">
        <v>28.89</v>
      </c>
      <c r="O270" s="198">
        <v>0</v>
      </c>
      <c r="P270" s="198">
        <v>3033.0237717999998</v>
      </c>
      <c r="Q270" s="198">
        <v>0</v>
      </c>
      <c r="R270" s="198">
        <v>0</v>
      </c>
      <c r="S270" s="198">
        <v>1500</v>
      </c>
      <c r="T270" s="198">
        <v>0</v>
      </c>
      <c r="U270" s="198">
        <v>2000</v>
      </c>
      <c r="V270" s="198">
        <v>4500</v>
      </c>
      <c r="W270" s="198">
        <v>80.891999999999996</v>
      </c>
      <c r="X270" s="198">
        <v>1500</v>
      </c>
      <c r="Y270" s="198">
        <v>186</v>
      </c>
      <c r="Z270" s="277">
        <v>54633.229513839993</v>
      </c>
      <c r="AA270" s="272">
        <v>0</v>
      </c>
      <c r="AB270" s="198">
        <v>0</v>
      </c>
      <c r="AC270" s="272">
        <v>466</v>
      </c>
      <c r="AD270" s="198">
        <v>1.6776</v>
      </c>
      <c r="AE270" s="198">
        <v>1.6776</v>
      </c>
      <c r="AF270" s="198">
        <v>0</v>
      </c>
      <c r="AG270" s="198">
        <v>0</v>
      </c>
      <c r="AH270" s="198">
        <v>0</v>
      </c>
      <c r="AI270" s="198">
        <v>0</v>
      </c>
      <c r="AJ270" s="198">
        <v>0</v>
      </c>
      <c r="AK270" s="198">
        <v>0</v>
      </c>
      <c r="AL270" s="198">
        <v>0</v>
      </c>
      <c r="AM270" s="198">
        <v>2.4802282280387937E-2</v>
      </c>
      <c r="AN270" s="198">
        <v>6.3383610272102339E-3</v>
      </c>
      <c r="AO270" s="198">
        <v>0</v>
      </c>
      <c r="AP270" s="198">
        <v>9.0623709529699518E-4</v>
      </c>
      <c r="AQ270" s="198">
        <v>1.1330052759019758E-3</v>
      </c>
      <c r="AS270" s="258">
        <f t="shared" si="32"/>
        <v>73290.477392816349</v>
      </c>
      <c r="AT270" s="3">
        <f t="shared" si="33"/>
        <v>0</v>
      </c>
      <c r="AU270" s="3">
        <f t="shared" si="34"/>
        <v>0</v>
      </c>
      <c r="AV270" s="3">
        <f t="shared" si="35"/>
        <v>28.955969527880995</v>
      </c>
      <c r="AW270" s="3">
        <f t="shared" si="36"/>
        <v>1.0424149030037158</v>
      </c>
      <c r="AX270" s="3">
        <f t="shared" si="37"/>
        <v>1.0424149030037158</v>
      </c>
      <c r="AY270" s="102">
        <f t="shared" si="38"/>
        <v>0</v>
      </c>
      <c r="AZ270" s="102">
        <f t="shared" si="39"/>
        <v>1</v>
      </c>
    </row>
    <row r="271" spans="1:52" x14ac:dyDescent="0.35">
      <c r="A271" t="s">
        <v>627</v>
      </c>
      <c r="B271">
        <v>2050</v>
      </c>
      <c r="C271" t="s">
        <v>837</v>
      </c>
      <c r="D271" t="s">
        <v>1068</v>
      </c>
      <c r="E271" t="s">
        <v>1069</v>
      </c>
      <c r="F271" t="s">
        <v>989</v>
      </c>
      <c r="G271" t="s">
        <v>978</v>
      </c>
      <c r="H271" s="198">
        <v>34332.098742039998</v>
      </c>
      <c r="I271" s="198">
        <v>0</v>
      </c>
      <c r="J271" s="198">
        <v>16984.933120000002</v>
      </c>
      <c r="K271" s="198">
        <v>4320.224964</v>
      </c>
      <c r="L271" s="198">
        <v>0</v>
      </c>
      <c r="M271" s="198">
        <v>2420.3216081</v>
      </c>
      <c r="N271" s="198">
        <v>28.89</v>
      </c>
      <c r="O271" s="198">
        <v>0</v>
      </c>
      <c r="P271" s="198">
        <v>3033.0237717999998</v>
      </c>
      <c r="Q271" s="198">
        <v>0</v>
      </c>
      <c r="R271" s="198">
        <v>0</v>
      </c>
      <c r="S271" s="198">
        <v>1500</v>
      </c>
      <c r="T271" s="198">
        <v>0</v>
      </c>
      <c r="U271" s="198">
        <v>2000</v>
      </c>
      <c r="V271" s="198">
        <v>4500</v>
      </c>
      <c r="W271" s="198">
        <v>80.891999999999996</v>
      </c>
      <c r="X271" s="198">
        <v>1500</v>
      </c>
      <c r="Y271" s="198">
        <v>186</v>
      </c>
      <c r="Z271" s="277">
        <v>70886.384205940005</v>
      </c>
      <c r="AA271" s="272">
        <v>41.375308789999998</v>
      </c>
      <c r="AB271" s="198">
        <v>3.2463851371295114</v>
      </c>
      <c r="AC271" s="272">
        <v>0</v>
      </c>
      <c r="AD271" s="198">
        <v>0</v>
      </c>
      <c r="AE271" s="198">
        <v>3.2463851371295114</v>
      </c>
      <c r="AF271" s="198">
        <v>0</v>
      </c>
      <c r="AG271" s="198">
        <v>0</v>
      </c>
      <c r="AH271" s="198">
        <v>0</v>
      </c>
      <c r="AI271" s="198">
        <v>0</v>
      </c>
      <c r="AJ271" s="198">
        <v>0</v>
      </c>
      <c r="AK271" s="198">
        <v>0</v>
      </c>
      <c r="AL271" s="198">
        <v>0</v>
      </c>
      <c r="AM271" s="198">
        <v>3.0349101791582969E-2</v>
      </c>
      <c r="AN271" s="198">
        <v>7.7558815689601057E-3</v>
      </c>
      <c r="AO271" s="198">
        <v>0</v>
      </c>
      <c r="AP271" s="198">
        <v>1.1089093149393423E-3</v>
      </c>
      <c r="AQ271" s="198">
        <v>1.3863922706798596E-3</v>
      </c>
      <c r="AS271" s="258">
        <f t="shared" si="32"/>
        <v>95094.084412268508</v>
      </c>
      <c r="AT271" s="3">
        <f t="shared" si="33"/>
        <v>5.6849151370751168</v>
      </c>
      <c r="AU271" s="3">
        <f t="shared" si="34"/>
        <v>2.1943445047566659</v>
      </c>
      <c r="AV271" s="3">
        <f t="shared" si="35"/>
        <v>0</v>
      </c>
      <c r="AW271" s="3">
        <f t="shared" si="36"/>
        <v>0</v>
      </c>
      <c r="AX271" s="3">
        <f t="shared" si="37"/>
        <v>2.1943445047566659</v>
      </c>
      <c r="AY271" s="102">
        <f t="shared" si="38"/>
        <v>1</v>
      </c>
      <c r="AZ271" s="102">
        <f t="shared" si="39"/>
        <v>0</v>
      </c>
    </row>
    <row r="272" spans="1:52" x14ac:dyDescent="0.35">
      <c r="A272" t="s">
        <v>1065</v>
      </c>
      <c r="B272">
        <v>2050</v>
      </c>
      <c r="C272" t="s">
        <v>837</v>
      </c>
      <c r="D272" t="s">
        <v>1068</v>
      </c>
      <c r="E272" t="s">
        <v>1069</v>
      </c>
      <c r="F272" t="s">
        <v>989</v>
      </c>
      <c r="G272" t="s">
        <v>978</v>
      </c>
      <c r="H272" s="198">
        <v>34332.098742039998</v>
      </c>
      <c r="I272" s="198">
        <v>0</v>
      </c>
      <c r="J272" s="198">
        <v>2865.2403359999998</v>
      </c>
      <c r="K272" s="198">
        <v>4296.0423330000003</v>
      </c>
      <c r="L272" s="198">
        <v>0</v>
      </c>
      <c r="M272" s="198">
        <v>1581.3525</v>
      </c>
      <c r="N272" s="198">
        <v>28.89</v>
      </c>
      <c r="O272" s="198">
        <v>0</v>
      </c>
      <c r="P272" s="198">
        <v>2992.7188544000001</v>
      </c>
      <c r="Q272" s="198">
        <v>0</v>
      </c>
      <c r="R272" s="198">
        <v>0</v>
      </c>
      <c r="S272" s="198">
        <v>1500</v>
      </c>
      <c r="T272" s="198">
        <v>0</v>
      </c>
      <c r="U272" s="198">
        <v>2000</v>
      </c>
      <c r="V272" s="198">
        <v>4500</v>
      </c>
      <c r="W272" s="198">
        <v>80.891999999999996</v>
      </c>
      <c r="X272" s="198">
        <v>1500</v>
      </c>
      <c r="Y272" s="198">
        <v>186</v>
      </c>
      <c r="Z272" s="277">
        <v>55863.23476544</v>
      </c>
      <c r="AA272" s="272">
        <v>46.248637039999998</v>
      </c>
      <c r="AB272" s="198">
        <v>2.9043058584370338</v>
      </c>
      <c r="AC272" s="272">
        <v>0</v>
      </c>
      <c r="AD272" s="198">
        <v>0</v>
      </c>
      <c r="AE272" s="198">
        <v>2.9043058584370338</v>
      </c>
      <c r="AF272" s="198">
        <v>0</v>
      </c>
      <c r="AG272" s="198">
        <v>0</v>
      </c>
      <c r="AH272" s="198">
        <v>0</v>
      </c>
      <c r="AI272" s="198">
        <v>0</v>
      </c>
      <c r="AJ272" s="198">
        <v>0</v>
      </c>
      <c r="AK272" s="198">
        <v>0</v>
      </c>
      <c r="AL272" s="198">
        <v>0</v>
      </c>
      <c r="AM272" s="198">
        <v>2.7151145168663921E-2</v>
      </c>
      <c r="AN272" s="198">
        <v>6.9386259875474582E-3</v>
      </c>
      <c r="AO272" s="198">
        <v>0</v>
      </c>
      <c r="AP272" s="198">
        <v>9.9206091816371163E-4</v>
      </c>
      <c r="AQ272" s="198">
        <v>1.240304838688246E-3</v>
      </c>
      <c r="AS272" s="258">
        <f t="shared" si="32"/>
        <v>74940.529437837758</v>
      </c>
      <c r="AT272" s="3">
        <f t="shared" si="33"/>
        <v>5.0858821858467493</v>
      </c>
      <c r="AU272" s="3">
        <f t="shared" si="34"/>
        <v>1.963121235279254</v>
      </c>
      <c r="AV272" s="3">
        <f t="shared" si="35"/>
        <v>0</v>
      </c>
      <c r="AW272" s="3">
        <f t="shared" si="36"/>
        <v>0</v>
      </c>
      <c r="AX272" s="3">
        <f t="shared" si="37"/>
        <v>1.963121235279254</v>
      </c>
      <c r="AY272" s="102">
        <f t="shared" si="38"/>
        <v>1</v>
      </c>
      <c r="AZ272" s="102">
        <f t="shared" si="39"/>
        <v>0</v>
      </c>
    </row>
    <row r="273" spans="1:52" x14ac:dyDescent="0.35">
      <c r="A273" t="s">
        <v>1017</v>
      </c>
      <c r="B273">
        <v>2021</v>
      </c>
      <c r="C273" t="s">
        <v>837</v>
      </c>
      <c r="D273" t="s">
        <v>1024</v>
      </c>
      <c r="E273" t="s">
        <v>1025</v>
      </c>
      <c r="F273" t="s">
        <v>983</v>
      </c>
      <c r="G273" t="s">
        <v>978</v>
      </c>
      <c r="H273" s="198">
        <v>41000</v>
      </c>
      <c r="I273" s="198">
        <v>15769</v>
      </c>
      <c r="J273" s="198">
        <v>0</v>
      </c>
      <c r="K273" s="198">
        <v>0</v>
      </c>
      <c r="L273" s="198">
        <v>120</v>
      </c>
      <c r="M273" s="198">
        <v>0</v>
      </c>
      <c r="N273" s="198">
        <v>0</v>
      </c>
      <c r="O273" s="198">
        <v>150</v>
      </c>
      <c r="P273" s="198">
        <v>0</v>
      </c>
      <c r="Q273" s="198">
        <v>0</v>
      </c>
      <c r="R273" s="198">
        <v>104.8</v>
      </c>
      <c r="S273" s="198">
        <v>6402</v>
      </c>
      <c r="T273" s="198">
        <v>506</v>
      </c>
      <c r="U273" s="198">
        <v>2000</v>
      </c>
      <c r="V273" s="198">
        <v>1920</v>
      </c>
      <c r="W273" s="198">
        <v>0</v>
      </c>
      <c r="X273" s="198">
        <v>0</v>
      </c>
      <c r="Y273" s="198">
        <v>186</v>
      </c>
      <c r="Z273" s="277">
        <v>68157.8</v>
      </c>
      <c r="AA273" s="272">
        <v>9.4079063880000007</v>
      </c>
      <c r="AB273" s="198">
        <v>14.277372877703</v>
      </c>
      <c r="AC273" s="272">
        <v>0</v>
      </c>
      <c r="AD273" s="198">
        <v>0</v>
      </c>
      <c r="AE273" s="198">
        <v>14.277372877703</v>
      </c>
      <c r="AF273" s="198">
        <v>1068.7403865612689</v>
      </c>
      <c r="AG273" s="198">
        <v>0.46983711393524757</v>
      </c>
      <c r="AH273" s="198">
        <v>2.4825381740766956E-3</v>
      </c>
      <c r="AI273" s="198">
        <v>1083.4933724912316</v>
      </c>
      <c r="AJ273" s="198">
        <v>0.45590514782862568</v>
      </c>
      <c r="AK273" s="198">
        <v>10.638890170881879</v>
      </c>
      <c r="AL273" s="198">
        <v>0.49810245305921069</v>
      </c>
      <c r="AM273" s="198">
        <v>8.9531876209440309E-2</v>
      </c>
      <c r="AN273" s="198">
        <v>3.6813158005987966E-2</v>
      </c>
      <c r="AO273" s="198">
        <v>7.371062104334419E-3</v>
      </c>
      <c r="AP273" s="198">
        <v>6.1168491510451457E-3</v>
      </c>
      <c r="AQ273" s="198">
        <v>5.8099227553440125E-3</v>
      </c>
      <c r="AS273" s="258">
        <f t="shared" si="32"/>
        <v>91433.688699999999</v>
      </c>
      <c r="AT273" s="3">
        <f t="shared" si="33"/>
        <v>25.001855837070231</v>
      </c>
      <c r="AU273" s="3">
        <f t="shared" si="34"/>
        <v>9.650572373015267</v>
      </c>
      <c r="AV273" s="3">
        <f t="shared" si="35"/>
        <v>0</v>
      </c>
      <c r="AW273" s="3">
        <f t="shared" si="36"/>
        <v>0</v>
      </c>
      <c r="AX273" s="3">
        <f t="shared" si="37"/>
        <v>9.650572373015267</v>
      </c>
      <c r="AY273" s="102">
        <f t="shared" si="38"/>
        <v>1</v>
      </c>
      <c r="AZ273" s="102">
        <f t="shared" si="39"/>
        <v>0</v>
      </c>
    </row>
    <row r="274" spans="1:52" x14ac:dyDescent="0.35">
      <c r="A274" t="s">
        <v>1020</v>
      </c>
      <c r="B274">
        <v>2021</v>
      </c>
      <c r="C274" t="s">
        <v>837</v>
      </c>
      <c r="D274" t="s">
        <v>1024</v>
      </c>
      <c r="E274" t="s">
        <v>1025</v>
      </c>
      <c r="F274" t="s">
        <v>983</v>
      </c>
      <c r="G274" t="s">
        <v>978</v>
      </c>
      <c r="H274" s="198">
        <v>41000</v>
      </c>
      <c r="I274" s="198">
        <v>19965</v>
      </c>
      <c r="J274" s="198">
        <v>0</v>
      </c>
      <c r="K274" s="198">
        <v>0</v>
      </c>
      <c r="L274" s="198">
        <v>150</v>
      </c>
      <c r="M274" s="198">
        <v>1044.0603016</v>
      </c>
      <c r="N274" s="198">
        <v>75</v>
      </c>
      <c r="O274" s="198">
        <v>150</v>
      </c>
      <c r="P274" s="198">
        <v>2073.6176579999997</v>
      </c>
      <c r="Q274" s="198">
        <v>0</v>
      </c>
      <c r="R274" s="198">
        <v>0</v>
      </c>
      <c r="S274" s="198">
        <v>7278</v>
      </c>
      <c r="T274" s="198">
        <v>392</v>
      </c>
      <c r="U274" s="198">
        <v>2000</v>
      </c>
      <c r="V274" s="198">
        <v>4720</v>
      </c>
      <c r="W274" s="198">
        <v>375</v>
      </c>
      <c r="X274" s="198">
        <v>1500</v>
      </c>
      <c r="Y274" s="198">
        <v>186</v>
      </c>
      <c r="Z274" s="277">
        <v>80908.677959599998</v>
      </c>
      <c r="AA274" s="272">
        <v>11.23835148</v>
      </c>
      <c r="AB274" s="198">
        <v>11.951947555567999</v>
      </c>
      <c r="AC274" s="272">
        <v>0</v>
      </c>
      <c r="AD274" s="198">
        <v>0</v>
      </c>
      <c r="AE274" s="198">
        <v>11.951947555567999</v>
      </c>
      <c r="AF274" s="198">
        <v>894.66942974125163</v>
      </c>
      <c r="AG274" s="198">
        <v>0.3933124527540493</v>
      </c>
      <c r="AH274" s="198">
        <v>2.0781950794041193E-3</v>
      </c>
      <c r="AI274" s="198">
        <v>907.01952493266595</v>
      </c>
      <c r="AJ274" s="198">
        <v>0.38164965388491412</v>
      </c>
      <c r="AK274" s="198">
        <v>8.9060822646445708</v>
      </c>
      <c r="AL274" s="198">
        <v>0.41697407830264971</v>
      </c>
      <c r="AM274" s="198">
        <v>7.4949383067383718E-2</v>
      </c>
      <c r="AN274" s="198">
        <v>3.0817219499081509E-2</v>
      </c>
      <c r="AO274" s="198">
        <v>6.1705012858089131E-3</v>
      </c>
      <c r="AP274" s="198">
        <v>5.1205681104529756E-3</v>
      </c>
      <c r="AQ274" s="198">
        <v>4.8636323130719084E-3</v>
      </c>
      <c r="AS274" s="258">
        <f t="shared" si="32"/>
        <v>108538.99148280339</v>
      </c>
      <c r="AT274" s="3">
        <f t="shared" si="33"/>
        <v>20.929681693976359</v>
      </c>
      <c r="AU274" s="3">
        <f t="shared" si="34"/>
        <v>8.0787366045208131</v>
      </c>
      <c r="AV274" s="3">
        <f t="shared" si="35"/>
        <v>0</v>
      </c>
      <c r="AW274" s="3">
        <f t="shared" si="36"/>
        <v>0</v>
      </c>
      <c r="AX274" s="3">
        <f t="shared" si="37"/>
        <v>8.0787366045208131</v>
      </c>
      <c r="AY274" s="102">
        <f t="shared" si="38"/>
        <v>1</v>
      </c>
      <c r="AZ274" s="102">
        <f t="shared" si="39"/>
        <v>0</v>
      </c>
    </row>
    <row r="275" spans="1:52" x14ac:dyDescent="0.35">
      <c r="A275" t="s">
        <v>1021</v>
      </c>
      <c r="B275">
        <v>2021</v>
      </c>
      <c r="C275" t="s">
        <v>837</v>
      </c>
      <c r="D275" t="s">
        <v>1024</v>
      </c>
      <c r="E275" t="s">
        <v>1025</v>
      </c>
      <c r="F275" t="s">
        <v>983</v>
      </c>
      <c r="G275" t="s">
        <v>978</v>
      </c>
      <c r="H275" s="198">
        <v>41000</v>
      </c>
      <c r="I275" s="198">
        <v>9751</v>
      </c>
      <c r="J275" s="198">
        <v>0</v>
      </c>
      <c r="K275" s="198">
        <v>0</v>
      </c>
      <c r="L275" s="198">
        <v>0</v>
      </c>
      <c r="M275" s="198">
        <v>16334.849999999999</v>
      </c>
      <c r="N275" s="198">
        <v>75</v>
      </c>
      <c r="O275" s="198">
        <v>0</v>
      </c>
      <c r="P275" s="198">
        <v>6226.4835242999998</v>
      </c>
      <c r="Q275" s="198">
        <v>0</v>
      </c>
      <c r="R275" s="198">
        <v>2829.9168916199997</v>
      </c>
      <c r="S275" s="198">
        <v>3730</v>
      </c>
      <c r="T275" s="198">
        <v>0</v>
      </c>
      <c r="U275" s="198">
        <v>2000</v>
      </c>
      <c r="V275" s="198">
        <v>4720</v>
      </c>
      <c r="W275" s="198">
        <v>375</v>
      </c>
      <c r="X275" s="198">
        <v>1500</v>
      </c>
      <c r="Y275" s="198">
        <v>186</v>
      </c>
      <c r="Z275" s="277">
        <v>88728.250415920003</v>
      </c>
      <c r="AA275" s="272">
        <v>69.155945500000016</v>
      </c>
      <c r="AB275" s="198">
        <v>1.9422796771681758</v>
      </c>
      <c r="AC275" s="272">
        <v>769.6</v>
      </c>
      <c r="AD275" s="198">
        <v>2.7705600000000001</v>
      </c>
      <c r="AE275" s="198">
        <v>4.7128396771681764</v>
      </c>
      <c r="AF275" s="198">
        <v>145.39038454536563</v>
      </c>
      <c r="AG275" s="198">
        <v>6.3916176021494756E-2</v>
      </c>
      <c r="AH275" s="198">
        <v>3.3772203644226071E-4</v>
      </c>
      <c r="AI275" s="198">
        <v>147.39736615148902</v>
      </c>
      <c r="AJ275" s="198">
        <v>6.2020885139644447E-2</v>
      </c>
      <c r="AK275" s="198">
        <v>1.4473040904323986</v>
      </c>
      <c r="AL275" s="198">
        <v>6.7761364784091019E-2</v>
      </c>
      <c r="AM275" s="198">
        <v>5.3140850247210603E-2</v>
      </c>
      <c r="AN275" s="198">
        <v>1.5475842422320644E-2</v>
      </c>
      <c r="AO275" s="198">
        <v>1.0027519941537418E-3</v>
      </c>
      <c r="AP275" s="198">
        <v>2.3287826127750752E-3</v>
      </c>
      <c r="AQ275" s="198">
        <v>2.6615367865392425E-3</v>
      </c>
      <c r="AS275" s="258">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102">
        <f t="shared" si="38"/>
        <v>0.43265629246864623</v>
      </c>
      <c r="AZ275" s="102">
        <f t="shared" si="39"/>
        <v>0.56734370753135377</v>
      </c>
    </row>
    <row r="276" spans="1:52" x14ac:dyDescent="0.35">
      <c r="A276" t="s">
        <v>246</v>
      </c>
      <c r="B276">
        <v>2021</v>
      </c>
      <c r="C276" t="s">
        <v>837</v>
      </c>
      <c r="D276" t="s">
        <v>1024</v>
      </c>
      <c r="E276" t="s">
        <v>1025</v>
      </c>
      <c r="F276" t="s">
        <v>977</v>
      </c>
      <c r="G276" t="s">
        <v>978</v>
      </c>
      <c r="H276" s="198">
        <v>41000</v>
      </c>
      <c r="I276" s="198">
        <v>0</v>
      </c>
      <c r="J276" s="198">
        <v>0</v>
      </c>
      <c r="K276" s="198">
        <v>0</v>
      </c>
      <c r="L276" s="198">
        <v>0</v>
      </c>
      <c r="M276" s="198">
        <v>32843.474999999999</v>
      </c>
      <c r="N276" s="198">
        <v>75</v>
      </c>
      <c r="O276" s="198">
        <v>0</v>
      </c>
      <c r="P276" s="198">
        <v>6169.0557689999996</v>
      </c>
      <c r="Q276" s="198">
        <v>0</v>
      </c>
      <c r="R276" s="198">
        <v>0</v>
      </c>
      <c r="S276" s="198">
        <v>3711</v>
      </c>
      <c r="T276" s="198">
        <v>0</v>
      </c>
      <c r="U276" s="198">
        <v>2000</v>
      </c>
      <c r="V276" s="198">
        <v>4500</v>
      </c>
      <c r="W276" s="198">
        <v>375</v>
      </c>
      <c r="X276" s="198">
        <v>1500</v>
      </c>
      <c r="Y276" s="198">
        <v>186</v>
      </c>
      <c r="Z276" s="277">
        <v>92359.530769000005</v>
      </c>
      <c r="AA276" s="272">
        <v>0</v>
      </c>
      <c r="AB276" s="198">
        <v>0</v>
      </c>
      <c r="AC276" s="272">
        <v>946</v>
      </c>
      <c r="AD276" s="198">
        <v>3.4055999999999997</v>
      </c>
      <c r="AE276" s="198">
        <v>3.4055999999999997</v>
      </c>
      <c r="AF276" s="198">
        <v>0</v>
      </c>
      <c r="AG276" s="198">
        <v>0</v>
      </c>
      <c r="AH276" s="198">
        <v>0</v>
      </c>
      <c r="AI276" s="198">
        <v>0</v>
      </c>
      <c r="AJ276" s="198">
        <v>0</v>
      </c>
      <c r="AK276" s="198">
        <v>0</v>
      </c>
      <c r="AL276" s="198">
        <v>0</v>
      </c>
      <c r="AM276" s="198">
        <v>5.0349697504821857E-2</v>
      </c>
      <c r="AN276" s="198">
        <v>1.2867144917898886E-2</v>
      </c>
      <c r="AO276" s="198">
        <v>0</v>
      </c>
      <c r="AP276" s="198">
        <v>1.8397001977488356E-3</v>
      </c>
      <c r="AQ276" s="198">
        <v>2.3000493369168861E-3</v>
      </c>
      <c r="AS276" s="258">
        <f t="shared" si="32"/>
        <v>123900.3105266135</v>
      </c>
      <c r="AT276" s="3">
        <f t="shared" si="33"/>
        <v>0</v>
      </c>
      <c r="AU276" s="3">
        <f t="shared" si="34"/>
        <v>0</v>
      </c>
      <c r="AV276" s="3">
        <f t="shared" si="35"/>
        <v>58.781860887071716</v>
      </c>
      <c r="AW276" s="3">
        <f t="shared" si="36"/>
        <v>2.1161469919345821</v>
      </c>
      <c r="AX276" s="3">
        <f t="shared" si="37"/>
        <v>2.1161469919345821</v>
      </c>
      <c r="AY276" s="102">
        <f t="shared" si="38"/>
        <v>0</v>
      </c>
      <c r="AZ276" s="102">
        <f t="shared" si="39"/>
        <v>1</v>
      </c>
    </row>
    <row r="277" spans="1:52" x14ac:dyDescent="0.35">
      <c r="A277" t="s">
        <v>627</v>
      </c>
      <c r="B277">
        <v>2021</v>
      </c>
      <c r="C277" t="s">
        <v>837</v>
      </c>
      <c r="D277" t="s">
        <v>1024</v>
      </c>
      <c r="E277" t="s">
        <v>1025</v>
      </c>
      <c r="F277" t="s">
        <v>989</v>
      </c>
      <c r="G277" t="s">
        <v>978</v>
      </c>
      <c r="H277" s="198">
        <v>41000</v>
      </c>
      <c r="I277" s="198">
        <v>0</v>
      </c>
      <c r="J277" s="198">
        <v>28501.037654399999</v>
      </c>
      <c r="K277" s="198">
        <v>7297.3519999999999</v>
      </c>
      <c r="L277" s="198">
        <v>0</v>
      </c>
      <c r="M277" s="198">
        <v>3701.6683419999999</v>
      </c>
      <c r="N277" s="198">
        <v>75</v>
      </c>
      <c r="O277" s="198">
        <v>0</v>
      </c>
      <c r="P277" s="198">
        <v>6169.0557689999996</v>
      </c>
      <c r="Q277" s="198">
        <v>0</v>
      </c>
      <c r="R277" s="198">
        <v>0</v>
      </c>
      <c r="S277" s="198">
        <v>3711</v>
      </c>
      <c r="T277" s="198">
        <v>0</v>
      </c>
      <c r="U277" s="198">
        <v>2000</v>
      </c>
      <c r="V277" s="198">
        <v>4500</v>
      </c>
      <c r="W277" s="198">
        <v>375</v>
      </c>
      <c r="X277" s="198">
        <v>1500</v>
      </c>
      <c r="Y277" s="198">
        <v>186</v>
      </c>
      <c r="Z277" s="277">
        <v>99016.113765400005</v>
      </c>
      <c r="AA277" s="272">
        <v>22.090694509999999</v>
      </c>
      <c r="AB277" s="198">
        <v>6.0803967679330331</v>
      </c>
      <c r="AC277" s="272">
        <v>0</v>
      </c>
      <c r="AD277" s="198">
        <v>0</v>
      </c>
      <c r="AE277" s="198">
        <v>6.0803967679330331</v>
      </c>
      <c r="AF277" s="198">
        <v>0</v>
      </c>
      <c r="AG277" s="198">
        <v>0</v>
      </c>
      <c r="AH277" s="198">
        <v>0</v>
      </c>
      <c r="AI277" s="198">
        <v>0</v>
      </c>
      <c r="AJ277" s="198">
        <v>0</v>
      </c>
      <c r="AK277" s="198">
        <v>0</v>
      </c>
      <c r="AL277" s="198">
        <v>0</v>
      </c>
      <c r="AM277" s="198">
        <v>5.6843095519584337E-2</v>
      </c>
      <c r="AN277" s="198">
        <v>1.4526568855004911E-2</v>
      </c>
      <c r="AO277" s="198">
        <v>0</v>
      </c>
      <c r="AP277" s="198">
        <v>2.0769589342224189E-3</v>
      </c>
      <c r="AQ277" s="198">
        <v>2.5966774506560519E-3</v>
      </c>
      <c r="AS277" s="258">
        <f t="shared" si="32"/>
        <v>132830.1166162841</v>
      </c>
      <c r="AT277" s="3">
        <f t="shared" si="33"/>
        <v>10.6477014172167</v>
      </c>
      <c r="AU277" s="3">
        <f t="shared" si="34"/>
        <v>4.1099514293155046</v>
      </c>
      <c r="AV277" s="3">
        <f t="shared" si="35"/>
        <v>0</v>
      </c>
      <c r="AW277" s="3">
        <f t="shared" si="36"/>
        <v>0</v>
      </c>
      <c r="AX277" s="3">
        <f t="shared" si="37"/>
        <v>4.1099514293155046</v>
      </c>
      <c r="AY277" s="102">
        <f t="shared" si="38"/>
        <v>1</v>
      </c>
      <c r="AZ277" s="102">
        <f t="shared" si="39"/>
        <v>0</v>
      </c>
    </row>
    <row r="278" spans="1:52" x14ac:dyDescent="0.35">
      <c r="A278" t="s">
        <v>1065</v>
      </c>
      <c r="B278">
        <v>2021</v>
      </c>
      <c r="C278" t="s">
        <v>837</v>
      </c>
      <c r="D278" t="s">
        <v>1024</v>
      </c>
      <c r="E278" t="s">
        <v>1025</v>
      </c>
      <c r="F278" t="s">
        <v>989</v>
      </c>
      <c r="G278" t="s">
        <v>978</v>
      </c>
      <c r="H278" s="198">
        <v>41000</v>
      </c>
      <c r="I278" s="198">
        <v>0</v>
      </c>
      <c r="J278" s="198">
        <v>12785.943571199999</v>
      </c>
      <c r="K278" s="198">
        <v>7206.1970000000001</v>
      </c>
      <c r="L278" s="198">
        <v>0</v>
      </c>
      <c r="M278" s="198">
        <v>5682.4425000000001</v>
      </c>
      <c r="N278" s="198">
        <v>75</v>
      </c>
      <c r="O278" s="198">
        <v>0</v>
      </c>
      <c r="P278" s="198">
        <v>7003.1948355000004</v>
      </c>
      <c r="Q278" s="198">
        <v>0</v>
      </c>
      <c r="R278" s="198">
        <v>0</v>
      </c>
      <c r="S278" s="198">
        <v>3987</v>
      </c>
      <c r="T278" s="198">
        <v>0</v>
      </c>
      <c r="U278" s="198">
        <v>2000</v>
      </c>
      <c r="V278" s="198">
        <v>4500</v>
      </c>
      <c r="W278" s="198">
        <v>375</v>
      </c>
      <c r="X278" s="198">
        <v>1500</v>
      </c>
      <c r="Y278" s="198">
        <v>186</v>
      </c>
      <c r="Z278" s="277">
        <v>86300.777906700008</v>
      </c>
      <c r="AA278" s="272">
        <v>22.120576539999998</v>
      </c>
      <c r="AB278" s="198">
        <v>6.0721829404903946</v>
      </c>
      <c r="AC278" s="272">
        <v>0</v>
      </c>
      <c r="AD278" s="198">
        <v>0</v>
      </c>
      <c r="AE278" s="198">
        <v>6.0721829404903946</v>
      </c>
      <c r="AF278" s="198">
        <v>0</v>
      </c>
      <c r="AG278" s="198">
        <v>0</v>
      </c>
      <c r="AH278" s="198">
        <v>0</v>
      </c>
      <c r="AI278" s="198">
        <v>0</v>
      </c>
      <c r="AJ278" s="198">
        <v>0</v>
      </c>
      <c r="AK278" s="198">
        <v>0</v>
      </c>
      <c r="AL278" s="198">
        <v>0</v>
      </c>
      <c r="AM278" s="198">
        <v>5.6766307869744508E-2</v>
      </c>
      <c r="AN278" s="198">
        <v>1.4506945344490287E-2</v>
      </c>
      <c r="AO278" s="198">
        <v>0</v>
      </c>
      <c r="AP278" s="198">
        <v>2.0741532320713487E-3</v>
      </c>
      <c r="AQ278" s="198">
        <v>2.5931696761936412E-3</v>
      </c>
      <c r="AS278" s="258">
        <f t="shared" si="32"/>
        <v>115772.49356183806</v>
      </c>
      <c r="AT278" s="3">
        <f t="shared" si="33"/>
        <v>10.63331775354478</v>
      </c>
      <c r="AU278" s="3">
        <f t="shared" si="34"/>
        <v>4.1043994179704448</v>
      </c>
      <c r="AV278" s="3">
        <f t="shared" si="35"/>
        <v>0</v>
      </c>
      <c r="AW278" s="3">
        <f t="shared" si="36"/>
        <v>0</v>
      </c>
      <c r="AX278" s="3">
        <f t="shared" si="37"/>
        <v>4.1043994179704448</v>
      </c>
      <c r="AY278" s="102">
        <f t="shared" si="38"/>
        <v>1</v>
      </c>
      <c r="AZ278" s="102">
        <f t="shared" si="39"/>
        <v>0</v>
      </c>
    </row>
    <row r="279" spans="1:52" x14ac:dyDescent="0.35">
      <c r="A279" t="s">
        <v>1017</v>
      </c>
      <c r="B279">
        <v>2025</v>
      </c>
      <c r="C279" t="s">
        <v>837</v>
      </c>
      <c r="D279" t="s">
        <v>1024</v>
      </c>
      <c r="E279" t="s">
        <v>1025</v>
      </c>
      <c r="F279" t="s">
        <v>983</v>
      </c>
      <c r="G279" t="s">
        <v>978</v>
      </c>
      <c r="H279" s="198">
        <v>41232.919932199999</v>
      </c>
      <c r="I279" s="198">
        <v>15930</v>
      </c>
      <c r="J279" s="198">
        <v>0</v>
      </c>
      <c r="K279" s="198">
        <v>0</v>
      </c>
      <c r="L279" s="198">
        <v>120</v>
      </c>
      <c r="M279" s="198">
        <v>0</v>
      </c>
      <c r="N279" s="198">
        <v>0</v>
      </c>
      <c r="O279" s="198">
        <v>150</v>
      </c>
      <c r="P279" s="198">
        <v>0</v>
      </c>
      <c r="Q279" s="198">
        <v>0</v>
      </c>
      <c r="R279" s="198">
        <v>92</v>
      </c>
      <c r="S279" s="198">
        <v>6332</v>
      </c>
      <c r="T279" s="198">
        <v>506</v>
      </c>
      <c r="U279" s="198">
        <v>2000</v>
      </c>
      <c r="V279" s="198">
        <v>1920</v>
      </c>
      <c r="W279" s="198">
        <v>0</v>
      </c>
      <c r="X279" s="198">
        <v>0</v>
      </c>
      <c r="Y279" s="198">
        <v>186</v>
      </c>
      <c r="Z279" s="277">
        <v>68468.919932199991</v>
      </c>
      <c r="AA279" s="272">
        <v>10.07318751</v>
      </c>
      <c r="AB279" s="198">
        <v>13.334427396159928</v>
      </c>
      <c r="AC279" s="272">
        <v>0</v>
      </c>
      <c r="AD279" s="198">
        <v>0</v>
      </c>
      <c r="AE279" s="198">
        <v>13.334427396159928</v>
      </c>
      <c r="AF279" s="198">
        <v>998.15569797164937</v>
      </c>
      <c r="AG279" s="198">
        <v>0.43880684054802233</v>
      </c>
      <c r="AH279" s="198">
        <v>2.3185795681023714E-3</v>
      </c>
      <c r="AI279" s="198">
        <v>1011.9343266762959</v>
      </c>
      <c r="AJ279" s="198">
        <v>0.42579500762008671</v>
      </c>
      <c r="AK279" s="198">
        <v>9.9362473596870498</v>
      </c>
      <c r="AL279" s="198">
        <v>0.46520540249669384</v>
      </c>
      <c r="AM279" s="198">
        <v>8.3618766084144772E-2</v>
      </c>
      <c r="AN279" s="198">
        <v>3.43818422940275E-2</v>
      </c>
      <c r="AO279" s="198">
        <v>6.8842421714943834E-3</v>
      </c>
      <c r="AP279" s="198">
        <v>5.7128633955658399E-3</v>
      </c>
      <c r="AQ279" s="198">
        <v>5.4262078760596308E-3</v>
      </c>
      <c r="AS279" s="258">
        <f t="shared" si="32"/>
        <v>91851.05608904628</v>
      </c>
      <c r="AT279" s="3">
        <f t="shared" si="33"/>
        <v>23.350614590259735</v>
      </c>
      <c r="AU279" s="3">
        <f t="shared" si="34"/>
        <v>9.0132027608753074</v>
      </c>
      <c r="AV279" s="3">
        <f t="shared" si="35"/>
        <v>0</v>
      </c>
      <c r="AW279" s="3">
        <f t="shared" si="36"/>
        <v>0</v>
      </c>
      <c r="AX279" s="3">
        <f t="shared" si="37"/>
        <v>9.0132027608753074</v>
      </c>
      <c r="AY279" s="102">
        <f t="shared" si="38"/>
        <v>1</v>
      </c>
      <c r="AZ279" s="102">
        <f t="shared" si="39"/>
        <v>0</v>
      </c>
    </row>
    <row r="280" spans="1:52" x14ac:dyDescent="0.35">
      <c r="A280" t="s">
        <v>1020</v>
      </c>
      <c r="B280">
        <v>2025</v>
      </c>
      <c r="C280" t="s">
        <v>837</v>
      </c>
      <c r="D280" t="s">
        <v>1024</v>
      </c>
      <c r="E280" t="s">
        <v>1025</v>
      </c>
      <c r="F280" t="s">
        <v>983</v>
      </c>
      <c r="G280" t="s">
        <v>978</v>
      </c>
      <c r="H280" s="198">
        <v>41232.919932199999</v>
      </c>
      <c r="I280" s="198">
        <v>20050</v>
      </c>
      <c r="J280" s="198">
        <v>0</v>
      </c>
      <c r="K280" s="198">
        <v>0</v>
      </c>
      <c r="L280" s="198">
        <v>150</v>
      </c>
      <c r="M280" s="198">
        <v>996.60301500000003</v>
      </c>
      <c r="N280" s="198">
        <v>50</v>
      </c>
      <c r="O280" s="198">
        <v>150</v>
      </c>
      <c r="P280" s="198">
        <v>1769.2398744</v>
      </c>
      <c r="Q280" s="198">
        <v>0</v>
      </c>
      <c r="R280" s="198">
        <v>0</v>
      </c>
      <c r="S280" s="198">
        <v>7241</v>
      </c>
      <c r="T280" s="198">
        <v>392</v>
      </c>
      <c r="U280" s="198">
        <v>2000</v>
      </c>
      <c r="V280" s="198">
        <v>4720</v>
      </c>
      <c r="W280" s="198">
        <v>233.3</v>
      </c>
      <c r="X280" s="198">
        <v>1500</v>
      </c>
      <c r="Y280" s="198">
        <v>186</v>
      </c>
      <c r="Z280" s="277">
        <v>80671.062821600004</v>
      </c>
      <c r="AA280" s="272">
        <v>12.26762422</v>
      </c>
      <c r="AB280" s="198">
        <v>10.949160578379699</v>
      </c>
      <c r="AC280" s="272">
        <v>0</v>
      </c>
      <c r="AD280" s="198">
        <v>0</v>
      </c>
      <c r="AE280" s="198">
        <v>10.949160578379699</v>
      </c>
      <c r="AF280" s="198">
        <v>819.60527397401404</v>
      </c>
      <c r="AG280" s="198">
        <v>0.36031292663045883</v>
      </c>
      <c r="AH280" s="198">
        <v>1.9038312820401995E-3</v>
      </c>
      <c r="AI280" s="198">
        <v>830.9191769827396</v>
      </c>
      <c r="AJ280" s="198">
        <v>0.34962865471428767</v>
      </c>
      <c r="AK280" s="198">
        <v>8.1588481196459455</v>
      </c>
      <c r="AL280" s="198">
        <v>0.3819893050175463</v>
      </c>
      <c r="AM280" s="198">
        <v>6.866101333192115E-2</v>
      </c>
      <c r="AN280" s="198">
        <v>2.8231606882965603E-2</v>
      </c>
      <c r="AO280" s="198">
        <v>5.6527866369314415E-3</v>
      </c>
      <c r="AP280" s="198">
        <v>4.6909444869309832E-3</v>
      </c>
      <c r="AQ280" s="198">
        <v>4.4555660023133234E-3</v>
      </c>
      <c r="AS280" s="258">
        <f t="shared" si="32"/>
        <v>108220.2307751764</v>
      </c>
      <c r="AT280" s="3">
        <f t="shared" si="33"/>
        <v>19.173648868209963</v>
      </c>
      <c r="AU280" s="3">
        <f t="shared" si="34"/>
        <v>7.4009180463751321</v>
      </c>
      <c r="AV280" s="3">
        <f t="shared" si="35"/>
        <v>0</v>
      </c>
      <c r="AW280" s="3">
        <f t="shared" si="36"/>
        <v>0</v>
      </c>
      <c r="AX280" s="3">
        <f t="shared" si="37"/>
        <v>7.4009180463751321</v>
      </c>
      <c r="AY280" s="102">
        <f t="shared" si="38"/>
        <v>1</v>
      </c>
      <c r="AZ280" s="102">
        <f t="shared" si="39"/>
        <v>0</v>
      </c>
    </row>
    <row r="281" spans="1:52" x14ac:dyDescent="0.35">
      <c r="A281" t="s">
        <v>1021</v>
      </c>
      <c r="B281">
        <v>2025</v>
      </c>
      <c r="C281" t="s">
        <v>837</v>
      </c>
      <c r="D281" t="s">
        <v>1024</v>
      </c>
      <c r="E281" t="s">
        <v>1025</v>
      </c>
      <c r="F281" t="s">
        <v>983</v>
      </c>
      <c r="G281" t="s">
        <v>978</v>
      </c>
      <c r="H281" s="198">
        <v>41232.919932199999</v>
      </c>
      <c r="I281" s="198">
        <v>9879</v>
      </c>
      <c r="J281" s="198">
        <v>0</v>
      </c>
      <c r="K281" s="198">
        <v>0</v>
      </c>
      <c r="L281" s="198">
        <v>0</v>
      </c>
      <c r="M281" s="198">
        <v>13663.68</v>
      </c>
      <c r="N281" s="198">
        <v>50</v>
      </c>
      <c r="O281" s="198">
        <v>0</v>
      </c>
      <c r="P281" s="198">
        <v>5213.2258597</v>
      </c>
      <c r="Q281" s="198">
        <v>0</v>
      </c>
      <c r="R281" s="198">
        <v>2289.6163602000001</v>
      </c>
      <c r="S281" s="198">
        <v>3695</v>
      </c>
      <c r="T281" s="198">
        <v>0</v>
      </c>
      <c r="U281" s="198">
        <v>2000</v>
      </c>
      <c r="V281" s="198">
        <v>4720</v>
      </c>
      <c r="W281" s="198">
        <v>233.3</v>
      </c>
      <c r="X281" s="198">
        <v>1500</v>
      </c>
      <c r="Y281" s="198">
        <v>186</v>
      </c>
      <c r="Z281" s="277">
        <v>84662.742152100007</v>
      </c>
      <c r="AA281" s="272">
        <v>77.6743661</v>
      </c>
      <c r="AB281" s="198">
        <v>1.7292730439160933</v>
      </c>
      <c r="AC281" s="272">
        <v>715.2</v>
      </c>
      <c r="AD281" s="198">
        <v>2.5747200000000001</v>
      </c>
      <c r="AE281" s="198">
        <v>4.3039930439160932</v>
      </c>
      <c r="AF281" s="198">
        <v>129.44565903375104</v>
      </c>
      <c r="AG281" s="198">
        <v>5.6906593609276974E-2</v>
      </c>
      <c r="AH281" s="198">
        <v>3.0068461345769519E-4</v>
      </c>
      <c r="AI281" s="198">
        <v>131.23253825197196</v>
      </c>
      <c r="AJ281" s="198">
        <v>5.5219156176403127E-2</v>
      </c>
      <c r="AK281" s="198">
        <v>1.2885806196475682</v>
      </c>
      <c r="AL281" s="198">
        <v>6.033008681372707E-2</v>
      </c>
      <c r="AM281" s="198">
        <v>4.8909734737661373E-2</v>
      </c>
      <c r="AN281" s="198">
        <v>1.4186691612222316E-2</v>
      </c>
      <c r="AO281" s="198">
        <v>8.9278182416621622E-4</v>
      </c>
      <c r="AP281" s="198">
        <v>2.1317317811489966E-3</v>
      </c>
      <c r="AQ281" s="198">
        <v>2.4425925350736893E-3</v>
      </c>
      <c r="AS281" s="258">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102">
        <f t="shared" si="38"/>
        <v>0.42216935876265926</v>
      </c>
      <c r="AZ281" s="102">
        <f t="shared" si="39"/>
        <v>0.57783064123734074</v>
      </c>
    </row>
    <row r="282" spans="1:52" x14ac:dyDescent="0.35">
      <c r="A282" t="s">
        <v>246</v>
      </c>
      <c r="B282">
        <v>2025</v>
      </c>
      <c r="C282" t="s">
        <v>837</v>
      </c>
      <c r="D282" t="s">
        <v>1024</v>
      </c>
      <c r="E282" t="s">
        <v>1025</v>
      </c>
      <c r="F282" t="s">
        <v>977</v>
      </c>
      <c r="G282" t="s">
        <v>978</v>
      </c>
      <c r="H282" s="198">
        <v>41232.919932199999</v>
      </c>
      <c r="I282" s="198">
        <v>0</v>
      </c>
      <c r="J282" s="198">
        <v>0</v>
      </c>
      <c r="K282" s="198">
        <v>0</v>
      </c>
      <c r="L282" s="198">
        <v>0</v>
      </c>
      <c r="M282" s="198">
        <v>27740.448</v>
      </c>
      <c r="N282" s="198">
        <v>50</v>
      </c>
      <c r="O282" s="198">
        <v>0</v>
      </c>
      <c r="P282" s="198">
        <v>5207.8313661000002</v>
      </c>
      <c r="Q282" s="198">
        <v>0</v>
      </c>
      <c r="R282" s="198">
        <v>0</v>
      </c>
      <c r="S282" s="198">
        <v>3693</v>
      </c>
      <c r="T282" s="198">
        <v>0</v>
      </c>
      <c r="U282" s="198">
        <v>2000</v>
      </c>
      <c r="V282" s="198">
        <v>4500</v>
      </c>
      <c r="W282" s="198">
        <v>233.3</v>
      </c>
      <c r="X282" s="198">
        <v>1500</v>
      </c>
      <c r="Y282" s="198">
        <v>186</v>
      </c>
      <c r="Z282" s="277">
        <v>86343.499298299997</v>
      </c>
      <c r="AA282" s="272">
        <v>0</v>
      </c>
      <c r="AB282" s="198">
        <v>0</v>
      </c>
      <c r="AC282" s="272">
        <v>877</v>
      </c>
      <c r="AD282" s="198">
        <v>3.1572</v>
      </c>
      <c r="AE282" s="198">
        <v>3.1572</v>
      </c>
      <c r="AF282" s="198">
        <v>0</v>
      </c>
      <c r="AG282" s="198">
        <v>0</v>
      </c>
      <c r="AH282" s="198">
        <v>0</v>
      </c>
      <c r="AI282" s="198">
        <v>0</v>
      </c>
      <c r="AJ282" s="198">
        <v>0</v>
      </c>
      <c r="AK282" s="198">
        <v>0</v>
      </c>
      <c r="AL282" s="198">
        <v>0</v>
      </c>
      <c r="AM282" s="198">
        <v>4.6677256566309486E-2</v>
      </c>
      <c r="AN282" s="198">
        <v>1.1928632233612393E-2</v>
      </c>
      <c r="AO282" s="198">
        <v>0</v>
      </c>
      <c r="AP282" s="198">
        <v>1.7055148767713836E-3</v>
      </c>
      <c r="AQ282" s="198">
        <v>2.1322867531459932E-3</v>
      </c>
      <c r="AS282" s="258">
        <f t="shared" si="32"/>
        <v>115829.80430866944</v>
      </c>
      <c r="AT282" s="3">
        <f t="shared" si="33"/>
        <v>0</v>
      </c>
      <c r="AU282" s="3">
        <f t="shared" si="34"/>
        <v>0</v>
      </c>
      <c r="AV282" s="3">
        <f t="shared" si="35"/>
        <v>54.494389004188051</v>
      </c>
      <c r="AW282" s="3">
        <f t="shared" si="36"/>
        <v>1.9617980041507699</v>
      </c>
      <c r="AX282" s="3">
        <f t="shared" si="37"/>
        <v>1.9617980041507699</v>
      </c>
      <c r="AY282" s="102">
        <f t="shared" si="38"/>
        <v>0</v>
      </c>
      <c r="AZ282" s="102">
        <f t="shared" si="39"/>
        <v>1</v>
      </c>
    </row>
    <row r="283" spans="1:52" x14ac:dyDescent="0.35">
      <c r="A283" t="s">
        <v>627</v>
      </c>
      <c r="B283">
        <v>2025</v>
      </c>
      <c r="C283" t="s">
        <v>837</v>
      </c>
      <c r="D283" t="s">
        <v>1024</v>
      </c>
      <c r="E283" t="s">
        <v>1025</v>
      </c>
      <c r="F283" t="s">
        <v>989</v>
      </c>
      <c r="G283" t="s">
        <v>978</v>
      </c>
      <c r="H283" s="198">
        <v>41232.919932199999</v>
      </c>
      <c r="I283" s="198">
        <v>0</v>
      </c>
      <c r="J283" s="198">
        <v>22040.362601886794</v>
      </c>
      <c r="K283" s="198">
        <v>6861.1134569999995</v>
      </c>
      <c r="L283" s="198">
        <v>0</v>
      </c>
      <c r="M283" s="198">
        <v>3796.5829140000001</v>
      </c>
      <c r="N283" s="198">
        <v>50</v>
      </c>
      <c r="O283" s="198">
        <v>0</v>
      </c>
      <c r="P283" s="198">
        <v>5207.8313661000002</v>
      </c>
      <c r="Q283" s="198">
        <v>0</v>
      </c>
      <c r="R283" s="198">
        <v>0</v>
      </c>
      <c r="S283" s="198">
        <v>3693</v>
      </c>
      <c r="T283" s="198">
        <v>0</v>
      </c>
      <c r="U283" s="198">
        <v>2000</v>
      </c>
      <c r="V283" s="198">
        <v>4500</v>
      </c>
      <c r="W283" s="198">
        <v>233.3</v>
      </c>
      <c r="X283" s="198">
        <v>1500</v>
      </c>
      <c r="Y283" s="198">
        <v>186</v>
      </c>
      <c r="Z283" s="277">
        <v>91301.110271186786</v>
      </c>
      <c r="AA283" s="272">
        <v>23.222302890000002</v>
      </c>
      <c r="AB283" s="198">
        <v>5.7841028142751956</v>
      </c>
      <c r="AC283" s="272">
        <v>0</v>
      </c>
      <c r="AD283" s="198">
        <v>0</v>
      </c>
      <c r="AE283" s="198">
        <v>5.7841028142751956</v>
      </c>
      <c r="AF283" s="198">
        <v>0</v>
      </c>
      <c r="AG283" s="198">
        <v>0</v>
      </c>
      <c r="AH283" s="198">
        <v>0</v>
      </c>
      <c r="AI283" s="198">
        <v>0</v>
      </c>
      <c r="AJ283" s="198">
        <v>0</v>
      </c>
      <c r="AK283" s="198">
        <v>0</v>
      </c>
      <c r="AL283" s="198">
        <v>0</v>
      </c>
      <c r="AM283" s="198">
        <v>5.4073166820445662E-2</v>
      </c>
      <c r="AN283" s="198">
        <v>1.3818698187447248E-2</v>
      </c>
      <c r="AO283" s="198">
        <v>0</v>
      </c>
      <c r="AP283" s="198">
        <v>1.9757500168288708E-3</v>
      </c>
      <c r="AQ283" s="198">
        <v>2.4701429731221821E-3</v>
      </c>
      <c r="AS283" s="258">
        <f t="shared" si="32"/>
        <v>122480.43942879706</v>
      </c>
      <c r="AT283" s="3">
        <f t="shared" si="33"/>
        <v>10.128845547988981</v>
      </c>
      <c r="AU283" s="3">
        <f t="shared" si="34"/>
        <v>3.909676051768467</v>
      </c>
      <c r="AV283" s="3">
        <f t="shared" si="35"/>
        <v>0</v>
      </c>
      <c r="AW283" s="3">
        <f t="shared" si="36"/>
        <v>0</v>
      </c>
      <c r="AX283" s="3">
        <f t="shared" si="37"/>
        <v>3.909676051768467</v>
      </c>
      <c r="AY283" s="102">
        <f t="shared" si="38"/>
        <v>1</v>
      </c>
      <c r="AZ283" s="102">
        <f t="shared" si="39"/>
        <v>0</v>
      </c>
    </row>
    <row r="284" spans="1:52" x14ac:dyDescent="0.35">
      <c r="A284" t="s">
        <v>1065</v>
      </c>
      <c r="B284">
        <v>2025</v>
      </c>
      <c r="C284" t="s">
        <v>837</v>
      </c>
      <c r="D284" t="s">
        <v>1024</v>
      </c>
      <c r="E284" t="s">
        <v>1025</v>
      </c>
      <c r="F284" t="s">
        <v>989</v>
      </c>
      <c r="G284" t="s">
        <v>978</v>
      </c>
      <c r="H284" s="198">
        <v>41232.919932199999</v>
      </c>
      <c r="I284" s="198">
        <v>0</v>
      </c>
      <c r="J284" s="198">
        <v>9399.6917930188665</v>
      </c>
      <c r="K284" s="198">
        <v>6765.4840109999996</v>
      </c>
      <c r="L284" s="198">
        <v>0</v>
      </c>
      <c r="M284" s="198">
        <v>5147.7120000000004</v>
      </c>
      <c r="N284" s="198">
        <v>50</v>
      </c>
      <c r="O284" s="198">
        <v>0</v>
      </c>
      <c r="P284" s="198">
        <v>5735.7942753999996</v>
      </c>
      <c r="Q284" s="198">
        <v>0</v>
      </c>
      <c r="R284" s="198">
        <v>0</v>
      </c>
      <c r="S284" s="198">
        <v>3898</v>
      </c>
      <c r="T284" s="198">
        <v>0</v>
      </c>
      <c r="U284" s="198">
        <v>2000</v>
      </c>
      <c r="V284" s="198">
        <v>4500</v>
      </c>
      <c r="W284" s="198">
        <v>233.3</v>
      </c>
      <c r="X284" s="198">
        <v>1500</v>
      </c>
      <c r="Y284" s="198">
        <v>186</v>
      </c>
      <c r="Z284" s="277">
        <v>80648.902011618862</v>
      </c>
      <c r="AA284" s="272">
        <v>23.771632749999998</v>
      </c>
      <c r="AB284" s="198">
        <v>5.6504401238488775</v>
      </c>
      <c r="AC284" s="272">
        <v>0</v>
      </c>
      <c r="AD284" s="198">
        <v>0</v>
      </c>
      <c r="AE284" s="198">
        <v>5.6504401238488775</v>
      </c>
      <c r="AF284" s="198">
        <v>0</v>
      </c>
      <c r="AG284" s="198">
        <v>0</v>
      </c>
      <c r="AH284" s="198">
        <v>0</v>
      </c>
      <c r="AI284" s="198">
        <v>0</v>
      </c>
      <c r="AJ284" s="198">
        <v>0</v>
      </c>
      <c r="AK284" s="198">
        <v>0</v>
      </c>
      <c r="AL284" s="198">
        <v>0</v>
      </c>
      <c r="AM284" s="198">
        <v>5.2823610028465029E-2</v>
      </c>
      <c r="AN284" s="198">
        <v>1.3499367007274419E-2</v>
      </c>
      <c r="AO284" s="198">
        <v>0</v>
      </c>
      <c r="AP284" s="198">
        <v>1.930093141192527E-3</v>
      </c>
      <c r="AQ284" s="198">
        <v>2.4130613537031212E-3</v>
      </c>
      <c r="AS284" s="258">
        <f t="shared" si="32"/>
        <v>108190.5020485867</v>
      </c>
      <c r="AT284" s="3">
        <f t="shared" si="33"/>
        <v>9.8947818063287283</v>
      </c>
      <c r="AU284" s="3">
        <f t="shared" si="34"/>
        <v>3.8193287954083281</v>
      </c>
      <c r="AV284" s="3">
        <f t="shared" si="35"/>
        <v>0</v>
      </c>
      <c r="AW284" s="3">
        <f t="shared" si="36"/>
        <v>0</v>
      </c>
      <c r="AX284" s="3">
        <f t="shared" si="37"/>
        <v>3.8193287954083281</v>
      </c>
      <c r="AY284" s="102">
        <f t="shared" si="38"/>
        <v>1</v>
      </c>
      <c r="AZ284" s="102">
        <f t="shared" si="39"/>
        <v>0</v>
      </c>
    </row>
    <row r="285" spans="1:52" x14ac:dyDescent="0.35">
      <c r="A285" t="s">
        <v>1017</v>
      </c>
      <c r="B285">
        <v>2030</v>
      </c>
      <c r="C285" t="s">
        <v>837</v>
      </c>
      <c r="D285" t="s">
        <v>1024</v>
      </c>
      <c r="E285" t="s">
        <v>1025</v>
      </c>
      <c r="F285" t="s">
        <v>983</v>
      </c>
      <c r="G285" t="s">
        <v>978</v>
      </c>
      <c r="H285" s="198">
        <v>41493.3895338</v>
      </c>
      <c r="I285" s="198">
        <v>16112</v>
      </c>
      <c r="J285" s="198">
        <v>0</v>
      </c>
      <c r="K285" s="198">
        <v>0</v>
      </c>
      <c r="L285" s="198">
        <v>120</v>
      </c>
      <c r="M285" s="198">
        <v>0</v>
      </c>
      <c r="N285" s="198">
        <v>0</v>
      </c>
      <c r="O285" s="198">
        <v>150</v>
      </c>
      <c r="P285" s="198">
        <v>0</v>
      </c>
      <c r="Q285" s="198">
        <v>0</v>
      </c>
      <c r="R285" s="198">
        <v>73.2</v>
      </c>
      <c r="S285" s="198">
        <v>6311</v>
      </c>
      <c r="T285" s="198">
        <v>506</v>
      </c>
      <c r="U285" s="198">
        <v>2000</v>
      </c>
      <c r="V285" s="198">
        <v>1920</v>
      </c>
      <c r="W285" s="198">
        <v>0</v>
      </c>
      <c r="X285" s="198">
        <v>0</v>
      </c>
      <c r="Y285" s="198">
        <v>186</v>
      </c>
      <c r="Z285" s="277">
        <v>68871.589533799997</v>
      </c>
      <c r="AA285" s="272">
        <v>10.681954859999999</v>
      </c>
      <c r="AB285" s="198">
        <v>12.574494955317572</v>
      </c>
      <c r="AC285" s="272">
        <v>0</v>
      </c>
      <c r="AD285" s="198">
        <v>0</v>
      </c>
      <c r="AE285" s="198">
        <v>12.574494955317572</v>
      </c>
      <c r="AF285" s="198">
        <v>941.27054847368572</v>
      </c>
      <c r="AG285" s="198">
        <v>0.41379912604413499</v>
      </c>
      <c r="AH285" s="198">
        <v>2.1864431232346553E-3</v>
      </c>
      <c r="AI285" s="198">
        <v>954.26392959087309</v>
      </c>
      <c r="AJ285" s="198">
        <v>0.40152884081547346</v>
      </c>
      <c r="AK285" s="198">
        <v>9.3699780715858658</v>
      </c>
      <c r="AL285" s="198">
        <v>0.4386932271696774</v>
      </c>
      <c r="AM285" s="198">
        <v>7.8853311136386786E-2</v>
      </c>
      <c r="AN285" s="198">
        <v>3.2422412274356639E-2</v>
      </c>
      <c r="AO285" s="198">
        <v>6.4919074426525438E-3</v>
      </c>
      <c r="AP285" s="198">
        <v>5.3872858439087254E-3</v>
      </c>
      <c r="AQ285" s="198">
        <v>5.116966896056281E-3</v>
      </c>
      <c r="AS285" s="258">
        <f t="shared" si="32"/>
        <v>92391.237359592691</v>
      </c>
      <c r="AT285" s="3">
        <f t="shared" si="33"/>
        <v>22.019857069628934</v>
      </c>
      <c r="AU285" s="3">
        <f t="shared" si="34"/>
        <v>8.4995380214466358</v>
      </c>
      <c r="AV285" s="3">
        <f t="shared" si="35"/>
        <v>0</v>
      </c>
      <c r="AW285" s="3">
        <f t="shared" si="36"/>
        <v>0</v>
      </c>
      <c r="AX285" s="3">
        <f t="shared" si="37"/>
        <v>8.4995380214466358</v>
      </c>
      <c r="AY285" s="102">
        <f t="shared" si="38"/>
        <v>1</v>
      </c>
      <c r="AZ285" s="102">
        <f t="shared" si="39"/>
        <v>0</v>
      </c>
    </row>
    <row r="286" spans="1:52" x14ac:dyDescent="0.35">
      <c r="A286" t="s">
        <v>1020</v>
      </c>
      <c r="B286">
        <v>2030</v>
      </c>
      <c r="C286" t="s">
        <v>837</v>
      </c>
      <c r="D286" t="s">
        <v>1024</v>
      </c>
      <c r="E286" t="s">
        <v>1025</v>
      </c>
      <c r="F286" t="s">
        <v>983</v>
      </c>
      <c r="G286" t="s">
        <v>978</v>
      </c>
      <c r="H286" s="198">
        <v>41493.3895338</v>
      </c>
      <c r="I286" s="198">
        <v>19832</v>
      </c>
      <c r="J286" s="198">
        <v>0</v>
      </c>
      <c r="K286" s="198">
        <v>0</v>
      </c>
      <c r="L286" s="198">
        <v>150</v>
      </c>
      <c r="M286" s="198">
        <v>980.58618081000009</v>
      </c>
      <c r="N286" s="198">
        <v>40</v>
      </c>
      <c r="O286" s="198">
        <v>150</v>
      </c>
      <c r="P286" s="198">
        <v>1404.5289180299999</v>
      </c>
      <c r="Q286" s="198">
        <v>0</v>
      </c>
      <c r="R286" s="198">
        <v>0</v>
      </c>
      <c r="S286" s="198">
        <v>7183</v>
      </c>
      <c r="T286" s="198">
        <v>392</v>
      </c>
      <c r="U286" s="198">
        <v>2000</v>
      </c>
      <c r="V286" s="198">
        <v>4720</v>
      </c>
      <c r="W286" s="198">
        <v>173.28</v>
      </c>
      <c r="X286" s="198">
        <v>1500</v>
      </c>
      <c r="Y286" s="198">
        <v>186</v>
      </c>
      <c r="Z286" s="277">
        <v>80204.784632640003</v>
      </c>
      <c r="AA286" s="272">
        <v>13.213136029999999</v>
      </c>
      <c r="AB286" s="198">
        <v>10.165655389835566</v>
      </c>
      <c r="AC286" s="272">
        <v>0</v>
      </c>
      <c r="AD286" s="198">
        <v>0</v>
      </c>
      <c r="AE286" s="198">
        <v>10.165655389835566</v>
      </c>
      <c r="AF286" s="198">
        <v>760.95557383309188</v>
      </c>
      <c r="AG286" s="198">
        <v>0.33452948455801979</v>
      </c>
      <c r="AH286" s="198">
        <v>1.7675960266602963E-3</v>
      </c>
      <c r="AI286" s="198">
        <v>771.45987124268811</v>
      </c>
      <c r="AJ286" s="198">
        <v>0.32460976280276838</v>
      </c>
      <c r="AK286" s="198">
        <v>7.5750134239607965</v>
      </c>
      <c r="AL286" s="198">
        <v>0.35465473445324236</v>
      </c>
      <c r="AM286" s="198">
        <v>6.3747736207966588E-2</v>
      </c>
      <c r="AN286" s="198">
        <v>2.6211396263585394E-2</v>
      </c>
      <c r="AO286" s="198">
        <v>5.2482818689116688E-3</v>
      </c>
      <c r="AP286" s="198">
        <v>4.3552676724050955E-3</v>
      </c>
      <c r="AQ286" s="198">
        <v>4.1367325122276446E-3</v>
      </c>
      <c r="AS286" s="258">
        <f t="shared" si="32"/>
        <v>107594.71858468656</v>
      </c>
      <c r="AT286" s="3">
        <f t="shared" si="33"/>
        <v>17.801611873773176</v>
      </c>
      <c r="AU286" s="3">
        <f t="shared" si="34"/>
        <v>6.8713196677766044</v>
      </c>
      <c r="AV286" s="3">
        <f t="shared" si="35"/>
        <v>0</v>
      </c>
      <c r="AW286" s="3">
        <f t="shared" si="36"/>
        <v>0</v>
      </c>
      <c r="AX286" s="3">
        <f t="shared" si="37"/>
        <v>6.8713196677766044</v>
      </c>
      <c r="AY286" s="102">
        <f t="shared" si="38"/>
        <v>1</v>
      </c>
      <c r="AZ286" s="102">
        <f t="shared" si="39"/>
        <v>0</v>
      </c>
    </row>
    <row r="287" spans="1:52" x14ac:dyDescent="0.35">
      <c r="A287" t="s">
        <v>1021</v>
      </c>
      <c r="B287">
        <v>2030</v>
      </c>
      <c r="C287" t="s">
        <v>837</v>
      </c>
      <c r="D287" t="s">
        <v>1024</v>
      </c>
      <c r="E287" t="s">
        <v>1025</v>
      </c>
      <c r="F287" t="s">
        <v>983</v>
      </c>
      <c r="G287" t="s">
        <v>978</v>
      </c>
      <c r="H287" s="198">
        <v>41493.3895338</v>
      </c>
      <c r="I287" s="198">
        <v>9944</v>
      </c>
      <c r="J287" s="198">
        <v>0</v>
      </c>
      <c r="K287" s="198">
        <v>0</v>
      </c>
      <c r="L287" s="198">
        <v>0</v>
      </c>
      <c r="M287" s="198">
        <v>10364.4375</v>
      </c>
      <c r="N287" s="198">
        <v>40</v>
      </c>
      <c r="O287" s="198">
        <v>0</v>
      </c>
      <c r="P287" s="198">
        <v>4111.9492293600006</v>
      </c>
      <c r="Q287" s="198">
        <v>0</v>
      </c>
      <c r="R287" s="198">
        <v>1710.10004151</v>
      </c>
      <c r="S287" s="198">
        <v>3678</v>
      </c>
      <c r="T287" s="198">
        <v>0</v>
      </c>
      <c r="U287" s="198">
        <v>2000</v>
      </c>
      <c r="V287" s="198">
        <v>4720</v>
      </c>
      <c r="W287" s="198">
        <v>173.28</v>
      </c>
      <c r="X287" s="198">
        <v>1500</v>
      </c>
      <c r="Y287" s="198">
        <v>186</v>
      </c>
      <c r="Z287" s="277">
        <v>79921.156304670003</v>
      </c>
      <c r="AA287" s="272">
        <v>85.658034750000013</v>
      </c>
      <c r="AB287" s="198">
        <v>1.5680979360783198</v>
      </c>
      <c r="AC287" s="272">
        <v>672</v>
      </c>
      <c r="AD287" s="198">
        <v>2.4192</v>
      </c>
      <c r="AE287" s="198">
        <v>3.9872979360783196</v>
      </c>
      <c r="AF287" s="198">
        <v>117.38081009199608</v>
      </c>
      <c r="AG287" s="198">
        <v>5.1602673332531712E-2</v>
      </c>
      <c r="AH287" s="198">
        <v>2.7265961464694941E-4</v>
      </c>
      <c r="AI287" s="198">
        <v>119.00114507840635</v>
      </c>
      <c r="AJ287" s="198">
        <v>5.0072511762581762E-2</v>
      </c>
      <c r="AK287" s="198">
        <v>1.1684797940086999</v>
      </c>
      <c r="AL287" s="198">
        <v>5.470708338909467E-2</v>
      </c>
      <c r="AM287" s="198">
        <v>4.559975552806568E-2</v>
      </c>
      <c r="AN287" s="198">
        <v>1.3183522876753553E-2</v>
      </c>
      <c r="AO287" s="198">
        <v>8.0957101642718343E-4</v>
      </c>
      <c r="AP287" s="198">
        <v>1.9786679149474372E-3</v>
      </c>
      <c r="AQ287" s="198">
        <v>2.271971228364685E-3</v>
      </c>
      <c r="AS287" s="258">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102">
        <f t="shared" si="38"/>
        <v>0.41352595980584755</v>
      </c>
      <c r="AZ287" s="102">
        <f t="shared" si="39"/>
        <v>0.5864740401941525</v>
      </c>
    </row>
    <row r="288" spans="1:52" x14ac:dyDescent="0.35">
      <c r="A288" t="s">
        <v>246</v>
      </c>
      <c r="B288">
        <v>2030</v>
      </c>
      <c r="C288" t="s">
        <v>837</v>
      </c>
      <c r="D288" t="s">
        <v>1024</v>
      </c>
      <c r="E288" t="s">
        <v>1025</v>
      </c>
      <c r="F288" t="s">
        <v>977</v>
      </c>
      <c r="G288" t="s">
        <v>978</v>
      </c>
      <c r="H288" s="198">
        <v>41493.3895338</v>
      </c>
      <c r="I288" s="198">
        <v>0</v>
      </c>
      <c r="J288" s="198">
        <v>0</v>
      </c>
      <c r="K288" s="198">
        <v>0</v>
      </c>
      <c r="L288" s="198">
        <v>0</v>
      </c>
      <c r="M288" s="198">
        <v>20108.25</v>
      </c>
      <c r="N288" s="198">
        <v>40</v>
      </c>
      <c r="O288" s="198">
        <v>0</v>
      </c>
      <c r="P288" s="198">
        <v>4107.1907517300006</v>
      </c>
      <c r="Q288" s="198">
        <v>0</v>
      </c>
      <c r="R288" s="198">
        <v>0</v>
      </c>
      <c r="S288" s="198">
        <v>3675</v>
      </c>
      <c r="T288" s="198">
        <v>0</v>
      </c>
      <c r="U288" s="198">
        <v>2000</v>
      </c>
      <c r="V288" s="198">
        <v>4500</v>
      </c>
      <c r="W288" s="198">
        <v>173.28</v>
      </c>
      <c r="X288" s="198">
        <v>1500</v>
      </c>
      <c r="Y288" s="198">
        <v>186</v>
      </c>
      <c r="Z288" s="277">
        <v>77783.110285529998</v>
      </c>
      <c r="AA288" s="272">
        <v>0</v>
      </c>
      <c r="AB288" s="198">
        <v>0</v>
      </c>
      <c r="AC288" s="272">
        <v>814</v>
      </c>
      <c r="AD288" s="198">
        <v>2.9304000000000001</v>
      </c>
      <c r="AE288" s="198">
        <v>2.9304000000000001</v>
      </c>
      <c r="AF288" s="198">
        <v>0</v>
      </c>
      <c r="AG288" s="198">
        <v>0</v>
      </c>
      <c r="AH288" s="198">
        <v>0</v>
      </c>
      <c r="AI288" s="198">
        <v>0</v>
      </c>
      <c r="AJ288" s="198">
        <v>0</v>
      </c>
      <c r="AK288" s="198">
        <v>0</v>
      </c>
      <c r="AL288" s="198">
        <v>0</v>
      </c>
      <c r="AM288" s="198">
        <v>4.3324158318102532E-2</v>
      </c>
      <c r="AN288" s="198">
        <v>1.1071729347959507E-2</v>
      </c>
      <c r="AO288" s="198">
        <v>0</v>
      </c>
      <c r="AP288" s="198">
        <v>1.5829978445745796E-3</v>
      </c>
      <c r="AQ288" s="198">
        <v>1.9791122201377859E-3</v>
      </c>
      <c r="AS288" s="258">
        <f t="shared" si="32"/>
        <v>104346.04244803848</v>
      </c>
      <c r="AT288" s="3">
        <f t="shared" si="33"/>
        <v>0</v>
      </c>
      <c r="AU288" s="3">
        <f t="shared" si="34"/>
        <v>0</v>
      </c>
      <c r="AV288" s="3">
        <f t="shared" si="35"/>
        <v>50.579740763294268</v>
      </c>
      <c r="AW288" s="3">
        <f t="shared" si="36"/>
        <v>1.8208706674785937</v>
      </c>
      <c r="AX288" s="3">
        <f t="shared" si="37"/>
        <v>1.8208706674785937</v>
      </c>
      <c r="AY288" s="102">
        <f t="shared" si="38"/>
        <v>0</v>
      </c>
      <c r="AZ288" s="102">
        <f t="shared" si="39"/>
        <v>1</v>
      </c>
    </row>
    <row r="289" spans="1:52" x14ac:dyDescent="0.35">
      <c r="A289" t="s">
        <v>627</v>
      </c>
      <c r="B289">
        <v>2030</v>
      </c>
      <c r="C289" t="s">
        <v>837</v>
      </c>
      <c r="D289" t="s">
        <v>1024</v>
      </c>
      <c r="E289" t="s">
        <v>1025</v>
      </c>
      <c r="F289" t="s">
        <v>989</v>
      </c>
      <c r="G289" t="s">
        <v>978</v>
      </c>
      <c r="H289" s="198">
        <v>41493.3895338</v>
      </c>
      <c r="I289" s="198">
        <v>0</v>
      </c>
      <c r="J289" s="198">
        <v>19009.784519000001</v>
      </c>
      <c r="K289" s="198">
        <v>6004.2595799999999</v>
      </c>
      <c r="L289" s="198">
        <v>0</v>
      </c>
      <c r="M289" s="198">
        <v>3719.4648235</v>
      </c>
      <c r="N289" s="198">
        <v>40</v>
      </c>
      <c r="O289" s="198">
        <v>0</v>
      </c>
      <c r="P289" s="198">
        <v>4107.1907517300006</v>
      </c>
      <c r="Q289" s="198">
        <v>0</v>
      </c>
      <c r="R289" s="198">
        <v>0</v>
      </c>
      <c r="S289" s="198">
        <v>3675</v>
      </c>
      <c r="T289" s="198">
        <v>0</v>
      </c>
      <c r="U289" s="198">
        <v>2000</v>
      </c>
      <c r="V289" s="198">
        <v>4500</v>
      </c>
      <c r="W289" s="198">
        <v>173.28</v>
      </c>
      <c r="X289" s="198">
        <v>1500</v>
      </c>
      <c r="Y289" s="198">
        <v>186</v>
      </c>
      <c r="Z289" s="277">
        <v>86408.36920803001</v>
      </c>
      <c r="AA289" s="272">
        <v>25.34310983</v>
      </c>
      <c r="AB289" s="198">
        <v>5.3000672924913887</v>
      </c>
      <c r="AC289" s="272">
        <v>0</v>
      </c>
      <c r="AD289" s="198">
        <v>0</v>
      </c>
      <c r="AE289" s="198">
        <v>5.3000672924913887</v>
      </c>
      <c r="AF289" s="198">
        <v>0</v>
      </c>
      <c r="AG289" s="198">
        <v>0</v>
      </c>
      <c r="AH289" s="198">
        <v>0</v>
      </c>
      <c r="AI289" s="198">
        <v>0</v>
      </c>
      <c r="AJ289" s="198">
        <v>0</v>
      </c>
      <c r="AK289" s="198">
        <v>0</v>
      </c>
      <c r="AL289" s="198">
        <v>0</v>
      </c>
      <c r="AM289" s="198">
        <v>4.9548120437825818E-2</v>
      </c>
      <c r="AN289" s="198">
        <v>1.2662297445222175E-2</v>
      </c>
      <c r="AO289" s="198">
        <v>0</v>
      </c>
      <c r="AP289" s="198">
        <v>1.810411809501385E-3</v>
      </c>
      <c r="AQ289" s="198">
        <v>2.2634321000158187E-3</v>
      </c>
      <c r="AS289" s="258">
        <f t="shared" si="32"/>
        <v>115916.82729257226</v>
      </c>
      <c r="AT289" s="3">
        <f t="shared" si="33"/>
        <v>9.281225580413631</v>
      </c>
      <c r="AU289" s="3">
        <f t="shared" si="34"/>
        <v>3.5824996255381287</v>
      </c>
      <c r="AV289" s="3">
        <f t="shared" si="35"/>
        <v>0</v>
      </c>
      <c r="AW289" s="3">
        <f t="shared" si="36"/>
        <v>0</v>
      </c>
      <c r="AX289" s="3">
        <f t="shared" si="37"/>
        <v>3.5824996255381287</v>
      </c>
      <c r="AY289" s="102">
        <f t="shared" si="38"/>
        <v>1</v>
      </c>
      <c r="AZ289" s="102">
        <f t="shared" si="39"/>
        <v>0</v>
      </c>
    </row>
    <row r="290" spans="1:52" x14ac:dyDescent="0.35">
      <c r="A290" t="s">
        <v>1065</v>
      </c>
      <c r="B290">
        <v>2030</v>
      </c>
      <c r="C290" t="s">
        <v>837</v>
      </c>
      <c r="D290" t="s">
        <v>1024</v>
      </c>
      <c r="E290" t="s">
        <v>1025</v>
      </c>
      <c r="F290" t="s">
        <v>989</v>
      </c>
      <c r="G290" t="s">
        <v>978</v>
      </c>
      <c r="H290" s="198">
        <v>41493.3895338</v>
      </c>
      <c r="I290" s="198">
        <v>0</v>
      </c>
      <c r="J290" s="198">
        <v>7522.5575920000001</v>
      </c>
      <c r="K290" s="198">
        <v>5881.4428200000002</v>
      </c>
      <c r="L290" s="198">
        <v>0</v>
      </c>
      <c r="M290" s="198">
        <v>4133.3625000000002</v>
      </c>
      <c r="N290" s="198">
        <v>40</v>
      </c>
      <c r="O290" s="198">
        <v>0</v>
      </c>
      <c r="P290" s="198">
        <v>4521.0288860400005</v>
      </c>
      <c r="Q290" s="198">
        <v>0</v>
      </c>
      <c r="R290" s="198">
        <v>0</v>
      </c>
      <c r="S290" s="198">
        <v>3877</v>
      </c>
      <c r="T290" s="198">
        <v>0</v>
      </c>
      <c r="U290" s="198">
        <v>2000</v>
      </c>
      <c r="V290" s="198">
        <v>4500</v>
      </c>
      <c r="W290" s="198">
        <v>173.28</v>
      </c>
      <c r="X290" s="198">
        <v>1500</v>
      </c>
      <c r="Y290" s="198">
        <v>186</v>
      </c>
      <c r="Z290" s="277">
        <v>75828.061331839999</v>
      </c>
      <c r="AA290" s="272">
        <v>25.587859510000001</v>
      </c>
      <c r="AB290" s="198">
        <v>5.2493717752165345</v>
      </c>
      <c r="AC290" s="272">
        <v>0</v>
      </c>
      <c r="AD290" s="198">
        <v>0</v>
      </c>
      <c r="AE290" s="198">
        <v>5.2493717752165345</v>
      </c>
      <c r="AF290" s="198">
        <v>0</v>
      </c>
      <c r="AG290" s="198">
        <v>0</v>
      </c>
      <c r="AH290" s="198">
        <v>0</v>
      </c>
      <c r="AI290" s="198">
        <v>0</v>
      </c>
      <c r="AJ290" s="198">
        <v>0</v>
      </c>
      <c r="AK290" s="198">
        <v>0</v>
      </c>
      <c r="AL290" s="198">
        <v>0</v>
      </c>
      <c r="AM290" s="198">
        <v>4.9074189173000007E-2</v>
      </c>
      <c r="AN290" s="198">
        <v>1.2541181677544467E-2</v>
      </c>
      <c r="AO290" s="198">
        <v>0</v>
      </c>
      <c r="AP290" s="198">
        <v>1.793095092920597E-3</v>
      </c>
      <c r="AQ290" s="198">
        <v>2.2417822124211136E-3</v>
      </c>
      <c r="AS290" s="258">
        <f t="shared" si="32"/>
        <v>101723.34427666335</v>
      </c>
      <c r="AT290" s="3">
        <f t="shared" si="33"/>
        <v>9.1924500034676058</v>
      </c>
      <c r="AU290" s="3">
        <f t="shared" si="34"/>
        <v>3.5482327640756477</v>
      </c>
      <c r="AV290" s="3">
        <f t="shared" si="35"/>
        <v>0</v>
      </c>
      <c r="AW290" s="3">
        <f t="shared" si="36"/>
        <v>0</v>
      </c>
      <c r="AX290" s="3">
        <f t="shared" si="37"/>
        <v>3.5482327640756477</v>
      </c>
      <c r="AY290" s="102">
        <f t="shared" si="38"/>
        <v>1</v>
      </c>
      <c r="AZ290" s="102">
        <f t="shared" si="39"/>
        <v>0</v>
      </c>
    </row>
    <row r="291" spans="1:52" x14ac:dyDescent="0.35">
      <c r="A291" t="s">
        <v>1017</v>
      </c>
      <c r="B291">
        <v>2035</v>
      </c>
      <c r="C291" t="s">
        <v>837</v>
      </c>
      <c r="D291" t="s">
        <v>1024</v>
      </c>
      <c r="E291" t="s">
        <v>1025</v>
      </c>
      <c r="F291" t="s">
        <v>983</v>
      </c>
      <c r="G291" t="s">
        <v>978</v>
      </c>
      <c r="H291" s="198">
        <v>41493.3895338</v>
      </c>
      <c r="I291" s="198">
        <v>15826</v>
      </c>
      <c r="J291" s="198">
        <v>0</v>
      </c>
      <c r="K291" s="198">
        <v>0</v>
      </c>
      <c r="L291" s="198">
        <v>120</v>
      </c>
      <c r="M291" s="198">
        <v>0</v>
      </c>
      <c r="N291" s="198">
        <v>0</v>
      </c>
      <c r="O291" s="198">
        <v>150</v>
      </c>
      <c r="P291" s="198">
        <v>0</v>
      </c>
      <c r="Q291" s="198">
        <v>0</v>
      </c>
      <c r="R291" s="198">
        <v>62.6</v>
      </c>
      <c r="S291" s="198">
        <v>6239</v>
      </c>
      <c r="T291" s="198">
        <v>506</v>
      </c>
      <c r="U291" s="198">
        <v>2000</v>
      </c>
      <c r="V291" s="198">
        <v>1920</v>
      </c>
      <c r="W291" s="198">
        <v>0</v>
      </c>
      <c r="X291" s="198">
        <v>0</v>
      </c>
      <c r="Y291" s="198">
        <v>186</v>
      </c>
      <c r="Z291" s="277">
        <v>68502.989533799991</v>
      </c>
      <c r="AA291" s="272">
        <v>11.27928644</v>
      </c>
      <c r="AB291" s="198">
        <v>11.908571363491326</v>
      </c>
      <c r="AC291" s="272">
        <v>0</v>
      </c>
      <c r="AD291" s="198">
        <v>0</v>
      </c>
      <c r="AE291" s="198">
        <v>11.908571363491326</v>
      </c>
      <c r="AF291" s="198">
        <v>891.42248167281696</v>
      </c>
      <c r="AG291" s="198">
        <v>0.39188503714521328</v>
      </c>
      <c r="AH291" s="198">
        <v>2.070652861826781E-3</v>
      </c>
      <c r="AI291" s="198">
        <v>903.72775570862484</v>
      </c>
      <c r="AJ291" s="198">
        <v>0.38026456508529038</v>
      </c>
      <c r="AK291" s="198">
        <v>8.8737601737747944</v>
      </c>
      <c r="AL291" s="198">
        <v>0.41546078955808657</v>
      </c>
      <c r="AM291" s="198">
        <v>7.4677375612461072E-2</v>
      </c>
      <c r="AN291" s="198">
        <v>3.0705377171624307E-2</v>
      </c>
      <c r="AO291" s="198">
        <v>6.1481072075435751E-3</v>
      </c>
      <c r="AP291" s="198">
        <v>5.1019844658320435E-3</v>
      </c>
      <c r="AQ291" s="198">
        <v>4.8459811438025246E-3</v>
      </c>
      <c r="AS291" s="258">
        <f t="shared" si="32"/>
        <v>91896.760459592682</v>
      </c>
      <c r="AT291" s="3">
        <f t="shared" si="33"/>
        <v>20.853723370946518</v>
      </c>
      <c r="AU291" s="3">
        <f t="shared" si="34"/>
        <v>8.0494171292582823</v>
      </c>
      <c r="AV291" s="3">
        <f t="shared" si="35"/>
        <v>0</v>
      </c>
      <c r="AW291" s="3">
        <f t="shared" si="36"/>
        <v>0</v>
      </c>
      <c r="AX291" s="3">
        <f t="shared" si="37"/>
        <v>8.0494171292582823</v>
      </c>
      <c r="AY291" s="102">
        <f t="shared" si="38"/>
        <v>1</v>
      </c>
      <c r="AZ291" s="102">
        <f t="shared" si="39"/>
        <v>0</v>
      </c>
    </row>
    <row r="292" spans="1:52" x14ac:dyDescent="0.35">
      <c r="A292" t="s">
        <v>1020</v>
      </c>
      <c r="B292">
        <v>2035</v>
      </c>
      <c r="C292" t="s">
        <v>837</v>
      </c>
      <c r="D292" t="s">
        <v>1024</v>
      </c>
      <c r="E292" t="s">
        <v>1025</v>
      </c>
      <c r="F292" t="s">
        <v>983</v>
      </c>
      <c r="G292" t="s">
        <v>978</v>
      </c>
      <c r="H292" s="198">
        <v>41493.3895338</v>
      </c>
      <c r="I292" s="198">
        <v>19286</v>
      </c>
      <c r="J292" s="198">
        <v>0</v>
      </c>
      <c r="K292" s="198">
        <v>0</v>
      </c>
      <c r="L292" s="198">
        <v>150</v>
      </c>
      <c r="M292" s="198">
        <v>982.36582920000001</v>
      </c>
      <c r="N292" s="198">
        <v>35</v>
      </c>
      <c r="O292" s="198">
        <v>150</v>
      </c>
      <c r="P292" s="198">
        <v>1217.93177825</v>
      </c>
      <c r="Q292" s="198">
        <v>0</v>
      </c>
      <c r="R292" s="198">
        <v>0</v>
      </c>
      <c r="S292" s="198">
        <v>7122</v>
      </c>
      <c r="T292" s="198">
        <v>392</v>
      </c>
      <c r="U292" s="198">
        <v>2000</v>
      </c>
      <c r="V292" s="198">
        <v>4720</v>
      </c>
      <c r="W292" s="198">
        <v>140</v>
      </c>
      <c r="X292" s="198">
        <v>1500</v>
      </c>
      <c r="Y292" s="198">
        <v>186</v>
      </c>
      <c r="Z292" s="277">
        <v>79374.687141250004</v>
      </c>
      <c r="AA292" s="272">
        <v>14.01782946</v>
      </c>
      <c r="AB292" s="198">
        <v>9.5820959930554057</v>
      </c>
      <c r="AC292" s="272">
        <v>0</v>
      </c>
      <c r="AD292" s="198">
        <v>0</v>
      </c>
      <c r="AE292" s="198">
        <v>9.5820959930554057</v>
      </c>
      <c r="AF292" s="198">
        <v>717.27292292535515</v>
      </c>
      <c r="AG292" s="198">
        <v>0.31532582117109736</v>
      </c>
      <c r="AH292" s="198">
        <v>1.6661271855956796E-3</v>
      </c>
      <c r="AI292" s="198">
        <v>727.17422119472155</v>
      </c>
      <c r="AJ292" s="198">
        <v>0.30597554099356356</v>
      </c>
      <c r="AK292" s="198">
        <v>7.1401698162669804</v>
      </c>
      <c r="AL292" s="198">
        <v>0.3342957811968002</v>
      </c>
      <c r="AM292" s="198">
        <v>6.0088297729969591E-2</v>
      </c>
      <c r="AN292" s="198">
        <v>2.4706731192247474E-2</v>
      </c>
      <c r="AO292" s="198">
        <v>4.9470042744914743E-3</v>
      </c>
      <c r="AP292" s="198">
        <v>4.1052535534663306E-3</v>
      </c>
      <c r="AQ292" s="198">
        <v>3.899263403065221E-3</v>
      </c>
      <c r="AS292" s="258">
        <f t="shared" si="32"/>
        <v>106481.14279998688</v>
      </c>
      <c r="AT292" s="3">
        <f t="shared" si="33"/>
        <v>16.779710433246215</v>
      </c>
      <c r="AU292" s="3">
        <f t="shared" si="34"/>
        <v>6.4768715966349522</v>
      </c>
      <c r="AV292" s="3">
        <f t="shared" si="35"/>
        <v>0</v>
      </c>
      <c r="AW292" s="3">
        <f t="shared" si="36"/>
        <v>0</v>
      </c>
      <c r="AX292" s="3">
        <f t="shared" si="37"/>
        <v>6.4768715966349522</v>
      </c>
      <c r="AY292" s="102">
        <f t="shared" si="38"/>
        <v>1</v>
      </c>
      <c r="AZ292" s="102">
        <f t="shared" si="39"/>
        <v>0</v>
      </c>
    </row>
    <row r="293" spans="1:52" x14ac:dyDescent="0.35">
      <c r="A293" t="s">
        <v>1021</v>
      </c>
      <c r="B293">
        <v>2035</v>
      </c>
      <c r="C293" t="s">
        <v>837</v>
      </c>
      <c r="D293" t="s">
        <v>1024</v>
      </c>
      <c r="E293" t="s">
        <v>1025</v>
      </c>
      <c r="F293" t="s">
        <v>983</v>
      </c>
      <c r="G293" t="s">
        <v>978</v>
      </c>
      <c r="H293" s="198">
        <v>41493.3895338</v>
      </c>
      <c r="I293" s="198">
        <v>9705</v>
      </c>
      <c r="J293" s="198">
        <v>0</v>
      </c>
      <c r="K293" s="198">
        <v>0</v>
      </c>
      <c r="L293" s="198">
        <v>0</v>
      </c>
      <c r="M293" s="198">
        <v>8132.67</v>
      </c>
      <c r="N293" s="198">
        <v>35</v>
      </c>
      <c r="O293" s="198">
        <v>0</v>
      </c>
      <c r="P293" s="198">
        <v>3498.5338789599996</v>
      </c>
      <c r="Q293" s="198">
        <v>0</v>
      </c>
      <c r="R293" s="198">
        <v>1367.348639565</v>
      </c>
      <c r="S293" s="198">
        <v>3661</v>
      </c>
      <c r="T293" s="198">
        <v>0</v>
      </c>
      <c r="U293" s="198">
        <v>2000</v>
      </c>
      <c r="V293" s="198">
        <v>4720</v>
      </c>
      <c r="W293" s="198">
        <v>140</v>
      </c>
      <c r="X293" s="198">
        <v>1500</v>
      </c>
      <c r="Y293" s="198">
        <v>186</v>
      </c>
      <c r="Z293" s="277">
        <v>76438.942052325001</v>
      </c>
      <c r="AA293" s="272">
        <v>93.270406750000006</v>
      </c>
      <c r="AB293" s="198">
        <v>1.440115811438766</v>
      </c>
      <c r="AC293" s="272">
        <v>632.80000000000007</v>
      </c>
      <c r="AD293" s="198">
        <v>2.2780800000000001</v>
      </c>
      <c r="AE293" s="198">
        <v>3.7181958114387661</v>
      </c>
      <c r="AF293" s="198">
        <v>107.80063966905935</v>
      </c>
      <c r="AG293" s="198">
        <v>4.7391061533147011E-2</v>
      </c>
      <c r="AH293" s="198">
        <v>2.504061852003235E-4</v>
      </c>
      <c r="AI293" s="198">
        <v>109.28872914361899</v>
      </c>
      <c r="AJ293" s="198">
        <v>4.5985785867488055E-2</v>
      </c>
      <c r="AK293" s="198">
        <v>1.0731129657035623</v>
      </c>
      <c r="AL293" s="198">
        <v>5.0242101576491935E-2</v>
      </c>
      <c r="AM293" s="198">
        <v>4.2710821088007826E-2</v>
      </c>
      <c r="AN293" s="198">
        <v>1.232034634451884E-2</v>
      </c>
      <c r="AO293" s="198">
        <v>7.4349694264319805E-4</v>
      </c>
      <c r="AP293" s="198">
        <v>1.8476037644473958E-3</v>
      </c>
      <c r="AQ293" s="198">
        <v>2.1245825825082195E-3</v>
      </c>
      <c r="AS293" s="258">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102">
        <f t="shared" si="38"/>
        <v>0.40746762483273274</v>
      </c>
      <c r="AZ293" s="102">
        <f t="shared" si="39"/>
        <v>0.5925323751672672</v>
      </c>
    </row>
    <row r="294" spans="1:52" x14ac:dyDescent="0.35">
      <c r="A294" t="s">
        <v>246</v>
      </c>
      <c r="B294">
        <v>2035</v>
      </c>
      <c r="C294" t="s">
        <v>837</v>
      </c>
      <c r="D294" t="s">
        <v>1024</v>
      </c>
      <c r="E294" t="s">
        <v>1025</v>
      </c>
      <c r="F294" t="s">
        <v>977</v>
      </c>
      <c r="G294" t="s">
        <v>978</v>
      </c>
      <c r="H294" s="198">
        <v>41493.3895338</v>
      </c>
      <c r="I294" s="198">
        <v>0</v>
      </c>
      <c r="J294" s="198">
        <v>0</v>
      </c>
      <c r="K294" s="198">
        <v>0</v>
      </c>
      <c r="L294" s="198">
        <v>0</v>
      </c>
      <c r="M294" s="198">
        <v>16354.71</v>
      </c>
      <c r="N294" s="198">
        <v>35</v>
      </c>
      <c r="O294" s="198">
        <v>0</v>
      </c>
      <c r="P294" s="198">
        <v>3493.67227976</v>
      </c>
      <c r="Q294" s="198">
        <v>0</v>
      </c>
      <c r="R294" s="198">
        <v>0</v>
      </c>
      <c r="S294" s="198">
        <v>3658</v>
      </c>
      <c r="T294" s="198">
        <v>0</v>
      </c>
      <c r="U294" s="198">
        <v>2000</v>
      </c>
      <c r="V294" s="198">
        <v>4500</v>
      </c>
      <c r="W294" s="198">
        <v>140</v>
      </c>
      <c r="X294" s="198">
        <v>1500</v>
      </c>
      <c r="Y294" s="198">
        <v>186</v>
      </c>
      <c r="Z294" s="277">
        <v>73360.771813560001</v>
      </c>
      <c r="AA294" s="272">
        <v>0</v>
      </c>
      <c r="AB294" s="198">
        <v>0</v>
      </c>
      <c r="AC294" s="272">
        <v>766</v>
      </c>
      <c r="AD294" s="198">
        <v>2.7576000000000001</v>
      </c>
      <c r="AE294" s="198">
        <v>2.7576000000000001</v>
      </c>
      <c r="AF294" s="198">
        <v>0</v>
      </c>
      <c r="AG294" s="198">
        <v>0</v>
      </c>
      <c r="AH294" s="198">
        <v>0</v>
      </c>
      <c r="AI294" s="198">
        <v>0</v>
      </c>
      <c r="AJ294" s="198">
        <v>0</v>
      </c>
      <c r="AK294" s="198">
        <v>0</v>
      </c>
      <c r="AL294" s="198">
        <v>0</v>
      </c>
      <c r="AM294" s="198">
        <v>4.0769416795659139E-2</v>
      </c>
      <c r="AN294" s="198">
        <v>1.0418850958890643E-2</v>
      </c>
      <c r="AO294" s="198">
        <v>0</v>
      </c>
      <c r="AP294" s="198">
        <v>1.4896515343293957E-3</v>
      </c>
      <c r="AQ294" s="198">
        <v>1.8624078140362949E-3</v>
      </c>
      <c r="AS294" s="258">
        <f t="shared" si="32"/>
        <v>98413.475387890736</v>
      </c>
      <c r="AT294" s="3">
        <f t="shared" si="33"/>
        <v>0</v>
      </c>
      <c r="AU294" s="3">
        <f t="shared" si="34"/>
        <v>0</v>
      </c>
      <c r="AV294" s="3">
        <f t="shared" si="35"/>
        <v>47.597151627375197</v>
      </c>
      <c r="AW294" s="3">
        <f t="shared" si="36"/>
        <v>1.7134974585855069</v>
      </c>
      <c r="AX294" s="3">
        <f t="shared" si="37"/>
        <v>1.7134974585855069</v>
      </c>
      <c r="AY294" s="102">
        <f t="shared" si="38"/>
        <v>0</v>
      </c>
      <c r="AZ294" s="102">
        <f t="shared" si="39"/>
        <v>1</v>
      </c>
    </row>
    <row r="295" spans="1:52" x14ac:dyDescent="0.35">
      <c r="A295" t="s">
        <v>627</v>
      </c>
      <c r="B295">
        <v>2035</v>
      </c>
      <c r="C295" t="s">
        <v>837</v>
      </c>
      <c r="D295" t="s">
        <v>1024</v>
      </c>
      <c r="E295" t="s">
        <v>1025</v>
      </c>
      <c r="F295" t="s">
        <v>989</v>
      </c>
      <c r="G295" t="s">
        <v>978</v>
      </c>
      <c r="H295" s="198">
        <v>41493.3895338</v>
      </c>
      <c r="I295" s="198">
        <v>0</v>
      </c>
      <c r="J295" s="198">
        <v>16277.8424975</v>
      </c>
      <c r="K295" s="198">
        <v>5658.3501975000008</v>
      </c>
      <c r="L295" s="198">
        <v>0</v>
      </c>
      <c r="M295" s="198">
        <v>3470.3140698000002</v>
      </c>
      <c r="N295" s="198">
        <v>35</v>
      </c>
      <c r="O295" s="198">
        <v>0</v>
      </c>
      <c r="P295" s="198">
        <v>3493.67227976</v>
      </c>
      <c r="Q295" s="198">
        <v>0</v>
      </c>
      <c r="R295" s="198">
        <v>0</v>
      </c>
      <c r="S295" s="198">
        <v>3658</v>
      </c>
      <c r="T295" s="198">
        <v>0</v>
      </c>
      <c r="U295" s="198">
        <v>2000</v>
      </c>
      <c r="V295" s="198">
        <v>4500</v>
      </c>
      <c r="W295" s="198">
        <v>140</v>
      </c>
      <c r="X295" s="198">
        <v>1500</v>
      </c>
      <c r="Y295" s="198">
        <v>186</v>
      </c>
      <c r="Z295" s="277">
        <v>82412.568578360006</v>
      </c>
      <c r="AA295" s="272">
        <v>26.719383290000003</v>
      </c>
      <c r="AB295" s="198">
        <v>5.0270691520889521</v>
      </c>
      <c r="AC295" s="272">
        <v>0</v>
      </c>
      <c r="AD295" s="198">
        <v>0</v>
      </c>
      <c r="AE295" s="198">
        <v>5.0270691520889521</v>
      </c>
      <c r="AF295" s="198">
        <v>0</v>
      </c>
      <c r="AG295" s="198">
        <v>0</v>
      </c>
      <c r="AH295" s="198">
        <v>0</v>
      </c>
      <c r="AI295" s="198">
        <v>0</v>
      </c>
      <c r="AJ295" s="198">
        <v>0</v>
      </c>
      <c r="AK295" s="198">
        <v>0</v>
      </c>
      <c r="AL295" s="198">
        <v>0</v>
      </c>
      <c r="AM295" s="198">
        <v>4.6995974588823958E-2</v>
      </c>
      <c r="AN295" s="198">
        <v>1.2010082394921698E-2</v>
      </c>
      <c r="AO295" s="198">
        <v>0</v>
      </c>
      <c r="AP295" s="198">
        <v>1.7171603411555627E-3</v>
      </c>
      <c r="AQ295" s="198">
        <v>2.1468462681515899E-3</v>
      </c>
      <c r="AS295" s="258">
        <f t="shared" si="32"/>
        <v>110556.46074786995</v>
      </c>
      <c r="AT295" s="3">
        <f t="shared" si="33"/>
        <v>8.8031642305703866</v>
      </c>
      <c r="AU295" s="3">
        <f t="shared" si="34"/>
        <v>3.3979706975469881</v>
      </c>
      <c r="AV295" s="3">
        <f t="shared" si="35"/>
        <v>0</v>
      </c>
      <c r="AW295" s="3">
        <f t="shared" si="36"/>
        <v>0</v>
      </c>
      <c r="AX295" s="3">
        <f t="shared" si="37"/>
        <v>3.3979706975469881</v>
      </c>
      <c r="AY295" s="102">
        <f t="shared" si="38"/>
        <v>1</v>
      </c>
      <c r="AZ295" s="102">
        <f t="shared" si="39"/>
        <v>0</v>
      </c>
    </row>
    <row r="296" spans="1:52" x14ac:dyDescent="0.35">
      <c r="A296" t="s">
        <v>1065</v>
      </c>
      <c r="B296">
        <v>2035</v>
      </c>
      <c r="C296" t="s">
        <v>837</v>
      </c>
      <c r="D296" t="s">
        <v>1024</v>
      </c>
      <c r="E296" t="s">
        <v>1025</v>
      </c>
      <c r="F296" t="s">
        <v>989</v>
      </c>
      <c r="G296" t="s">
        <v>978</v>
      </c>
      <c r="H296" s="198">
        <v>41493.3895338</v>
      </c>
      <c r="I296" s="198">
        <v>0</v>
      </c>
      <c r="J296" s="198">
        <v>6066.2310895000001</v>
      </c>
      <c r="K296" s="198">
        <v>5553.852554250001</v>
      </c>
      <c r="L296" s="198">
        <v>0</v>
      </c>
      <c r="M296" s="198">
        <v>3720.0262499999999</v>
      </c>
      <c r="N296" s="198">
        <v>35</v>
      </c>
      <c r="O296" s="198">
        <v>0</v>
      </c>
      <c r="P296" s="198">
        <v>3859.2848852299999</v>
      </c>
      <c r="Q296" s="198">
        <v>0</v>
      </c>
      <c r="R296" s="198">
        <v>0</v>
      </c>
      <c r="S296" s="198">
        <v>3866</v>
      </c>
      <c r="T296" s="198">
        <v>0</v>
      </c>
      <c r="U296" s="198">
        <v>2000</v>
      </c>
      <c r="V296" s="198">
        <v>4500</v>
      </c>
      <c r="W296" s="198">
        <v>140</v>
      </c>
      <c r="X296" s="198">
        <v>1500</v>
      </c>
      <c r="Y296" s="198">
        <v>186</v>
      </c>
      <c r="Z296" s="277">
        <v>72919.784312780001</v>
      </c>
      <c r="AA296" s="272">
        <v>27.095229660000001</v>
      </c>
      <c r="AB296" s="198">
        <v>4.9573371100926114</v>
      </c>
      <c r="AC296" s="272">
        <v>0</v>
      </c>
      <c r="AD296" s="198">
        <v>0</v>
      </c>
      <c r="AE296" s="198">
        <v>4.9573371100926114</v>
      </c>
      <c r="AF296" s="198">
        <v>0</v>
      </c>
      <c r="AG296" s="198">
        <v>0</v>
      </c>
      <c r="AH296" s="198">
        <v>0</v>
      </c>
      <c r="AI296" s="198">
        <v>0</v>
      </c>
      <c r="AJ296" s="198">
        <v>0</v>
      </c>
      <c r="AK296" s="198">
        <v>0</v>
      </c>
      <c r="AL296" s="198">
        <v>0</v>
      </c>
      <c r="AM296" s="198">
        <v>4.634407878740554E-2</v>
      </c>
      <c r="AN296" s="198">
        <v>1.1843486801225879E-2</v>
      </c>
      <c r="AO296" s="198">
        <v>0</v>
      </c>
      <c r="AP296" s="198">
        <v>1.693341075217247E-3</v>
      </c>
      <c r="AQ296" s="198">
        <v>2.1170666948850821E-3</v>
      </c>
      <c r="AS296" s="258">
        <f t="shared" si="32"/>
        <v>97821.890655594369</v>
      </c>
      <c r="AT296" s="3">
        <f t="shared" si="33"/>
        <v>8.6810527975952247</v>
      </c>
      <c r="AU296" s="3">
        <f t="shared" si="34"/>
        <v>3.3508363876309972</v>
      </c>
      <c r="AV296" s="3">
        <f t="shared" si="35"/>
        <v>0</v>
      </c>
      <c r="AW296" s="3">
        <f t="shared" si="36"/>
        <v>0</v>
      </c>
      <c r="AX296" s="3">
        <f t="shared" si="37"/>
        <v>3.3508363876309972</v>
      </c>
      <c r="AY296" s="102">
        <f t="shared" si="38"/>
        <v>1</v>
      </c>
      <c r="AZ296" s="102">
        <f t="shared" si="39"/>
        <v>0</v>
      </c>
    </row>
    <row r="297" spans="1:52" x14ac:dyDescent="0.35">
      <c r="A297" t="s">
        <v>1017</v>
      </c>
      <c r="B297">
        <v>2050</v>
      </c>
      <c r="C297" t="s">
        <v>837</v>
      </c>
      <c r="D297" t="s">
        <v>1024</v>
      </c>
      <c r="E297" t="s">
        <v>1025</v>
      </c>
      <c r="F297" t="s">
        <v>983</v>
      </c>
      <c r="G297" t="s">
        <v>978</v>
      </c>
      <c r="H297" s="198">
        <v>41638.651426999997</v>
      </c>
      <c r="I297" s="198">
        <v>15891</v>
      </c>
      <c r="J297" s="198">
        <v>0</v>
      </c>
      <c r="K297" s="198">
        <v>0</v>
      </c>
      <c r="L297" s="198">
        <v>120</v>
      </c>
      <c r="M297" s="198">
        <v>0</v>
      </c>
      <c r="N297" s="198">
        <v>0</v>
      </c>
      <c r="O297" s="198">
        <v>150</v>
      </c>
      <c r="P297" s="198">
        <v>0</v>
      </c>
      <c r="Q297" s="198">
        <v>0</v>
      </c>
      <c r="R297" s="198">
        <v>44</v>
      </c>
      <c r="S297" s="198">
        <v>6158</v>
      </c>
      <c r="T297" s="198">
        <v>506</v>
      </c>
      <c r="U297" s="198">
        <v>2000</v>
      </c>
      <c r="V297" s="198">
        <v>1920</v>
      </c>
      <c r="W297" s="198">
        <v>0</v>
      </c>
      <c r="X297" s="198">
        <v>0</v>
      </c>
      <c r="Y297" s="198">
        <v>186</v>
      </c>
      <c r="Z297" s="277">
        <v>68613.651427000004</v>
      </c>
      <c r="AA297" s="272">
        <v>12.744712580000002</v>
      </c>
      <c r="AB297" s="198">
        <v>10.539287304978986</v>
      </c>
      <c r="AC297" s="272">
        <v>0</v>
      </c>
      <c r="AD297" s="198">
        <v>0</v>
      </c>
      <c r="AE297" s="198">
        <v>10.539287304978986</v>
      </c>
      <c r="AF297" s="198">
        <v>788.92399077102993</v>
      </c>
      <c r="AG297" s="198">
        <v>0.34682489367766495</v>
      </c>
      <c r="AH297" s="198">
        <v>1.8325628451599022E-3</v>
      </c>
      <c r="AI297" s="198">
        <v>799.81436665839044</v>
      </c>
      <c r="AJ297" s="198">
        <v>0.33654057913474039</v>
      </c>
      <c r="AK297" s="198">
        <v>7.8534280135072327</v>
      </c>
      <c r="AL297" s="198">
        <v>0.36768983377216485</v>
      </c>
      <c r="AM297" s="198">
        <v>6.6090741931852853E-2</v>
      </c>
      <c r="AN297" s="198">
        <v>2.7174778732200131E-2</v>
      </c>
      <c r="AO297" s="198">
        <v>5.4411789848078703E-3</v>
      </c>
      <c r="AP297" s="198">
        <v>4.515342644357225E-3</v>
      </c>
      <c r="AQ297" s="198">
        <v>4.2887753694471698E-3</v>
      </c>
      <c r="AS297" s="258">
        <f t="shared" si="32"/>
        <v>92045.213389320503</v>
      </c>
      <c r="AT297" s="3">
        <f t="shared" si="33"/>
        <v>18.455898300173992</v>
      </c>
      <c r="AU297" s="3">
        <f t="shared" si="34"/>
        <v>7.1238704604781784</v>
      </c>
      <c r="AV297" s="3">
        <f t="shared" si="35"/>
        <v>0</v>
      </c>
      <c r="AW297" s="3">
        <f t="shared" si="36"/>
        <v>0</v>
      </c>
      <c r="AX297" s="3">
        <f t="shared" si="37"/>
        <v>7.1238704604781784</v>
      </c>
      <c r="AY297" s="102">
        <f t="shared" si="38"/>
        <v>1</v>
      </c>
      <c r="AZ297" s="102">
        <f t="shared" si="39"/>
        <v>0</v>
      </c>
    </row>
    <row r="298" spans="1:52" x14ac:dyDescent="0.35">
      <c r="A298" t="s">
        <v>1020</v>
      </c>
      <c r="B298">
        <v>2050</v>
      </c>
      <c r="C298" t="s">
        <v>837</v>
      </c>
      <c r="D298" t="s">
        <v>1024</v>
      </c>
      <c r="E298" t="s">
        <v>1025</v>
      </c>
      <c r="F298" t="s">
        <v>983</v>
      </c>
      <c r="G298" t="s">
        <v>978</v>
      </c>
      <c r="H298" s="198">
        <v>41638.651426999997</v>
      </c>
      <c r="I298" s="198">
        <v>18913</v>
      </c>
      <c r="J298" s="198">
        <v>0</v>
      </c>
      <c r="K298" s="198">
        <v>0</v>
      </c>
      <c r="L298" s="198">
        <v>150</v>
      </c>
      <c r="M298" s="198">
        <v>907.62060308000002</v>
      </c>
      <c r="N298" s="198">
        <v>28.89</v>
      </c>
      <c r="O298" s="198">
        <v>150</v>
      </c>
      <c r="P298" s="198">
        <v>853.59246500000006</v>
      </c>
      <c r="Q298" s="198">
        <v>0</v>
      </c>
      <c r="R298" s="198">
        <v>0</v>
      </c>
      <c r="S298" s="198">
        <v>7035</v>
      </c>
      <c r="T298" s="198">
        <v>392</v>
      </c>
      <c r="U298" s="198">
        <v>2000</v>
      </c>
      <c r="V298" s="198">
        <v>4720</v>
      </c>
      <c r="W298" s="198">
        <v>101.11499999999999</v>
      </c>
      <c r="X298" s="198">
        <v>1500</v>
      </c>
      <c r="Y298" s="198">
        <v>186</v>
      </c>
      <c r="Z298" s="277">
        <v>78575.869495080013</v>
      </c>
      <c r="AA298" s="272">
        <v>16.316514659999999</v>
      </c>
      <c r="AB298" s="198">
        <v>8.2321617268721301</v>
      </c>
      <c r="AC298" s="272">
        <v>0</v>
      </c>
      <c r="AD298" s="198">
        <v>0</v>
      </c>
      <c r="AE298" s="198">
        <v>8.2321617268721301</v>
      </c>
      <c r="AF298" s="198">
        <v>616.22287108240505</v>
      </c>
      <c r="AG298" s="198">
        <v>0.27090243704723277</v>
      </c>
      <c r="AH298" s="198">
        <v>1.4314016953391445E-3</v>
      </c>
      <c r="AI298" s="198">
        <v>624.72926558299218</v>
      </c>
      <c r="AJ298" s="198">
        <v>0.26286943271615415</v>
      </c>
      <c r="AK298" s="198">
        <v>6.134256297102489</v>
      </c>
      <c r="AL298" s="198">
        <v>0.28719989211312485</v>
      </c>
      <c r="AM298" s="198">
        <v>5.1623004524694177E-2</v>
      </c>
      <c r="AN298" s="198">
        <v>2.1226024772069037E-2</v>
      </c>
      <c r="AO298" s="198">
        <v>4.2500658812702902E-3</v>
      </c>
      <c r="AP298" s="198">
        <v>3.5269017557791361E-3</v>
      </c>
      <c r="AQ298" s="198">
        <v>3.3499316822718748E-3</v>
      </c>
      <c r="AS298" s="258">
        <f t="shared" si="32"/>
        <v>105409.52892764984</v>
      </c>
      <c r="AT298" s="3">
        <f t="shared" si="33"/>
        <v>14.415769797826918</v>
      </c>
      <c r="AU298" s="3">
        <f t="shared" si="34"/>
        <v>5.5644041247683145</v>
      </c>
      <c r="AV298" s="3">
        <f t="shared" si="35"/>
        <v>0</v>
      </c>
      <c r="AW298" s="3">
        <f t="shared" si="36"/>
        <v>0</v>
      </c>
      <c r="AX298" s="3">
        <f t="shared" si="37"/>
        <v>5.5644041247683145</v>
      </c>
      <c r="AY298" s="102">
        <f t="shared" si="38"/>
        <v>1</v>
      </c>
      <c r="AZ298" s="102">
        <f t="shared" si="39"/>
        <v>0</v>
      </c>
    </row>
    <row r="299" spans="1:52" x14ac:dyDescent="0.35">
      <c r="A299" t="s">
        <v>1021</v>
      </c>
      <c r="B299">
        <v>2050</v>
      </c>
      <c r="C299" t="s">
        <v>837</v>
      </c>
      <c r="D299" t="s">
        <v>1024</v>
      </c>
      <c r="E299" t="s">
        <v>1025</v>
      </c>
      <c r="F299" t="s">
        <v>983</v>
      </c>
      <c r="G299" t="s">
        <v>978</v>
      </c>
      <c r="H299" s="198">
        <v>41638.651426999997</v>
      </c>
      <c r="I299" s="198">
        <v>9793</v>
      </c>
      <c r="J299" s="198">
        <v>0</v>
      </c>
      <c r="K299" s="198">
        <v>0</v>
      </c>
      <c r="L299" s="198">
        <v>0</v>
      </c>
      <c r="M299" s="198">
        <v>5734.5749999999998</v>
      </c>
      <c r="N299" s="198">
        <v>28.89</v>
      </c>
      <c r="O299" s="198">
        <v>0</v>
      </c>
      <c r="P299" s="198">
        <v>2412.1258084000001</v>
      </c>
      <c r="Q299" s="198">
        <v>0</v>
      </c>
      <c r="R299" s="198">
        <v>874.42284159999997</v>
      </c>
      <c r="S299" s="198">
        <v>3629</v>
      </c>
      <c r="T299" s="198">
        <v>0</v>
      </c>
      <c r="U299" s="198">
        <v>2000</v>
      </c>
      <c r="V299" s="198">
        <v>4720</v>
      </c>
      <c r="W299" s="198">
        <v>101.11499999999999</v>
      </c>
      <c r="X299" s="198">
        <v>1500</v>
      </c>
      <c r="Y299" s="198">
        <v>186</v>
      </c>
      <c r="Z299" s="277">
        <v>72617.780076999989</v>
      </c>
      <c r="AA299" s="272">
        <v>112.01327950000002</v>
      </c>
      <c r="AB299" s="198">
        <v>1.1991452093856425</v>
      </c>
      <c r="AC299" s="272">
        <v>570.4</v>
      </c>
      <c r="AD299" s="198">
        <v>2.0534399999999997</v>
      </c>
      <c r="AE299" s="198">
        <v>3.252585209385642</v>
      </c>
      <c r="AF299" s="198">
        <v>89.762656309365099</v>
      </c>
      <c r="AG299" s="198">
        <v>3.9461246070479523E-2</v>
      </c>
      <c r="AH299" s="198">
        <v>2.0850640969180802E-4</v>
      </c>
      <c r="AI299" s="198">
        <v>91.001747881294037</v>
      </c>
      <c r="AJ299" s="198">
        <v>3.8291111301486463E-2</v>
      </c>
      <c r="AK299" s="198">
        <v>0.89355193640116615</v>
      </c>
      <c r="AL299" s="198">
        <v>4.1835229456113003E-2</v>
      </c>
      <c r="AM299" s="198">
        <v>3.7878556271307748E-2</v>
      </c>
      <c r="AN299" s="198">
        <v>1.0850279428577525E-2</v>
      </c>
      <c r="AO299" s="198">
        <v>6.1908965229174012E-4</v>
      </c>
      <c r="AP299" s="198">
        <v>1.6230146224792774E-3</v>
      </c>
      <c r="AQ299" s="198">
        <v>1.8748081573474787E-3</v>
      </c>
      <c r="AS299" s="258">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102">
        <f t="shared" si="38"/>
        <v>0.38847143126440803</v>
      </c>
      <c r="AZ299" s="102">
        <f t="shared" si="39"/>
        <v>0.61152856873559192</v>
      </c>
    </row>
    <row r="300" spans="1:52" x14ac:dyDescent="0.35">
      <c r="A300" t="s">
        <v>246</v>
      </c>
      <c r="B300">
        <v>2050</v>
      </c>
      <c r="C300" t="s">
        <v>837</v>
      </c>
      <c r="D300" t="s">
        <v>1024</v>
      </c>
      <c r="E300" t="s">
        <v>1025</v>
      </c>
      <c r="F300" t="s">
        <v>977</v>
      </c>
      <c r="G300" t="s">
        <v>978</v>
      </c>
      <c r="H300" s="198">
        <v>41638.651426999997</v>
      </c>
      <c r="I300" s="198">
        <v>0</v>
      </c>
      <c r="J300" s="198">
        <v>0</v>
      </c>
      <c r="K300" s="198">
        <v>0</v>
      </c>
      <c r="L300" s="198">
        <v>0</v>
      </c>
      <c r="M300" s="198">
        <v>11251.93125</v>
      </c>
      <c r="N300" s="198">
        <v>28.89</v>
      </c>
      <c r="O300" s="198">
        <v>0</v>
      </c>
      <c r="P300" s="198">
        <v>2402.6627933</v>
      </c>
      <c r="Q300" s="198">
        <v>0</v>
      </c>
      <c r="R300" s="198">
        <v>0</v>
      </c>
      <c r="S300" s="198">
        <v>3622</v>
      </c>
      <c r="T300" s="198">
        <v>0</v>
      </c>
      <c r="U300" s="198">
        <v>2000</v>
      </c>
      <c r="V300" s="198">
        <v>4500</v>
      </c>
      <c r="W300" s="198">
        <v>101.11499999999999</v>
      </c>
      <c r="X300" s="198">
        <v>1500</v>
      </c>
      <c r="Y300" s="198">
        <v>186</v>
      </c>
      <c r="Z300" s="277">
        <v>67231.250470300001</v>
      </c>
      <c r="AA300" s="272">
        <v>0</v>
      </c>
      <c r="AB300" s="198">
        <v>0</v>
      </c>
      <c r="AC300" s="272">
        <v>684</v>
      </c>
      <c r="AD300" s="198">
        <v>2.4624000000000001</v>
      </c>
      <c r="AE300" s="198">
        <v>2.4624000000000001</v>
      </c>
      <c r="AF300" s="198">
        <v>0</v>
      </c>
      <c r="AG300" s="198">
        <v>0</v>
      </c>
      <c r="AH300" s="198">
        <v>0</v>
      </c>
      <c r="AI300" s="198">
        <v>0</v>
      </c>
      <c r="AJ300" s="198">
        <v>0</v>
      </c>
      <c r="AK300" s="198">
        <v>0</v>
      </c>
      <c r="AL300" s="198">
        <v>0</v>
      </c>
      <c r="AM300" s="198">
        <v>3.6405066694818349E-2</v>
      </c>
      <c r="AN300" s="198">
        <v>9.3035170442313311E-3</v>
      </c>
      <c r="AO300" s="198">
        <v>0</v>
      </c>
      <c r="AP300" s="198">
        <v>1.3301849209938728E-3</v>
      </c>
      <c r="AQ300" s="198">
        <v>1.6630377869462478E-3</v>
      </c>
      <c r="AS300" s="258">
        <f t="shared" si="32"/>
        <v>90190.722505907441</v>
      </c>
      <c r="AT300" s="3">
        <f t="shared" si="33"/>
        <v>0</v>
      </c>
      <c r="AU300" s="3">
        <f t="shared" si="34"/>
        <v>0</v>
      </c>
      <c r="AV300" s="3">
        <f t="shared" si="35"/>
        <v>42.501895186846781</v>
      </c>
      <c r="AW300" s="3">
        <f t="shared" si="36"/>
        <v>1.530068226726484</v>
      </c>
      <c r="AX300" s="3">
        <f t="shared" si="37"/>
        <v>1.530068226726484</v>
      </c>
      <c r="AY300" s="102">
        <f t="shared" si="38"/>
        <v>0</v>
      </c>
      <c r="AZ300" s="102">
        <f t="shared" si="39"/>
        <v>1</v>
      </c>
    </row>
    <row r="301" spans="1:52" x14ac:dyDescent="0.35">
      <c r="A301" t="s">
        <v>627</v>
      </c>
      <c r="B301">
        <v>2050</v>
      </c>
      <c r="C301" t="s">
        <v>837</v>
      </c>
      <c r="D301" t="s">
        <v>1024</v>
      </c>
      <c r="E301" t="s">
        <v>1025</v>
      </c>
      <c r="F301" t="s">
        <v>989</v>
      </c>
      <c r="G301" t="s">
        <v>978</v>
      </c>
      <c r="H301" s="198">
        <v>41638.651426999997</v>
      </c>
      <c r="I301" s="198">
        <v>0</v>
      </c>
      <c r="J301" s="198">
        <v>13454.91164</v>
      </c>
      <c r="K301" s="198">
        <v>4990.5596070000001</v>
      </c>
      <c r="L301" s="198">
        <v>0</v>
      </c>
      <c r="M301" s="198">
        <v>3257.3494979999996</v>
      </c>
      <c r="N301" s="198">
        <v>28.89</v>
      </c>
      <c r="O301" s="198">
        <v>0</v>
      </c>
      <c r="P301" s="198">
        <v>2402.6627933</v>
      </c>
      <c r="Q301" s="198">
        <v>0</v>
      </c>
      <c r="R301" s="198">
        <v>0</v>
      </c>
      <c r="S301" s="198">
        <v>3622</v>
      </c>
      <c r="T301" s="198">
        <v>0</v>
      </c>
      <c r="U301" s="198">
        <v>2000</v>
      </c>
      <c r="V301" s="198">
        <v>4500</v>
      </c>
      <c r="W301" s="198">
        <v>101.11499999999999</v>
      </c>
      <c r="X301" s="198">
        <v>1500</v>
      </c>
      <c r="Y301" s="198">
        <v>186</v>
      </c>
      <c r="Z301" s="277">
        <v>77682.139965299997</v>
      </c>
      <c r="AA301" s="272">
        <v>29.70438584</v>
      </c>
      <c r="AB301" s="198">
        <v>4.5218974808468886</v>
      </c>
      <c r="AC301" s="272">
        <v>0</v>
      </c>
      <c r="AD301" s="198">
        <v>0</v>
      </c>
      <c r="AE301" s="198">
        <v>4.5218974808468886</v>
      </c>
      <c r="AF301" s="198">
        <v>0</v>
      </c>
      <c r="AG301" s="198">
        <v>0</v>
      </c>
      <c r="AH301" s="198">
        <v>0</v>
      </c>
      <c r="AI301" s="198">
        <v>0</v>
      </c>
      <c r="AJ301" s="198">
        <v>0</v>
      </c>
      <c r="AK301" s="198">
        <v>0</v>
      </c>
      <c r="AL301" s="198">
        <v>0</v>
      </c>
      <c r="AM301" s="198">
        <v>4.2273335152917174E-2</v>
      </c>
      <c r="AN301" s="198">
        <v>1.0803185650189964E-2</v>
      </c>
      <c r="AO301" s="198">
        <v>0</v>
      </c>
      <c r="AP301" s="198">
        <v>1.5446023887805329E-3</v>
      </c>
      <c r="AQ301" s="198">
        <v>1.9311090494321574E-3</v>
      </c>
      <c r="AS301" s="258">
        <f t="shared" si="32"/>
        <v>104210.59076344995</v>
      </c>
      <c r="AT301" s="3">
        <f t="shared" si="33"/>
        <v>7.9185316440606854</v>
      </c>
      <c r="AU301" s="3">
        <f t="shared" si="34"/>
        <v>3.0565076135553815</v>
      </c>
      <c r="AV301" s="3">
        <f t="shared" si="35"/>
        <v>0</v>
      </c>
      <c r="AW301" s="3">
        <f t="shared" si="36"/>
        <v>0</v>
      </c>
      <c r="AX301" s="3">
        <f t="shared" si="37"/>
        <v>3.0565076135553815</v>
      </c>
      <c r="AY301" s="102">
        <f t="shared" si="38"/>
        <v>1</v>
      </c>
      <c r="AZ301" s="102">
        <f t="shared" si="39"/>
        <v>0</v>
      </c>
    </row>
    <row r="302" spans="1:52" x14ac:dyDescent="0.35">
      <c r="A302" t="s">
        <v>1065</v>
      </c>
      <c r="B302">
        <v>2050</v>
      </c>
      <c r="C302" t="s">
        <v>837</v>
      </c>
      <c r="D302" t="s">
        <v>1024</v>
      </c>
      <c r="E302" t="s">
        <v>1025</v>
      </c>
      <c r="F302" t="s">
        <v>989</v>
      </c>
      <c r="G302" t="s">
        <v>978</v>
      </c>
      <c r="H302" s="198">
        <v>41638.651426999997</v>
      </c>
      <c r="I302" s="198">
        <v>0</v>
      </c>
      <c r="J302" s="198">
        <v>4659.2229280000001</v>
      </c>
      <c r="K302" s="198">
        <v>4877.1896580000002</v>
      </c>
      <c r="L302" s="198">
        <v>0</v>
      </c>
      <c r="M302" s="198">
        <v>2919.42</v>
      </c>
      <c r="N302" s="198">
        <v>28.89</v>
      </c>
      <c r="O302" s="198">
        <v>0</v>
      </c>
      <c r="P302" s="198">
        <v>2693.3066490000001</v>
      </c>
      <c r="Q302" s="198">
        <v>0</v>
      </c>
      <c r="R302" s="198">
        <v>0</v>
      </c>
      <c r="S302" s="198">
        <v>3857</v>
      </c>
      <c r="T302" s="198">
        <v>0</v>
      </c>
      <c r="U302" s="198">
        <v>2000</v>
      </c>
      <c r="V302" s="198">
        <v>4500</v>
      </c>
      <c r="W302" s="198">
        <v>101.11499999999999</v>
      </c>
      <c r="X302" s="198">
        <v>1500</v>
      </c>
      <c r="Y302" s="198">
        <v>186</v>
      </c>
      <c r="Z302" s="277">
        <v>68960.795662000004</v>
      </c>
      <c r="AA302" s="272">
        <v>29.756638970000004</v>
      </c>
      <c r="AB302" s="198">
        <v>4.5139569571489133</v>
      </c>
      <c r="AC302" s="272">
        <v>0</v>
      </c>
      <c r="AD302" s="198">
        <v>0</v>
      </c>
      <c r="AE302" s="198">
        <v>4.5139569571489133</v>
      </c>
      <c r="AF302" s="198">
        <v>0</v>
      </c>
      <c r="AG302" s="198">
        <v>0</v>
      </c>
      <c r="AH302" s="198">
        <v>0</v>
      </c>
      <c r="AI302" s="198">
        <v>0</v>
      </c>
      <c r="AJ302" s="198">
        <v>0</v>
      </c>
      <c r="AK302" s="198">
        <v>0</v>
      </c>
      <c r="AL302" s="198">
        <v>0</v>
      </c>
      <c r="AM302" s="198">
        <v>4.2199102505893232E-2</v>
      </c>
      <c r="AN302" s="198">
        <v>1.0784215084839399E-2</v>
      </c>
      <c r="AO302" s="198">
        <v>0</v>
      </c>
      <c r="AP302" s="198">
        <v>1.5418900424869666E-3</v>
      </c>
      <c r="AQ302" s="198">
        <v>1.9277179913121227E-3</v>
      </c>
      <c r="AS302" s="258">
        <f t="shared" si="32"/>
        <v>92510.907380573</v>
      </c>
      <c r="AT302" s="3">
        <f t="shared" si="33"/>
        <v>7.9046265768982478</v>
      </c>
      <c r="AU302" s="3">
        <f t="shared" si="34"/>
        <v>3.0511403377068511</v>
      </c>
      <c r="AV302" s="3">
        <f t="shared" si="35"/>
        <v>0</v>
      </c>
      <c r="AW302" s="3">
        <f t="shared" si="36"/>
        <v>0</v>
      </c>
      <c r="AX302" s="3">
        <f t="shared" si="37"/>
        <v>3.0511403377068511</v>
      </c>
      <c r="AY302" s="102">
        <f t="shared" si="38"/>
        <v>1</v>
      </c>
      <c r="AZ302" s="102">
        <f t="shared" si="39"/>
        <v>0</v>
      </c>
    </row>
    <row r="303" spans="1:52" x14ac:dyDescent="0.35">
      <c r="A303" t="s">
        <v>1017</v>
      </c>
      <c r="B303">
        <v>2021</v>
      </c>
      <c r="C303" t="s">
        <v>837</v>
      </c>
      <c r="D303" t="s">
        <v>1018</v>
      </c>
      <c r="E303" t="s">
        <v>1025</v>
      </c>
      <c r="F303" t="s">
        <v>983</v>
      </c>
      <c r="G303" t="s">
        <v>978</v>
      </c>
      <c r="H303" s="198">
        <v>41000</v>
      </c>
      <c r="I303" s="198">
        <v>16472</v>
      </c>
      <c r="J303" s="198">
        <v>0</v>
      </c>
      <c r="K303" s="198">
        <v>0</v>
      </c>
      <c r="L303" s="198">
        <v>120</v>
      </c>
      <c r="M303" s="198">
        <v>0</v>
      </c>
      <c r="N303" s="198">
        <v>0</v>
      </c>
      <c r="O303" s="198">
        <v>150</v>
      </c>
      <c r="P303" s="198">
        <v>0</v>
      </c>
      <c r="Q303" s="198">
        <v>0</v>
      </c>
      <c r="R303" s="198">
        <v>104.8</v>
      </c>
      <c r="S303" s="198">
        <v>6621</v>
      </c>
      <c r="T303" s="198">
        <v>506</v>
      </c>
      <c r="U303" s="198">
        <v>2000</v>
      </c>
      <c r="V303" s="198">
        <v>1920</v>
      </c>
      <c r="W303" s="198">
        <v>0</v>
      </c>
      <c r="X303" s="198">
        <v>0</v>
      </c>
      <c r="Y303" s="198">
        <v>186</v>
      </c>
      <c r="Z303" s="277">
        <v>69079.8</v>
      </c>
      <c r="AA303" s="272">
        <v>8.4779903270000005</v>
      </c>
      <c r="AB303" s="198">
        <v>15.843399475489873</v>
      </c>
      <c r="AC303" s="272">
        <v>0</v>
      </c>
      <c r="AD303" s="198">
        <v>0</v>
      </c>
      <c r="AE303" s="198">
        <v>15.843399475489873</v>
      </c>
      <c r="AF303" s="198">
        <v>1185.9661455170888</v>
      </c>
      <c r="AG303" s="198">
        <v>0.5213716240550389</v>
      </c>
      <c r="AH303" s="198">
        <v>2.7548376260785987E-3</v>
      </c>
      <c r="AI303" s="198">
        <v>1202.3373260939939</v>
      </c>
      <c r="AJ303" s="198">
        <v>0.50591151760569975</v>
      </c>
      <c r="AK303" s="198">
        <v>11.805826491817614</v>
      </c>
      <c r="AL303" s="198">
        <v>0.55273727254563065</v>
      </c>
      <c r="AM303" s="198">
        <v>9.935226128271317E-2</v>
      </c>
      <c r="AN303" s="198">
        <v>4.0851042642029142E-2</v>
      </c>
      <c r="AO303" s="198">
        <v>8.1795637389281157E-3</v>
      </c>
      <c r="AP303" s="198">
        <v>6.7877812999243368E-3</v>
      </c>
      <c r="AQ303" s="198">
        <v>6.4471894040399403E-3</v>
      </c>
      <c r="AS303" s="258">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102">
        <f t="shared" ref="AY303:AY366" si="45">AU303/AX303</f>
        <v>1</v>
      </c>
      <c r="AZ303" s="102">
        <f t="shared" ref="AZ303:AZ366" si="46">AW303/AX303</f>
        <v>0</v>
      </c>
    </row>
    <row r="304" spans="1:52" x14ac:dyDescent="0.35">
      <c r="A304" t="s">
        <v>1020</v>
      </c>
      <c r="B304">
        <v>2021</v>
      </c>
      <c r="C304" t="s">
        <v>837</v>
      </c>
      <c r="D304" t="s">
        <v>1018</v>
      </c>
      <c r="E304" t="s">
        <v>1025</v>
      </c>
      <c r="F304" t="s">
        <v>983</v>
      </c>
      <c r="G304" t="s">
        <v>978</v>
      </c>
      <c r="H304" s="198">
        <v>41000</v>
      </c>
      <c r="I304" s="198">
        <v>16972</v>
      </c>
      <c r="J304" s="198">
        <v>0</v>
      </c>
      <c r="K304" s="198">
        <v>0</v>
      </c>
      <c r="L304" s="198">
        <v>150</v>
      </c>
      <c r="M304" s="198">
        <v>996.60301500000003</v>
      </c>
      <c r="N304" s="198">
        <v>75</v>
      </c>
      <c r="O304" s="198">
        <v>150</v>
      </c>
      <c r="P304" s="198">
        <v>2118.2720616000001</v>
      </c>
      <c r="Q304" s="198">
        <v>0</v>
      </c>
      <c r="R304" s="198">
        <v>0</v>
      </c>
      <c r="S304" s="198">
        <v>6778</v>
      </c>
      <c r="T304" s="198">
        <v>392</v>
      </c>
      <c r="U304" s="198">
        <v>2000</v>
      </c>
      <c r="V304" s="198">
        <v>4720</v>
      </c>
      <c r="W304" s="198">
        <v>375</v>
      </c>
      <c r="X304" s="198">
        <v>1500</v>
      </c>
      <c r="Y304" s="198">
        <v>186</v>
      </c>
      <c r="Z304" s="277">
        <v>77412.875076600001</v>
      </c>
      <c r="AA304" s="272">
        <v>10.183357620000001</v>
      </c>
      <c r="AB304" s="198">
        <v>13.190166987379158</v>
      </c>
      <c r="AC304" s="272">
        <v>0</v>
      </c>
      <c r="AD304" s="198">
        <v>0</v>
      </c>
      <c r="AE304" s="198">
        <v>13.190166987379158</v>
      </c>
      <c r="AF304" s="198">
        <v>987.3570078788365</v>
      </c>
      <c r="AG304" s="198">
        <v>0.43405954602141328</v>
      </c>
      <c r="AH304" s="198">
        <v>2.293495683631898E-3</v>
      </c>
      <c r="AI304" s="198">
        <v>1000.9865705193531</v>
      </c>
      <c r="AJ304" s="198">
        <v>0.42118848346789295</v>
      </c>
      <c r="AK304" s="198">
        <v>9.8287506473596711</v>
      </c>
      <c r="AL304" s="198">
        <v>0.46017251135428733</v>
      </c>
      <c r="AM304" s="198">
        <v>8.2714124510970349E-2</v>
      </c>
      <c r="AN304" s="198">
        <v>3.4009877418700284E-2</v>
      </c>
      <c r="AO304" s="198">
        <v>6.8097640135427644E-3</v>
      </c>
      <c r="AP304" s="198">
        <v>5.6510579663360582E-3</v>
      </c>
      <c r="AQ304" s="198">
        <v>5.3675036705415728E-3</v>
      </c>
      <c r="AS304" s="258">
        <f t="shared" si="40"/>
        <v>103849.37191525889</v>
      </c>
      <c r="AT304" s="3">
        <f t="shared" si="41"/>
        <v>23.09799262862656</v>
      </c>
      <c r="AU304" s="3">
        <f t="shared" si="34"/>
        <v>8.9156921384782564</v>
      </c>
      <c r="AV304" s="3">
        <f t="shared" si="42"/>
        <v>0</v>
      </c>
      <c r="AW304" s="3">
        <f t="shared" si="43"/>
        <v>0</v>
      </c>
      <c r="AX304" s="3">
        <f t="shared" si="44"/>
        <v>8.9156921384782564</v>
      </c>
      <c r="AY304" s="102">
        <f t="shared" si="45"/>
        <v>1</v>
      </c>
      <c r="AZ304" s="102">
        <f t="shared" si="46"/>
        <v>0</v>
      </c>
    </row>
    <row r="305" spans="1:52" x14ac:dyDescent="0.35">
      <c r="A305" t="s">
        <v>1021</v>
      </c>
      <c r="B305">
        <v>2021</v>
      </c>
      <c r="C305" t="s">
        <v>837</v>
      </c>
      <c r="D305" t="s">
        <v>1018</v>
      </c>
      <c r="E305" t="s">
        <v>1025</v>
      </c>
      <c r="F305" t="s">
        <v>983</v>
      </c>
      <c r="G305" t="s">
        <v>978</v>
      </c>
      <c r="H305" s="198">
        <v>41000</v>
      </c>
      <c r="I305" s="198">
        <v>10083</v>
      </c>
      <c r="J305" s="198">
        <v>0</v>
      </c>
      <c r="K305" s="198">
        <v>0</v>
      </c>
      <c r="L305" s="198">
        <v>0</v>
      </c>
      <c r="M305" s="198">
        <v>14770.875</v>
      </c>
      <c r="N305" s="198">
        <v>75</v>
      </c>
      <c r="O305" s="198">
        <v>0</v>
      </c>
      <c r="P305" s="198">
        <v>6718.4639999999999</v>
      </c>
      <c r="Q305" s="198">
        <v>0</v>
      </c>
      <c r="R305" s="198">
        <v>3119.1872795200002</v>
      </c>
      <c r="S305" s="198">
        <v>3893</v>
      </c>
      <c r="T305" s="198">
        <v>0</v>
      </c>
      <c r="U305" s="198">
        <v>2000</v>
      </c>
      <c r="V305" s="198">
        <v>4720</v>
      </c>
      <c r="W305" s="198">
        <v>375</v>
      </c>
      <c r="X305" s="198">
        <v>1500</v>
      </c>
      <c r="Y305" s="198">
        <v>186</v>
      </c>
      <c r="Z305" s="277">
        <v>88440.526279520011</v>
      </c>
      <c r="AA305" s="272">
        <v>62.981092050000022</v>
      </c>
      <c r="AB305" s="198">
        <v>2.1327065493460267</v>
      </c>
      <c r="AC305" s="272">
        <v>833.6</v>
      </c>
      <c r="AD305" s="198">
        <v>3.0009600000000001</v>
      </c>
      <c r="AE305" s="198">
        <v>5.1336665493460263</v>
      </c>
      <c r="AF305" s="198">
        <v>159.64488995937231</v>
      </c>
      <c r="AG305" s="198">
        <v>7.0182707883213E-2</v>
      </c>
      <c r="AH305" s="198">
        <v>3.7083330863504763E-4</v>
      </c>
      <c r="AI305" s="198">
        <v>161.84864200708822</v>
      </c>
      <c r="AJ305" s="198">
        <v>6.8101597050332682E-2</v>
      </c>
      <c r="AK305" s="198">
        <v>1.5892020849751212</v>
      </c>
      <c r="AL305" s="198">
        <v>7.440489038033786E-2</v>
      </c>
      <c r="AM305" s="198">
        <v>5.7741318797844415E-2</v>
      </c>
      <c r="AN305" s="198">
        <v>1.6837348653657304E-2</v>
      </c>
      <c r="AO305" s="198">
        <v>1.1010647799288595E-3</v>
      </c>
      <c r="AP305" s="198">
        <v>2.5348288684450618E-3</v>
      </c>
      <c r="AQ305" s="198">
        <v>2.8946334873756821E-3</v>
      </c>
      <c r="AS305" s="258">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102">
        <f t="shared" si="45"/>
        <v>0.43600910837605777</v>
      </c>
      <c r="AZ305" s="102">
        <f t="shared" si="46"/>
        <v>0.56399089162394223</v>
      </c>
    </row>
    <row r="306" spans="1:52" x14ac:dyDescent="0.35">
      <c r="A306" t="s">
        <v>246</v>
      </c>
      <c r="B306">
        <v>2021</v>
      </c>
      <c r="C306" t="s">
        <v>837</v>
      </c>
      <c r="D306" t="s">
        <v>1018</v>
      </c>
      <c r="E306" t="s">
        <v>1025</v>
      </c>
      <c r="F306" t="s">
        <v>977</v>
      </c>
      <c r="G306" t="s">
        <v>978</v>
      </c>
      <c r="H306" s="198">
        <v>41000</v>
      </c>
      <c r="I306" s="198">
        <v>0</v>
      </c>
      <c r="J306" s="198">
        <v>0</v>
      </c>
      <c r="K306" s="198">
        <v>0</v>
      </c>
      <c r="L306" s="198">
        <v>0</v>
      </c>
      <c r="M306" s="198">
        <v>29089.934999999998</v>
      </c>
      <c r="N306" s="198">
        <v>75</v>
      </c>
      <c r="O306" s="198">
        <v>0</v>
      </c>
      <c r="P306" s="198">
        <v>6668.0776853999996</v>
      </c>
      <c r="Q306" s="198">
        <v>0</v>
      </c>
      <c r="R306" s="198">
        <v>0</v>
      </c>
      <c r="S306" s="198">
        <v>3876</v>
      </c>
      <c r="T306" s="198">
        <v>0</v>
      </c>
      <c r="U306" s="198">
        <v>2000</v>
      </c>
      <c r="V306" s="198">
        <v>4500</v>
      </c>
      <c r="W306" s="198">
        <v>375</v>
      </c>
      <c r="X306" s="198">
        <v>1500</v>
      </c>
      <c r="Y306" s="198">
        <v>186</v>
      </c>
      <c r="Z306" s="277">
        <v>89270.012685399997</v>
      </c>
      <c r="AA306" s="272">
        <v>0</v>
      </c>
      <c r="AB306" s="198">
        <v>0</v>
      </c>
      <c r="AC306" s="272">
        <v>1014</v>
      </c>
      <c r="AD306" s="198">
        <v>3.6503999999999999</v>
      </c>
      <c r="AE306" s="198">
        <v>3.6503999999999999</v>
      </c>
      <c r="AF306" s="198">
        <v>0</v>
      </c>
      <c r="AG306" s="198">
        <v>0</v>
      </c>
      <c r="AH306" s="198">
        <v>0</v>
      </c>
      <c r="AI306" s="198">
        <v>0</v>
      </c>
      <c r="AJ306" s="198">
        <v>0</v>
      </c>
      <c r="AK306" s="198">
        <v>0</v>
      </c>
      <c r="AL306" s="198">
        <v>0</v>
      </c>
      <c r="AM306" s="198">
        <v>5.3968914661616664E-2</v>
      </c>
      <c r="AN306" s="198">
        <v>1.3792055969079779E-2</v>
      </c>
      <c r="AO306" s="198">
        <v>0</v>
      </c>
      <c r="AP306" s="198">
        <v>1.971940803929513E-3</v>
      </c>
      <c r="AQ306" s="198">
        <v>2.4653805788939988E-3</v>
      </c>
      <c r="AS306" s="258">
        <f t="shared" si="40"/>
        <v>119755.72201746408</v>
      </c>
      <c r="AT306" s="3">
        <f t="shared" si="41"/>
        <v>0</v>
      </c>
      <c r="AU306" s="3">
        <f t="shared" si="34"/>
        <v>0</v>
      </c>
      <c r="AV306" s="3">
        <f t="shared" si="42"/>
        <v>63.007195496290407</v>
      </c>
      <c r="AW306" s="3">
        <f t="shared" si="43"/>
        <v>2.2682590378664549</v>
      </c>
      <c r="AX306" s="3">
        <f t="shared" si="44"/>
        <v>2.2682590378664549</v>
      </c>
      <c r="AY306" s="102">
        <f t="shared" si="45"/>
        <v>0</v>
      </c>
      <c r="AZ306" s="102">
        <f t="shared" si="46"/>
        <v>1</v>
      </c>
    </row>
    <row r="307" spans="1:52" x14ac:dyDescent="0.35">
      <c r="A307" t="s">
        <v>627</v>
      </c>
      <c r="B307">
        <v>2021</v>
      </c>
      <c r="C307" t="s">
        <v>837</v>
      </c>
      <c r="D307" t="s">
        <v>1018</v>
      </c>
      <c r="E307" t="s">
        <v>1025</v>
      </c>
      <c r="F307" t="s">
        <v>989</v>
      </c>
      <c r="G307" t="s">
        <v>978</v>
      </c>
      <c r="H307" s="198">
        <v>41000</v>
      </c>
      <c r="I307" s="198">
        <v>0</v>
      </c>
      <c r="J307" s="198">
        <v>30806.518914000004</v>
      </c>
      <c r="K307" s="198">
        <v>6894.2615000000005</v>
      </c>
      <c r="L307" s="198">
        <v>0</v>
      </c>
      <c r="M307" s="198">
        <v>3915.22613</v>
      </c>
      <c r="N307" s="198">
        <v>75</v>
      </c>
      <c r="O307" s="198">
        <v>0</v>
      </c>
      <c r="P307" s="198">
        <v>6668.0776853999996</v>
      </c>
      <c r="Q307" s="198">
        <v>0</v>
      </c>
      <c r="R307" s="198">
        <v>0</v>
      </c>
      <c r="S307" s="198">
        <v>3876</v>
      </c>
      <c r="T307" s="198">
        <v>0</v>
      </c>
      <c r="U307" s="198">
        <v>2000</v>
      </c>
      <c r="V307" s="198">
        <v>4500</v>
      </c>
      <c r="W307" s="198">
        <v>375</v>
      </c>
      <c r="X307" s="198">
        <v>1500</v>
      </c>
      <c r="Y307" s="198">
        <v>186</v>
      </c>
      <c r="Z307" s="277">
        <v>101796.0842294</v>
      </c>
      <c r="AA307" s="272">
        <v>19.829783290000002</v>
      </c>
      <c r="AB307" s="198">
        <v>6.7736588713874939</v>
      </c>
      <c r="AC307" s="272">
        <v>0</v>
      </c>
      <c r="AD307" s="198">
        <v>0</v>
      </c>
      <c r="AE307" s="198">
        <v>6.7736588713874939</v>
      </c>
      <c r="AF307" s="198">
        <v>0</v>
      </c>
      <c r="AG307" s="198">
        <v>0</v>
      </c>
      <c r="AH307" s="198">
        <v>0</v>
      </c>
      <c r="AI307" s="198">
        <v>0</v>
      </c>
      <c r="AJ307" s="198">
        <v>0</v>
      </c>
      <c r="AK307" s="198">
        <v>0</v>
      </c>
      <c r="AL307" s="198">
        <v>0</v>
      </c>
      <c r="AM307" s="198">
        <v>6.3324114023935313E-2</v>
      </c>
      <c r="AN307" s="198">
        <v>1.6182829139450162E-2</v>
      </c>
      <c r="AO307" s="198">
        <v>0</v>
      </c>
      <c r="AP307" s="198">
        <v>2.3137653425017654E-3</v>
      </c>
      <c r="AQ307" s="198">
        <v>2.8927400498812224E-3</v>
      </c>
      <c r="AS307" s="258">
        <f t="shared" si="40"/>
        <v>136559.4469937401</v>
      </c>
      <c r="AT307" s="3">
        <f t="shared" si="41"/>
        <v>11.861709016257642</v>
      </c>
      <c r="AU307" s="3">
        <f t="shared" si="34"/>
        <v>4.5785513713471682</v>
      </c>
      <c r="AV307" s="3">
        <f t="shared" si="42"/>
        <v>0</v>
      </c>
      <c r="AW307" s="3">
        <f t="shared" si="43"/>
        <v>0</v>
      </c>
      <c r="AX307" s="3">
        <f t="shared" si="44"/>
        <v>4.5785513713471682</v>
      </c>
      <c r="AY307" s="102">
        <f t="shared" si="45"/>
        <v>1</v>
      </c>
      <c r="AZ307" s="102">
        <f t="shared" si="46"/>
        <v>0</v>
      </c>
    </row>
    <row r="308" spans="1:52" x14ac:dyDescent="0.35">
      <c r="A308" t="s">
        <v>1065</v>
      </c>
      <c r="B308">
        <v>2021</v>
      </c>
      <c r="C308" t="s">
        <v>837</v>
      </c>
      <c r="D308" t="s">
        <v>1018</v>
      </c>
      <c r="E308" t="s">
        <v>1025</v>
      </c>
      <c r="F308" t="s">
        <v>989</v>
      </c>
      <c r="G308" t="s">
        <v>978</v>
      </c>
      <c r="H308" s="198">
        <v>41000</v>
      </c>
      <c r="I308" s="198">
        <v>0</v>
      </c>
      <c r="J308" s="198">
        <v>14353.134730199999</v>
      </c>
      <c r="K308" s="198">
        <v>7106.1737000000003</v>
      </c>
      <c r="L308" s="198">
        <v>0</v>
      </c>
      <c r="M308" s="198">
        <v>5526.0450000000001</v>
      </c>
      <c r="N308" s="198">
        <v>75</v>
      </c>
      <c r="O308" s="198">
        <v>0</v>
      </c>
      <c r="P308" s="198">
        <v>6739.8719841000002</v>
      </c>
      <c r="Q308" s="198">
        <v>0</v>
      </c>
      <c r="R308" s="198">
        <v>0</v>
      </c>
      <c r="S308" s="198">
        <v>3900</v>
      </c>
      <c r="T308" s="198">
        <v>0</v>
      </c>
      <c r="U308" s="198">
        <v>2000</v>
      </c>
      <c r="V308" s="198">
        <v>4500</v>
      </c>
      <c r="W308" s="198">
        <v>375</v>
      </c>
      <c r="X308" s="198">
        <v>1500</v>
      </c>
      <c r="Y308" s="198">
        <v>186</v>
      </c>
      <c r="Z308" s="277">
        <v>87261.225414300003</v>
      </c>
      <c r="AA308" s="272">
        <v>20.219904669999998</v>
      </c>
      <c r="AB308" s="198">
        <v>6.6429683864577802</v>
      </c>
      <c r="AC308" s="272">
        <v>0</v>
      </c>
      <c r="AD308" s="198">
        <v>0</v>
      </c>
      <c r="AE308" s="198">
        <v>6.6429683864577802</v>
      </c>
      <c r="AF308" s="198">
        <v>0</v>
      </c>
      <c r="AG308" s="198">
        <v>0</v>
      </c>
      <c r="AH308" s="198">
        <v>0</v>
      </c>
      <c r="AI308" s="198">
        <v>0</v>
      </c>
      <c r="AJ308" s="198">
        <v>0</v>
      </c>
      <c r="AK308" s="198">
        <v>0</v>
      </c>
      <c r="AL308" s="198">
        <v>0</v>
      </c>
      <c r="AM308" s="198">
        <v>6.210234314254498E-2</v>
      </c>
      <c r="AN308" s="198">
        <v>1.5870598803094854E-2</v>
      </c>
      <c r="AO308" s="198">
        <v>0</v>
      </c>
      <c r="AP308" s="198">
        <v>2.2691237211318982E-3</v>
      </c>
      <c r="AQ308" s="198">
        <v>2.8369277323327981E-3</v>
      </c>
      <c r="AS308" s="258">
        <f t="shared" si="40"/>
        <v>117060.93389328345</v>
      </c>
      <c r="AT308" s="3">
        <f t="shared" si="41"/>
        <v>11.632850059397841</v>
      </c>
      <c r="AU308" s="3">
        <f t="shared" si="34"/>
        <v>4.4902131319468124</v>
      </c>
      <c r="AV308" s="3">
        <f t="shared" si="42"/>
        <v>0</v>
      </c>
      <c r="AW308" s="3">
        <f t="shared" si="43"/>
        <v>0</v>
      </c>
      <c r="AX308" s="3">
        <f t="shared" si="44"/>
        <v>4.4902131319468124</v>
      </c>
      <c r="AY308" s="102">
        <f t="shared" si="45"/>
        <v>1</v>
      </c>
      <c r="AZ308" s="102">
        <f t="shared" si="46"/>
        <v>0</v>
      </c>
    </row>
    <row r="309" spans="1:52" x14ac:dyDescent="0.35">
      <c r="A309" t="s">
        <v>1017</v>
      </c>
      <c r="B309">
        <v>2025</v>
      </c>
      <c r="C309" t="s">
        <v>837</v>
      </c>
      <c r="D309" t="s">
        <v>1018</v>
      </c>
      <c r="E309" t="s">
        <v>1025</v>
      </c>
      <c r="F309" t="s">
        <v>983</v>
      </c>
      <c r="G309" t="s">
        <v>978</v>
      </c>
      <c r="H309" s="198">
        <v>41204.270780539402</v>
      </c>
      <c r="I309" s="198">
        <v>16451</v>
      </c>
      <c r="J309" s="198">
        <v>0</v>
      </c>
      <c r="K309" s="198">
        <v>0</v>
      </c>
      <c r="L309" s="198">
        <v>120</v>
      </c>
      <c r="M309" s="198">
        <v>0</v>
      </c>
      <c r="N309" s="198">
        <v>0</v>
      </c>
      <c r="O309" s="198">
        <v>150</v>
      </c>
      <c r="P309" s="198">
        <v>0</v>
      </c>
      <c r="Q309" s="198">
        <v>0</v>
      </c>
      <c r="R309" s="198">
        <v>92</v>
      </c>
      <c r="S309" s="198">
        <v>6495</v>
      </c>
      <c r="T309" s="198">
        <v>506</v>
      </c>
      <c r="U309" s="198">
        <v>2000</v>
      </c>
      <c r="V309" s="198">
        <v>1920</v>
      </c>
      <c r="W309" s="198">
        <v>0</v>
      </c>
      <c r="X309" s="198">
        <v>0</v>
      </c>
      <c r="Y309" s="198">
        <v>186</v>
      </c>
      <c r="Z309" s="277">
        <v>69124.270780539402</v>
      </c>
      <c r="AA309" s="272">
        <v>9.0889847269999997</v>
      </c>
      <c r="AB309" s="198">
        <v>14.778348906339845</v>
      </c>
      <c r="AC309" s="272">
        <v>0</v>
      </c>
      <c r="AD309" s="198">
        <v>0</v>
      </c>
      <c r="AE309" s="198">
        <v>14.778348906339845</v>
      </c>
      <c r="AF309" s="198">
        <v>1106.2412152564013</v>
      </c>
      <c r="AG309" s="198">
        <v>0.48632313930291632</v>
      </c>
      <c r="AH309" s="198">
        <v>2.5696474851552471E-3</v>
      </c>
      <c r="AI309" s="198">
        <v>1121.5118659111729</v>
      </c>
      <c r="AJ309" s="198">
        <v>0.47190231708032798</v>
      </c>
      <c r="AK309" s="198">
        <v>11.012196170001339</v>
      </c>
      <c r="AL309" s="198">
        <v>0.51558027554975983</v>
      </c>
      <c r="AM309" s="198">
        <v>9.2673443230489302E-2</v>
      </c>
      <c r="AN309" s="198">
        <v>3.8104887924187571E-2</v>
      </c>
      <c r="AO309" s="198">
        <v>7.6297039042997287E-3</v>
      </c>
      <c r="AP309" s="198">
        <v>6.3314821106036177E-3</v>
      </c>
      <c r="AQ309" s="198">
        <v>6.0137860328244672E-3</v>
      </c>
      <c r="AS309" s="258">
        <f t="shared" si="40"/>
        <v>92730.209252093598</v>
      </c>
      <c r="AT309" s="3">
        <f t="shared" si="41"/>
        <v>25.879141213945637</v>
      </c>
      <c r="AU309" s="3">
        <f t="shared" si="34"/>
        <v>9.9891994763989729</v>
      </c>
      <c r="AV309" s="3">
        <f t="shared" si="42"/>
        <v>0</v>
      </c>
      <c r="AW309" s="3">
        <f t="shared" si="43"/>
        <v>0</v>
      </c>
      <c r="AX309" s="3">
        <f t="shared" si="44"/>
        <v>9.9891994763989729</v>
      </c>
      <c r="AY309" s="102">
        <f t="shared" si="45"/>
        <v>1</v>
      </c>
      <c r="AZ309" s="102">
        <f t="shared" si="46"/>
        <v>0</v>
      </c>
    </row>
    <row r="310" spans="1:52" x14ac:dyDescent="0.35">
      <c r="A310" t="s">
        <v>1020</v>
      </c>
      <c r="B310">
        <v>2025</v>
      </c>
      <c r="C310" t="s">
        <v>837</v>
      </c>
      <c r="D310" t="s">
        <v>1018</v>
      </c>
      <c r="E310" t="s">
        <v>1025</v>
      </c>
      <c r="F310" t="s">
        <v>983</v>
      </c>
      <c r="G310" t="s">
        <v>978</v>
      </c>
      <c r="H310" s="198">
        <v>41204.270780539402</v>
      </c>
      <c r="I310" s="198">
        <v>16657</v>
      </c>
      <c r="J310" s="198">
        <v>0</v>
      </c>
      <c r="K310" s="198">
        <v>0</v>
      </c>
      <c r="L310" s="198">
        <v>150</v>
      </c>
      <c r="M310" s="198">
        <v>925.41708540000002</v>
      </c>
      <c r="N310" s="198">
        <v>50</v>
      </c>
      <c r="O310" s="198">
        <v>150</v>
      </c>
      <c r="P310" s="198">
        <v>1798.3466020999999</v>
      </c>
      <c r="Q310" s="198">
        <v>0</v>
      </c>
      <c r="R310" s="198">
        <v>0</v>
      </c>
      <c r="S310" s="198">
        <v>6560</v>
      </c>
      <c r="T310" s="198">
        <v>392</v>
      </c>
      <c r="U310" s="198">
        <v>2000</v>
      </c>
      <c r="V310" s="198">
        <v>4720</v>
      </c>
      <c r="W310" s="198">
        <v>233.3</v>
      </c>
      <c r="X310" s="198">
        <v>1500</v>
      </c>
      <c r="Y310" s="198">
        <v>186</v>
      </c>
      <c r="Z310" s="277">
        <v>76526.334468039408</v>
      </c>
      <c r="AA310" s="272">
        <v>11.07706252</v>
      </c>
      <c r="AB310" s="198">
        <v>12.125975389005932</v>
      </c>
      <c r="AC310" s="272">
        <v>0</v>
      </c>
      <c r="AD310" s="198">
        <v>0</v>
      </c>
      <c r="AE310" s="198">
        <v>12.125975389005932</v>
      </c>
      <c r="AF310" s="198">
        <v>907.69637633528066</v>
      </c>
      <c r="AG310" s="198">
        <v>0.39903932811881437</v>
      </c>
      <c r="AH310" s="198">
        <v>2.1084548998600403E-3</v>
      </c>
      <c r="AI310" s="198">
        <v>920.22629663878843</v>
      </c>
      <c r="AJ310" s="198">
        <v>0.38720671160200448</v>
      </c>
      <c r="AK310" s="198">
        <v>9.0357603939812439</v>
      </c>
      <c r="AL310" s="198">
        <v>0.42304548173789847</v>
      </c>
      <c r="AM310" s="198">
        <v>7.6040692972492038E-2</v>
      </c>
      <c r="AN310" s="198">
        <v>3.1265937493958243E-2</v>
      </c>
      <c r="AO310" s="198">
        <v>6.260347644739349E-3</v>
      </c>
      <c r="AP310" s="198">
        <v>5.195126785521656E-3</v>
      </c>
      <c r="AQ310" s="198">
        <v>4.9344498421940398E-3</v>
      </c>
      <c r="AS310" s="258">
        <f t="shared" si="40"/>
        <v>102660.07768887485</v>
      </c>
      <c r="AT310" s="3">
        <f t="shared" si="41"/>
        <v>21.234430952857721</v>
      </c>
      <c r="AU310" s="3">
        <f t="shared" si="34"/>
        <v>8.1963680634662222</v>
      </c>
      <c r="AV310" s="3">
        <f t="shared" si="42"/>
        <v>0</v>
      </c>
      <c r="AW310" s="3">
        <f t="shared" si="43"/>
        <v>0</v>
      </c>
      <c r="AX310" s="3">
        <f t="shared" si="44"/>
        <v>8.1963680634662222</v>
      </c>
      <c r="AY310" s="102">
        <f t="shared" si="45"/>
        <v>1</v>
      </c>
      <c r="AZ310" s="102">
        <f t="shared" si="46"/>
        <v>0</v>
      </c>
    </row>
    <row r="311" spans="1:52" x14ac:dyDescent="0.35">
      <c r="A311" t="s">
        <v>1021</v>
      </c>
      <c r="B311">
        <v>2025</v>
      </c>
      <c r="C311" t="s">
        <v>837</v>
      </c>
      <c r="D311" t="s">
        <v>1018</v>
      </c>
      <c r="E311" t="s">
        <v>1025</v>
      </c>
      <c r="F311" t="s">
        <v>983</v>
      </c>
      <c r="G311" t="s">
        <v>978</v>
      </c>
      <c r="H311" s="198">
        <v>41204.270780539402</v>
      </c>
      <c r="I311" s="198">
        <v>10199</v>
      </c>
      <c r="J311" s="198">
        <v>0</v>
      </c>
      <c r="K311" s="198">
        <v>0</v>
      </c>
      <c r="L311" s="198">
        <v>0</v>
      </c>
      <c r="M311" s="198">
        <v>12519.744000000001</v>
      </c>
      <c r="N311" s="198">
        <v>50</v>
      </c>
      <c r="O311" s="198">
        <v>0</v>
      </c>
      <c r="P311" s="198">
        <v>5723.1359999999995</v>
      </c>
      <c r="Q311" s="198">
        <v>0</v>
      </c>
      <c r="R311" s="198">
        <v>2534.6816223999999</v>
      </c>
      <c r="S311" s="198">
        <v>3893</v>
      </c>
      <c r="T311" s="198">
        <v>0</v>
      </c>
      <c r="U311" s="198">
        <v>2000</v>
      </c>
      <c r="V311" s="198">
        <v>4720</v>
      </c>
      <c r="W311" s="198">
        <v>233.3</v>
      </c>
      <c r="X311" s="198">
        <v>1500</v>
      </c>
      <c r="Y311" s="198">
        <v>186</v>
      </c>
      <c r="Z311" s="277">
        <v>84763.132402939416</v>
      </c>
      <c r="AA311" s="272">
        <v>70.663295800000014</v>
      </c>
      <c r="AB311" s="198">
        <v>1.9008480425279002</v>
      </c>
      <c r="AC311" s="272">
        <v>779.2</v>
      </c>
      <c r="AD311" s="198">
        <v>2.8051200000000001</v>
      </c>
      <c r="AE311" s="198">
        <v>4.7059680425278998</v>
      </c>
      <c r="AF311" s="198">
        <v>142.28899736436225</v>
      </c>
      <c r="AG311" s="198">
        <v>6.2552751544754578E-2</v>
      </c>
      <c r="AH311" s="198">
        <v>3.3051793695631728E-4</v>
      </c>
      <c r="AI311" s="198">
        <v>144.25316715012212</v>
      </c>
      <c r="AJ311" s="198">
        <v>6.0697889958580331E-2</v>
      </c>
      <c r="AK311" s="198">
        <v>1.4164310009422183</v>
      </c>
      <c r="AL311" s="198">
        <v>6.6315916869733926E-2</v>
      </c>
      <c r="AM311" s="198">
        <v>5.3391985208198177E-2</v>
      </c>
      <c r="AN311" s="198">
        <v>1.549958967129645E-2</v>
      </c>
      <c r="AO311" s="198">
        <v>9.8136184383452573E-4</v>
      </c>
      <c r="AP311" s="198">
        <v>2.3297013361678323E-3</v>
      </c>
      <c r="AQ311" s="198">
        <v>2.6680178015257771E-3</v>
      </c>
      <c r="AS311" s="258">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102">
        <f t="shared" si="45"/>
        <v>0.42434034442606411</v>
      </c>
      <c r="AZ311" s="102">
        <f t="shared" si="46"/>
        <v>0.57565965557393584</v>
      </c>
    </row>
    <row r="312" spans="1:52" x14ac:dyDescent="0.35">
      <c r="A312" t="s">
        <v>246</v>
      </c>
      <c r="B312">
        <v>2025</v>
      </c>
      <c r="C312" t="s">
        <v>837</v>
      </c>
      <c r="D312" t="s">
        <v>1018</v>
      </c>
      <c r="E312" t="s">
        <v>1025</v>
      </c>
      <c r="F312" t="s">
        <v>977</v>
      </c>
      <c r="G312" t="s">
        <v>978</v>
      </c>
      <c r="H312" s="198">
        <v>41204.270780539402</v>
      </c>
      <c r="I312" s="198">
        <v>0</v>
      </c>
      <c r="J312" s="198">
        <v>0</v>
      </c>
      <c r="K312" s="198">
        <v>0</v>
      </c>
      <c r="L312" s="198">
        <v>0</v>
      </c>
      <c r="M312" s="198">
        <v>24531.072</v>
      </c>
      <c r="N312" s="198">
        <v>50</v>
      </c>
      <c r="O312" s="198">
        <v>0</v>
      </c>
      <c r="P312" s="198">
        <v>5520</v>
      </c>
      <c r="Q312" s="198">
        <v>0</v>
      </c>
      <c r="R312" s="198">
        <v>0</v>
      </c>
      <c r="S312" s="198">
        <v>3814</v>
      </c>
      <c r="T312" s="198">
        <v>0</v>
      </c>
      <c r="U312" s="198">
        <v>2000</v>
      </c>
      <c r="V312" s="198">
        <v>4500</v>
      </c>
      <c r="W312" s="198">
        <v>233.3</v>
      </c>
      <c r="X312" s="198">
        <v>1500</v>
      </c>
      <c r="Y312" s="198">
        <v>186</v>
      </c>
      <c r="Z312" s="277">
        <v>83538.642780539405</v>
      </c>
      <c r="AA312" s="272">
        <v>0</v>
      </c>
      <c r="AB312" s="198">
        <v>0</v>
      </c>
      <c r="AC312" s="272">
        <v>944</v>
      </c>
      <c r="AD312" s="198">
        <v>3.3984000000000001</v>
      </c>
      <c r="AE312" s="198">
        <v>3.3984000000000001</v>
      </c>
      <c r="AF312" s="198">
        <v>0</v>
      </c>
      <c r="AG312" s="198">
        <v>0</v>
      </c>
      <c r="AH312" s="198">
        <v>0</v>
      </c>
      <c r="AI312" s="198">
        <v>0</v>
      </c>
      <c r="AJ312" s="198">
        <v>0</v>
      </c>
      <c r="AK312" s="198">
        <v>0</v>
      </c>
      <c r="AL312" s="198">
        <v>0</v>
      </c>
      <c r="AM312" s="198">
        <v>5.0243249941386722E-2</v>
      </c>
      <c r="AN312" s="198">
        <v>1.2839941651687685E-2</v>
      </c>
      <c r="AO312" s="198">
        <v>0</v>
      </c>
      <c r="AP312" s="198">
        <v>1.8358107681552866E-3</v>
      </c>
      <c r="AQ312" s="198">
        <v>2.2951866533293245E-3</v>
      </c>
      <c r="AS312" s="258">
        <f t="shared" si="40"/>
        <v>112067.0892900936</v>
      </c>
      <c r="AT312" s="3">
        <f t="shared" si="41"/>
        <v>0</v>
      </c>
      <c r="AU312" s="3">
        <f t="shared" si="34"/>
        <v>0</v>
      </c>
      <c r="AV312" s="3">
        <f t="shared" si="42"/>
        <v>58.657586339741762</v>
      </c>
      <c r="AW312" s="3">
        <f t="shared" si="43"/>
        <v>2.1116731082307036</v>
      </c>
      <c r="AX312" s="3">
        <f t="shared" si="44"/>
        <v>2.1116731082307036</v>
      </c>
      <c r="AY312" s="102">
        <f t="shared" si="45"/>
        <v>0</v>
      </c>
      <c r="AZ312" s="102">
        <f t="shared" si="46"/>
        <v>1</v>
      </c>
    </row>
    <row r="313" spans="1:52" x14ac:dyDescent="0.35">
      <c r="A313" t="s">
        <v>627</v>
      </c>
      <c r="B313">
        <v>2025</v>
      </c>
      <c r="C313" t="s">
        <v>837</v>
      </c>
      <c r="D313" t="s">
        <v>1018</v>
      </c>
      <c r="E313" t="s">
        <v>1025</v>
      </c>
      <c r="F313" t="s">
        <v>989</v>
      </c>
      <c r="G313" t="s">
        <v>978</v>
      </c>
      <c r="H313" s="198">
        <v>41204.270780539402</v>
      </c>
      <c r="I313" s="198">
        <v>0</v>
      </c>
      <c r="J313" s="198">
        <v>23361.509433962266</v>
      </c>
      <c r="K313" s="198">
        <v>6506.1335789999994</v>
      </c>
      <c r="L313" s="198">
        <v>0</v>
      </c>
      <c r="M313" s="198">
        <v>3796.5829140000001</v>
      </c>
      <c r="N313" s="198">
        <v>50</v>
      </c>
      <c r="O313" s="198">
        <v>0</v>
      </c>
      <c r="P313" s="198">
        <v>5520</v>
      </c>
      <c r="Q313" s="198">
        <v>0</v>
      </c>
      <c r="R313" s="198">
        <v>0</v>
      </c>
      <c r="S313" s="198">
        <v>3814</v>
      </c>
      <c r="T313" s="198">
        <v>0</v>
      </c>
      <c r="U313" s="198">
        <v>2000</v>
      </c>
      <c r="V313" s="198">
        <v>4500</v>
      </c>
      <c r="W313" s="198">
        <v>233.3</v>
      </c>
      <c r="X313" s="198">
        <v>1500</v>
      </c>
      <c r="Y313" s="198">
        <v>186</v>
      </c>
      <c r="Z313" s="277">
        <v>92671.796707501664</v>
      </c>
      <c r="AA313" s="272">
        <v>20.562297449999999</v>
      </c>
      <c r="AB313" s="198">
        <v>6.5323531004557092</v>
      </c>
      <c r="AC313" s="272">
        <v>0</v>
      </c>
      <c r="AD313" s="198">
        <v>0</v>
      </c>
      <c r="AE313" s="198">
        <v>6.5323531004557092</v>
      </c>
      <c r="AF313" s="198">
        <v>0</v>
      </c>
      <c r="AG313" s="198">
        <v>0</v>
      </c>
      <c r="AH313" s="198">
        <v>0</v>
      </c>
      <c r="AI313" s="198">
        <v>0</v>
      </c>
      <c r="AJ313" s="198">
        <v>0</v>
      </c>
      <c r="AK313" s="198">
        <v>0</v>
      </c>
      <c r="AL313" s="198">
        <v>0</v>
      </c>
      <c r="AM313" s="198">
        <v>6.1068246930057302E-2</v>
      </c>
      <c r="AN313" s="198">
        <v>1.5606329771014669E-2</v>
      </c>
      <c r="AO313" s="198">
        <v>0</v>
      </c>
      <c r="AP313" s="198">
        <v>2.2313394423599609E-3</v>
      </c>
      <c r="AQ313" s="198">
        <v>2.78968867379401E-3</v>
      </c>
      <c r="AS313" s="258">
        <f t="shared" si="40"/>
        <v>124319.21528311347</v>
      </c>
      <c r="AT313" s="3">
        <f t="shared" si="41"/>
        <v>11.439145835400224</v>
      </c>
      <c r="AU313" s="3">
        <f t="shared" si="34"/>
        <v>4.4154444169830187</v>
      </c>
      <c r="AV313" s="3">
        <f t="shared" si="42"/>
        <v>0</v>
      </c>
      <c r="AW313" s="3">
        <f t="shared" si="43"/>
        <v>0</v>
      </c>
      <c r="AX313" s="3">
        <f t="shared" si="44"/>
        <v>4.4154444169830187</v>
      </c>
      <c r="AY313" s="102">
        <f t="shared" si="45"/>
        <v>1</v>
      </c>
      <c r="AZ313" s="102">
        <f t="shared" si="46"/>
        <v>0</v>
      </c>
    </row>
    <row r="314" spans="1:52" x14ac:dyDescent="0.35">
      <c r="A314" t="s">
        <v>1065</v>
      </c>
      <c r="B314">
        <v>2025</v>
      </c>
      <c r="C314" t="s">
        <v>837</v>
      </c>
      <c r="D314" t="s">
        <v>1018</v>
      </c>
      <c r="E314" t="s">
        <v>1025</v>
      </c>
      <c r="F314" t="s">
        <v>989</v>
      </c>
      <c r="G314" t="s">
        <v>978</v>
      </c>
      <c r="H314" s="198">
        <v>41204.270780539402</v>
      </c>
      <c r="I314" s="198">
        <v>0</v>
      </c>
      <c r="J314" s="198">
        <v>10526.926732075472</v>
      </c>
      <c r="K314" s="198">
        <v>6709.0222649999996</v>
      </c>
      <c r="L314" s="198">
        <v>0</v>
      </c>
      <c r="M314" s="198">
        <v>4988.8320000000003</v>
      </c>
      <c r="N314" s="198">
        <v>50</v>
      </c>
      <c r="O314" s="198">
        <v>0</v>
      </c>
      <c r="P314" s="198">
        <v>5580.5738902000003</v>
      </c>
      <c r="Q314" s="198">
        <v>0</v>
      </c>
      <c r="R314" s="198">
        <v>0</v>
      </c>
      <c r="S314" s="198">
        <v>3838</v>
      </c>
      <c r="T314" s="198">
        <v>0</v>
      </c>
      <c r="U314" s="198">
        <v>2000</v>
      </c>
      <c r="V314" s="198">
        <v>4500</v>
      </c>
      <c r="W314" s="198">
        <v>233.3</v>
      </c>
      <c r="X314" s="198">
        <v>1500</v>
      </c>
      <c r="Y314" s="198">
        <v>186</v>
      </c>
      <c r="Z314" s="277">
        <v>81316.925667814881</v>
      </c>
      <c r="AA314" s="272">
        <v>21.58599439</v>
      </c>
      <c r="AB314" s="198">
        <v>6.2225619572210036</v>
      </c>
      <c r="AC314" s="272">
        <v>0</v>
      </c>
      <c r="AD314" s="198">
        <v>0</v>
      </c>
      <c r="AE314" s="198">
        <v>6.2225619572210036</v>
      </c>
      <c r="AF314" s="198">
        <v>0</v>
      </c>
      <c r="AG314" s="198">
        <v>0</v>
      </c>
      <c r="AH314" s="198">
        <v>0</v>
      </c>
      <c r="AI314" s="198">
        <v>0</v>
      </c>
      <c r="AJ314" s="198">
        <v>0</v>
      </c>
      <c r="AK314" s="198">
        <v>0</v>
      </c>
      <c r="AL314" s="198">
        <v>0</v>
      </c>
      <c r="AM314" s="198">
        <v>5.8172138630204075E-2</v>
      </c>
      <c r="AN314" s="198">
        <v>1.4866213205496621E-2</v>
      </c>
      <c r="AO314" s="198">
        <v>0</v>
      </c>
      <c r="AP314" s="198">
        <v>2.1255201172005233E-3</v>
      </c>
      <c r="AQ314" s="198">
        <v>2.6573901237564642E-3</v>
      </c>
      <c r="AS314" s="258">
        <f t="shared" si="40"/>
        <v>109086.65578337366</v>
      </c>
      <c r="AT314" s="3">
        <f t="shared" si="41"/>
        <v>10.896654330198228</v>
      </c>
      <c r="AU314" s="3">
        <f t="shared" si="34"/>
        <v>4.2060458200622497</v>
      </c>
      <c r="AV314" s="3">
        <f t="shared" si="42"/>
        <v>0</v>
      </c>
      <c r="AW314" s="3">
        <f t="shared" si="43"/>
        <v>0</v>
      </c>
      <c r="AX314" s="3">
        <f t="shared" si="44"/>
        <v>4.2060458200622497</v>
      </c>
      <c r="AY314" s="102">
        <f t="shared" si="45"/>
        <v>1</v>
      </c>
      <c r="AZ314" s="102">
        <f t="shared" si="46"/>
        <v>0</v>
      </c>
    </row>
    <row r="315" spans="1:52" x14ac:dyDescent="0.35">
      <c r="A315" t="s">
        <v>1017</v>
      </c>
      <c r="B315">
        <v>2030</v>
      </c>
      <c r="C315" t="s">
        <v>837</v>
      </c>
      <c r="D315" t="s">
        <v>1018</v>
      </c>
      <c r="E315" t="s">
        <v>1025</v>
      </c>
      <c r="F315" t="s">
        <v>983</v>
      </c>
      <c r="G315" t="s">
        <v>978</v>
      </c>
      <c r="H315" s="198">
        <v>41432.702621142598</v>
      </c>
      <c r="I315" s="198">
        <v>16700</v>
      </c>
      <c r="J315" s="198">
        <v>0</v>
      </c>
      <c r="K315" s="198">
        <v>0</v>
      </c>
      <c r="L315" s="198">
        <v>120</v>
      </c>
      <c r="M315" s="198">
        <v>0</v>
      </c>
      <c r="N315" s="198">
        <v>0</v>
      </c>
      <c r="O315" s="198">
        <v>150</v>
      </c>
      <c r="P315" s="198">
        <v>0</v>
      </c>
      <c r="Q315" s="198">
        <v>0</v>
      </c>
      <c r="R315" s="198">
        <v>73.2</v>
      </c>
      <c r="S315" s="198">
        <v>6495</v>
      </c>
      <c r="T315" s="198">
        <v>506</v>
      </c>
      <c r="U315" s="198">
        <v>2000</v>
      </c>
      <c r="V315" s="198">
        <v>1920</v>
      </c>
      <c r="W315" s="198">
        <v>0</v>
      </c>
      <c r="X315" s="198">
        <v>0</v>
      </c>
      <c r="Y315" s="198">
        <v>186</v>
      </c>
      <c r="Z315" s="277">
        <v>69582.902621142595</v>
      </c>
      <c r="AA315" s="272">
        <v>9.5968010899999996</v>
      </c>
      <c r="AB315" s="198">
        <v>13.996350058767346</v>
      </c>
      <c r="AC315" s="272">
        <v>0</v>
      </c>
      <c r="AD315" s="198">
        <v>0</v>
      </c>
      <c r="AE315" s="198">
        <v>13.996350058767346</v>
      </c>
      <c r="AF315" s="198">
        <v>1047.7042730749515</v>
      </c>
      <c r="AG315" s="198">
        <v>0.46058926761718483</v>
      </c>
      <c r="AH315" s="198">
        <v>2.4336741511384193E-3</v>
      </c>
      <c r="AI315" s="198">
        <v>1062.1668746513453</v>
      </c>
      <c r="AJ315" s="198">
        <v>0.44693152565684918</v>
      </c>
      <c r="AK315" s="198">
        <v>10.429483935450628</v>
      </c>
      <c r="AL315" s="198">
        <v>0.48829825752012329</v>
      </c>
      <c r="AM315" s="198">
        <v>8.7769612209438727E-2</v>
      </c>
      <c r="AN315" s="198">
        <v>3.6088561294437292E-2</v>
      </c>
      <c r="AO315" s="198">
        <v>7.2259768236701593E-3</v>
      </c>
      <c r="AP315" s="198">
        <v>5.9964506571376711E-3</v>
      </c>
      <c r="AQ315" s="198">
        <v>5.6955655213843251E-3</v>
      </c>
      <c r="AS315" s="258">
        <f t="shared" si="40"/>
        <v>93345.463866262784</v>
      </c>
      <c r="AT315" s="3">
        <f t="shared" si="41"/>
        <v>24.509742052122512</v>
      </c>
      <c r="AU315" s="3">
        <f t="shared" si="34"/>
        <v>9.4606192859986287</v>
      </c>
      <c r="AV315" s="3">
        <f t="shared" si="42"/>
        <v>0</v>
      </c>
      <c r="AW315" s="3">
        <f t="shared" si="43"/>
        <v>0</v>
      </c>
      <c r="AX315" s="3">
        <f t="shared" si="44"/>
        <v>9.4606192859986287</v>
      </c>
      <c r="AY315" s="102">
        <f t="shared" si="45"/>
        <v>1</v>
      </c>
      <c r="AZ315" s="102">
        <f t="shared" si="46"/>
        <v>0</v>
      </c>
    </row>
    <row r="316" spans="1:52" x14ac:dyDescent="0.35">
      <c r="A316" t="s">
        <v>1020</v>
      </c>
      <c r="B316">
        <v>2030</v>
      </c>
      <c r="C316" t="s">
        <v>837</v>
      </c>
      <c r="D316" t="s">
        <v>1018</v>
      </c>
      <c r="E316" t="s">
        <v>1025</v>
      </c>
      <c r="F316" t="s">
        <v>983</v>
      </c>
      <c r="G316" t="s">
        <v>978</v>
      </c>
      <c r="H316" s="198">
        <v>41432.702621142598</v>
      </c>
      <c r="I316" s="198">
        <v>16681</v>
      </c>
      <c r="J316" s="198">
        <v>0</v>
      </c>
      <c r="K316" s="198">
        <v>0</v>
      </c>
      <c r="L316" s="198">
        <v>150</v>
      </c>
      <c r="M316" s="198">
        <v>946.77286425</v>
      </c>
      <c r="N316" s="198">
        <v>40</v>
      </c>
      <c r="O316" s="198">
        <v>150</v>
      </c>
      <c r="P316" s="198">
        <v>1415.3216211900001</v>
      </c>
      <c r="Q316" s="198">
        <v>0</v>
      </c>
      <c r="R316" s="198">
        <v>0</v>
      </c>
      <c r="S316" s="198">
        <v>6489</v>
      </c>
      <c r="T316" s="198">
        <v>392</v>
      </c>
      <c r="U316" s="198">
        <v>2000</v>
      </c>
      <c r="V316" s="198">
        <v>4720</v>
      </c>
      <c r="W316" s="198">
        <v>173.28</v>
      </c>
      <c r="X316" s="198">
        <v>1500</v>
      </c>
      <c r="Y316" s="198">
        <v>186</v>
      </c>
      <c r="Z316" s="277">
        <v>76276.077106582597</v>
      </c>
      <c r="AA316" s="272">
        <v>11.98218866</v>
      </c>
      <c r="AB316" s="198">
        <v>11.209987700193665</v>
      </c>
      <c r="AC316" s="272">
        <v>0</v>
      </c>
      <c r="AD316" s="198">
        <v>0</v>
      </c>
      <c r="AE316" s="198">
        <v>11.209987700193665</v>
      </c>
      <c r="AF316" s="198">
        <v>839.12962774560015</v>
      </c>
      <c r="AG316" s="198">
        <v>0.36889617672827563</v>
      </c>
      <c r="AH316" s="198">
        <v>1.9491836933195144E-3</v>
      </c>
      <c r="AI316" s="198">
        <v>850.71304664434513</v>
      </c>
      <c r="AJ316" s="198">
        <v>0.35795738777651764</v>
      </c>
      <c r="AK316" s="198">
        <v>8.353205381751188</v>
      </c>
      <c r="AL316" s="198">
        <v>0.39108892231498377</v>
      </c>
      <c r="AM316" s="198">
        <v>7.0296632278231783E-2</v>
      </c>
      <c r="AN316" s="198">
        <v>2.8904130471852172E-2</v>
      </c>
      <c r="AO316" s="198">
        <v>5.7874453679076449E-3</v>
      </c>
      <c r="AP316" s="198">
        <v>4.8026905463988915E-3</v>
      </c>
      <c r="AQ316" s="198">
        <v>4.5617049568127486E-3</v>
      </c>
      <c r="AS316" s="258">
        <f t="shared" si="40"/>
        <v>102324.35743848055</v>
      </c>
      <c r="AT316" s="3">
        <f t="shared" si="41"/>
        <v>19.630396909593323</v>
      </c>
      <c r="AU316" s="3">
        <f t="shared" si="34"/>
        <v>7.5772201600393316</v>
      </c>
      <c r="AV316" s="3">
        <f t="shared" si="42"/>
        <v>0</v>
      </c>
      <c r="AW316" s="3">
        <f t="shared" si="43"/>
        <v>0</v>
      </c>
      <c r="AX316" s="3">
        <f t="shared" si="44"/>
        <v>7.5772201600393316</v>
      </c>
      <c r="AY316" s="102">
        <f t="shared" si="45"/>
        <v>1</v>
      </c>
      <c r="AZ316" s="102">
        <f t="shared" si="46"/>
        <v>0</v>
      </c>
    </row>
    <row r="317" spans="1:52" x14ac:dyDescent="0.35">
      <c r="A317" t="s">
        <v>1021</v>
      </c>
      <c r="B317">
        <v>2030</v>
      </c>
      <c r="C317" t="s">
        <v>837</v>
      </c>
      <c r="D317" t="s">
        <v>1018</v>
      </c>
      <c r="E317" t="s">
        <v>1025</v>
      </c>
      <c r="F317" t="s">
        <v>983</v>
      </c>
      <c r="G317" t="s">
        <v>978</v>
      </c>
      <c r="H317" s="198">
        <v>41432.702621142598</v>
      </c>
      <c r="I317" s="198">
        <v>10236</v>
      </c>
      <c r="J317" s="198">
        <v>0</v>
      </c>
      <c r="K317" s="198">
        <v>0</v>
      </c>
      <c r="L317" s="198">
        <v>0</v>
      </c>
      <c r="M317" s="198">
        <v>9036.2999999999993</v>
      </c>
      <c r="N317" s="198">
        <v>40</v>
      </c>
      <c r="O317" s="198">
        <v>0</v>
      </c>
      <c r="P317" s="198">
        <v>4477.4321445599999</v>
      </c>
      <c r="Q317" s="198">
        <v>0</v>
      </c>
      <c r="R317" s="198">
        <v>1887.8136948900001</v>
      </c>
      <c r="S317" s="198">
        <v>3856</v>
      </c>
      <c r="T317" s="198">
        <v>0</v>
      </c>
      <c r="U317" s="198">
        <v>2000</v>
      </c>
      <c r="V317" s="198">
        <v>4720</v>
      </c>
      <c r="W317" s="198">
        <v>173.28</v>
      </c>
      <c r="X317" s="198">
        <v>1500</v>
      </c>
      <c r="Y317" s="198">
        <v>186</v>
      </c>
      <c r="Z317" s="277">
        <v>79545.528460592599</v>
      </c>
      <c r="AA317" s="272">
        <v>77.586300600000015</v>
      </c>
      <c r="AB317" s="198">
        <v>1.7312358813509399</v>
      </c>
      <c r="AC317" s="272">
        <v>736.80000000000007</v>
      </c>
      <c r="AD317" s="198">
        <v>2.6524800000000002</v>
      </c>
      <c r="AE317" s="198">
        <v>4.3837158813509403</v>
      </c>
      <c r="AF317" s="198">
        <v>129.59258828024787</v>
      </c>
      <c r="AG317" s="198">
        <v>5.6971186296139738E-2</v>
      </c>
      <c r="AH317" s="198">
        <v>3.0102591006059634E-4</v>
      </c>
      <c r="AI317" s="198">
        <v>131.38149572266008</v>
      </c>
      <c r="AJ317" s="198">
        <v>5.5281833511971967E-2</v>
      </c>
      <c r="AK317" s="198">
        <v>1.2900432425034327</v>
      </c>
      <c r="AL317" s="198">
        <v>6.039856538815587E-2</v>
      </c>
      <c r="AM317" s="198">
        <v>5.0071677166094924E-2</v>
      </c>
      <c r="AN317" s="198">
        <v>1.448554791955679E-2</v>
      </c>
      <c r="AO317" s="198">
        <v>8.9379518963316157E-4</v>
      </c>
      <c r="AP317" s="198">
        <v>2.1745785584164059E-3</v>
      </c>
      <c r="AQ317" s="198">
        <v>2.4959082595749646E-3</v>
      </c>
      <c r="AS317" s="258">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102">
        <f t="shared" si="45"/>
        <v>0.41520375795638065</v>
      </c>
      <c r="AZ317" s="102">
        <f t="shared" si="46"/>
        <v>0.58479624204361924</v>
      </c>
    </row>
    <row r="318" spans="1:52" x14ac:dyDescent="0.35">
      <c r="A318" t="s">
        <v>246</v>
      </c>
      <c r="B318">
        <v>2030</v>
      </c>
      <c r="C318" t="s">
        <v>837</v>
      </c>
      <c r="D318" t="s">
        <v>1018</v>
      </c>
      <c r="E318" t="s">
        <v>1025</v>
      </c>
      <c r="F318" t="s">
        <v>977</v>
      </c>
      <c r="G318" t="s">
        <v>978</v>
      </c>
      <c r="H318" s="198">
        <v>41432.702621142598</v>
      </c>
      <c r="I318" s="198">
        <v>0</v>
      </c>
      <c r="J318" s="198">
        <v>0</v>
      </c>
      <c r="K318" s="198">
        <v>0</v>
      </c>
      <c r="L318" s="198">
        <v>0</v>
      </c>
      <c r="M318" s="198">
        <v>17874</v>
      </c>
      <c r="N318" s="198">
        <v>40</v>
      </c>
      <c r="O318" s="198">
        <v>0</v>
      </c>
      <c r="P318" s="198">
        <v>4392</v>
      </c>
      <c r="Q318" s="198">
        <v>0</v>
      </c>
      <c r="R318" s="198">
        <v>0</v>
      </c>
      <c r="S318" s="198">
        <v>3814</v>
      </c>
      <c r="T318" s="198">
        <v>0</v>
      </c>
      <c r="U318" s="198">
        <v>2000</v>
      </c>
      <c r="V318" s="198">
        <v>4500</v>
      </c>
      <c r="W318" s="198">
        <v>173.28</v>
      </c>
      <c r="X318" s="198">
        <v>1500</v>
      </c>
      <c r="Y318" s="198">
        <v>186</v>
      </c>
      <c r="Z318" s="277">
        <v>75911.982621142597</v>
      </c>
      <c r="AA318" s="272">
        <v>0</v>
      </c>
      <c r="AB318" s="198">
        <v>0</v>
      </c>
      <c r="AC318" s="272">
        <v>887</v>
      </c>
      <c r="AD318" s="198">
        <v>3.1932</v>
      </c>
      <c r="AE318" s="198">
        <v>3.1932</v>
      </c>
      <c r="AF318" s="198">
        <v>0</v>
      </c>
      <c r="AG318" s="198">
        <v>0</v>
      </c>
      <c r="AH318" s="198">
        <v>0</v>
      </c>
      <c r="AI318" s="198">
        <v>0</v>
      </c>
      <c r="AJ318" s="198">
        <v>0</v>
      </c>
      <c r="AK318" s="198">
        <v>0</v>
      </c>
      <c r="AL318" s="198">
        <v>0</v>
      </c>
      <c r="AM318" s="198">
        <v>4.7209494383485193E-2</v>
      </c>
      <c r="AN318" s="198">
        <v>1.2064648564668407E-2</v>
      </c>
      <c r="AO318" s="198">
        <v>0</v>
      </c>
      <c r="AP318" s="198">
        <v>1.7249620247391305E-3</v>
      </c>
      <c r="AQ318" s="198">
        <v>2.1566001710838036E-3</v>
      </c>
      <c r="AS318" s="258">
        <f t="shared" si="40"/>
        <v>101835.92468626279</v>
      </c>
      <c r="AT318" s="3">
        <f t="shared" si="41"/>
        <v>0</v>
      </c>
      <c r="AU318" s="3">
        <f t="shared" si="34"/>
        <v>0</v>
      </c>
      <c r="AV318" s="3">
        <f t="shared" si="42"/>
        <v>55.115761740837854</v>
      </c>
      <c r="AW318" s="3">
        <f t="shared" si="43"/>
        <v>1.9841674226701627</v>
      </c>
      <c r="AX318" s="3">
        <f t="shared" si="44"/>
        <v>1.9841674226701627</v>
      </c>
      <c r="AY318" s="102">
        <f t="shared" si="45"/>
        <v>0</v>
      </c>
      <c r="AZ318" s="102">
        <f t="shared" si="46"/>
        <v>1</v>
      </c>
    </row>
    <row r="319" spans="1:52" x14ac:dyDescent="0.35">
      <c r="A319" t="s">
        <v>627</v>
      </c>
      <c r="B319">
        <v>2030</v>
      </c>
      <c r="C319" t="s">
        <v>837</v>
      </c>
      <c r="D319" t="s">
        <v>1018</v>
      </c>
      <c r="E319" t="s">
        <v>1025</v>
      </c>
      <c r="F319" t="s">
        <v>989</v>
      </c>
      <c r="G319" t="s">
        <v>978</v>
      </c>
      <c r="H319" s="198">
        <v>41432.702621142598</v>
      </c>
      <c r="I319" s="198">
        <v>0</v>
      </c>
      <c r="J319" s="198">
        <v>20328</v>
      </c>
      <c r="K319" s="198">
        <v>5708.5571400000008</v>
      </c>
      <c r="L319" s="198">
        <v>0</v>
      </c>
      <c r="M319" s="198">
        <v>3719.4648235</v>
      </c>
      <c r="N319" s="198">
        <v>40</v>
      </c>
      <c r="O319" s="198">
        <v>0</v>
      </c>
      <c r="P319" s="198">
        <v>4392</v>
      </c>
      <c r="Q319" s="198">
        <v>0</v>
      </c>
      <c r="R319" s="198">
        <v>0</v>
      </c>
      <c r="S319" s="198">
        <v>3814</v>
      </c>
      <c r="T319" s="198">
        <v>0</v>
      </c>
      <c r="U319" s="198">
        <v>2000</v>
      </c>
      <c r="V319" s="198">
        <v>4500</v>
      </c>
      <c r="W319" s="198">
        <v>173.28</v>
      </c>
      <c r="X319" s="198">
        <v>1500</v>
      </c>
      <c r="Y319" s="198">
        <v>186</v>
      </c>
      <c r="Z319" s="277">
        <v>87794.004584642607</v>
      </c>
      <c r="AA319" s="272">
        <v>22.389843469999999</v>
      </c>
      <c r="AB319" s="198">
        <v>5.999157058867997</v>
      </c>
      <c r="AC319" s="272">
        <v>0</v>
      </c>
      <c r="AD319" s="198">
        <v>0</v>
      </c>
      <c r="AE319" s="198">
        <v>5.999157058867997</v>
      </c>
      <c r="AF319" s="198">
        <v>0</v>
      </c>
      <c r="AG319" s="198">
        <v>0</v>
      </c>
      <c r="AH319" s="198">
        <v>0</v>
      </c>
      <c r="AI319" s="198">
        <v>0</v>
      </c>
      <c r="AJ319" s="198">
        <v>0</v>
      </c>
      <c r="AK319" s="198">
        <v>0</v>
      </c>
      <c r="AL319" s="198">
        <v>0</v>
      </c>
      <c r="AM319" s="198">
        <v>5.6083619334293081E-2</v>
      </c>
      <c r="AN319" s="198">
        <v>1.4332480496541589E-2</v>
      </c>
      <c r="AO319" s="198">
        <v>0</v>
      </c>
      <c r="AP319" s="198">
        <v>2.0492088471810404E-3</v>
      </c>
      <c r="AQ319" s="198">
        <v>2.5619834448734739E-3</v>
      </c>
      <c r="AS319" s="258">
        <f t="shared" si="40"/>
        <v>117775.65715029805</v>
      </c>
      <c r="AT319" s="3">
        <f t="shared" si="41"/>
        <v>10.505438305390179</v>
      </c>
      <c r="AU319" s="3">
        <f t="shared" si="34"/>
        <v>4.0550386874118987</v>
      </c>
      <c r="AV319" s="3">
        <f t="shared" si="42"/>
        <v>0</v>
      </c>
      <c r="AW319" s="3">
        <f t="shared" si="43"/>
        <v>0</v>
      </c>
      <c r="AX319" s="3">
        <f t="shared" si="44"/>
        <v>4.0550386874118987</v>
      </c>
      <c r="AY319" s="102">
        <f t="shared" si="45"/>
        <v>1</v>
      </c>
      <c r="AZ319" s="102">
        <f t="shared" si="46"/>
        <v>0</v>
      </c>
    </row>
    <row r="320" spans="1:52" x14ac:dyDescent="0.35">
      <c r="A320" t="s">
        <v>1065</v>
      </c>
      <c r="B320">
        <v>2030</v>
      </c>
      <c r="C320" t="s">
        <v>837</v>
      </c>
      <c r="D320" t="s">
        <v>1018</v>
      </c>
      <c r="E320" t="s">
        <v>1025</v>
      </c>
      <c r="F320" t="s">
        <v>989</v>
      </c>
      <c r="G320" t="s">
        <v>978</v>
      </c>
      <c r="H320" s="198">
        <v>41432.702621142598</v>
      </c>
      <c r="I320" s="198">
        <v>0</v>
      </c>
      <c r="J320" s="198">
        <v>8412.1067029999995</v>
      </c>
      <c r="K320" s="198">
        <v>5866.2961500000001</v>
      </c>
      <c r="L320" s="198">
        <v>0</v>
      </c>
      <c r="M320" s="198">
        <v>4058.8875000000003</v>
      </c>
      <c r="N320" s="198">
        <v>40</v>
      </c>
      <c r="O320" s="198">
        <v>0</v>
      </c>
      <c r="P320" s="198">
        <v>4442.0331186600006</v>
      </c>
      <c r="Q320" s="198">
        <v>0</v>
      </c>
      <c r="R320" s="198">
        <v>0</v>
      </c>
      <c r="S320" s="198">
        <v>3838</v>
      </c>
      <c r="T320" s="198">
        <v>0</v>
      </c>
      <c r="U320" s="198">
        <v>2000</v>
      </c>
      <c r="V320" s="198">
        <v>4500</v>
      </c>
      <c r="W320" s="198">
        <v>173.28</v>
      </c>
      <c r="X320" s="198">
        <v>1500</v>
      </c>
      <c r="Y320" s="198">
        <v>186</v>
      </c>
      <c r="Z320" s="277">
        <v>76449.306092802595</v>
      </c>
      <c r="AA320" s="272">
        <v>23.05747487</v>
      </c>
      <c r="AB320" s="198">
        <v>5.8254508898874926</v>
      </c>
      <c r="AC320" s="272">
        <v>0</v>
      </c>
      <c r="AD320" s="198">
        <v>0</v>
      </c>
      <c r="AE320" s="198">
        <v>5.8254508898874926</v>
      </c>
      <c r="AF320" s="198">
        <v>0</v>
      </c>
      <c r="AG320" s="198">
        <v>0</v>
      </c>
      <c r="AH320" s="198">
        <v>0</v>
      </c>
      <c r="AI320" s="198">
        <v>0</v>
      </c>
      <c r="AJ320" s="198">
        <v>0</v>
      </c>
      <c r="AK320" s="198">
        <v>0</v>
      </c>
      <c r="AL320" s="198">
        <v>0</v>
      </c>
      <c r="AM320" s="198">
        <v>5.4459712748496959E-2</v>
      </c>
      <c r="AN320" s="198">
        <v>1.3917482146838136E-2</v>
      </c>
      <c r="AO320" s="198">
        <v>0</v>
      </c>
      <c r="AP320" s="198">
        <v>1.989873808142749E-3</v>
      </c>
      <c r="AQ320" s="198">
        <v>2.4878009680965743E-3</v>
      </c>
      <c r="AS320" s="258">
        <f t="shared" si="40"/>
        <v>102556.74412349467</v>
      </c>
      <c r="AT320" s="3">
        <f t="shared" si="41"/>
        <v>10.201252329996713</v>
      </c>
      <c r="AU320" s="3">
        <f t="shared" si="34"/>
        <v>3.9376246526489944</v>
      </c>
      <c r="AV320" s="3">
        <f t="shared" si="42"/>
        <v>0</v>
      </c>
      <c r="AW320" s="3">
        <f t="shared" si="43"/>
        <v>0</v>
      </c>
      <c r="AX320" s="3">
        <f t="shared" si="44"/>
        <v>3.9376246526489944</v>
      </c>
      <c r="AY320" s="102">
        <f t="shared" si="45"/>
        <v>1</v>
      </c>
      <c r="AZ320" s="102">
        <f t="shared" si="46"/>
        <v>0</v>
      </c>
    </row>
    <row r="321" spans="1:52" x14ac:dyDescent="0.35">
      <c r="A321" t="s">
        <v>1017</v>
      </c>
      <c r="B321">
        <v>2035</v>
      </c>
      <c r="C321" t="s">
        <v>837</v>
      </c>
      <c r="D321" t="s">
        <v>1018</v>
      </c>
      <c r="E321" t="s">
        <v>1025</v>
      </c>
      <c r="F321" t="s">
        <v>983</v>
      </c>
      <c r="G321" t="s">
        <v>978</v>
      </c>
      <c r="H321" s="198">
        <v>41432.702621142598</v>
      </c>
      <c r="I321" s="198">
        <v>16644</v>
      </c>
      <c r="J321" s="198">
        <v>0</v>
      </c>
      <c r="K321" s="198">
        <v>0</v>
      </c>
      <c r="L321" s="198">
        <v>120</v>
      </c>
      <c r="M321" s="198">
        <v>0</v>
      </c>
      <c r="N321" s="198">
        <v>0</v>
      </c>
      <c r="O321" s="198">
        <v>150</v>
      </c>
      <c r="P321" s="198">
        <v>0</v>
      </c>
      <c r="Q321" s="198">
        <v>0</v>
      </c>
      <c r="R321" s="198">
        <v>62.6</v>
      </c>
      <c r="S321" s="198">
        <v>6495</v>
      </c>
      <c r="T321" s="198">
        <v>506</v>
      </c>
      <c r="U321" s="198">
        <v>2000</v>
      </c>
      <c r="V321" s="198">
        <v>1920</v>
      </c>
      <c r="W321" s="198">
        <v>0</v>
      </c>
      <c r="X321" s="198">
        <v>0</v>
      </c>
      <c r="Y321" s="198">
        <v>186</v>
      </c>
      <c r="Z321" s="277">
        <v>69516.302621142589</v>
      </c>
      <c r="AA321" s="272">
        <v>10.026767489999999</v>
      </c>
      <c r="AB321" s="198">
        <v>13.396160590535446</v>
      </c>
      <c r="AC321" s="272">
        <v>0</v>
      </c>
      <c r="AD321" s="198">
        <v>0</v>
      </c>
      <c r="AE321" s="198">
        <v>13.396160590535446</v>
      </c>
      <c r="AF321" s="198">
        <v>1002.7767692699686</v>
      </c>
      <c r="AG321" s="198">
        <v>0.44083834495207791</v>
      </c>
      <c r="AH321" s="198">
        <v>2.3293136865538311E-3</v>
      </c>
      <c r="AI321" s="198">
        <v>1016.6191876476756</v>
      </c>
      <c r="AJ321" s="198">
        <v>0.42776627231624503</v>
      </c>
      <c r="AK321" s="198">
        <v>9.9822483068139913</v>
      </c>
      <c r="AL321" s="198">
        <v>0.46735912193913048</v>
      </c>
      <c r="AM321" s="198">
        <v>8.4005888334448539E-2</v>
      </c>
      <c r="AN321" s="198">
        <v>3.4541016804508308E-2</v>
      </c>
      <c r="AO321" s="198">
        <v>6.9161135258071606E-3</v>
      </c>
      <c r="AP321" s="198">
        <v>5.7393117233388649E-3</v>
      </c>
      <c r="AQ321" s="198">
        <v>5.451329100659888E-3</v>
      </c>
      <c r="AS321" s="258">
        <f t="shared" si="40"/>
        <v>93256.119966262777</v>
      </c>
      <c r="AT321" s="3">
        <f t="shared" si="41"/>
        <v>23.458718821994761</v>
      </c>
      <c r="AU321" s="3">
        <f t="shared" si="34"/>
        <v>9.054930371776944</v>
      </c>
      <c r="AV321" s="3">
        <f t="shared" si="42"/>
        <v>0</v>
      </c>
      <c r="AW321" s="3">
        <f t="shared" si="43"/>
        <v>0</v>
      </c>
      <c r="AX321" s="3">
        <f t="shared" si="44"/>
        <v>9.054930371776944</v>
      </c>
      <c r="AY321" s="102">
        <f t="shared" si="45"/>
        <v>1</v>
      </c>
      <c r="AZ321" s="102">
        <f t="shared" si="46"/>
        <v>0</v>
      </c>
    </row>
    <row r="322" spans="1:52" x14ac:dyDescent="0.35">
      <c r="A322" t="s">
        <v>1020</v>
      </c>
      <c r="B322">
        <v>2035</v>
      </c>
      <c r="C322" t="s">
        <v>837</v>
      </c>
      <c r="D322" t="s">
        <v>1018</v>
      </c>
      <c r="E322" t="s">
        <v>1025</v>
      </c>
      <c r="F322" t="s">
        <v>983</v>
      </c>
      <c r="G322" t="s">
        <v>978</v>
      </c>
      <c r="H322" s="198">
        <v>41432.702621142598</v>
      </c>
      <c r="I322" s="198">
        <v>16398</v>
      </c>
      <c r="J322" s="198">
        <v>0</v>
      </c>
      <c r="K322" s="198">
        <v>0</v>
      </c>
      <c r="L322" s="198">
        <v>150</v>
      </c>
      <c r="M322" s="198">
        <v>939.65427144</v>
      </c>
      <c r="N322" s="198">
        <v>35</v>
      </c>
      <c r="O322" s="198">
        <v>150</v>
      </c>
      <c r="P322" s="198">
        <v>1220.7741831799999</v>
      </c>
      <c r="Q322" s="198">
        <v>0</v>
      </c>
      <c r="R322" s="198">
        <v>0</v>
      </c>
      <c r="S322" s="198">
        <v>6418</v>
      </c>
      <c r="T322" s="198">
        <v>392</v>
      </c>
      <c r="U322" s="198">
        <v>2000</v>
      </c>
      <c r="V322" s="198">
        <v>4720</v>
      </c>
      <c r="W322" s="198">
        <v>140</v>
      </c>
      <c r="X322" s="198">
        <v>1500</v>
      </c>
      <c r="Y322" s="198">
        <v>186</v>
      </c>
      <c r="Z322" s="277">
        <v>75682.131075762591</v>
      </c>
      <c r="AA322" s="272">
        <v>12.66654261</v>
      </c>
      <c r="AB322" s="198">
        <v>10.604329187189306</v>
      </c>
      <c r="AC322" s="272">
        <v>0</v>
      </c>
      <c r="AD322" s="198">
        <v>0</v>
      </c>
      <c r="AE322" s="198">
        <v>10.604329187189306</v>
      </c>
      <c r="AF322" s="198">
        <v>793.792735667697</v>
      </c>
      <c r="AG322" s="198">
        <v>0.3489652797616018</v>
      </c>
      <c r="AH322" s="198">
        <v>1.8438722756051267E-3</v>
      </c>
      <c r="AI322" s="198">
        <v>804.75032013616885</v>
      </c>
      <c r="AJ322" s="198">
        <v>0.33861749686870651</v>
      </c>
      <c r="AK322" s="198">
        <v>7.9018944538860287</v>
      </c>
      <c r="AL322" s="198">
        <v>0.36995898520205739</v>
      </c>
      <c r="AM322" s="198">
        <v>6.6498612609208183E-2</v>
      </c>
      <c r="AN322" s="198">
        <v>2.7342484451405288E-2</v>
      </c>
      <c r="AO322" s="198">
        <v>5.4747585345795088E-3</v>
      </c>
      <c r="AP322" s="198">
        <v>4.5432085119358392E-3</v>
      </c>
      <c r="AQ322" s="198">
        <v>4.3152430056671558E-3</v>
      </c>
      <c r="AS322" s="258">
        <f t="shared" si="40"/>
        <v>101527.57883813551</v>
      </c>
      <c r="AT322" s="3">
        <f t="shared" si="41"/>
        <v>18.569796548564891</v>
      </c>
      <c r="AU322" s="3">
        <f t="shared" si="34"/>
        <v>7.1678345284425387</v>
      </c>
      <c r="AV322" s="3">
        <f t="shared" si="42"/>
        <v>0</v>
      </c>
      <c r="AW322" s="3">
        <f t="shared" si="43"/>
        <v>0</v>
      </c>
      <c r="AX322" s="3">
        <f t="shared" si="44"/>
        <v>7.1678345284425387</v>
      </c>
      <c r="AY322" s="102">
        <f t="shared" si="45"/>
        <v>1</v>
      </c>
      <c r="AZ322" s="102">
        <f t="shared" si="46"/>
        <v>0</v>
      </c>
    </row>
    <row r="323" spans="1:52" x14ac:dyDescent="0.35">
      <c r="A323" t="s">
        <v>1021</v>
      </c>
      <c r="B323">
        <v>2035</v>
      </c>
      <c r="C323" t="s">
        <v>837</v>
      </c>
      <c r="D323" t="s">
        <v>1018</v>
      </c>
      <c r="E323" t="s">
        <v>1025</v>
      </c>
      <c r="F323" t="s">
        <v>983</v>
      </c>
      <c r="G323" t="s">
        <v>978</v>
      </c>
      <c r="H323" s="198">
        <v>41432.702621142598</v>
      </c>
      <c r="I323" s="198">
        <v>9958</v>
      </c>
      <c r="J323" s="198">
        <v>0</v>
      </c>
      <c r="K323" s="198">
        <v>0</v>
      </c>
      <c r="L323" s="198">
        <v>0</v>
      </c>
      <c r="M323" s="198">
        <v>7194.2849999999999</v>
      </c>
      <c r="N323" s="198">
        <v>35</v>
      </c>
      <c r="O323" s="198">
        <v>0</v>
      </c>
      <c r="P323" s="198">
        <v>3777.8522288499998</v>
      </c>
      <c r="Q323" s="198">
        <v>0</v>
      </c>
      <c r="R323" s="198">
        <v>1499.0137562900002</v>
      </c>
      <c r="S323" s="198">
        <v>3820</v>
      </c>
      <c r="T323" s="198">
        <v>0</v>
      </c>
      <c r="U323" s="198">
        <v>2000</v>
      </c>
      <c r="V323" s="198">
        <v>4720</v>
      </c>
      <c r="W323" s="198">
        <v>140</v>
      </c>
      <c r="X323" s="198">
        <v>1500</v>
      </c>
      <c r="Y323" s="198">
        <v>186</v>
      </c>
      <c r="Z323" s="277">
        <v>76262.853606282602</v>
      </c>
      <c r="AA323" s="272">
        <v>84.082805550000018</v>
      </c>
      <c r="AB323" s="198">
        <v>1.5974750916241278</v>
      </c>
      <c r="AC323" s="272">
        <v>699.2</v>
      </c>
      <c r="AD323" s="198">
        <v>2.5171200000000002</v>
      </c>
      <c r="AE323" s="198">
        <v>4.1145950916241283</v>
      </c>
      <c r="AF323" s="198">
        <v>119.5798527900494</v>
      </c>
      <c r="AG323" s="198">
        <v>5.2569411267829644E-2</v>
      </c>
      <c r="AH323" s="198">
        <v>2.7776769095153004E-4</v>
      </c>
      <c r="AI323" s="198">
        <v>121.23054355452487</v>
      </c>
      <c r="AJ323" s="198">
        <v>5.1010583252107139E-2</v>
      </c>
      <c r="AK323" s="198">
        <v>1.19037039909844</v>
      </c>
      <c r="AL323" s="198">
        <v>5.5731980151728151E-2</v>
      </c>
      <c r="AM323" s="198">
        <v>4.7231663386918019E-2</v>
      </c>
      <c r="AN323" s="198">
        <v>1.3629234136517562E-2</v>
      </c>
      <c r="AO323" s="198">
        <v>8.2473773090831995E-4</v>
      </c>
      <c r="AP323" s="198">
        <v>2.0441502004193363E-3</v>
      </c>
      <c r="AQ323" s="198">
        <v>2.3500582356915283E-3</v>
      </c>
      <c r="AS323" s="258">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102">
        <f t="shared" si="45"/>
        <v>0.40841400976321091</v>
      </c>
      <c r="AZ323" s="102">
        <f t="shared" si="46"/>
        <v>0.59158599023678904</v>
      </c>
    </row>
    <row r="324" spans="1:52" x14ac:dyDescent="0.35">
      <c r="A324" t="s">
        <v>246</v>
      </c>
      <c r="B324">
        <v>2035</v>
      </c>
      <c r="C324" t="s">
        <v>837</v>
      </c>
      <c r="D324" t="s">
        <v>1018</v>
      </c>
      <c r="E324" t="s">
        <v>1025</v>
      </c>
      <c r="F324" t="s">
        <v>977</v>
      </c>
      <c r="G324" t="s">
        <v>978</v>
      </c>
      <c r="H324" s="198">
        <v>41432.702621142598</v>
      </c>
      <c r="I324" s="198">
        <v>0</v>
      </c>
      <c r="J324" s="198">
        <v>0</v>
      </c>
      <c r="K324" s="198">
        <v>0</v>
      </c>
      <c r="L324" s="198">
        <v>0</v>
      </c>
      <c r="M324" s="198">
        <v>14544.967499999999</v>
      </c>
      <c r="N324" s="198">
        <v>35</v>
      </c>
      <c r="O324" s="198">
        <v>0</v>
      </c>
      <c r="P324" s="198">
        <v>3768</v>
      </c>
      <c r="Q324" s="198">
        <v>0</v>
      </c>
      <c r="R324" s="198">
        <v>0</v>
      </c>
      <c r="S324" s="198">
        <v>3814</v>
      </c>
      <c r="T324" s="198">
        <v>0</v>
      </c>
      <c r="U324" s="198">
        <v>2000</v>
      </c>
      <c r="V324" s="198">
        <v>4500</v>
      </c>
      <c r="W324" s="198">
        <v>140</v>
      </c>
      <c r="X324" s="198">
        <v>1500</v>
      </c>
      <c r="Y324" s="198">
        <v>186</v>
      </c>
      <c r="Z324" s="277">
        <v>71920.670121142597</v>
      </c>
      <c r="AA324" s="272">
        <v>0</v>
      </c>
      <c r="AB324" s="198">
        <v>0</v>
      </c>
      <c r="AC324" s="272">
        <v>839</v>
      </c>
      <c r="AD324" s="198">
        <v>3.0204</v>
      </c>
      <c r="AE324" s="198">
        <v>3.0204</v>
      </c>
      <c r="AF324" s="198">
        <v>0</v>
      </c>
      <c r="AG324" s="198">
        <v>0</v>
      </c>
      <c r="AH324" s="198">
        <v>0</v>
      </c>
      <c r="AI324" s="198">
        <v>0</v>
      </c>
      <c r="AJ324" s="198">
        <v>0</v>
      </c>
      <c r="AK324" s="198">
        <v>0</v>
      </c>
      <c r="AL324" s="198">
        <v>0</v>
      </c>
      <c r="AM324" s="198">
        <v>4.4654752861041799E-2</v>
      </c>
      <c r="AN324" s="198">
        <v>1.1411770175599542E-2</v>
      </c>
      <c r="AO324" s="198">
        <v>0</v>
      </c>
      <c r="AP324" s="198">
        <v>1.6316157144939463E-3</v>
      </c>
      <c r="AQ324" s="198">
        <v>2.0398957649823126E-3</v>
      </c>
      <c r="AS324" s="258">
        <f t="shared" si="40"/>
        <v>96481.578967512789</v>
      </c>
      <c r="AT324" s="3">
        <f t="shared" si="41"/>
        <v>0</v>
      </c>
      <c r="AU324" s="3">
        <f t="shared" si="47"/>
        <v>0</v>
      </c>
      <c r="AV324" s="3">
        <f t="shared" si="42"/>
        <v>52.133172604918784</v>
      </c>
      <c r="AW324" s="3">
        <f t="shared" si="43"/>
        <v>1.8767942137770763</v>
      </c>
      <c r="AX324" s="3">
        <f t="shared" si="44"/>
        <v>1.8767942137770763</v>
      </c>
      <c r="AY324" s="102">
        <f t="shared" si="45"/>
        <v>0</v>
      </c>
      <c r="AZ324" s="102">
        <f t="shared" si="46"/>
        <v>1</v>
      </c>
    </row>
    <row r="325" spans="1:52" x14ac:dyDescent="0.35">
      <c r="A325" t="s">
        <v>627</v>
      </c>
      <c r="B325">
        <v>2035</v>
      </c>
      <c r="C325" t="s">
        <v>837</v>
      </c>
      <c r="D325" t="s">
        <v>1018</v>
      </c>
      <c r="E325" t="s">
        <v>1025</v>
      </c>
      <c r="F325" t="s">
        <v>989</v>
      </c>
      <c r="G325" t="s">
        <v>978</v>
      </c>
      <c r="H325" s="198">
        <v>41432.702621142598</v>
      </c>
      <c r="I325" s="198">
        <v>0</v>
      </c>
      <c r="J325" s="198">
        <v>17556</v>
      </c>
      <c r="K325" s="198">
        <v>5393.1136545000008</v>
      </c>
      <c r="L325" s="198">
        <v>0</v>
      </c>
      <c r="M325" s="198">
        <v>3470.3140698000002</v>
      </c>
      <c r="N325" s="198">
        <v>35</v>
      </c>
      <c r="O325" s="198">
        <v>0</v>
      </c>
      <c r="P325" s="198">
        <v>3768</v>
      </c>
      <c r="Q325" s="198">
        <v>0</v>
      </c>
      <c r="R325" s="198">
        <v>0</v>
      </c>
      <c r="S325" s="198">
        <v>3814</v>
      </c>
      <c r="T325" s="198">
        <v>0</v>
      </c>
      <c r="U325" s="198">
        <v>2000</v>
      </c>
      <c r="V325" s="198">
        <v>4500</v>
      </c>
      <c r="W325" s="198">
        <v>140</v>
      </c>
      <c r="X325" s="198">
        <v>1500</v>
      </c>
      <c r="Y325" s="198">
        <v>186</v>
      </c>
      <c r="Z325" s="277">
        <v>83795.130345442609</v>
      </c>
      <c r="AA325" s="272">
        <v>23.43112635</v>
      </c>
      <c r="AB325" s="198">
        <v>5.7325535910483456</v>
      </c>
      <c r="AC325" s="272">
        <v>0</v>
      </c>
      <c r="AD325" s="198">
        <v>0</v>
      </c>
      <c r="AE325" s="198">
        <v>5.7325535910483456</v>
      </c>
      <c r="AF325" s="198">
        <v>0</v>
      </c>
      <c r="AG325" s="198">
        <v>0</v>
      </c>
      <c r="AH325" s="198">
        <v>0</v>
      </c>
      <c r="AI325" s="198">
        <v>0</v>
      </c>
      <c r="AJ325" s="198">
        <v>0</v>
      </c>
      <c r="AK325" s="198">
        <v>0</v>
      </c>
      <c r="AL325" s="198">
        <v>0</v>
      </c>
      <c r="AM325" s="198">
        <v>5.3591254614436729E-2</v>
      </c>
      <c r="AN325" s="198">
        <v>1.369554284591163E-2</v>
      </c>
      <c r="AO325" s="198">
        <v>0</v>
      </c>
      <c r="AP325" s="198">
        <v>1.9581416889812744E-3</v>
      </c>
      <c r="AQ325" s="198">
        <v>2.4481285042214133E-3</v>
      </c>
      <c r="AS325" s="258">
        <f t="shared" si="40"/>
        <v>112411.16735841126</v>
      </c>
      <c r="AT325" s="3">
        <f t="shared" si="41"/>
        <v>10.038575001812841</v>
      </c>
      <c r="AU325" s="3">
        <f t="shared" si="47"/>
        <v>3.8748321407923552</v>
      </c>
      <c r="AV325" s="3">
        <f t="shared" si="42"/>
        <v>0</v>
      </c>
      <c r="AW325" s="3">
        <f t="shared" si="43"/>
        <v>0</v>
      </c>
      <c r="AX325" s="3">
        <f t="shared" si="44"/>
        <v>3.8748321407923552</v>
      </c>
      <c r="AY325" s="102">
        <f t="shared" si="45"/>
        <v>1</v>
      </c>
      <c r="AZ325" s="102">
        <f t="shared" si="46"/>
        <v>0</v>
      </c>
    </row>
    <row r="326" spans="1:52" x14ac:dyDescent="0.35">
      <c r="A326" t="s">
        <v>1065</v>
      </c>
      <c r="B326">
        <v>2035</v>
      </c>
      <c r="C326" t="s">
        <v>837</v>
      </c>
      <c r="D326" t="s">
        <v>1018</v>
      </c>
      <c r="E326" t="s">
        <v>1025</v>
      </c>
      <c r="F326" t="s">
        <v>989</v>
      </c>
      <c r="G326" t="s">
        <v>978</v>
      </c>
      <c r="H326" s="198">
        <v>41432.702621142598</v>
      </c>
      <c r="I326" s="198">
        <v>0</v>
      </c>
      <c r="J326" s="198">
        <v>6753.8961325</v>
      </c>
      <c r="K326" s="198">
        <v>5575.2968700000001</v>
      </c>
      <c r="L326" s="198">
        <v>0</v>
      </c>
      <c r="M326" s="198">
        <v>3686.5124999999998</v>
      </c>
      <c r="N326" s="198">
        <v>35</v>
      </c>
      <c r="O326" s="198">
        <v>0</v>
      </c>
      <c r="P326" s="198">
        <v>3776.7058085699996</v>
      </c>
      <c r="Q326" s="198">
        <v>0</v>
      </c>
      <c r="R326" s="198">
        <v>0</v>
      </c>
      <c r="S326" s="198">
        <v>3819</v>
      </c>
      <c r="T326" s="198">
        <v>0</v>
      </c>
      <c r="U326" s="198">
        <v>2000</v>
      </c>
      <c r="V326" s="198">
        <v>4500</v>
      </c>
      <c r="W326" s="198">
        <v>140</v>
      </c>
      <c r="X326" s="198">
        <v>1500</v>
      </c>
      <c r="Y326" s="198">
        <v>186</v>
      </c>
      <c r="Z326" s="277">
        <v>73405.113932212582</v>
      </c>
      <c r="AA326" s="272">
        <v>24.296579749999999</v>
      </c>
      <c r="AB326" s="198">
        <v>5.5283578545659298</v>
      </c>
      <c r="AC326" s="272">
        <v>0</v>
      </c>
      <c r="AD326" s="198">
        <v>0</v>
      </c>
      <c r="AE326" s="198">
        <v>5.5283578545659298</v>
      </c>
      <c r="AF326" s="198">
        <v>0</v>
      </c>
      <c r="AG326" s="198">
        <v>0</v>
      </c>
      <c r="AH326" s="198">
        <v>0</v>
      </c>
      <c r="AI326" s="198">
        <v>0</v>
      </c>
      <c r="AJ326" s="198">
        <v>0</v>
      </c>
      <c r="AK326" s="198">
        <v>0</v>
      </c>
      <c r="AL326" s="198">
        <v>0</v>
      </c>
      <c r="AM326" s="198">
        <v>5.16823137678828E-2</v>
      </c>
      <c r="AN326" s="198">
        <v>1.320770240734785E-2</v>
      </c>
      <c r="AO326" s="198">
        <v>0</v>
      </c>
      <c r="AP326" s="198">
        <v>1.8883919381995585E-3</v>
      </c>
      <c r="AQ326" s="198">
        <v>2.3609252369543266E-3</v>
      </c>
      <c r="AS326" s="258">
        <f t="shared" si="40"/>
        <v>98472.960340063175</v>
      </c>
      <c r="AT326" s="3">
        <f t="shared" si="41"/>
        <v>9.6809971469925991</v>
      </c>
      <c r="AU326" s="3">
        <f t="shared" si="47"/>
        <v>3.7368091480426036</v>
      </c>
      <c r="AV326" s="3">
        <f t="shared" si="42"/>
        <v>0</v>
      </c>
      <c r="AW326" s="3">
        <f t="shared" si="43"/>
        <v>0</v>
      </c>
      <c r="AX326" s="3">
        <f t="shared" si="44"/>
        <v>3.7368091480426036</v>
      </c>
      <c r="AY326" s="102">
        <f t="shared" si="45"/>
        <v>1</v>
      </c>
      <c r="AZ326" s="102">
        <f t="shared" si="46"/>
        <v>0</v>
      </c>
    </row>
    <row r="327" spans="1:52" x14ac:dyDescent="0.35">
      <c r="A327" t="s">
        <v>1017</v>
      </c>
      <c r="B327">
        <v>2050</v>
      </c>
      <c r="C327" t="s">
        <v>837</v>
      </c>
      <c r="D327" t="s">
        <v>1018</v>
      </c>
      <c r="E327" t="s">
        <v>1025</v>
      </c>
      <c r="F327" t="s">
        <v>983</v>
      </c>
      <c r="G327" t="s">
        <v>978</v>
      </c>
      <c r="H327" s="198">
        <v>41560.097301479</v>
      </c>
      <c r="I327" s="198">
        <v>16969</v>
      </c>
      <c r="J327" s="198">
        <v>0</v>
      </c>
      <c r="K327" s="198">
        <v>0</v>
      </c>
      <c r="L327" s="198">
        <v>120</v>
      </c>
      <c r="M327" s="198">
        <v>0</v>
      </c>
      <c r="N327" s="198">
        <v>0</v>
      </c>
      <c r="O327" s="198">
        <v>150</v>
      </c>
      <c r="P327" s="198">
        <v>0</v>
      </c>
      <c r="Q327" s="198">
        <v>0</v>
      </c>
      <c r="R327" s="198">
        <v>44</v>
      </c>
      <c r="S327" s="198">
        <v>6495</v>
      </c>
      <c r="T327" s="198">
        <v>506</v>
      </c>
      <c r="U327" s="198">
        <v>2000</v>
      </c>
      <c r="V327" s="198">
        <v>1920</v>
      </c>
      <c r="W327" s="198">
        <v>0</v>
      </c>
      <c r="X327" s="198">
        <v>0</v>
      </c>
      <c r="Y327" s="198">
        <v>186</v>
      </c>
      <c r="Z327" s="277">
        <v>69950.097301478992</v>
      </c>
      <c r="AA327" s="272">
        <v>11.210329120000001</v>
      </c>
      <c r="AB327" s="198">
        <v>11.981823732575659</v>
      </c>
      <c r="AC327" s="272">
        <v>0</v>
      </c>
      <c r="AD327" s="198">
        <v>0</v>
      </c>
      <c r="AE327" s="198">
        <v>11.981823732575659</v>
      </c>
      <c r="AF327" s="198">
        <v>896.90582695785747</v>
      </c>
      <c r="AG327" s="198">
        <v>0.39429561239419703</v>
      </c>
      <c r="AH327" s="198">
        <v>2.0833899251612698E-3</v>
      </c>
      <c r="AI327" s="198">
        <v>909.28679357238377</v>
      </c>
      <c r="AJ327" s="198">
        <v>0.3826036601304541</v>
      </c>
      <c r="AK327" s="198">
        <v>8.928344719273511</v>
      </c>
      <c r="AL327" s="198">
        <v>0.41801638469774194</v>
      </c>
      <c r="AM327" s="198">
        <v>7.5136733373660197E-2</v>
      </c>
      <c r="AN327" s="198">
        <v>3.0894253028584368E-2</v>
      </c>
      <c r="AO327" s="198">
        <v>6.1859256329944851E-3</v>
      </c>
      <c r="AP327" s="198">
        <v>5.133367949017897E-3</v>
      </c>
      <c r="AQ327" s="198">
        <v>4.8757898915092242E-3</v>
      </c>
      <c r="AS327" s="258">
        <f t="shared" si="40"/>
        <v>93838.055529934063</v>
      </c>
      <c r="AT327" s="3">
        <f t="shared" si="41"/>
        <v>20.981999433164557</v>
      </c>
      <c r="AU327" s="3">
        <f t="shared" si="47"/>
        <v>8.0989309505613036</v>
      </c>
      <c r="AV327" s="3">
        <f t="shared" si="42"/>
        <v>0</v>
      </c>
      <c r="AW327" s="3">
        <f t="shared" si="43"/>
        <v>0</v>
      </c>
      <c r="AX327" s="3">
        <f t="shared" si="44"/>
        <v>8.0989309505613036</v>
      </c>
      <c r="AY327" s="102">
        <f t="shared" si="45"/>
        <v>1</v>
      </c>
      <c r="AZ327" s="102">
        <f t="shared" si="46"/>
        <v>0</v>
      </c>
    </row>
    <row r="328" spans="1:52" x14ac:dyDescent="0.35">
      <c r="A328" t="s">
        <v>1020</v>
      </c>
      <c r="B328">
        <v>2050</v>
      </c>
      <c r="C328" t="s">
        <v>837</v>
      </c>
      <c r="D328" t="s">
        <v>1018</v>
      </c>
      <c r="E328" t="s">
        <v>1025</v>
      </c>
      <c r="F328" t="s">
        <v>983</v>
      </c>
      <c r="G328" t="s">
        <v>978</v>
      </c>
      <c r="H328" s="198">
        <v>41560.097301479</v>
      </c>
      <c r="I328" s="198">
        <v>16461</v>
      </c>
      <c r="J328" s="198">
        <v>0</v>
      </c>
      <c r="K328" s="198">
        <v>0</v>
      </c>
      <c r="L328" s="198">
        <v>150</v>
      </c>
      <c r="M328" s="198">
        <v>857.19723610999995</v>
      </c>
      <c r="N328" s="198">
        <v>28.89</v>
      </c>
      <c r="O328" s="198">
        <v>150</v>
      </c>
      <c r="P328" s="198">
        <v>849.6782821999999</v>
      </c>
      <c r="Q328" s="198">
        <v>0</v>
      </c>
      <c r="R328" s="198">
        <v>0</v>
      </c>
      <c r="S328" s="198">
        <v>6336</v>
      </c>
      <c r="T328" s="198">
        <v>392</v>
      </c>
      <c r="U328" s="198">
        <v>2000</v>
      </c>
      <c r="V328" s="198">
        <v>4720</v>
      </c>
      <c r="W328" s="198">
        <v>101.11499999999999</v>
      </c>
      <c r="X328" s="198">
        <v>1500</v>
      </c>
      <c r="Y328" s="198">
        <v>186</v>
      </c>
      <c r="Z328" s="277">
        <v>75291.977819789012</v>
      </c>
      <c r="AA328" s="272">
        <v>14.354803739999999</v>
      </c>
      <c r="AB328" s="198">
        <v>9.3571594521848915</v>
      </c>
      <c r="AC328" s="272">
        <v>0</v>
      </c>
      <c r="AD328" s="198">
        <v>0</v>
      </c>
      <c r="AE328" s="198">
        <v>9.3571594521848915</v>
      </c>
      <c r="AF328" s="198">
        <v>700.43517779528713</v>
      </c>
      <c r="AG328" s="198">
        <v>0.30792365159225094</v>
      </c>
      <c r="AH328" s="198">
        <v>1.6270153998183472E-3</v>
      </c>
      <c r="AI328" s="198">
        <v>710.10404635569921</v>
      </c>
      <c r="AJ328" s="198">
        <v>0.29879286615582895</v>
      </c>
      <c r="AK328" s="198">
        <v>6.9725566864399413</v>
      </c>
      <c r="AL328" s="198">
        <v>0.32644829806737713</v>
      </c>
      <c r="AM328" s="198">
        <v>5.8677744772874123E-2</v>
      </c>
      <c r="AN328" s="198">
        <v>2.4126748831954953E-2</v>
      </c>
      <c r="AO328" s="198">
        <v>4.8308749819043172E-3</v>
      </c>
      <c r="AP328" s="198">
        <v>4.0088840812357923E-3</v>
      </c>
      <c r="AQ328" s="198">
        <v>3.8077294816283927E-3</v>
      </c>
      <c r="AS328" s="258">
        <f t="shared" si="40"/>
        <v>101004.18824524696</v>
      </c>
      <c r="AT328" s="3">
        <f t="shared" si="41"/>
        <v>16.385812268961619</v>
      </c>
      <c r="AU328" s="3">
        <f t="shared" si="47"/>
        <v>6.3248291735924953</v>
      </c>
      <c r="AV328" s="3">
        <f t="shared" si="42"/>
        <v>0</v>
      </c>
      <c r="AW328" s="3">
        <f t="shared" si="43"/>
        <v>0</v>
      </c>
      <c r="AX328" s="3">
        <f t="shared" si="44"/>
        <v>6.3248291735924953</v>
      </c>
      <c r="AY328" s="102">
        <f t="shared" si="45"/>
        <v>1</v>
      </c>
      <c r="AZ328" s="102">
        <f t="shared" si="46"/>
        <v>0</v>
      </c>
    </row>
    <row r="329" spans="1:52" x14ac:dyDescent="0.35">
      <c r="A329" t="s">
        <v>1021</v>
      </c>
      <c r="B329">
        <v>2050</v>
      </c>
      <c r="C329" t="s">
        <v>837</v>
      </c>
      <c r="D329" t="s">
        <v>1018</v>
      </c>
      <c r="E329" t="s">
        <v>1025</v>
      </c>
      <c r="F329" t="s">
        <v>983</v>
      </c>
      <c r="G329" t="s">
        <v>978</v>
      </c>
      <c r="H329" s="198">
        <v>41560.097301479</v>
      </c>
      <c r="I329" s="198">
        <v>10034</v>
      </c>
      <c r="J329" s="198">
        <v>0</v>
      </c>
      <c r="K329" s="198">
        <v>0</v>
      </c>
      <c r="L329" s="198">
        <v>0</v>
      </c>
      <c r="M329" s="198">
        <v>5135.0512500000004</v>
      </c>
      <c r="N329" s="198">
        <v>28.89</v>
      </c>
      <c r="O329" s="198">
        <v>0</v>
      </c>
      <c r="P329" s="198">
        <v>2605.1252293000002</v>
      </c>
      <c r="Q329" s="198">
        <v>0</v>
      </c>
      <c r="R329" s="198">
        <v>962.32877839999992</v>
      </c>
      <c r="S329" s="198">
        <v>3786</v>
      </c>
      <c r="T329" s="198">
        <v>0</v>
      </c>
      <c r="U329" s="198">
        <v>2000</v>
      </c>
      <c r="V329" s="198">
        <v>4720</v>
      </c>
      <c r="W329" s="198">
        <v>101.11499999999999</v>
      </c>
      <c r="X329" s="198">
        <v>1500</v>
      </c>
      <c r="Y329" s="198">
        <v>186</v>
      </c>
      <c r="Z329" s="277">
        <v>72618.607559179</v>
      </c>
      <c r="AA329" s="272">
        <v>100.73067440000003</v>
      </c>
      <c r="AB329" s="198">
        <v>1.3334586341258525</v>
      </c>
      <c r="AC329" s="272">
        <v>632.80000000000007</v>
      </c>
      <c r="AD329" s="198">
        <v>2.2780800000000001</v>
      </c>
      <c r="AE329" s="198">
        <v>3.6115386341258526</v>
      </c>
      <c r="AF329" s="198">
        <v>99.816759589205617</v>
      </c>
      <c r="AG329" s="198">
        <v>4.3881207108357245E-2</v>
      </c>
      <c r="AH329" s="198">
        <v>2.3186072053489596E-4</v>
      </c>
      <c r="AI329" s="198">
        <v>101.19463888366383</v>
      </c>
      <c r="AJ329" s="198">
        <v>4.2580008305583346E-2</v>
      </c>
      <c r="AK329" s="198">
        <v>0.99363657988047815</v>
      </c>
      <c r="AL329" s="198">
        <v>4.6521094770057628E-2</v>
      </c>
      <c r="AM329" s="198">
        <v>4.2041985352062237E-2</v>
      </c>
      <c r="AN329" s="198">
        <v>1.2045338641454307E-2</v>
      </c>
      <c r="AO329" s="198">
        <v>6.8843242310023182E-4</v>
      </c>
      <c r="AP329" s="198">
        <v>1.8019086726340952E-3</v>
      </c>
      <c r="AQ329" s="198">
        <v>2.0811803426984857E-3</v>
      </c>
      <c r="AS329" s="258">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102">
        <f t="shared" si="45"/>
        <v>0.3890299699188306</v>
      </c>
      <c r="AZ329" s="102">
        <f t="shared" si="46"/>
        <v>0.61097003008116935</v>
      </c>
    </row>
    <row r="330" spans="1:52" x14ac:dyDescent="0.35">
      <c r="A330" t="s">
        <v>246</v>
      </c>
      <c r="B330">
        <v>2050</v>
      </c>
      <c r="C330" t="s">
        <v>837</v>
      </c>
      <c r="D330" t="s">
        <v>1018</v>
      </c>
      <c r="E330" t="s">
        <v>1025</v>
      </c>
      <c r="F330" t="s">
        <v>977</v>
      </c>
      <c r="G330" t="s">
        <v>978</v>
      </c>
      <c r="H330" s="198">
        <v>41560.097301479</v>
      </c>
      <c r="I330" s="198">
        <v>0</v>
      </c>
      <c r="J330" s="198">
        <v>0</v>
      </c>
      <c r="K330" s="198">
        <v>0</v>
      </c>
      <c r="L330" s="198">
        <v>0</v>
      </c>
      <c r="M330" s="198">
        <v>10009.439999999999</v>
      </c>
      <c r="N330" s="198">
        <v>28.89</v>
      </c>
      <c r="O330" s="198">
        <v>0</v>
      </c>
      <c r="P330" s="198">
        <v>2608.9368393</v>
      </c>
      <c r="Q330" s="198">
        <v>0</v>
      </c>
      <c r="R330" s="198">
        <v>0</v>
      </c>
      <c r="S330" s="198">
        <v>3789</v>
      </c>
      <c r="T330" s="198">
        <v>0</v>
      </c>
      <c r="U330" s="198">
        <v>2000</v>
      </c>
      <c r="V330" s="198">
        <v>4500</v>
      </c>
      <c r="W330" s="198">
        <v>101.11499999999999</v>
      </c>
      <c r="X330" s="198">
        <v>1500</v>
      </c>
      <c r="Y330" s="198">
        <v>186</v>
      </c>
      <c r="Z330" s="277">
        <v>66283.479140778989</v>
      </c>
      <c r="AA330" s="272">
        <v>0</v>
      </c>
      <c r="AB330" s="198">
        <v>0</v>
      </c>
      <c r="AC330" s="272">
        <v>753</v>
      </c>
      <c r="AD330" s="198">
        <v>2.7107999999999999</v>
      </c>
      <c r="AE330" s="198">
        <v>2.7107999999999999</v>
      </c>
      <c r="AF330" s="198">
        <v>0</v>
      </c>
      <c r="AG330" s="198">
        <v>0</v>
      </c>
      <c r="AH330" s="198">
        <v>0</v>
      </c>
      <c r="AI330" s="198">
        <v>0</v>
      </c>
      <c r="AJ330" s="198">
        <v>0</v>
      </c>
      <c r="AK330" s="198">
        <v>0</v>
      </c>
      <c r="AL330" s="198">
        <v>0</v>
      </c>
      <c r="AM330" s="198">
        <v>4.007750763333072E-2</v>
      </c>
      <c r="AN330" s="198">
        <v>1.0242029728517824E-2</v>
      </c>
      <c r="AO330" s="198">
        <v>0</v>
      </c>
      <c r="AP330" s="198">
        <v>1.4643702419713247E-3</v>
      </c>
      <c r="AQ330" s="198">
        <v>1.8308003707171411E-3</v>
      </c>
      <c r="AS330" s="258">
        <f t="shared" si="40"/>
        <v>88919.287267355001</v>
      </c>
      <c r="AT330" s="3">
        <f t="shared" si="41"/>
        <v>0</v>
      </c>
      <c r="AU330" s="3">
        <f t="shared" si="47"/>
        <v>0</v>
      </c>
      <c r="AV330" s="3">
        <f t="shared" si="42"/>
        <v>46.789367069730453</v>
      </c>
      <c r="AW330" s="3">
        <f t="shared" si="43"/>
        <v>1.6844172145102962</v>
      </c>
      <c r="AX330" s="3">
        <f t="shared" si="44"/>
        <v>1.6844172145102962</v>
      </c>
      <c r="AY330" s="102">
        <f t="shared" si="45"/>
        <v>0</v>
      </c>
      <c r="AZ330" s="102">
        <f t="shared" si="46"/>
        <v>1</v>
      </c>
    </row>
    <row r="331" spans="1:52" x14ac:dyDescent="0.35">
      <c r="A331" t="s">
        <v>627</v>
      </c>
      <c r="B331">
        <v>2050</v>
      </c>
      <c r="C331" t="s">
        <v>837</v>
      </c>
      <c r="D331" t="s">
        <v>1018</v>
      </c>
      <c r="E331" t="s">
        <v>1025</v>
      </c>
      <c r="F331" t="s">
        <v>989</v>
      </c>
      <c r="G331" t="s">
        <v>978</v>
      </c>
      <c r="H331" s="198">
        <v>41560.097301479</v>
      </c>
      <c r="I331" s="198">
        <v>0</v>
      </c>
      <c r="J331" s="198">
        <v>14610.046304</v>
      </c>
      <c r="K331" s="198">
        <v>4773.6801089999999</v>
      </c>
      <c r="L331" s="198">
        <v>0</v>
      </c>
      <c r="M331" s="198">
        <v>3257.3494979999996</v>
      </c>
      <c r="N331" s="198">
        <v>28.89</v>
      </c>
      <c r="O331" s="198">
        <v>0</v>
      </c>
      <c r="P331" s="198">
        <v>2608.9368393</v>
      </c>
      <c r="Q331" s="198">
        <v>0</v>
      </c>
      <c r="R331" s="198">
        <v>0</v>
      </c>
      <c r="S331" s="198">
        <v>3789</v>
      </c>
      <c r="T331" s="198">
        <v>0</v>
      </c>
      <c r="U331" s="198">
        <v>2000</v>
      </c>
      <c r="V331" s="198">
        <v>4500</v>
      </c>
      <c r="W331" s="198">
        <v>101.11499999999999</v>
      </c>
      <c r="X331" s="198">
        <v>1500</v>
      </c>
      <c r="Y331" s="198">
        <v>186</v>
      </c>
      <c r="Z331" s="277">
        <v>78915.115051779008</v>
      </c>
      <c r="AA331" s="272">
        <v>25.845933070000005</v>
      </c>
      <c r="AB331" s="198">
        <v>5.1969564084304114</v>
      </c>
      <c r="AC331" s="272">
        <v>0</v>
      </c>
      <c r="AD331" s="198">
        <v>0</v>
      </c>
      <c r="AE331" s="198">
        <v>5.1969564084304114</v>
      </c>
      <c r="AF331" s="198">
        <v>0</v>
      </c>
      <c r="AG331" s="198">
        <v>0</v>
      </c>
      <c r="AH331" s="198">
        <v>0</v>
      </c>
      <c r="AI331" s="198">
        <v>0</v>
      </c>
      <c r="AJ331" s="198">
        <v>0</v>
      </c>
      <c r="AK331" s="198">
        <v>0</v>
      </c>
      <c r="AL331" s="198">
        <v>0</v>
      </c>
      <c r="AM331" s="198">
        <v>4.8584179751800592E-2</v>
      </c>
      <c r="AN331" s="198">
        <v>1.2415957047682395E-2</v>
      </c>
      <c r="AO331" s="198">
        <v>0</v>
      </c>
      <c r="AP331" s="198">
        <v>1.7751909053335111E-3</v>
      </c>
      <c r="AQ331" s="198">
        <v>2.2193978506440679E-3</v>
      </c>
      <c r="AS331" s="258">
        <f t="shared" si="40"/>
        <v>105864.62684196154</v>
      </c>
      <c r="AT331" s="3">
        <f t="shared" si="41"/>
        <v>9.1006627079154665</v>
      </c>
      <c r="AU331" s="3">
        <f t="shared" si="47"/>
        <v>3.5128033965750207</v>
      </c>
      <c r="AV331" s="3">
        <f t="shared" si="42"/>
        <v>0</v>
      </c>
      <c r="AW331" s="3">
        <f t="shared" si="43"/>
        <v>0</v>
      </c>
      <c r="AX331" s="3">
        <f t="shared" si="44"/>
        <v>3.5128033965750207</v>
      </c>
      <c r="AY331" s="102">
        <f t="shared" si="45"/>
        <v>1</v>
      </c>
      <c r="AZ331" s="102">
        <f t="shared" si="46"/>
        <v>0</v>
      </c>
    </row>
    <row r="332" spans="1:52" x14ac:dyDescent="0.35">
      <c r="A332" t="s">
        <v>1065</v>
      </c>
      <c r="B332">
        <v>2050</v>
      </c>
      <c r="C332" t="s">
        <v>837</v>
      </c>
      <c r="D332" t="s">
        <v>1018</v>
      </c>
      <c r="E332" t="s">
        <v>1025</v>
      </c>
      <c r="F332" t="s">
        <v>989</v>
      </c>
      <c r="G332" t="s">
        <v>978</v>
      </c>
      <c r="H332" s="198">
        <v>41560.097301479</v>
      </c>
      <c r="I332" s="198">
        <v>0</v>
      </c>
      <c r="J332" s="198">
        <v>5259.1373120000007</v>
      </c>
      <c r="K332" s="198">
        <v>4942.5641100000003</v>
      </c>
      <c r="L332" s="198">
        <v>0</v>
      </c>
      <c r="M332" s="198">
        <v>2815.1550000000002</v>
      </c>
      <c r="N332" s="198">
        <v>28.89</v>
      </c>
      <c r="O332" s="198">
        <v>0</v>
      </c>
      <c r="P332" s="198">
        <v>2608.4919992999999</v>
      </c>
      <c r="Q332" s="198">
        <v>0</v>
      </c>
      <c r="R332" s="198">
        <v>0</v>
      </c>
      <c r="S332" s="198">
        <v>3789</v>
      </c>
      <c r="T332" s="198">
        <v>0</v>
      </c>
      <c r="U332" s="198">
        <v>2000</v>
      </c>
      <c r="V332" s="198">
        <v>4500</v>
      </c>
      <c r="W332" s="198">
        <v>101.11499999999999</v>
      </c>
      <c r="X332" s="198">
        <v>1500</v>
      </c>
      <c r="Y332" s="198">
        <v>186</v>
      </c>
      <c r="Z332" s="277">
        <v>69290.450722779002</v>
      </c>
      <c r="AA332" s="272">
        <v>27.137856960000004</v>
      </c>
      <c r="AB332" s="198">
        <v>4.9495502794484469</v>
      </c>
      <c r="AC332" s="272">
        <v>0</v>
      </c>
      <c r="AD332" s="198">
        <v>0</v>
      </c>
      <c r="AE332" s="198">
        <v>4.9495502794484469</v>
      </c>
      <c r="AF332" s="198">
        <v>0</v>
      </c>
      <c r="AG332" s="198">
        <v>0</v>
      </c>
      <c r="AH332" s="198">
        <v>0</v>
      </c>
      <c r="AI332" s="198">
        <v>0</v>
      </c>
      <c r="AJ332" s="198">
        <v>0</v>
      </c>
      <c r="AK332" s="198">
        <v>0</v>
      </c>
      <c r="AL332" s="198">
        <v>0</v>
      </c>
      <c r="AM332" s="198">
        <v>4.6271282952693664E-2</v>
      </c>
      <c r="AN332" s="198">
        <v>1.1824883421243956E-2</v>
      </c>
      <c r="AO332" s="198">
        <v>0</v>
      </c>
      <c r="AP332" s="198">
        <v>1.6906812278268649E-3</v>
      </c>
      <c r="AQ332" s="198">
        <v>2.1137412724961326E-3</v>
      </c>
      <c r="AS332" s="258">
        <f t="shared" si="40"/>
        <v>92953.139644608018</v>
      </c>
      <c r="AT332" s="3">
        <f t="shared" si="41"/>
        <v>8.667416870393442</v>
      </c>
      <c r="AU332" s="3">
        <f t="shared" si="47"/>
        <v>3.3455729982573628</v>
      </c>
      <c r="AV332" s="3">
        <f t="shared" si="42"/>
        <v>0</v>
      </c>
      <c r="AW332" s="3">
        <f t="shared" si="43"/>
        <v>0</v>
      </c>
      <c r="AX332" s="3">
        <f t="shared" si="44"/>
        <v>3.3455729982573628</v>
      </c>
      <c r="AY332" s="102">
        <f t="shared" si="45"/>
        <v>1</v>
      </c>
      <c r="AZ332" s="102">
        <f t="shared" si="46"/>
        <v>0</v>
      </c>
    </row>
    <row r="333" spans="1:52" x14ac:dyDescent="0.35">
      <c r="A333" t="s">
        <v>1017</v>
      </c>
      <c r="B333">
        <v>2021</v>
      </c>
      <c r="C333" t="s">
        <v>837</v>
      </c>
      <c r="D333" t="s">
        <v>1070</v>
      </c>
      <c r="E333" t="s">
        <v>1025</v>
      </c>
      <c r="F333" t="s">
        <v>983</v>
      </c>
      <c r="G333" t="s">
        <v>978</v>
      </c>
      <c r="H333" s="198">
        <v>41000</v>
      </c>
      <c r="I333" s="198">
        <v>14762</v>
      </c>
      <c r="J333" s="198">
        <v>0</v>
      </c>
      <c r="K333" s="198">
        <v>0</v>
      </c>
      <c r="L333" s="198">
        <v>120</v>
      </c>
      <c r="M333" s="198">
        <v>0</v>
      </c>
      <c r="N333" s="198">
        <v>0</v>
      </c>
      <c r="O333" s="198">
        <v>150</v>
      </c>
      <c r="P333" s="198">
        <v>0</v>
      </c>
      <c r="Q333" s="198">
        <v>0</v>
      </c>
      <c r="R333" s="198">
        <v>104.8</v>
      </c>
      <c r="S333" s="198">
        <v>6086</v>
      </c>
      <c r="T333" s="198">
        <v>506</v>
      </c>
      <c r="U333" s="198">
        <v>2000</v>
      </c>
      <c r="V333" s="198">
        <v>1920</v>
      </c>
      <c r="W333" s="198">
        <v>0</v>
      </c>
      <c r="X333" s="198">
        <v>0</v>
      </c>
      <c r="Y333" s="198">
        <v>186</v>
      </c>
      <c r="Z333" s="277">
        <v>66834.8</v>
      </c>
      <c r="AA333" s="272">
        <v>8.3304018119999999</v>
      </c>
      <c r="AB333" s="198">
        <v>16.124094675302562</v>
      </c>
      <c r="AC333" s="272">
        <v>0</v>
      </c>
      <c r="AD333" s="198">
        <v>0</v>
      </c>
      <c r="AE333" s="198">
        <v>16.124094675302562</v>
      </c>
      <c r="AF333" s="198">
        <v>1206.9777348986479</v>
      </c>
      <c r="AG333" s="198">
        <v>0.53060868914433346</v>
      </c>
      <c r="AH333" s="198">
        <v>2.8036446828658694E-3</v>
      </c>
      <c r="AI333" s="198">
        <v>1223.6389612962314</v>
      </c>
      <c r="AJ333" s="198">
        <v>0.51487467824187261</v>
      </c>
      <c r="AK333" s="198">
        <v>12.014988599432288</v>
      </c>
      <c r="AL333" s="198">
        <v>0.56253003825864178</v>
      </c>
      <c r="AM333" s="198">
        <v>0.10111247081828265</v>
      </c>
      <c r="AN333" s="198">
        <v>4.1574794611718494E-2</v>
      </c>
      <c r="AO333" s="198">
        <v>8.3244798777675714E-3</v>
      </c>
      <c r="AP333" s="198">
        <v>6.9080394321020065E-3</v>
      </c>
      <c r="AQ333" s="198">
        <v>6.5614133192291573E-3</v>
      </c>
      <c r="AS333" s="258">
        <f t="shared" si="40"/>
        <v>89658.8842</v>
      </c>
      <c r="AT333" s="3">
        <f t="shared" si="41"/>
        <v>28.235747152388157</v>
      </c>
      <c r="AU333" s="3">
        <f t="shared" si="47"/>
        <v>10.898835797471452</v>
      </c>
      <c r="AV333" s="3">
        <f t="shared" si="42"/>
        <v>0</v>
      </c>
      <c r="AW333" s="3">
        <f t="shared" si="43"/>
        <v>0</v>
      </c>
      <c r="AX333" s="3">
        <f t="shared" si="44"/>
        <v>10.898835797471452</v>
      </c>
      <c r="AY333" s="102">
        <f t="shared" si="45"/>
        <v>1</v>
      </c>
      <c r="AZ333" s="102">
        <f t="shared" si="46"/>
        <v>0</v>
      </c>
    </row>
    <row r="334" spans="1:52" x14ac:dyDescent="0.35">
      <c r="A334" t="s">
        <v>1020</v>
      </c>
      <c r="B334">
        <v>2021</v>
      </c>
      <c r="C334" t="s">
        <v>837</v>
      </c>
      <c r="D334" t="s">
        <v>1070</v>
      </c>
      <c r="E334" t="s">
        <v>1025</v>
      </c>
      <c r="F334" t="s">
        <v>983</v>
      </c>
      <c r="G334" t="s">
        <v>978</v>
      </c>
      <c r="H334" s="198">
        <v>41000</v>
      </c>
      <c r="I334" s="198">
        <v>17504</v>
      </c>
      <c r="J334" s="198">
        <v>0</v>
      </c>
      <c r="K334" s="198">
        <v>0</v>
      </c>
      <c r="L334" s="198">
        <v>150</v>
      </c>
      <c r="M334" s="198">
        <v>1020.3316582</v>
      </c>
      <c r="N334" s="198">
        <v>75</v>
      </c>
      <c r="O334" s="198">
        <v>150</v>
      </c>
      <c r="P334" s="198">
        <v>2110.9188654</v>
      </c>
      <c r="Q334" s="198">
        <v>0</v>
      </c>
      <c r="R334" s="198">
        <v>0</v>
      </c>
      <c r="S334" s="198">
        <v>6944</v>
      </c>
      <c r="T334" s="198">
        <v>392</v>
      </c>
      <c r="U334" s="198">
        <v>2000</v>
      </c>
      <c r="V334" s="198">
        <v>4720</v>
      </c>
      <c r="W334" s="198">
        <v>375</v>
      </c>
      <c r="X334" s="198">
        <v>1500</v>
      </c>
      <c r="Y334" s="198">
        <v>186</v>
      </c>
      <c r="Z334" s="277">
        <v>78127.2505236</v>
      </c>
      <c r="AA334" s="272">
        <v>9.8949935890000003</v>
      </c>
      <c r="AB334" s="198">
        <v>13.574560336180527</v>
      </c>
      <c r="AC334" s="272">
        <v>0</v>
      </c>
      <c r="AD334" s="198">
        <v>0</v>
      </c>
      <c r="AE334" s="198">
        <v>13.574560336180527</v>
      </c>
      <c r="AF334" s="198">
        <v>1016.1309776916673</v>
      </c>
      <c r="AG334" s="198">
        <v>0.44670909038533385</v>
      </c>
      <c r="AH334" s="198">
        <v>2.3603336916068014E-3</v>
      </c>
      <c r="AI334" s="198">
        <v>1030.1577387324089</v>
      </c>
      <c r="AJ334" s="198">
        <v>0.43346293395754237</v>
      </c>
      <c r="AK334" s="198">
        <v>10.115184198920257</v>
      </c>
      <c r="AL334" s="198">
        <v>0.47358305064731243</v>
      </c>
      <c r="AM334" s="198">
        <v>8.5124614032776075E-2</v>
      </c>
      <c r="AN334" s="198">
        <v>3.5001007454112817E-2</v>
      </c>
      <c r="AO334" s="198">
        <v>7.0082169972098705E-3</v>
      </c>
      <c r="AP334" s="198">
        <v>5.8157434550056885E-3</v>
      </c>
      <c r="AQ334" s="198">
        <v>5.5239257016346816E-3</v>
      </c>
      <c r="AS334" s="258">
        <f t="shared" si="40"/>
        <v>104807.70657740939</v>
      </c>
      <c r="AT334" s="3">
        <f t="shared" si="41"/>
        <v>23.771123965447586</v>
      </c>
      <c r="AU334" s="3">
        <f t="shared" si="47"/>
        <v>9.1755169580784113</v>
      </c>
      <c r="AV334" s="3">
        <f t="shared" si="42"/>
        <v>0</v>
      </c>
      <c r="AW334" s="3">
        <f t="shared" si="43"/>
        <v>0</v>
      </c>
      <c r="AX334" s="3">
        <f t="shared" si="44"/>
        <v>9.1755169580784113</v>
      </c>
      <c r="AY334" s="102">
        <f t="shared" si="45"/>
        <v>1</v>
      </c>
      <c r="AZ334" s="102">
        <f t="shared" si="46"/>
        <v>0</v>
      </c>
    </row>
    <row r="335" spans="1:52" x14ac:dyDescent="0.35">
      <c r="A335" t="s">
        <v>1021</v>
      </c>
      <c r="B335">
        <v>2021</v>
      </c>
      <c r="C335" t="s">
        <v>837</v>
      </c>
      <c r="D335" t="s">
        <v>1070</v>
      </c>
      <c r="E335" t="s">
        <v>1025</v>
      </c>
      <c r="F335" t="s">
        <v>983</v>
      </c>
      <c r="G335" t="s">
        <v>978</v>
      </c>
      <c r="H335" s="198">
        <v>41000</v>
      </c>
      <c r="I335" s="198">
        <v>10001</v>
      </c>
      <c r="J335" s="198">
        <v>0</v>
      </c>
      <c r="K335" s="198">
        <v>0</v>
      </c>
      <c r="L335" s="198">
        <v>0</v>
      </c>
      <c r="M335" s="198">
        <v>14597.1</v>
      </c>
      <c r="N335" s="198">
        <v>75</v>
      </c>
      <c r="O335" s="198">
        <v>0</v>
      </c>
      <c r="P335" s="198">
        <v>6068.2939317</v>
      </c>
      <c r="Q335" s="198">
        <v>0</v>
      </c>
      <c r="R335" s="198">
        <v>3047.7743141800001</v>
      </c>
      <c r="S335" s="198">
        <v>3678</v>
      </c>
      <c r="T335" s="198">
        <v>0</v>
      </c>
      <c r="U335" s="198">
        <v>2000</v>
      </c>
      <c r="V335" s="198">
        <v>4720</v>
      </c>
      <c r="W335" s="198">
        <v>375</v>
      </c>
      <c r="X335" s="198">
        <v>1500</v>
      </c>
      <c r="Y335" s="198">
        <v>186</v>
      </c>
      <c r="Z335" s="277">
        <v>87248.168245880006</v>
      </c>
      <c r="AA335" s="272">
        <v>58.765287550000011</v>
      </c>
      <c r="AB335" s="198">
        <v>2.2857062919281161</v>
      </c>
      <c r="AC335" s="272">
        <v>899.2</v>
      </c>
      <c r="AD335" s="198">
        <v>3.23712</v>
      </c>
      <c r="AE335" s="198">
        <v>5.5228262919281157</v>
      </c>
      <c r="AF335" s="198">
        <v>171.09776756028739</v>
      </c>
      <c r="AG335" s="198">
        <v>7.5217594770552593E-2</v>
      </c>
      <c r="AH335" s="198">
        <v>3.9743678147542732E-4</v>
      </c>
      <c r="AI335" s="198">
        <v>173.45961613380928</v>
      </c>
      <c r="AJ335" s="198">
        <v>7.2987185656662582E-2</v>
      </c>
      <c r="AK335" s="198">
        <v>1.7032109766281582</v>
      </c>
      <c r="AL335" s="198">
        <v>7.9742675402159555E-2</v>
      </c>
      <c r="AM335" s="198">
        <v>6.2192243877976908E-2</v>
      </c>
      <c r="AN335" s="198">
        <v>1.8124114391451566E-2</v>
      </c>
      <c r="AO335" s="198">
        <v>1.1800548444302218E-3</v>
      </c>
      <c r="AP335" s="198">
        <v>2.7279517776280272E-3</v>
      </c>
      <c r="AQ335" s="198">
        <v>3.1163900308960836E-3</v>
      </c>
      <c r="AS335" s="258">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102">
        <f t="shared" si="45"/>
        <v>0.43441911340960854</v>
      </c>
      <c r="AZ335" s="102">
        <f t="shared" si="46"/>
        <v>0.56558088659039152</v>
      </c>
    </row>
    <row r="336" spans="1:52" x14ac:dyDescent="0.35">
      <c r="A336" t="s">
        <v>246</v>
      </c>
      <c r="B336">
        <v>2021</v>
      </c>
      <c r="C336" t="s">
        <v>837</v>
      </c>
      <c r="D336" t="s">
        <v>1070</v>
      </c>
      <c r="E336" t="s">
        <v>1025</v>
      </c>
      <c r="F336" t="s">
        <v>977</v>
      </c>
      <c r="G336" t="s">
        <v>978</v>
      </c>
      <c r="H336" s="198">
        <v>41000</v>
      </c>
      <c r="I336" s="198">
        <v>0</v>
      </c>
      <c r="J336" s="198">
        <v>0</v>
      </c>
      <c r="K336" s="198">
        <v>0</v>
      </c>
      <c r="L336" s="198">
        <v>0</v>
      </c>
      <c r="M336" s="198">
        <v>28307.947499999998</v>
      </c>
      <c r="N336" s="198">
        <v>75</v>
      </c>
      <c r="O336" s="198">
        <v>0</v>
      </c>
      <c r="P336" s="198">
        <v>6061.2952292999998</v>
      </c>
      <c r="Q336" s="198">
        <v>0</v>
      </c>
      <c r="R336" s="198">
        <v>0</v>
      </c>
      <c r="S336" s="198">
        <v>3676</v>
      </c>
      <c r="T336" s="198">
        <v>0</v>
      </c>
      <c r="U336" s="198">
        <v>2000</v>
      </c>
      <c r="V336" s="198">
        <v>4500</v>
      </c>
      <c r="W336" s="198">
        <v>375</v>
      </c>
      <c r="X336" s="198">
        <v>1500</v>
      </c>
      <c r="Y336" s="198">
        <v>186</v>
      </c>
      <c r="Z336" s="277">
        <v>87681.242729299993</v>
      </c>
      <c r="AA336" s="272">
        <v>0</v>
      </c>
      <c r="AB336" s="198">
        <v>0</v>
      </c>
      <c r="AC336" s="272">
        <v>1092</v>
      </c>
      <c r="AD336" s="198">
        <v>3.9312</v>
      </c>
      <c r="AE336" s="198">
        <v>3.9312</v>
      </c>
      <c r="AF336" s="198">
        <v>0</v>
      </c>
      <c r="AG336" s="198">
        <v>0</v>
      </c>
      <c r="AH336" s="198">
        <v>0</v>
      </c>
      <c r="AI336" s="198">
        <v>0</v>
      </c>
      <c r="AJ336" s="198">
        <v>0</v>
      </c>
      <c r="AK336" s="198">
        <v>0</v>
      </c>
      <c r="AL336" s="198">
        <v>0</v>
      </c>
      <c r="AM336" s="198">
        <v>5.8120369635587178E-2</v>
      </c>
      <c r="AN336" s="198">
        <v>1.4852983351316686E-2</v>
      </c>
      <c r="AO336" s="198">
        <v>0</v>
      </c>
      <c r="AP336" s="198">
        <v>2.1236285580779374E-3</v>
      </c>
      <c r="AQ336" s="198">
        <v>2.6550252388089219E-3</v>
      </c>
      <c r="AS336" s="258">
        <f t="shared" si="40"/>
        <v>117624.38712135593</v>
      </c>
      <c r="AT336" s="3">
        <f t="shared" si="41"/>
        <v>0</v>
      </c>
      <c r="AU336" s="3">
        <f t="shared" si="47"/>
        <v>0</v>
      </c>
      <c r="AV336" s="3">
        <f t="shared" si="42"/>
        <v>67.853902842158902</v>
      </c>
      <c r="AW336" s="3">
        <f t="shared" si="43"/>
        <v>2.4427405023177204</v>
      </c>
      <c r="AX336" s="3">
        <f t="shared" si="44"/>
        <v>2.4427405023177204</v>
      </c>
      <c r="AY336" s="102">
        <f t="shared" si="45"/>
        <v>0</v>
      </c>
      <c r="AZ336" s="102">
        <f t="shared" si="46"/>
        <v>1</v>
      </c>
    </row>
    <row r="337" spans="1:52" x14ac:dyDescent="0.35">
      <c r="A337" t="s">
        <v>627</v>
      </c>
      <c r="B337">
        <v>2021</v>
      </c>
      <c r="C337" t="s">
        <v>837</v>
      </c>
      <c r="D337" t="s">
        <v>1070</v>
      </c>
      <c r="E337" t="s">
        <v>1025</v>
      </c>
      <c r="F337" t="s">
        <v>989</v>
      </c>
      <c r="G337" t="s">
        <v>978</v>
      </c>
      <c r="H337" s="198">
        <v>41000</v>
      </c>
      <c r="I337" s="198">
        <v>0</v>
      </c>
      <c r="J337" s="198">
        <v>28003.183952399999</v>
      </c>
      <c r="K337" s="198">
        <v>6834.3464000000004</v>
      </c>
      <c r="L337" s="198">
        <v>0</v>
      </c>
      <c r="M337" s="198">
        <v>3772.854272</v>
      </c>
      <c r="N337" s="198">
        <v>75</v>
      </c>
      <c r="O337" s="198">
        <v>0</v>
      </c>
      <c r="P337" s="198">
        <v>6061.2952292999998</v>
      </c>
      <c r="Q337" s="198">
        <v>0</v>
      </c>
      <c r="R337" s="198">
        <v>0</v>
      </c>
      <c r="S337" s="198">
        <v>3676</v>
      </c>
      <c r="T337" s="198">
        <v>0</v>
      </c>
      <c r="U337" s="198">
        <v>2000</v>
      </c>
      <c r="V337" s="198">
        <v>4500</v>
      </c>
      <c r="W337" s="198">
        <v>375</v>
      </c>
      <c r="X337" s="198">
        <v>1500</v>
      </c>
      <c r="Y337" s="198">
        <v>186</v>
      </c>
      <c r="Z337" s="277">
        <v>97983.679853699985</v>
      </c>
      <c r="AA337" s="272">
        <v>18.279011260000001</v>
      </c>
      <c r="AB337" s="198">
        <v>7.3483289434770001</v>
      </c>
      <c r="AC337" s="272">
        <v>0</v>
      </c>
      <c r="AD337" s="198">
        <v>0</v>
      </c>
      <c r="AE337" s="198">
        <v>7.3483289434770001</v>
      </c>
      <c r="AF337" s="198">
        <v>0</v>
      </c>
      <c r="AG337" s="198">
        <v>0</v>
      </c>
      <c r="AH337" s="198">
        <v>0</v>
      </c>
      <c r="AI337" s="198">
        <v>0</v>
      </c>
      <c r="AJ337" s="198">
        <v>0</v>
      </c>
      <c r="AK337" s="198">
        <v>0</v>
      </c>
      <c r="AL337" s="198">
        <v>0</v>
      </c>
      <c r="AM337" s="198">
        <v>6.8696465047523983E-2</v>
      </c>
      <c r="AN337" s="198">
        <v>1.7555763289922824E-2</v>
      </c>
      <c r="AO337" s="198">
        <v>0</v>
      </c>
      <c r="AP337" s="198">
        <v>2.5100627530180008E-3</v>
      </c>
      <c r="AQ337" s="198">
        <v>3.1381570637233928E-3</v>
      </c>
      <c r="AS337" s="258">
        <f t="shared" si="40"/>
        <v>131445.10652373853</v>
      </c>
      <c r="AT337" s="3">
        <f t="shared" si="41"/>
        <v>12.868043894482952</v>
      </c>
      <c r="AU337" s="3">
        <f t="shared" si="47"/>
        <v>4.9669908390847315</v>
      </c>
      <c r="AV337" s="3">
        <f t="shared" si="42"/>
        <v>0</v>
      </c>
      <c r="AW337" s="3">
        <f t="shared" si="43"/>
        <v>0</v>
      </c>
      <c r="AX337" s="3">
        <f t="shared" si="44"/>
        <v>4.9669908390847315</v>
      </c>
      <c r="AY337" s="102">
        <f t="shared" si="45"/>
        <v>1</v>
      </c>
      <c r="AZ337" s="102">
        <f t="shared" si="46"/>
        <v>0</v>
      </c>
    </row>
    <row r="338" spans="1:52" x14ac:dyDescent="0.35">
      <c r="A338" t="s">
        <v>1065</v>
      </c>
      <c r="B338">
        <v>2021</v>
      </c>
      <c r="C338" t="s">
        <v>837</v>
      </c>
      <c r="D338" t="s">
        <v>1070</v>
      </c>
      <c r="E338" t="s">
        <v>1025</v>
      </c>
      <c r="F338" t="s">
        <v>989</v>
      </c>
      <c r="G338" t="s">
        <v>978</v>
      </c>
      <c r="H338" s="198">
        <v>41000</v>
      </c>
      <c r="I338" s="198">
        <v>0</v>
      </c>
      <c r="J338" s="198">
        <v>13797.308421</v>
      </c>
      <c r="K338" s="198">
        <v>7112.6626999999999</v>
      </c>
      <c r="L338" s="198">
        <v>0</v>
      </c>
      <c r="M338" s="198">
        <v>5143.74</v>
      </c>
      <c r="N338" s="198">
        <v>75</v>
      </c>
      <c r="O338" s="198">
        <v>0</v>
      </c>
      <c r="P338" s="198">
        <v>6063.8613011999996</v>
      </c>
      <c r="Q338" s="198">
        <v>0</v>
      </c>
      <c r="R338" s="198">
        <v>0</v>
      </c>
      <c r="S338" s="198">
        <v>3677</v>
      </c>
      <c r="T338" s="198">
        <v>0</v>
      </c>
      <c r="U338" s="198">
        <v>2000</v>
      </c>
      <c r="V338" s="198">
        <v>4500</v>
      </c>
      <c r="W338" s="198">
        <v>375</v>
      </c>
      <c r="X338" s="198">
        <v>1500</v>
      </c>
      <c r="Y338" s="198">
        <v>186</v>
      </c>
      <c r="Z338" s="277">
        <v>85430.572422199999</v>
      </c>
      <c r="AA338" s="272">
        <v>18.7126299</v>
      </c>
      <c r="AB338" s="198">
        <v>7.1780497032114132</v>
      </c>
      <c r="AC338" s="272">
        <v>0</v>
      </c>
      <c r="AD338" s="198">
        <v>0</v>
      </c>
      <c r="AE338" s="198">
        <v>7.1780497032114132</v>
      </c>
      <c r="AF338" s="198">
        <v>0</v>
      </c>
      <c r="AG338" s="198">
        <v>0</v>
      </c>
      <c r="AH338" s="198">
        <v>0</v>
      </c>
      <c r="AI338" s="198">
        <v>0</v>
      </c>
      <c r="AJ338" s="198">
        <v>0</v>
      </c>
      <c r="AK338" s="198">
        <v>0</v>
      </c>
      <c r="AL338" s="198">
        <v>0</v>
      </c>
      <c r="AM338" s="198">
        <v>6.7104595390190855E-2</v>
      </c>
      <c r="AN338" s="198">
        <v>1.7148952155271024E-2</v>
      </c>
      <c r="AO338" s="198">
        <v>0</v>
      </c>
      <c r="AP338" s="198">
        <v>2.451898293874911E-3</v>
      </c>
      <c r="AQ338" s="198">
        <v>3.0654380816588717E-3</v>
      </c>
      <c r="AS338" s="258">
        <f t="shared" si="40"/>
        <v>114605.1129043813</v>
      </c>
      <c r="AT338" s="3">
        <f t="shared" si="41"/>
        <v>12.569858993546822</v>
      </c>
      <c r="AU338" s="3">
        <f t="shared" si="47"/>
        <v>4.8518931845035143</v>
      </c>
      <c r="AV338" s="3">
        <f t="shared" si="42"/>
        <v>0</v>
      </c>
      <c r="AW338" s="3">
        <f t="shared" si="43"/>
        <v>0</v>
      </c>
      <c r="AX338" s="3">
        <f t="shared" si="44"/>
        <v>4.8518931845035143</v>
      </c>
      <c r="AY338" s="102">
        <f t="shared" si="45"/>
        <v>1</v>
      </c>
      <c r="AZ338" s="102">
        <f t="shared" si="46"/>
        <v>0</v>
      </c>
    </row>
    <row r="339" spans="1:52" x14ac:dyDescent="0.35">
      <c r="A339" t="s">
        <v>1017</v>
      </c>
      <c r="B339">
        <v>2025</v>
      </c>
      <c r="C339" t="s">
        <v>837</v>
      </c>
      <c r="D339" t="s">
        <v>1070</v>
      </c>
      <c r="E339" t="s">
        <v>1025</v>
      </c>
      <c r="F339" t="s">
        <v>983</v>
      </c>
      <c r="G339" t="s">
        <v>978</v>
      </c>
      <c r="H339" s="198">
        <v>41326.087905079999</v>
      </c>
      <c r="I339" s="198">
        <v>14967</v>
      </c>
      <c r="J339" s="198">
        <v>0</v>
      </c>
      <c r="K339" s="198">
        <v>0</v>
      </c>
      <c r="L339" s="198">
        <v>120</v>
      </c>
      <c r="M339" s="198">
        <v>0</v>
      </c>
      <c r="N339" s="198">
        <v>0</v>
      </c>
      <c r="O339" s="198">
        <v>150</v>
      </c>
      <c r="P339" s="198">
        <v>0</v>
      </c>
      <c r="Q339" s="198">
        <v>0</v>
      </c>
      <c r="R339" s="198">
        <v>92</v>
      </c>
      <c r="S339" s="198">
        <v>6031</v>
      </c>
      <c r="T339" s="198">
        <v>506</v>
      </c>
      <c r="U339" s="198">
        <v>2000</v>
      </c>
      <c r="V339" s="198">
        <v>1920</v>
      </c>
      <c r="W339" s="198">
        <v>0</v>
      </c>
      <c r="X339" s="198">
        <v>0</v>
      </c>
      <c r="Y339" s="198">
        <v>186</v>
      </c>
      <c r="Z339" s="277">
        <v>67298.087905079999</v>
      </c>
      <c r="AA339" s="272">
        <v>8.8914251540000002</v>
      </c>
      <c r="AB339" s="198">
        <v>15.106710698630035</v>
      </c>
      <c r="AC339" s="272">
        <v>0</v>
      </c>
      <c r="AD339" s="198">
        <v>0</v>
      </c>
      <c r="AE339" s="198">
        <v>15.106710698630035</v>
      </c>
      <c r="AF339" s="198">
        <v>1130.8209129241861</v>
      </c>
      <c r="AG339" s="198">
        <v>0.49712880769427437</v>
      </c>
      <c r="AH339" s="198">
        <v>2.6267427709092319E-3</v>
      </c>
      <c r="AI339" s="198">
        <v>1146.4308638790262</v>
      </c>
      <c r="AJ339" s="198">
        <v>0.48238756760489204</v>
      </c>
      <c r="AK339" s="198">
        <v>11.25687739212904</v>
      </c>
      <c r="AL339" s="198">
        <v>0.52703601153366009</v>
      </c>
      <c r="AM339" s="198">
        <v>9.4732564862393134E-2</v>
      </c>
      <c r="AN339" s="198">
        <v>3.8951544703852266E-2</v>
      </c>
      <c r="AO339" s="198">
        <v>7.7992291513037807E-3</v>
      </c>
      <c r="AP339" s="198">
        <v>6.472162021929787E-3</v>
      </c>
      <c r="AQ339" s="198">
        <v>6.1474070193570573E-3</v>
      </c>
      <c r="AS339" s="258">
        <f t="shared" si="40"/>
        <v>90280.384924664817</v>
      </c>
      <c r="AT339" s="3">
        <f t="shared" si="41"/>
        <v>26.454152755884305</v>
      </c>
      <c r="AU339" s="3">
        <f t="shared" si="47"/>
        <v>10.211150620224483</v>
      </c>
      <c r="AV339" s="3">
        <f t="shared" si="42"/>
        <v>0</v>
      </c>
      <c r="AW339" s="3">
        <f t="shared" si="43"/>
        <v>0</v>
      </c>
      <c r="AX339" s="3">
        <f t="shared" si="44"/>
        <v>10.211150620224483</v>
      </c>
      <c r="AY339" s="102">
        <f t="shared" si="45"/>
        <v>1</v>
      </c>
      <c r="AZ339" s="102">
        <f t="shared" si="46"/>
        <v>0</v>
      </c>
    </row>
    <row r="340" spans="1:52" x14ac:dyDescent="0.35">
      <c r="A340" t="s">
        <v>1020</v>
      </c>
      <c r="B340">
        <v>2025</v>
      </c>
      <c r="C340" t="s">
        <v>837</v>
      </c>
      <c r="D340" t="s">
        <v>1070</v>
      </c>
      <c r="E340" t="s">
        <v>1025</v>
      </c>
      <c r="F340" t="s">
        <v>983</v>
      </c>
      <c r="G340" t="s">
        <v>978</v>
      </c>
      <c r="H340" s="198">
        <v>41326.087905079999</v>
      </c>
      <c r="I340" s="198">
        <v>17692</v>
      </c>
      <c r="J340" s="198">
        <v>0</v>
      </c>
      <c r="K340" s="198">
        <v>0</v>
      </c>
      <c r="L340" s="198">
        <v>150</v>
      </c>
      <c r="M340" s="198">
        <v>972.87437179999995</v>
      </c>
      <c r="N340" s="198">
        <v>50</v>
      </c>
      <c r="O340" s="198">
        <v>150</v>
      </c>
      <c r="P340" s="198">
        <v>1795.3210924</v>
      </c>
      <c r="Q340" s="198">
        <v>0</v>
      </c>
      <c r="R340" s="198">
        <v>0</v>
      </c>
      <c r="S340" s="198">
        <v>6884</v>
      </c>
      <c r="T340" s="198">
        <v>392</v>
      </c>
      <c r="U340" s="198">
        <v>2000</v>
      </c>
      <c r="V340" s="198">
        <v>4720</v>
      </c>
      <c r="W340" s="198">
        <v>233.3</v>
      </c>
      <c r="X340" s="198">
        <v>1500</v>
      </c>
      <c r="Y340" s="198">
        <v>186</v>
      </c>
      <c r="Z340" s="277">
        <v>78051.583369279993</v>
      </c>
      <c r="AA340" s="272">
        <v>10.94170151</v>
      </c>
      <c r="AB340" s="198">
        <v>12.275987183276763</v>
      </c>
      <c r="AC340" s="272">
        <v>0</v>
      </c>
      <c r="AD340" s="198">
        <v>0</v>
      </c>
      <c r="AE340" s="198">
        <v>12.275987183276763</v>
      </c>
      <c r="AF340" s="198">
        <v>918.9255894665099</v>
      </c>
      <c r="AG340" s="198">
        <v>0.40397588816247099</v>
      </c>
      <c r="AH340" s="198">
        <v>2.1345388306384171E-3</v>
      </c>
      <c r="AI340" s="198">
        <v>931.61051881188848</v>
      </c>
      <c r="AJ340" s="198">
        <v>0.39199688902672436</v>
      </c>
      <c r="AK340" s="198">
        <v>9.1475427938145302</v>
      </c>
      <c r="AL340" s="198">
        <v>0.42827902458602335</v>
      </c>
      <c r="AM340" s="198">
        <v>7.6981400868101249E-2</v>
      </c>
      <c r="AN340" s="198">
        <v>3.1652731894619882E-2</v>
      </c>
      <c r="AO340" s="198">
        <v>6.3377951038359574E-3</v>
      </c>
      <c r="AP340" s="198">
        <v>5.2593962785363905E-3</v>
      </c>
      <c r="AQ340" s="198">
        <v>4.9954944716626166E-3</v>
      </c>
      <c r="AS340" s="258">
        <f t="shared" si="40"/>
        <v>104706.19908988911</v>
      </c>
      <c r="AT340" s="3">
        <f t="shared" si="41"/>
        <v>21.49712446701794</v>
      </c>
      <c r="AU340" s="3">
        <f t="shared" si="47"/>
        <v>8.2977662471388935</v>
      </c>
      <c r="AV340" s="3">
        <f t="shared" si="42"/>
        <v>0</v>
      </c>
      <c r="AW340" s="3">
        <f t="shared" si="43"/>
        <v>0</v>
      </c>
      <c r="AX340" s="3">
        <f t="shared" si="44"/>
        <v>8.2977662471388935</v>
      </c>
      <c r="AY340" s="102">
        <f t="shared" si="45"/>
        <v>1</v>
      </c>
      <c r="AZ340" s="102">
        <f t="shared" si="46"/>
        <v>0</v>
      </c>
    </row>
    <row r="341" spans="1:52" x14ac:dyDescent="0.35">
      <c r="A341" t="s">
        <v>1021</v>
      </c>
      <c r="B341">
        <v>2025</v>
      </c>
      <c r="C341" t="s">
        <v>837</v>
      </c>
      <c r="D341" t="s">
        <v>1070</v>
      </c>
      <c r="E341" t="s">
        <v>1025</v>
      </c>
      <c r="F341" t="s">
        <v>983</v>
      </c>
      <c r="G341" t="s">
        <v>978</v>
      </c>
      <c r="H341" s="198">
        <v>41326.087905079999</v>
      </c>
      <c r="I341" s="198">
        <v>10128</v>
      </c>
      <c r="J341" s="198">
        <v>0</v>
      </c>
      <c r="K341" s="198">
        <v>0</v>
      </c>
      <c r="L341" s="198">
        <v>0</v>
      </c>
      <c r="M341" s="198">
        <v>11820.672</v>
      </c>
      <c r="N341" s="198">
        <v>50</v>
      </c>
      <c r="O341" s="198">
        <v>0</v>
      </c>
      <c r="P341" s="198">
        <v>5132.7215034999999</v>
      </c>
      <c r="Q341" s="198">
        <v>0</v>
      </c>
      <c r="R341" s="198">
        <v>2480.3675226</v>
      </c>
      <c r="S341" s="198">
        <v>3664</v>
      </c>
      <c r="T341" s="198">
        <v>0</v>
      </c>
      <c r="U341" s="198">
        <v>2000</v>
      </c>
      <c r="V341" s="198">
        <v>4720</v>
      </c>
      <c r="W341" s="198">
        <v>233.3</v>
      </c>
      <c r="X341" s="198">
        <v>1500</v>
      </c>
      <c r="Y341" s="198">
        <v>186</v>
      </c>
      <c r="Z341" s="277">
        <v>83241.148931180011</v>
      </c>
      <c r="AA341" s="272">
        <v>65.80575450000002</v>
      </c>
      <c r="AB341" s="198">
        <v>2.0411617269732845</v>
      </c>
      <c r="AC341" s="272">
        <v>840.80000000000007</v>
      </c>
      <c r="AD341" s="198">
        <v>3.0268800000000002</v>
      </c>
      <c r="AE341" s="198">
        <v>5.0680417269732843</v>
      </c>
      <c r="AF341" s="198">
        <v>152.79225329516356</v>
      </c>
      <c r="AG341" s="198">
        <v>6.7170168005761546E-2</v>
      </c>
      <c r="AH341" s="198">
        <v>3.5491556815673311E-4</v>
      </c>
      <c r="AI341" s="198">
        <v>154.90141094599747</v>
      </c>
      <c r="AJ341" s="198">
        <v>6.5178387287984238E-2</v>
      </c>
      <c r="AK341" s="198">
        <v>1.5209867823925649</v>
      </c>
      <c r="AL341" s="198">
        <v>7.1211116499153862E-2</v>
      </c>
      <c r="AM341" s="198">
        <v>5.7550462249561937E-2</v>
      </c>
      <c r="AN341" s="198">
        <v>1.6699238806919481E-2</v>
      </c>
      <c r="AO341" s="198">
        <v>1.053802403522514E-3</v>
      </c>
      <c r="AP341" s="198">
        <v>2.5096103033506144E-3</v>
      </c>
      <c r="AQ341" s="198">
        <v>2.8748866123241568E-3</v>
      </c>
      <c r="AS341" s="258">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102">
        <f t="shared" si="45"/>
        <v>0.42315187734573562</v>
      </c>
      <c r="AZ341" s="102">
        <f t="shared" si="46"/>
        <v>0.57684812265426433</v>
      </c>
    </row>
    <row r="342" spans="1:52" x14ac:dyDescent="0.35">
      <c r="A342" t="s">
        <v>246</v>
      </c>
      <c r="B342">
        <v>2025</v>
      </c>
      <c r="C342" t="s">
        <v>837</v>
      </c>
      <c r="D342" t="s">
        <v>1070</v>
      </c>
      <c r="E342" t="s">
        <v>1025</v>
      </c>
      <c r="F342" t="s">
        <v>977</v>
      </c>
      <c r="G342" t="s">
        <v>978</v>
      </c>
      <c r="H342" s="198">
        <v>41326.087905079999</v>
      </c>
      <c r="I342" s="198">
        <v>0</v>
      </c>
      <c r="J342" s="198">
        <v>0</v>
      </c>
      <c r="K342" s="198">
        <v>0</v>
      </c>
      <c r="L342" s="198">
        <v>0</v>
      </c>
      <c r="M342" s="198">
        <v>24022.655999999999</v>
      </c>
      <c r="N342" s="198">
        <v>50</v>
      </c>
      <c r="O342" s="198">
        <v>0</v>
      </c>
      <c r="P342" s="198">
        <v>5125.8293901999996</v>
      </c>
      <c r="Q342" s="198">
        <v>0</v>
      </c>
      <c r="R342" s="198">
        <v>0</v>
      </c>
      <c r="S342" s="198">
        <v>3661</v>
      </c>
      <c r="T342" s="198">
        <v>0</v>
      </c>
      <c r="U342" s="198">
        <v>2000</v>
      </c>
      <c r="V342" s="198">
        <v>4500</v>
      </c>
      <c r="W342" s="198">
        <v>233.3</v>
      </c>
      <c r="X342" s="198">
        <v>1500</v>
      </c>
      <c r="Y342" s="198">
        <v>186</v>
      </c>
      <c r="Z342" s="277">
        <v>82604.873295280006</v>
      </c>
      <c r="AA342" s="272">
        <v>0</v>
      </c>
      <c r="AB342" s="198">
        <v>0</v>
      </c>
      <c r="AC342" s="272">
        <v>1019</v>
      </c>
      <c r="AD342" s="198">
        <v>3.6684000000000001</v>
      </c>
      <c r="AE342" s="198">
        <v>3.6684000000000001</v>
      </c>
      <c r="AF342" s="198">
        <v>0</v>
      </c>
      <c r="AG342" s="198">
        <v>0</v>
      </c>
      <c r="AH342" s="198">
        <v>0</v>
      </c>
      <c r="AI342" s="198">
        <v>0</v>
      </c>
      <c r="AJ342" s="198">
        <v>0</v>
      </c>
      <c r="AK342" s="198">
        <v>0</v>
      </c>
      <c r="AL342" s="198">
        <v>0</v>
      </c>
      <c r="AM342" s="198">
        <v>5.4235033570204524E-2</v>
      </c>
      <c r="AN342" s="198">
        <v>1.3860064134607787E-2</v>
      </c>
      <c r="AO342" s="198">
        <v>0</v>
      </c>
      <c r="AP342" s="198">
        <v>1.9816643779133865E-3</v>
      </c>
      <c r="AQ342" s="198">
        <v>2.4775372878629042E-3</v>
      </c>
      <c r="AS342" s="258">
        <f t="shared" si="40"/>
        <v>110814.43752561812</v>
      </c>
      <c r="AT342" s="3">
        <f t="shared" si="41"/>
        <v>0</v>
      </c>
      <c r="AU342" s="3">
        <f t="shared" si="47"/>
        <v>0</v>
      </c>
      <c r="AV342" s="3">
        <f t="shared" si="42"/>
        <v>63.317881864615309</v>
      </c>
      <c r="AW342" s="3">
        <f t="shared" si="43"/>
        <v>2.2794437471261513</v>
      </c>
      <c r="AX342" s="3">
        <f t="shared" si="44"/>
        <v>2.2794437471261513</v>
      </c>
      <c r="AY342" s="102">
        <f t="shared" si="45"/>
        <v>0</v>
      </c>
      <c r="AZ342" s="102">
        <f t="shared" si="46"/>
        <v>1</v>
      </c>
    </row>
    <row r="343" spans="1:52" x14ac:dyDescent="0.35">
      <c r="A343" t="s">
        <v>627</v>
      </c>
      <c r="B343">
        <v>2025</v>
      </c>
      <c r="C343" t="s">
        <v>837</v>
      </c>
      <c r="D343" t="s">
        <v>1070</v>
      </c>
      <c r="E343" t="s">
        <v>1025</v>
      </c>
      <c r="F343" t="s">
        <v>989</v>
      </c>
      <c r="G343" t="s">
        <v>978</v>
      </c>
      <c r="H343" s="198">
        <v>41326.087905079999</v>
      </c>
      <c r="I343" s="198">
        <v>0</v>
      </c>
      <c r="J343" s="198">
        <v>21693.317329245285</v>
      </c>
      <c r="K343" s="198">
        <v>6454.1309249999995</v>
      </c>
      <c r="L343" s="198">
        <v>0</v>
      </c>
      <c r="M343" s="198">
        <v>3796.5829140000001</v>
      </c>
      <c r="N343" s="198">
        <v>50</v>
      </c>
      <c r="O343" s="198">
        <v>0</v>
      </c>
      <c r="P343" s="198">
        <v>5125.8293901999996</v>
      </c>
      <c r="Q343" s="198">
        <v>0</v>
      </c>
      <c r="R343" s="198">
        <v>0</v>
      </c>
      <c r="S343" s="198">
        <v>3661</v>
      </c>
      <c r="T343" s="198">
        <v>0</v>
      </c>
      <c r="U343" s="198">
        <v>2000</v>
      </c>
      <c r="V343" s="198">
        <v>4500</v>
      </c>
      <c r="W343" s="198">
        <v>233.3</v>
      </c>
      <c r="X343" s="198">
        <v>1500</v>
      </c>
      <c r="Y343" s="198">
        <v>186</v>
      </c>
      <c r="Z343" s="277">
        <v>90526.248463525291</v>
      </c>
      <c r="AA343" s="272">
        <v>18.929389459999999</v>
      </c>
      <c r="AB343" s="198">
        <v>7.0958541892665998</v>
      </c>
      <c r="AC343" s="272">
        <v>0</v>
      </c>
      <c r="AD343" s="198">
        <v>0</v>
      </c>
      <c r="AE343" s="198">
        <v>7.0958541892665998</v>
      </c>
      <c r="AF343" s="198">
        <v>0</v>
      </c>
      <c r="AG343" s="198">
        <v>0</v>
      </c>
      <c r="AH343" s="198">
        <v>0</v>
      </c>
      <c r="AI343" s="198">
        <v>0</v>
      </c>
      <c r="AJ343" s="198">
        <v>0</v>
      </c>
      <c r="AK343" s="198">
        <v>0</v>
      </c>
      <c r="AL343" s="198">
        <v>0</v>
      </c>
      <c r="AM343" s="198">
        <v>6.6336183783387986E-2</v>
      </c>
      <c r="AN343" s="198">
        <v>1.695258030019918E-2</v>
      </c>
      <c r="AO343" s="198">
        <v>0</v>
      </c>
      <c r="AP343" s="198">
        <v>2.4238217203294125E-3</v>
      </c>
      <c r="AQ343" s="198">
        <v>3.0303358924841121E-3</v>
      </c>
      <c r="AS343" s="258">
        <f t="shared" si="40"/>
        <v>121440.96231381917</v>
      </c>
      <c r="AT343" s="3">
        <f t="shared" si="41"/>
        <v>12.425922121707361</v>
      </c>
      <c r="AU343" s="3">
        <f t="shared" si="47"/>
        <v>4.7963343808737227</v>
      </c>
      <c r="AV343" s="3">
        <f t="shared" si="42"/>
        <v>0</v>
      </c>
      <c r="AW343" s="3">
        <f t="shared" si="43"/>
        <v>0</v>
      </c>
      <c r="AX343" s="3">
        <f t="shared" si="44"/>
        <v>4.7963343808737227</v>
      </c>
      <c r="AY343" s="102">
        <f t="shared" si="45"/>
        <v>1</v>
      </c>
      <c r="AZ343" s="102">
        <f t="shared" si="46"/>
        <v>0</v>
      </c>
    </row>
    <row r="344" spans="1:52" x14ac:dyDescent="0.35">
      <c r="A344" t="s">
        <v>1065</v>
      </c>
      <c r="B344">
        <v>2025</v>
      </c>
      <c r="C344" t="s">
        <v>837</v>
      </c>
      <c r="D344" t="s">
        <v>1070</v>
      </c>
      <c r="E344" t="s">
        <v>1025</v>
      </c>
      <c r="F344" t="s">
        <v>989</v>
      </c>
      <c r="G344" t="s">
        <v>978</v>
      </c>
      <c r="H344" s="198">
        <v>41326.087905079999</v>
      </c>
      <c r="I344" s="198">
        <v>0</v>
      </c>
      <c r="J344" s="198">
        <v>10155.44996</v>
      </c>
      <c r="K344" s="198">
        <v>6732.1914660000002</v>
      </c>
      <c r="L344" s="198">
        <v>0</v>
      </c>
      <c r="M344" s="198">
        <v>4702.848</v>
      </c>
      <c r="N344" s="198">
        <v>50</v>
      </c>
      <c r="O344" s="198">
        <v>0</v>
      </c>
      <c r="P344" s="198">
        <v>5094.1568422999999</v>
      </c>
      <c r="Q344" s="198">
        <v>0</v>
      </c>
      <c r="R344" s="198">
        <v>0</v>
      </c>
      <c r="S344" s="198">
        <v>3649</v>
      </c>
      <c r="T344" s="198">
        <v>0</v>
      </c>
      <c r="U344" s="198">
        <v>2000</v>
      </c>
      <c r="V344" s="198">
        <v>4500</v>
      </c>
      <c r="W344" s="198">
        <v>233.3</v>
      </c>
      <c r="X344" s="198">
        <v>1500</v>
      </c>
      <c r="Y344" s="198">
        <v>186</v>
      </c>
      <c r="Z344" s="277">
        <v>80129.034173380001</v>
      </c>
      <c r="AA344" s="272">
        <v>19.94027539</v>
      </c>
      <c r="AB344" s="198">
        <v>6.7361249969176091</v>
      </c>
      <c r="AC344" s="272">
        <v>0</v>
      </c>
      <c r="AD344" s="198">
        <v>0</v>
      </c>
      <c r="AE344" s="198">
        <v>6.7361249969176091</v>
      </c>
      <c r="AF344" s="198">
        <v>0</v>
      </c>
      <c r="AG344" s="198">
        <v>0</v>
      </c>
      <c r="AH344" s="198">
        <v>0</v>
      </c>
      <c r="AI344" s="198">
        <v>0</v>
      </c>
      <c r="AJ344" s="198">
        <v>0</v>
      </c>
      <c r="AK344" s="198">
        <v>0</v>
      </c>
      <c r="AL344" s="198">
        <v>0</v>
      </c>
      <c r="AM344" s="198">
        <v>6.2973225472884892E-2</v>
      </c>
      <c r="AN344" s="198">
        <v>1.6093157620848387E-2</v>
      </c>
      <c r="AO344" s="198">
        <v>0</v>
      </c>
      <c r="AP344" s="198">
        <v>2.3009444166820331E-3</v>
      </c>
      <c r="AQ344" s="198">
        <v>2.8767109371125115E-3</v>
      </c>
      <c r="AS344" s="258">
        <f t="shared" si="40"/>
        <v>107493.09934358926</v>
      </c>
      <c r="AT344" s="3">
        <f t="shared" si="41"/>
        <v>11.795981481749642</v>
      </c>
      <c r="AU344" s="3">
        <f t="shared" si="47"/>
        <v>4.5531809215372459</v>
      </c>
      <c r="AV344" s="3">
        <f t="shared" si="42"/>
        <v>0</v>
      </c>
      <c r="AW344" s="3">
        <f t="shared" si="43"/>
        <v>0</v>
      </c>
      <c r="AX344" s="3">
        <f t="shared" si="44"/>
        <v>4.5531809215372459</v>
      </c>
      <c r="AY344" s="102">
        <f t="shared" si="45"/>
        <v>1</v>
      </c>
      <c r="AZ344" s="102">
        <f t="shared" si="46"/>
        <v>0</v>
      </c>
    </row>
    <row r="345" spans="1:52" x14ac:dyDescent="0.35">
      <c r="A345" t="s">
        <v>1017</v>
      </c>
      <c r="B345">
        <v>2030</v>
      </c>
      <c r="C345" t="s">
        <v>837</v>
      </c>
      <c r="D345" t="s">
        <v>1070</v>
      </c>
      <c r="E345" t="s">
        <v>1025</v>
      </c>
      <c r="F345" t="s">
        <v>983</v>
      </c>
      <c r="G345" t="s">
        <v>978</v>
      </c>
      <c r="H345" s="198">
        <v>41690.74534732</v>
      </c>
      <c r="I345" s="198">
        <v>15387</v>
      </c>
      <c r="J345" s="198">
        <v>0</v>
      </c>
      <c r="K345" s="198">
        <v>0</v>
      </c>
      <c r="L345" s="198">
        <v>120</v>
      </c>
      <c r="M345" s="198">
        <v>0</v>
      </c>
      <c r="N345" s="198">
        <v>0</v>
      </c>
      <c r="O345" s="198">
        <v>150</v>
      </c>
      <c r="P345" s="198">
        <v>0</v>
      </c>
      <c r="Q345" s="198">
        <v>0</v>
      </c>
      <c r="R345" s="198">
        <v>73.2</v>
      </c>
      <c r="S345" s="198">
        <v>6084</v>
      </c>
      <c r="T345" s="198">
        <v>506</v>
      </c>
      <c r="U345" s="198">
        <v>2000</v>
      </c>
      <c r="V345" s="198">
        <v>1920</v>
      </c>
      <c r="W345" s="198">
        <v>0</v>
      </c>
      <c r="X345" s="198">
        <v>0</v>
      </c>
      <c r="Y345" s="198">
        <v>186</v>
      </c>
      <c r="Z345" s="277">
        <v>68116.945347319997</v>
      </c>
      <c r="AA345" s="272">
        <v>9.3828554900000007</v>
      </c>
      <c r="AB345" s="198">
        <v>14.315491445344643</v>
      </c>
      <c r="AC345" s="272">
        <v>0</v>
      </c>
      <c r="AD345" s="198">
        <v>0</v>
      </c>
      <c r="AE345" s="198">
        <v>14.315491445344643</v>
      </c>
      <c r="AF345" s="198">
        <v>1071.5937723392724</v>
      </c>
      <c r="AG345" s="198">
        <v>0.47109151262340293</v>
      </c>
      <c r="AH345" s="198">
        <v>2.4891662001233703E-3</v>
      </c>
      <c r="AI345" s="198">
        <v>1086.386146656504</v>
      </c>
      <c r="AJ345" s="198">
        <v>0.4571223501363989</v>
      </c>
      <c r="AK345" s="198">
        <v>10.667294503953835</v>
      </c>
      <c r="AL345" s="198">
        <v>0.49943231620784767</v>
      </c>
      <c r="AM345" s="198">
        <v>8.9770913664622462E-2</v>
      </c>
      <c r="AN345" s="198">
        <v>3.6911443934749079E-2</v>
      </c>
      <c r="AO345" s="198">
        <v>7.3907417983384615E-3</v>
      </c>
      <c r="AP345" s="198">
        <v>6.1331802737324276E-3</v>
      </c>
      <c r="AQ345" s="198">
        <v>5.8254344279352749E-3</v>
      </c>
      <c r="AS345" s="258">
        <f t="shared" si="40"/>
        <v>91378.882183429771</v>
      </c>
      <c r="AT345" s="3">
        <f t="shared" si="41"/>
        <v>25.06860725843153</v>
      </c>
      <c r="AU345" s="3">
        <f t="shared" si="47"/>
        <v>9.6763380372542294</v>
      </c>
      <c r="AV345" s="3">
        <f t="shared" si="42"/>
        <v>0</v>
      </c>
      <c r="AW345" s="3">
        <f t="shared" si="43"/>
        <v>0</v>
      </c>
      <c r="AX345" s="3">
        <f t="shared" si="44"/>
        <v>9.6763380372542294</v>
      </c>
      <c r="AY345" s="102">
        <f t="shared" si="45"/>
        <v>1</v>
      </c>
      <c r="AZ345" s="102">
        <f t="shared" si="46"/>
        <v>0</v>
      </c>
    </row>
    <row r="346" spans="1:52" x14ac:dyDescent="0.35">
      <c r="A346" t="s">
        <v>1020</v>
      </c>
      <c r="B346">
        <v>2030</v>
      </c>
      <c r="C346" t="s">
        <v>837</v>
      </c>
      <c r="D346" t="s">
        <v>1070</v>
      </c>
      <c r="E346" t="s">
        <v>1025</v>
      </c>
      <c r="F346" t="s">
        <v>983</v>
      </c>
      <c r="G346" t="s">
        <v>978</v>
      </c>
      <c r="H346" s="198">
        <v>41690.74534732</v>
      </c>
      <c r="I346" s="198">
        <v>17756</v>
      </c>
      <c r="J346" s="198">
        <v>0</v>
      </c>
      <c r="K346" s="198">
        <v>0</v>
      </c>
      <c r="L346" s="198">
        <v>150</v>
      </c>
      <c r="M346" s="198">
        <v>946.77286425</v>
      </c>
      <c r="N346" s="198">
        <v>40</v>
      </c>
      <c r="O346" s="198">
        <v>150</v>
      </c>
      <c r="P346" s="198">
        <v>1408.77352251</v>
      </c>
      <c r="Q346" s="198">
        <v>0</v>
      </c>
      <c r="R346" s="198">
        <v>0</v>
      </c>
      <c r="S346" s="198">
        <v>6826</v>
      </c>
      <c r="T346" s="198">
        <v>392</v>
      </c>
      <c r="U346" s="198">
        <v>2000</v>
      </c>
      <c r="V346" s="198">
        <v>4720</v>
      </c>
      <c r="W346" s="198">
        <v>173.28</v>
      </c>
      <c r="X346" s="198">
        <v>1500</v>
      </c>
      <c r="Y346" s="198">
        <v>186</v>
      </c>
      <c r="Z346" s="277">
        <v>77939.571734080004</v>
      </c>
      <c r="AA346" s="272">
        <v>11.541286039999999</v>
      </c>
      <c r="AB346" s="198">
        <v>11.638233991816048</v>
      </c>
      <c r="AC346" s="272">
        <v>0</v>
      </c>
      <c r="AD346" s="198">
        <v>0</v>
      </c>
      <c r="AE346" s="198">
        <v>11.638233991816048</v>
      </c>
      <c r="AF346" s="198">
        <v>871.18623305894187</v>
      </c>
      <c r="AG346" s="198">
        <v>0.38298882552527919</v>
      </c>
      <c r="AH346" s="198">
        <v>2.0236468159097812E-3</v>
      </c>
      <c r="AI346" s="198">
        <v>883.21216414595722</v>
      </c>
      <c r="AJ346" s="198">
        <v>0.37163215067313354</v>
      </c>
      <c r="AK346" s="198">
        <v>8.6723162785306087</v>
      </c>
      <c r="AL346" s="198">
        <v>0.40602938301442704</v>
      </c>
      <c r="AM346" s="198">
        <v>7.2982118907817917E-2</v>
      </c>
      <c r="AN346" s="198">
        <v>3.0008332101522681E-2</v>
      </c>
      <c r="AO346" s="198">
        <v>6.0085385647120236E-3</v>
      </c>
      <c r="AP346" s="198">
        <v>4.9861639338201523E-3</v>
      </c>
      <c r="AQ346" s="198">
        <v>4.7359721624044863E-3</v>
      </c>
      <c r="AS346" s="258">
        <f t="shared" si="40"/>
        <v>104555.93548126832</v>
      </c>
      <c r="AT346" s="3">
        <f t="shared" si="41"/>
        <v>20.380321432656231</v>
      </c>
      <c r="AU346" s="3">
        <f t="shared" si="47"/>
        <v>7.8666867072940754</v>
      </c>
      <c r="AV346" s="3">
        <f t="shared" si="42"/>
        <v>0</v>
      </c>
      <c r="AW346" s="3">
        <f t="shared" si="43"/>
        <v>0</v>
      </c>
      <c r="AX346" s="3">
        <f t="shared" si="44"/>
        <v>7.8666867072940754</v>
      </c>
      <c r="AY346" s="102">
        <f t="shared" si="45"/>
        <v>1</v>
      </c>
      <c r="AZ346" s="102">
        <f t="shared" si="46"/>
        <v>0</v>
      </c>
    </row>
    <row r="347" spans="1:52" x14ac:dyDescent="0.35">
      <c r="A347" t="s">
        <v>1021</v>
      </c>
      <c r="B347">
        <v>2030</v>
      </c>
      <c r="C347" t="s">
        <v>837</v>
      </c>
      <c r="D347" t="s">
        <v>1070</v>
      </c>
      <c r="E347" t="s">
        <v>1025</v>
      </c>
      <c r="F347" t="s">
        <v>983</v>
      </c>
      <c r="G347" t="s">
        <v>978</v>
      </c>
      <c r="H347" s="198">
        <v>41690.74534732</v>
      </c>
      <c r="I347" s="198">
        <v>10171</v>
      </c>
      <c r="J347" s="198">
        <v>0</v>
      </c>
      <c r="K347" s="198">
        <v>0</v>
      </c>
      <c r="L347" s="198">
        <v>0</v>
      </c>
      <c r="M347" s="198">
        <v>8837.6999999999989</v>
      </c>
      <c r="N347" s="198">
        <v>40</v>
      </c>
      <c r="O347" s="198">
        <v>0</v>
      </c>
      <c r="P347" s="198">
        <v>4029.5467138499998</v>
      </c>
      <c r="Q347" s="198">
        <v>0</v>
      </c>
      <c r="R347" s="198">
        <v>1848.2373188400002</v>
      </c>
      <c r="S347" s="198">
        <v>3638</v>
      </c>
      <c r="T347" s="198">
        <v>0</v>
      </c>
      <c r="U347" s="198">
        <v>2000</v>
      </c>
      <c r="V347" s="198">
        <v>4720</v>
      </c>
      <c r="W347" s="198">
        <v>173.28</v>
      </c>
      <c r="X347" s="198">
        <v>1500</v>
      </c>
      <c r="Y347" s="198">
        <v>186</v>
      </c>
      <c r="Z347" s="277">
        <v>78834.50938001</v>
      </c>
      <c r="AA347" s="272">
        <v>72.201519000000019</v>
      </c>
      <c r="AB347" s="198">
        <v>1.86035126906402</v>
      </c>
      <c r="AC347" s="272">
        <v>797.6</v>
      </c>
      <c r="AD347" s="198">
        <v>2.8713600000000001</v>
      </c>
      <c r="AE347" s="198">
        <v>4.7317112690640197</v>
      </c>
      <c r="AF347" s="198">
        <v>139.25758971696078</v>
      </c>
      <c r="AG347" s="198">
        <v>6.1220091304601203E-2</v>
      </c>
      <c r="AH347" s="198">
        <v>3.2347639038383659E-4</v>
      </c>
      <c r="AI347" s="198">
        <v>141.17991368596995</v>
      </c>
      <c r="AJ347" s="198">
        <v>5.9404746769649137E-2</v>
      </c>
      <c r="AK347" s="198">
        <v>1.3862545301833611</v>
      </c>
      <c r="AL347" s="198">
        <v>6.4903083964399935E-2</v>
      </c>
      <c r="AM347" s="198">
        <v>5.4117351862613926E-2</v>
      </c>
      <c r="AN347" s="198">
        <v>1.5645441762526073E-2</v>
      </c>
      <c r="AO347" s="198">
        <v>9.6045433971704227E-4</v>
      </c>
      <c r="AP347" s="198">
        <v>2.3481340719720654E-3</v>
      </c>
      <c r="AQ347" s="198">
        <v>2.6962750494127904E-3</v>
      </c>
      <c r="AS347" s="258">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102">
        <f t="shared" si="45"/>
        <v>0.41341757277845376</v>
      </c>
      <c r="AZ347" s="102">
        <f t="shared" si="46"/>
        <v>0.58658242722154619</v>
      </c>
    </row>
    <row r="348" spans="1:52" x14ac:dyDescent="0.35">
      <c r="A348" t="s">
        <v>246</v>
      </c>
      <c r="B348">
        <v>2030</v>
      </c>
      <c r="C348" t="s">
        <v>837</v>
      </c>
      <c r="D348" t="s">
        <v>1070</v>
      </c>
      <c r="E348" t="s">
        <v>1025</v>
      </c>
      <c r="F348" t="s">
        <v>977</v>
      </c>
      <c r="G348" t="s">
        <v>978</v>
      </c>
      <c r="H348" s="198">
        <v>41690.74534732</v>
      </c>
      <c r="I348" s="198">
        <v>0</v>
      </c>
      <c r="J348" s="198">
        <v>0</v>
      </c>
      <c r="K348" s="198">
        <v>0</v>
      </c>
      <c r="L348" s="198">
        <v>0</v>
      </c>
      <c r="M348" s="198">
        <v>17576.099999999999</v>
      </c>
      <c r="N348" s="198">
        <v>40</v>
      </c>
      <c r="O348" s="198">
        <v>0</v>
      </c>
      <c r="P348" s="198">
        <v>4015.7565365700002</v>
      </c>
      <c r="Q348" s="198">
        <v>0</v>
      </c>
      <c r="R348" s="198">
        <v>0</v>
      </c>
      <c r="S348" s="198">
        <v>3631</v>
      </c>
      <c r="T348" s="198">
        <v>0</v>
      </c>
      <c r="U348" s="198">
        <v>2000</v>
      </c>
      <c r="V348" s="198">
        <v>4500</v>
      </c>
      <c r="W348" s="198">
        <v>173.28</v>
      </c>
      <c r="X348" s="198">
        <v>1500</v>
      </c>
      <c r="Y348" s="198">
        <v>186</v>
      </c>
      <c r="Z348" s="277">
        <v>75312.88188388999</v>
      </c>
      <c r="AA348" s="272">
        <v>0</v>
      </c>
      <c r="AB348" s="198">
        <v>0</v>
      </c>
      <c r="AC348" s="272">
        <v>959</v>
      </c>
      <c r="AD348" s="198">
        <v>3.4523999999999999</v>
      </c>
      <c r="AE348" s="198">
        <v>3.4523999999999999</v>
      </c>
      <c r="AF348" s="198">
        <v>0</v>
      </c>
      <c r="AG348" s="198">
        <v>0</v>
      </c>
      <c r="AH348" s="198">
        <v>0</v>
      </c>
      <c r="AI348" s="198">
        <v>0</v>
      </c>
      <c r="AJ348" s="198">
        <v>0</v>
      </c>
      <c r="AK348" s="198">
        <v>0</v>
      </c>
      <c r="AL348" s="198">
        <v>0</v>
      </c>
      <c r="AM348" s="198">
        <v>5.1041606667150283E-2</v>
      </c>
      <c r="AN348" s="198">
        <v>1.3043966148271705E-2</v>
      </c>
      <c r="AO348" s="198">
        <v>0</v>
      </c>
      <c r="AP348" s="198">
        <v>1.8649814901069064E-3</v>
      </c>
      <c r="AQ348" s="198">
        <v>2.3316567802360404E-3</v>
      </c>
      <c r="AS348" s="258">
        <f t="shared" si="40"/>
        <v>101032.23104723841</v>
      </c>
      <c r="AT348" s="3">
        <f t="shared" si="41"/>
        <v>0</v>
      </c>
      <c r="AU348" s="3">
        <f t="shared" si="47"/>
        <v>0</v>
      </c>
      <c r="AV348" s="3">
        <f t="shared" si="42"/>
        <v>59.589645444716474</v>
      </c>
      <c r="AW348" s="3">
        <f t="shared" si="43"/>
        <v>2.1452272360097933</v>
      </c>
      <c r="AX348" s="3">
        <f t="shared" si="44"/>
        <v>2.1452272360097933</v>
      </c>
      <c r="AY348" s="102">
        <f t="shared" si="45"/>
        <v>0</v>
      </c>
      <c r="AZ348" s="102">
        <f t="shared" si="46"/>
        <v>1</v>
      </c>
    </row>
    <row r="349" spans="1:52" x14ac:dyDescent="0.35">
      <c r="A349" t="s">
        <v>627</v>
      </c>
      <c r="B349">
        <v>2030</v>
      </c>
      <c r="C349" t="s">
        <v>837</v>
      </c>
      <c r="D349" t="s">
        <v>1070</v>
      </c>
      <c r="E349" t="s">
        <v>1025</v>
      </c>
      <c r="F349" t="s">
        <v>989</v>
      </c>
      <c r="G349" t="s">
        <v>978</v>
      </c>
      <c r="H349" s="198">
        <v>41690.74534732</v>
      </c>
      <c r="I349" s="198">
        <v>0</v>
      </c>
      <c r="J349" s="198">
        <v>18586.588999</v>
      </c>
      <c r="K349" s="198">
        <v>5676.6751800000002</v>
      </c>
      <c r="L349" s="198">
        <v>0</v>
      </c>
      <c r="M349" s="198">
        <v>3595.4826623999998</v>
      </c>
      <c r="N349" s="198">
        <v>40</v>
      </c>
      <c r="O349" s="198">
        <v>0</v>
      </c>
      <c r="P349" s="198">
        <v>4015.7565365700002</v>
      </c>
      <c r="Q349" s="198">
        <v>0</v>
      </c>
      <c r="R349" s="198">
        <v>0</v>
      </c>
      <c r="S349" s="198">
        <v>3631</v>
      </c>
      <c r="T349" s="198">
        <v>0</v>
      </c>
      <c r="U349" s="198">
        <v>2000</v>
      </c>
      <c r="V349" s="198">
        <v>4500</v>
      </c>
      <c r="W349" s="198">
        <v>173.28</v>
      </c>
      <c r="X349" s="198">
        <v>1500</v>
      </c>
      <c r="Y349" s="198">
        <v>186</v>
      </c>
      <c r="Z349" s="277">
        <v>85595.528725290002</v>
      </c>
      <c r="AA349" s="272">
        <v>20.581822509999999</v>
      </c>
      <c r="AB349" s="198">
        <v>6.526156147481033</v>
      </c>
      <c r="AC349" s="272">
        <v>0</v>
      </c>
      <c r="AD349" s="198">
        <v>0</v>
      </c>
      <c r="AE349" s="198">
        <v>6.526156147481033</v>
      </c>
      <c r="AF349" s="198">
        <v>0</v>
      </c>
      <c r="AG349" s="198">
        <v>0</v>
      </c>
      <c r="AH349" s="198">
        <v>0</v>
      </c>
      <c r="AI349" s="198">
        <v>0</v>
      </c>
      <c r="AJ349" s="198">
        <v>0</v>
      </c>
      <c r="AK349" s="198">
        <v>0</v>
      </c>
      <c r="AL349" s="198">
        <v>0</v>
      </c>
      <c r="AM349" s="198">
        <v>6.1010314199132963E-2</v>
      </c>
      <c r="AN349" s="198">
        <v>1.5591524739778449E-2</v>
      </c>
      <c r="AO349" s="198">
        <v>0</v>
      </c>
      <c r="AP349" s="198">
        <v>2.2292226698306435E-3</v>
      </c>
      <c r="AQ349" s="198">
        <v>2.787042220171611E-3</v>
      </c>
      <c r="AS349" s="258">
        <f t="shared" si="40"/>
        <v>114826.40178497654</v>
      </c>
      <c r="AT349" s="3">
        <f t="shared" si="41"/>
        <v>11.428294026301375</v>
      </c>
      <c r="AU349" s="3">
        <f t="shared" si="47"/>
        <v>4.411255681164004</v>
      </c>
      <c r="AV349" s="3">
        <f t="shared" si="42"/>
        <v>0</v>
      </c>
      <c r="AW349" s="3">
        <f t="shared" si="43"/>
        <v>0</v>
      </c>
      <c r="AX349" s="3">
        <f t="shared" si="44"/>
        <v>4.411255681164004</v>
      </c>
      <c r="AY349" s="102">
        <f t="shared" si="45"/>
        <v>1</v>
      </c>
      <c r="AZ349" s="102">
        <f t="shared" si="46"/>
        <v>0</v>
      </c>
    </row>
    <row r="350" spans="1:52" x14ac:dyDescent="0.35">
      <c r="A350" t="s">
        <v>1065</v>
      </c>
      <c r="B350">
        <v>2030</v>
      </c>
      <c r="C350" t="s">
        <v>837</v>
      </c>
      <c r="D350" t="s">
        <v>1070</v>
      </c>
      <c r="E350" t="s">
        <v>1025</v>
      </c>
      <c r="F350" t="s">
        <v>989</v>
      </c>
      <c r="G350" t="s">
        <v>978</v>
      </c>
      <c r="H350" s="198">
        <v>41690.74534732</v>
      </c>
      <c r="I350" s="198">
        <v>0</v>
      </c>
      <c r="J350" s="198">
        <v>8134.2151329999997</v>
      </c>
      <c r="K350" s="198">
        <v>5927.5401899999997</v>
      </c>
      <c r="L350" s="198">
        <v>0</v>
      </c>
      <c r="M350" s="198">
        <v>3723.7499999999995</v>
      </c>
      <c r="N350" s="198">
        <v>40</v>
      </c>
      <c r="O350" s="198">
        <v>0</v>
      </c>
      <c r="P350" s="198">
        <v>3942.9604285500004</v>
      </c>
      <c r="Q350" s="198">
        <v>0</v>
      </c>
      <c r="R350" s="198">
        <v>0</v>
      </c>
      <c r="S350" s="198">
        <v>3595</v>
      </c>
      <c r="T350" s="198">
        <v>0</v>
      </c>
      <c r="U350" s="198">
        <v>2000</v>
      </c>
      <c r="V350" s="198">
        <v>4500</v>
      </c>
      <c r="W350" s="198">
        <v>173.28</v>
      </c>
      <c r="X350" s="198">
        <v>1500</v>
      </c>
      <c r="Y350" s="198">
        <v>186</v>
      </c>
      <c r="Z350" s="277">
        <v>75413.491098869999</v>
      </c>
      <c r="AA350" s="272">
        <v>21.267008919999999</v>
      </c>
      <c r="AB350" s="198">
        <v>6.3158946331038646</v>
      </c>
      <c r="AC350" s="272">
        <v>0</v>
      </c>
      <c r="AD350" s="198">
        <v>0</v>
      </c>
      <c r="AE350" s="198">
        <v>6.3158946331038646</v>
      </c>
      <c r="AF350" s="198">
        <v>0</v>
      </c>
      <c r="AG350" s="198">
        <v>0</v>
      </c>
      <c r="AH350" s="198">
        <v>0</v>
      </c>
      <c r="AI350" s="198">
        <v>0</v>
      </c>
      <c r="AJ350" s="198">
        <v>0</v>
      </c>
      <c r="AK350" s="198">
        <v>0</v>
      </c>
      <c r="AL350" s="198">
        <v>0</v>
      </c>
      <c r="AM350" s="198">
        <v>5.9044666922812739E-2</v>
      </c>
      <c r="AN350" s="198">
        <v>1.508919265805217E-2</v>
      </c>
      <c r="AO350" s="198">
        <v>0</v>
      </c>
      <c r="AP350" s="198">
        <v>2.1574009536702936E-3</v>
      </c>
      <c r="AQ350" s="198">
        <v>2.6972485185494739E-3</v>
      </c>
      <c r="AS350" s="258">
        <f t="shared" si="40"/>
        <v>101167.1983091341</v>
      </c>
      <c r="AT350" s="3">
        <f t="shared" si="41"/>
        <v>11.060094069938827</v>
      </c>
      <c r="AU350" s="3">
        <f t="shared" si="47"/>
        <v>4.2691326183892278</v>
      </c>
      <c r="AV350" s="3">
        <f t="shared" si="42"/>
        <v>0</v>
      </c>
      <c r="AW350" s="3">
        <f t="shared" si="43"/>
        <v>0</v>
      </c>
      <c r="AX350" s="3">
        <f t="shared" si="44"/>
        <v>4.2691326183892278</v>
      </c>
      <c r="AY350" s="102">
        <f t="shared" si="45"/>
        <v>1</v>
      </c>
      <c r="AZ350" s="102">
        <f t="shared" si="46"/>
        <v>0</v>
      </c>
    </row>
    <row r="351" spans="1:52" x14ac:dyDescent="0.35">
      <c r="A351" t="s">
        <v>1017</v>
      </c>
      <c r="B351">
        <v>2035</v>
      </c>
      <c r="C351" t="s">
        <v>837</v>
      </c>
      <c r="D351" t="s">
        <v>1070</v>
      </c>
      <c r="E351" t="s">
        <v>1025</v>
      </c>
      <c r="F351" t="s">
        <v>983</v>
      </c>
      <c r="G351" t="s">
        <v>978</v>
      </c>
      <c r="H351" s="198">
        <v>41690.74534732</v>
      </c>
      <c r="I351" s="198">
        <v>15289</v>
      </c>
      <c r="J351" s="198">
        <v>0</v>
      </c>
      <c r="K351" s="198">
        <v>0</v>
      </c>
      <c r="L351" s="198">
        <v>120</v>
      </c>
      <c r="M351" s="198">
        <v>0</v>
      </c>
      <c r="N351" s="198">
        <v>0</v>
      </c>
      <c r="O351" s="198">
        <v>150</v>
      </c>
      <c r="P351" s="198">
        <v>0</v>
      </c>
      <c r="Q351" s="198">
        <v>0</v>
      </c>
      <c r="R351" s="198">
        <v>62.6</v>
      </c>
      <c r="S351" s="198">
        <v>6071</v>
      </c>
      <c r="T351" s="198">
        <v>506</v>
      </c>
      <c r="U351" s="198">
        <v>2000</v>
      </c>
      <c r="V351" s="198">
        <v>1920</v>
      </c>
      <c r="W351" s="198">
        <v>0</v>
      </c>
      <c r="X351" s="198">
        <v>0</v>
      </c>
      <c r="Y351" s="198">
        <v>186</v>
      </c>
      <c r="Z351" s="277">
        <v>67995.345347319992</v>
      </c>
      <c r="AA351" s="272">
        <v>9.8242224090000008</v>
      </c>
      <c r="AB351" s="198">
        <v>13.67234798928706</v>
      </c>
      <c r="AC351" s="272">
        <v>0</v>
      </c>
      <c r="AD351" s="198">
        <v>0</v>
      </c>
      <c r="AE351" s="198">
        <v>13.67234798928706</v>
      </c>
      <c r="AF351" s="198">
        <v>1023.4509247909834</v>
      </c>
      <c r="AG351" s="198">
        <v>0.44992706816791495</v>
      </c>
      <c r="AH351" s="198">
        <v>2.3773369304988428E-3</v>
      </c>
      <c r="AI351" s="198">
        <v>1037.5787310227947</v>
      </c>
      <c r="AJ351" s="198">
        <v>0.4365854898245935</v>
      </c>
      <c r="AK351" s="198">
        <v>10.188051393072861</v>
      </c>
      <c r="AL351" s="198">
        <v>0.47699462155104183</v>
      </c>
      <c r="AM351" s="198">
        <v>8.5737829932349505E-2</v>
      </c>
      <c r="AN351" s="198">
        <v>3.525314574003427E-2</v>
      </c>
      <c r="AO351" s="198">
        <v>7.058702396047568E-3</v>
      </c>
      <c r="AP351" s="198">
        <v>5.8576385801110591E-3</v>
      </c>
      <c r="AQ351" s="198">
        <v>5.5637186464461592E-3</v>
      </c>
      <c r="AS351" s="258">
        <f t="shared" si="40"/>
        <v>91215.755783429762</v>
      </c>
      <c r="AT351" s="3">
        <f t="shared" si="41"/>
        <v>23.942365049263017</v>
      </c>
      <c r="AU351" s="3">
        <f t="shared" si="47"/>
        <v>9.2416150302920776</v>
      </c>
      <c r="AV351" s="3">
        <f t="shared" si="42"/>
        <v>0</v>
      </c>
      <c r="AW351" s="3">
        <f t="shared" si="43"/>
        <v>0</v>
      </c>
      <c r="AX351" s="3">
        <f t="shared" si="44"/>
        <v>9.2416150302920776</v>
      </c>
      <c r="AY351" s="102">
        <f t="shared" si="45"/>
        <v>1</v>
      </c>
      <c r="AZ351" s="102">
        <f t="shared" si="46"/>
        <v>0</v>
      </c>
    </row>
    <row r="352" spans="1:52" x14ac:dyDescent="0.35">
      <c r="A352" t="s">
        <v>1020</v>
      </c>
      <c r="B352">
        <v>2035</v>
      </c>
      <c r="C352" t="s">
        <v>837</v>
      </c>
      <c r="D352" t="s">
        <v>1070</v>
      </c>
      <c r="E352" t="s">
        <v>1025</v>
      </c>
      <c r="F352" t="s">
        <v>983</v>
      </c>
      <c r="G352" t="s">
        <v>978</v>
      </c>
      <c r="H352" s="198">
        <v>41690.74534732</v>
      </c>
      <c r="I352" s="198">
        <v>17529</v>
      </c>
      <c r="J352" s="198">
        <v>0</v>
      </c>
      <c r="K352" s="198">
        <v>0</v>
      </c>
      <c r="L352" s="198">
        <v>150</v>
      </c>
      <c r="M352" s="198">
        <v>939.65427144</v>
      </c>
      <c r="N352" s="198">
        <v>35</v>
      </c>
      <c r="O352" s="198">
        <v>150</v>
      </c>
      <c r="P352" s="198">
        <v>1212.36591944</v>
      </c>
      <c r="Q352" s="198">
        <v>0</v>
      </c>
      <c r="R352" s="198">
        <v>0</v>
      </c>
      <c r="S352" s="198">
        <v>6772</v>
      </c>
      <c r="T352" s="198">
        <v>392</v>
      </c>
      <c r="U352" s="198">
        <v>2000</v>
      </c>
      <c r="V352" s="198">
        <v>4720</v>
      </c>
      <c r="W352" s="198">
        <v>140</v>
      </c>
      <c r="X352" s="198">
        <v>1500</v>
      </c>
      <c r="Y352" s="198">
        <v>186</v>
      </c>
      <c r="Z352" s="277">
        <v>77416.765538200008</v>
      </c>
      <c r="AA352" s="272">
        <v>12.206852750000001</v>
      </c>
      <c r="AB352" s="198">
        <v>11.003670663595086</v>
      </c>
      <c r="AC352" s="272">
        <v>0</v>
      </c>
      <c r="AD352" s="198">
        <v>0</v>
      </c>
      <c r="AE352" s="198">
        <v>11.003670663595086</v>
      </c>
      <c r="AF352" s="198">
        <v>823.68565557107672</v>
      </c>
      <c r="AG352" s="198">
        <v>0.36210673431043883</v>
      </c>
      <c r="AH352" s="198">
        <v>1.9133094520493827E-3</v>
      </c>
      <c r="AI352" s="198">
        <v>835.0558845248562</v>
      </c>
      <c r="AJ352" s="198">
        <v>0.35136927104973986</v>
      </c>
      <c r="AK352" s="198">
        <v>8.1994667134712547</v>
      </c>
      <c r="AL352" s="198">
        <v>0.38389102793217678</v>
      </c>
      <c r="AM352" s="198">
        <v>6.9002840238276714E-2</v>
      </c>
      <c r="AN352" s="198">
        <v>2.8372157136653222E-2</v>
      </c>
      <c r="AO352" s="198">
        <v>5.6809288747840837E-3</v>
      </c>
      <c r="AP352" s="198">
        <v>4.7142982209357771E-3</v>
      </c>
      <c r="AQ352" s="198">
        <v>4.4777479112122079E-3</v>
      </c>
      <c r="AS352" s="258">
        <f t="shared" si="40"/>
        <v>103854.5909694953</v>
      </c>
      <c r="AT352" s="3">
        <f t="shared" si="41"/>
        <v>19.269104334975133</v>
      </c>
      <c r="AU352" s="3">
        <f t="shared" si="47"/>
        <v>7.4377633068398117</v>
      </c>
      <c r="AV352" s="3">
        <f t="shared" si="42"/>
        <v>0</v>
      </c>
      <c r="AW352" s="3">
        <f t="shared" si="43"/>
        <v>0</v>
      </c>
      <c r="AX352" s="3">
        <f t="shared" si="44"/>
        <v>7.4377633068398117</v>
      </c>
      <c r="AY352" s="102">
        <f t="shared" si="45"/>
        <v>1</v>
      </c>
      <c r="AZ352" s="102">
        <f t="shared" si="46"/>
        <v>0</v>
      </c>
    </row>
    <row r="353" spans="1:52" x14ac:dyDescent="0.35">
      <c r="A353" t="s">
        <v>1021</v>
      </c>
      <c r="B353">
        <v>2035</v>
      </c>
      <c r="C353" t="s">
        <v>837</v>
      </c>
      <c r="D353" t="s">
        <v>1070</v>
      </c>
      <c r="E353" t="s">
        <v>1025</v>
      </c>
      <c r="F353" t="s">
        <v>983</v>
      </c>
      <c r="G353" t="s">
        <v>978</v>
      </c>
      <c r="H353" s="198">
        <v>41690.74534732</v>
      </c>
      <c r="I353" s="198">
        <v>9917</v>
      </c>
      <c r="J353" s="198">
        <v>0</v>
      </c>
      <c r="K353" s="198">
        <v>0</v>
      </c>
      <c r="L353" s="198">
        <v>0</v>
      </c>
      <c r="M353" s="198">
        <v>7149.5999999999995</v>
      </c>
      <c r="N353" s="198">
        <v>35</v>
      </c>
      <c r="O353" s="198">
        <v>0</v>
      </c>
      <c r="P353" s="198">
        <v>3432.8141578099999</v>
      </c>
      <c r="Q353" s="198">
        <v>0</v>
      </c>
      <c r="R353" s="198">
        <v>1477.546449405</v>
      </c>
      <c r="S353" s="198">
        <v>3624</v>
      </c>
      <c r="T353" s="198">
        <v>0</v>
      </c>
      <c r="U353" s="198">
        <v>2000</v>
      </c>
      <c r="V353" s="198">
        <v>4720</v>
      </c>
      <c r="W353" s="198">
        <v>140</v>
      </c>
      <c r="X353" s="198">
        <v>1500</v>
      </c>
      <c r="Y353" s="198">
        <v>186</v>
      </c>
      <c r="Z353" s="277">
        <v>75872.705954534991</v>
      </c>
      <c r="AA353" s="272">
        <v>77.883188350000012</v>
      </c>
      <c r="AB353" s="198">
        <v>1.7246364760566453</v>
      </c>
      <c r="AC353" s="272">
        <v>759.2</v>
      </c>
      <c r="AD353" s="198">
        <v>2.73312</v>
      </c>
      <c r="AE353" s="198">
        <v>4.4577564760566455</v>
      </c>
      <c r="AF353" s="198">
        <v>129.09858626561157</v>
      </c>
      <c r="AG353" s="198">
        <v>5.6754014302123762E-2</v>
      </c>
      <c r="AH353" s="198">
        <v>2.9987841074754866E-4</v>
      </c>
      <c r="AI353" s="198">
        <v>130.88067446093353</v>
      </c>
      <c r="AJ353" s="198">
        <v>5.5071101266477761E-2</v>
      </c>
      <c r="AK353" s="198">
        <v>1.2851256467580148</v>
      </c>
      <c r="AL353" s="198">
        <v>6.0168328355476447E-2</v>
      </c>
      <c r="AM353" s="198">
        <v>5.1222505712764294E-2</v>
      </c>
      <c r="AN353" s="198">
        <v>1.477320841896727E-2</v>
      </c>
      <c r="AO353" s="198">
        <v>8.9038807638532546E-4</v>
      </c>
      <c r="AP353" s="198">
        <v>2.2153127892936856E-3</v>
      </c>
      <c r="AQ353" s="198">
        <v>2.5476848052405619E-3</v>
      </c>
      <c r="AS353" s="258">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102">
        <f t="shared" si="45"/>
        <v>0.40702874657840465</v>
      </c>
      <c r="AZ353" s="102">
        <f t="shared" si="46"/>
        <v>0.5929712534215954</v>
      </c>
    </row>
    <row r="354" spans="1:52" x14ac:dyDescent="0.35">
      <c r="A354" t="s">
        <v>246</v>
      </c>
      <c r="B354">
        <v>2035</v>
      </c>
      <c r="C354" t="s">
        <v>837</v>
      </c>
      <c r="D354" t="s">
        <v>1070</v>
      </c>
      <c r="E354" t="s">
        <v>1025</v>
      </c>
      <c r="F354" t="s">
        <v>977</v>
      </c>
      <c r="G354" t="s">
        <v>978</v>
      </c>
      <c r="H354" s="198">
        <v>41690.74534732</v>
      </c>
      <c r="I354" s="198">
        <v>0</v>
      </c>
      <c r="J354" s="198">
        <v>0</v>
      </c>
      <c r="K354" s="198">
        <v>0</v>
      </c>
      <c r="L354" s="198">
        <v>0</v>
      </c>
      <c r="M354" s="198">
        <v>14310.371249999998</v>
      </c>
      <c r="N354" s="198">
        <v>35</v>
      </c>
      <c r="O354" s="198">
        <v>0</v>
      </c>
      <c r="P354" s="198">
        <v>3418.2589343</v>
      </c>
      <c r="Q354" s="198">
        <v>0</v>
      </c>
      <c r="R354" s="198">
        <v>0</v>
      </c>
      <c r="S354" s="198">
        <v>3615</v>
      </c>
      <c r="T354" s="198">
        <v>0</v>
      </c>
      <c r="U354" s="198">
        <v>2000</v>
      </c>
      <c r="V354" s="198">
        <v>4500</v>
      </c>
      <c r="W354" s="198">
        <v>140</v>
      </c>
      <c r="X354" s="198">
        <v>1500</v>
      </c>
      <c r="Y354" s="198">
        <v>186</v>
      </c>
      <c r="Z354" s="277">
        <v>71395.375531619997</v>
      </c>
      <c r="AA354" s="272">
        <v>0</v>
      </c>
      <c r="AB354" s="198">
        <v>0</v>
      </c>
      <c r="AC354" s="272">
        <v>909</v>
      </c>
      <c r="AD354" s="198">
        <v>3.2723999999999998</v>
      </c>
      <c r="AE354" s="198">
        <v>3.2723999999999998</v>
      </c>
      <c r="AF354" s="198">
        <v>0</v>
      </c>
      <c r="AG354" s="198">
        <v>0</v>
      </c>
      <c r="AH354" s="198">
        <v>0</v>
      </c>
      <c r="AI354" s="198">
        <v>0</v>
      </c>
      <c r="AJ354" s="198">
        <v>0</v>
      </c>
      <c r="AK354" s="198">
        <v>0</v>
      </c>
      <c r="AL354" s="198">
        <v>0</v>
      </c>
      <c r="AM354" s="198">
        <v>4.8380417581271741E-2</v>
      </c>
      <c r="AN354" s="198">
        <v>1.2363884492991636E-2</v>
      </c>
      <c r="AO354" s="198">
        <v>0</v>
      </c>
      <c r="AP354" s="198">
        <v>1.7677457502681729E-3</v>
      </c>
      <c r="AQ354" s="198">
        <v>2.2100896905469869E-3</v>
      </c>
      <c r="AS354" s="258">
        <f t="shared" si="40"/>
        <v>95776.896275668216</v>
      </c>
      <c r="AT354" s="3">
        <f t="shared" si="41"/>
        <v>0</v>
      </c>
      <c r="AU354" s="3">
        <f t="shared" si="47"/>
        <v>0</v>
      </c>
      <c r="AV354" s="3">
        <f t="shared" si="42"/>
        <v>56.482781761467436</v>
      </c>
      <c r="AW354" s="3">
        <f t="shared" si="43"/>
        <v>2.033380143412828</v>
      </c>
      <c r="AX354" s="3">
        <f t="shared" si="44"/>
        <v>2.033380143412828</v>
      </c>
      <c r="AY354" s="102">
        <f t="shared" si="45"/>
        <v>0</v>
      </c>
      <c r="AZ354" s="102">
        <f t="shared" si="46"/>
        <v>1</v>
      </c>
    </row>
    <row r="355" spans="1:52" x14ac:dyDescent="0.35">
      <c r="A355" t="s">
        <v>627</v>
      </c>
      <c r="B355">
        <v>2035</v>
      </c>
      <c r="C355" t="s">
        <v>837</v>
      </c>
      <c r="D355" t="s">
        <v>1070</v>
      </c>
      <c r="E355" t="s">
        <v>1025</v>
      </c>
      <c r="F355" t="s">
        <v>989</v>
      </c>
      <c r="G355" t="s">
        <v>978</v>
      </c>
      <c r="H355" s="198">
        <v>41690.74534732</v>
      </c>
      <c r="I355" s="198">
        <v>0</v>
      </c>
      <c r="J355" s="198">
        <v>15926.473948999999</v>
      </c>
      <c r="K355" s="198">
        <v>5373.9659902500007</v>
      </c>
      <c r="L355" s="198">
        <v>0</v>
      </c>
      <c r="M355" s="198">
        <v>3470.3140698000002</v>
      </c>
      <c r="N355" s="198">
        <v>35</v>
      </c>
      <c r="O355" s="198">
        <v>0</v>
      </c>
      <c r="P355" s="198">
        <v>3418.2589343</v>
      </c>
      <c r="Q355" s="198">
        <v>0</v>
      </c>
      <c r="R355" s="198">
        <v>0</v>
      </c>
      <c r="S355" s="198">
        <v>3615</v>
      </c>
      <c r="T355" s="198">
        <v>0</v>
      </c>
      <c r="U355" s="198">
        <v>2000</v>
      </c>
      <c r="V355" s="198">
        <v>4500</v>
      </c>
      <c r="W355" s="198">
        <v>140</v>
      </c>
      <c r="X355" s="198">
        <v>1500</v>
      </c>
      <c r="Y355" s="198">
        <v>186</v>
      </c>
      <c r="Z355" s="277">
        <v>81855.758290669997</v>
      </c>
      <c r="AA355" s="272">
        <v>17.39155766</v>
      </c>
      <c r="AB355" s="198">
        <v>7.723298287934953</v>
      </c>
      <c r="AC355" s="272">
        <v>0</v>
      </c>
      <c r="AD355" s="198">
        <v>0</v>
      </c>
      <c r="AE355" s="198">
        <v>7.723298287934953</v>
      </c>
      <c r="AF355" s="198">
        <v>0</v>
      </c>
      <c r="AG355" s="198">
        <v>0</v>
      </c>
      <c r="AH355" s="198">
        <v>0</v>
      </c>
      <c r="AI355" s="198">
        <v>0</v>
      </c>
      <c r="AJ355" s="198">
        <v>0</v>
      </c>
      <c r="AK355" s="198">
        <v>0</v>
      </c>
      <c r="AL355" s="198">
        <v>0</v>
      </c>
      <c r="AM355" s="198">
        <v>7.2201897189115113E-2</v>
      </c>
      <c r="AN355" s="198">
        <v>1.8451595948329451E-2</v>
      </c>
      <c r="AO355" s="198">
        <v>0</v>
      </c>
      <c r="AP355" s="198">
        <v>2.638145830447866E-3</v>
      </c>
      <c r="AQ355" s="198">
        <v>3.2982904363638493E-3</v>
      </c>
      <c r="AS355" s="258">
        <f t="shared" si="40"/>
        <v>109809.4997469338</v>
      </c>
      <c r="AT355" s="3">
        <f t="shared" si="41"/>
        <v>13.524672363443042</v>
      </c>
      <c r="AU355" s="3">
        <f t="shared" si="47"/>
        <v>5.2204456467268878</v>
      </c>
      <c r="AV355" s="3">
        <f t="shared" si="42"/>
        <v>0</v>
      </c>
      <c r="AW355" s="3">
        <f t="shared" si="43"/>
        <v>0</v>
      </c>
      <c r="AX355" s="3">
        <f t="shared" si="44"/>
        <v>5.2204456467268878</v>
      </c>
      <c r="AY355" s="102">
        <f t="shared" si="45"/>
        <v>1</v>
      </c>
      <c r="AZ355" s="102">
        <f t="shared" si="46"/>
        <v>0</v>
      </c>
    </row>
    <row r="356" spans="1:52" x14ac:dyDescent="0.35">
      <c r="A356" t="s">
        <v>1065</v>
      </c>
      <c r="B356">
        <v>2035</v>
      </c>
      <c r="C356" t="s">
        <v>837</v>
      </c>
      <c r="D356" t="s">
        <v>1070</v>
      </c>
      <c r="E356" t="s">
        <v>1025</v>
      </c>
      <c r="F356" t="s">
        <v>989</v>
      </c>
      <c r="G356" t="s">
        <v>978</v>
      </c>
      <c r="H356" s="198">
        <v>41690.74534732</v>
      </c>
      <c r="I356" s="198">
        <v>0</v>
      </c>
      <c r="J356" s="198">
        <v>6561.2144060000001</v>
      </c>
      <c r="K356" s="198">
        <v>5620.3219215000008</v>
      </c>
      <c r="L356" s="198">
        <v>0</v>
      </c>
      <c r="M356" s="198">
        <v>3507.7725</v>
      </c>
      <c r="N356" s="198">
        <v>35</v>
      </c>
      <c r="O356" s="198">
        <v>0</v>
      </c>
      <c r="P356" s="198">
        <v>3423.5866602199999</v>
      </c>
      <c r="Q356" s="198">
        <v>0</v>
      </c>
      <c r="R356" s="198">
        <v>0</v>
      </c>
      <c r="S356" s="198">
        <v>3619</v>
      </c>
      <c r="T356" s="198">
        <v>0</v>
      </c>
      <c r="U356" s="198">
        <v>2000</v>
      </c>
      <c r="V356" s="198">
        <v>4500</v>
      </c>
      <c r="W356" s="198">
        <v>140</v>
      </c>
      <c r="X356" s="198">
        <v>1500</v>
      </c>
      <c r="Y356" s="198">
        <v>186</v>
      </c>
      <c r="Z356" s="277">
        <v>72783.640835039987</v>
      </c>
      <c r="AA356" s="272">
        <v>24.55273408</v>
      </c>
      <c r="AB356" s="198">
        <v>5.4706814753235014</v>
      </c>
      <c r="AC356" s="272">
        <v>0</v>
      </c>
      <c r="AD356" s="198">
        <v>0</v>
      </c>
      <c r="AE356" s="198">
        <v>5.4706814753235014</v>
      </c>
      <c r="AF356" s="198">
        <v>0</v>
      </c>
      <c r="AG356" s="198">
        <v>0</v>
      </c>
      <c r="AH356" s="198">
        <v>0</v>
      </c>
      <c r="AI356" s="198">
        <v>0</v>
      </c>
      <c r="AJ356" s="198">
        <v>0</v>
      </c>
      <c r="AK356" s="198">
        <v>0</v>
      </c>
      <c r="AL356" s="198">
        <v>0</v>
      </c>
      <c r="AM356" s="198">
        <v>5.114312133363387E-2</v>
      </c>
      <c r="AN356" s="198">
        <v>1.3069908785262012E-2</v>
      </c>
      <c r="AO356" s="198">
        <v>0</v>
      </c>
      <c r="AP356" s="198">
        <v>1.868690679263148E-3</v>
      </c>
      <c r="AQ356" s="198">
        <v>2.3362941217277438E-3</v>
      </c>
      <c r="AS356" s="258">
        <f t="shared" si="40"/>
        <v>97639.254180206131</v>
      </c>
      <c r="AT356" s="3">
        <f t="shared" si="41"/>
        <v>9.5799970168303208</v>
      </c>
      <c r="AU356" s="3">
        <f t="shared" si="47"/>
        <v>3.6978236794371155</v>
      </c>
      <c r="AV356" s="3">
        <f t="shared" si="42"/>
        <v>0</v>
      </c>
      <c r="AW356" s="3">
        <f t="shared" si="43"/>
        <v>0</v>
      </c>
      <c r="AX356" s="3">
        <f t="shared" si="44"/>
        <v>3.6978236794371155</v>
      </c>
      <c r="AY356" s="102">
        <f t="shared" si="45"/>
        <v>1</v>
      </c>
      <c r="AZ356" s="102">
        <f t="shared" si="46"/>
        <v>0</v>
      </c>
    </row>
    <row r="357" spans="1:52" x14ac:dyDescent="0.35">
      <c r="A357" t="s">
        <v>1017</v>
      </c>
      <c r="B357">
        <v>2050</v>
      </c>
      <c r="C357" t="s">
        <v>837</v>
      </c>
      <c r="D357" t="s">
        <v>1070</v>
      </c>
      <c r="E357" t="s">
        <v>1025</v>
      </c>
      <c r="F357" t="s">
        <v>983</v>
      </c>
      <c r="G357" t="s">
        <v>978</v>
      </c>
      <c r="H357" s="198">
        <v>41894.111997799999</v>
      </c>
      <c r="I357" s="198">
        <v>15528</v>
      </c>
      <c r="J357" s="198">
        <v>0</v>
      </c>
      <c r="K357" s="198">
        <v>0</v>
      </c>
      <c r="L357" s="198">
        <v>120</v>
      </c>
      <c r="M357" s="198">
        <v>0</v>
      </c>
      <c r="N357" s="198">
        <v>0</v>
      </c>
      <c r="O357" s="198">
        <v>150</v>
      </c>
      <c r="P357" s="198">
        <v>0</v>
      </c>
      <c r="Q357" s="198">
        <v>0</v>
      </c>
      <c r="R357" s="198">
        <v>44</v>
      </c>
      <c r="S357" s="198">
        <v>6045</v>
      </c>
      <c r="T357" s="198">
        <v>506</v>
      </c>
      <c r="U357" s="198">
        <v>2000</v>
      </c>
      <c r="V357" s="198">
        <v>1920</v>
      </c>
      <c r="W357" s="198">
        <v>0</v>
      </c>
      <c r="X357" s="198">
        <v>0</v>
      </c>
      <c r="Y357" s="198">
        <v>186</v>
      </c>
      <c r="Z357" s="277">
        <v>68393.111997800006</v>
      </c>
      <c r="AA357" s="272">
        <v>11.014286970000001</v>
      </c>
      <c r="AB357" s="198">
        <v>12.195086968938854</v>
      </c>
      <c r="AC357" s="272">
        <v>0</v>
      </c>
      <c r="AD357" s="198">
        <v>0</v>
      </c>
      <c r="AE357" s="198">
        <v>12.195086968938854</v>
      </c>
      <c r="AF357" s="198">
        <v>912.86976063266241</v>
      </c>
      <c r="AG357" s="198">
        <v>0.40131363905355921</v>
      </c>
      <c r="AH357" s="198">
        <v>2.1204719660895127E-3</v>
      </c>
      <c r="AI357" s="198">
        <v>925.47109478625873</v>
      </c>
      <c r="AJ357" s="198">
        <v>0.38941358294562511</v>
      </c>
      <c r="AK357" s="198">
        <v>9.0872593997675786</v>
      </c>
      <c r="AL357" s="198">
        <v>0.42545661492005049</v>
      </c>
      <c r="AM357" s="198">
        <v>7.6474084288401176E-2</v>
      </c>
      <c r="AN357" s="198">
        <v>3.1444136630025321E-2</v>
      </c>
      <c r="AO357" s="198">
        <v>6.2960282809584826E-3</v>
      </c>
      <c r="AP357" s="198">
        <v>5.224736232067686E-3</v>
      </c>
      <c r="AQ357" s="198">
        <v>4.9625735694616199E-3</v>
      </c>
      <c r="AS357" s="258">
        <f t="shared" si="40"/>
        <v>91749.3597450487</v>
      </c>
      <c r="AT357" s="3">
        <f t="shared" si="41"/>
        <v>21.355455862198962</v>
      </c>
      <c r="AU357" s="3">
        <f t="shared" si="47"/>
        <v>8.2430829815165669</v>
      </c>
      <c r="AV357" s="3">
        <f t="shared" si="42"/>
        <v>0</v>
      </c>
      <c r="AW357" s="3">
        <f t="shared" si="43"/>
        <v>0</v>
      </c>
      <c r="AX357" s="3">
        <f t="shared" si="44"/>
        <v>8.2430829815165669</v>
      </c>
      <c r="AY357" s="102">
        <f t="shared" si="45"/>
        <v>1</v>
      </c>
      <c r="AZ357" s="102">
        <f t="shared" si="46"/>
        <v>0</v>
      </c>
    </row>
    <row r="358" spans="1:52" x14ac:dyDescent="0.35">
      <c r="A358" t="s">
        <v>1020</v>
      </c>
      <c r="B358">
        <v>2050</v>
      </c>
      <c r="C358" t="s">
        <v>837</v>
      </c>
      <c r="D358" t="s">
        <v>1070</v>
      </c>
      <c r="E358" t="s">
        <v>1025</v>
      </c>
      <c r="F358" t="s">
        <v>983</v>
      </c>
      <c r="G358" t="s">
        <v>978</v>
      </c>
      <c r="H358" s="198">
        <v>41894.111997799999</v>
      </c>
      <c r="I358" s="198">
        <v>17647</v>
      </c>
      <c r="J358" s="198">
        <v>0</v>
      </c>
      <c r="K358" s="198">
        <v>0</v>
      </c>
      <c r="L358" s="198">
        <v>150</v>
      </c>
      <c r="M358" s="198">
        <v>907.62060308000002</v>
      </c>
      <c r="N358" s="198">
        <v>28.89</v>
      </c>
      <c r="O358" s="198">
        <v>150</v>
      </c>
      <c r="P358" s="198">
        <v>841.42015099999992</v>
      </c>
      <c r="Q358" s="198">
        <v>0</v>
      </c>
      <c r="R358" s="198">
        <v>0</v>
      </c>
      <c r="S358" s="198">
        <v>6708</v>
      </c>
      <c r="T358" s="198">
        <v>392</v>
      </c>
      <c r="U358" s="198">
        <v>2000</v>
      </c>
      <c r="V358" s="198">
        <v>4720</v>
      </c>
      <c r="W358" s="198">
        <v>101.11499999999999</v>
      </c>
      <c r="X358" s="198">
        <v>1500</v>
      </c>
      <c r="Y358" s="198">
        <v>186</v>
      </c>
      <c r="Z358" s="277">
        <v>77226.157751880004</v>
      </c>
      <c r="AA358" s="272">
        <v>13.79440215</v>
      </c>
      <c r="AB358" s="198">
        <v>9.7372967700524828</v>
      </c>
      <c r="AC358" s="272">
        <v>0</v>
      </c>
      <c r="AD358" s="198">
        <v>0</v>
      </c>
      <c r="AE358" s="198">
        <v>9.7372967700524828</v>
      </c>
      <c r="AF358" s="198">
        <v>728.89056013517427</v>
      </c>
      <c r="AG358" s="198">
        <v>0.32043313928693173</v>
      </c>
      <c r="AH358" s="198">
        <v>1.6931133725393097E-3</v>
      </c>
      <c r="AI358" s="198">
        <v>738.95222928642283</v>
      </c>
      <c r="AJ358" s="198">
        <v>0.31093141304271843</v>
      </c>
      <c r="AK358" s="198">
        <v>7.2558188250202686</v>
      </c>
      <c r="AL358" s="198">
        <v>0.3397103549003187</v>
      </c>
      <c r="AM358" s="198">
        <v>6.1061545180515049E-2</v>
      </c>
      <c r="AN358" s="198">
        <v>2.5106905003997405E-2</v>
      </c>
      <c r="AO358" s="198">
        <v>5.0271306797962621E-3</v>
      </c>
      <c r="AP358" s="198">
        <v>4.1717461602748772E-3</v>
      </c>
      <c r="AQ358" s="198">
        <v>3.9624195966903508E-3</v>
      </c>
      <c r="AS358" s="258">
        <f t="shared" si="40"/>
        <v>103598.89062414702</v>
      </c>
      <c r="AT358" s="3">
        <f t="shared" si="41"/>
        <v>17.05149064698162</v>
      </c>
      <c r="AU358" s="3">
        <f t="shared" si="47"/>
        <v>6.581777194015376</v>
      </c>
      <c r="AV358" s="3">
        <f t="shared" si="42"/>
        <v>0</v>
      </c>
      <c r="AW358" s="3">
        <f t="shared" si="43"/>
        <v>0</v>
      </c>
      <c r="AX358" s="3">
        <f t="shared" si="44"/>
        <v>6.581777194015376</v>
      </c>
      <c r="AY358" s="102">
        <f t="shared" si="45"/>
        <v>1</v>
      </c>
      <c r="AZ358" s="102">
        <f t="shared" si="46"/>
        <v>0</v>
      </c>
    </row>
    <row r="359" spans="1:52" x14ac:dyDescent="0.35">
      <c r="A359" t="s">
        <v>1021</v>
      </c>
      <c r="B359">
        <v>2050</v>
      </c>
      <c r="C359" t="s">
        <v>837</v>
      </c>
      <c r="D359" t="s">
        <v>1070</v>
      </c>
      <c r="E359" t="s">
        <v>1025</v>
      </c>
      <c r="F359" t="s">
        <v>983</v>
      </c>
      <c r="G359" t="s">
        <v>978</v>
      </c>
      <c r="H359" s="198">
        <v>41894.111997799999</v>
      </c>
      <c r="I359" s="198">
        <v>9994</v>
      </c>
      <c r="J359" s="198">
        <v>0</v>
      </c>
      <c r="K359" s="198">
        <v>0</v>
      </c>
      <c r="L359" s="198">
        <v>0</v>
      </c>
      <c r="M359" s="198">
        <v>4900.4549999999999</v>
      </c>
      <c r="N359" s="198">
        <v>28.89</v>
      </c>
      <c r="O359" s="198">
        <v>0</v>
      </c>
      <c r="P359" s="198">
        <v>2374.2062377000002</v>
      </c>
      <c r="Q359" s="198">
        <v>0</v>
      </c>
      <c r="R359" s="198">
        <v>947.97096569999997</v>
      </c>
      <c r="S359" s="198">
        <v>3599</v>
      </c>
      <c r="T359" s="198">
        <v>0</v>
      </c>
      <c r="U359" s="198">
        <v>2000</v>
      </c>
      <c r="V359" s="198">
        <v>4720</v>
      </c>
      <c r="W359" s="198">
        <v>101.11499999999999</v>
      </c>
      <c r="X359" s="198">
        <v>1500</v>
      </c>
      <c r="Y359" s="198">
        <v>186</v>
      </c>
      <c r="Z359" s="277">
        <v>72245.749201200015</v>
      </c>
      <c r="AA359" s="272">
        <v>92.254097900000019</v>
      </c>
      <c r="AB359" s="198">
        <v>1.4559807158441682</v>
      </c>
      <c r="AC359" s="272">
        <v>687.2</v>
      </c>
      <c r="AD359" s="198">
        <v>2.4739200000000001</v>
      </c>
      <c r="AE359" s="198">
        <v>3.9299007158441683</v>
      </c>
      <c r="AF359" s="198">
        <v>108.98821557761229</v>
      </c>
      <c r="AG359" s="198">
        <v>4.7913140837409877E-2</v>
      </c>
      <c r="AH359" s="198">
        <v>2.5316476208641129E-4</v>
      </c>
      <c r="AI359" s="198">
        <v>110.49269845405881</v>
      </c>
      <c r="AJ359" s="198">
        <v>4.6492384080631839E-2</v>
      </c>
      <c r="AK359" s="198">
        <v>1.0849348167532191</v>
      </c>
      <c r="AL359" s="198">
        <v>5.0795589103193844E-2</v>
      </c>
      <c r="AM359" s="198">
        <v>4.5705681929838683E-2</v>
      </c>
      <c r="AN359" s="198">
        <v>1.3101181676988899E-2</v>
      </c>
      <c r="AO359" s="198">
        <v>7.516876088570207E-4</v>
      </c>
      <c r="AP359" s="198">
        <v>1.9601932440403824E-3</v>
      </c>
      <c r="AQ359" s="198">
        <v>2.2633035165423895E-3</v>
      </c>
      <c r="AS359" s="258">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102">
        <f t="shared" si="45"/>
        <v>0.39032202223924467</v>
      </c>
      <c r="AZ359" s="102">
        <f t="shared" si="46"/>
        <v>0.60967797776075539</v>
      </c>
    </row>
    <row r="360" spans="1:52" x14ac:dyDescent="0.35">
      <c r="A360" t="s">
        <v>246</v>
      </c>
      <c r="B360">
        <v>2050</v>
      </c>
      <c r="C360" t="s">
        <v>837</v>
      </c>
      <c r="D360" t="s">
        <v>1070</v>
      </c>
      <c r="E360" t="s">
        <v>1025</v>
      </c>
      <c r="F360" t="s">
        <v>977</v>
      </c>
      <c r="G360" t="s">
        <v>978</v>
      </c>
      <c r="H360" s="198">
        <v>41894.111997799999</v>
      </c>
      <c r="I360" s="198">
        <v>0</v>
      </c>
      <c r="J360" s="198">
        <v>0</v>
      </c>
      <c r="K360" s="198">
        <v>0</v>
      </c>
      <c r="L360" s="198">
        <v>0</v>
      </c>
      <c r="M360" s="198">
        <v>9905.1749999999993</v>
      </c>
      <c r="N360" s="198">
        <v>28.89</v>
      </c>
      <c r="O360" s="198">
        <v>0</v>
      </c>
      <c r="P360" s="198">
        <v>2372.7608046999999</v>
      </c>
      <c r="Q360" s="198">
        <v>0</v>
      </c>
      <c r="R360" s="198">
        <v>0</v>
      </c>
      <c r="S360" s="198">
        <v>3598</v>
      </c>
      <c r="T360" s="198">
        <v>0</v>
      </c>
      <c r="U360" s="198">
        <v>2000</v>
      </c>
      <c r="V360" s="198">
        <v>4500</v>
      </c>
      <c r="W360" s="198">
        <v>101.11499999999999</v>
      </c>
      <c r="X360" s="198">
        <v>1500</v>
      </c>
      <c r="Y360" s="198">
        <v>186</v>
      </c>
      <c r="Z360" s="277">
        <v>66086.052802499995</v>
      </c>
      <c r="AA360" s="272">
        <v>0</v>
      </c>
      <c r="AB360" s="198">
        <v>0</v>
      </c>
      <c r="AC360" s="272">
        <v>818</v>
      </c>
      <c r="AD360" s="198">
        <v>2.9447999999999999</v>
      </c>
      <c r="AE360" s="198">
        <v>2.9447999999999999</v>
      </c>
      <c r="AF360" s="198">
        <v>0</v>
      </c>
      <c r="AG360" s="198">
        <v>0</v>
      </c>
      <c r="AH360" s="198">
        <v>0</v>
      </c>
      <c r="AI360" s="198">
        <v>0</v>
      </c>
      <c r="AJ360" s="198">
        <v>0</v>
      </c>
      <c r="AK360" s="198">
        <v>0</v>
      </c>
      <c r="AL360" s="198">
        <v>0</v>
      </c>
      <c r="AM360" s="198">
        <v>4.3537053444972815E-2</v>
      </c>
      <c r="AN360" s="198">
        <v>1.1126135880381912E-2</v>
      </c>
      <c r="AO360" s="198">
        <v>0</v>
      </c>
      <c r="AP360" s="198">
        <v>1.5907767037616782E-3</v>
      </c>
      <c r="AQ360" s="198">
        <v>1.9888375873129104E-3</v>
      </c>
      <c r="AS360" s="258">
        <f t="shared" si="40"/>
        <v>88654.439834553734</v>
      </c>
      <c r="AT360" s="3">
        <f t="shared" si="41"/>
        <v>0</v>
      </c>
      <c r="AU360" s="3">
        <f t="shared" si="47"/>
        <v>0</v>
      </c>
      <c r="AV360" s="3">
        <f t="shared" si="42"/>
        <v>50.828289857954196</v>
      </c>
      <c r="AW360" s="3">
        <f t="shared" si="43"/>
        <v>1.8298184348863513</v>
      </c>
      <c r="AX360" s="3">
        <f t="shared" si="44"/>
        <v>1.8298184348863513</v>
      </c>
      <c r="AY360" s="102">
        <f t="shared" si="45"/>
        <v>0</v>
      </c>
      <c r="AZ360" s="102">
        <f t="shared" si="46"/>
        <v>1</v>
      </c>
    </row>
    <row r="361" spans="1:52" x14ac:dyDescent="0.35">
      <c r="A361" t="s">
        <v>627</v>
      </c>
      <c r="B361">
        <v>2050</v>
      </c>
      <c r="C361" t="s">
        <v>837</v>
      </c>
      <c r="D361" t="s">
        <v>1070</v>
      </c>
      <c r="E361" t="s">
        <v>1025</v>
      </c>
      <c r="F361" t="s">
        <v>989</v>
      </c>
      <c r="G361" t="s">
        <v>978</v>
      </c>
      <c r="H361" s="198">
        <v>41894.111997799999</v>
      </c>
      <c r="I361" s="198">
        <v>0</v>
      </c>
      <c r="J361" s="198">
        <v>13287.460504000001</v>
      </c>
      <c r="K361" s="198">
        <v>4757.410449</v>
      </c>
      <c r="L361" s="198">
        <v>0</v>
      </c>
      <c r="M361" s="198">
        <v>3257.3494979999996</v>
      </c>
      <c r="N361" s="198">
        <v>28.89</v>
      </c>
      <c r="O361" s="198">
        <v>0</v>
      </c>
      <c r="P361" s="198">
        <v>2372.7608046999999</v>
      </c>
      <c r="Q361" s="198">
        <v>0</v>
      </c>
      <c r="R361" s="198">
        <v>0</v>
      </c>
      <c r="S361" s="198">
        <v>3598</v>
      </c>
      <c r="T361" s="198">
        <v>0</v>
      </c>
      <c r="U361" s="198">
        <v>2000</v>
      </c>
      <c r="V361" s="198">
        <v>4500</v>
      </c>
      <c r="W361" s="198">
        <v>101.11499999999999</v>
      </c>
      <c r="X361" s="198">
        <v>1500</v>
      </c>
      <c r="Y361" s="198">
        <v>186</v>
      </c>
      <c r="Z361" s="277">
        <v>77483.098253500008</v>
      </c>
      <c r="AA361" s="272">
        <v>23.771103220000001</v>
      </c>
      <c r="AB361" s="198">
        <v>5.6505659942189261</v>
      </c>
      <c r="AC361" s="272">
        <v>0</v>
      </c>
      <c r="AD361" s="198">
        <v>0</v>
      </c>
      <c r="AE361" s="198">
        <v>5.6505659942189261</v>
      </c>
      <c r="AF361" s="198">
        <v>0</v>
      </c>
      <c r="AG361" s="198">
        <v>0</v>
      </c>
      <c r="AH361" s="198">
        <v>0</v>
      </c>
      <c r="AI361" s="198">
        <v>0</v>
      </c>
      <c r="AJ361" s="198">
        <v>0</v>
      </c>
      <c r="AK361" s="198">
        <v>0</v>
      </c>
      <c r="AL361" s="198">
        <v>0</v>
      </c>
      <c r="AM361" s="198">
        <v>5.2824786738101065E-2</v>
      </c>
      <c r="AN361" s="198">
        <v>1.3499667721959183E-2</v>
      </c>
      <c r="AO361" s="198">
        <v>0</v>
      </c>
      <c r="AP361" s="198">
        <v>1.9301361363455744E-3</v>
      </c>
      <c r="AQ361" s="198">
        <v>2.4131151075557212E-3</v>
      </c>
      <c r="AS361" s="258">
        <f t="shared" si="40"/>
        <v>103943.57630707025</v>
      </c>
      <c r="AT361" s="3">
        <f t="shared" si="41"/>
        <v>9.8950022245298275</v>
      </c>
      <c r="AU361" s="3">
        <f t="shared" si="47"/>
        <v>3.8194138755646136</v>
      </c>
      <c r="AV361" s="3">
        <f t="shared" si="42"/>
        <v>0</v>
      </c>
      <c r="AW361" s="3">
        <f t="shared" si="43"/>
        <v>0</v>
      </c>
      <c r="AX361" s="3">
        <f t="shared" si="44"/>
        <v>3.8194138755646136</v>
      </c>
      <c r="AY361" s="102">
        <f t="shared" si="45"/>
        <v>1</v>
      </c>
      <c r="AZ361" s="102">
        <f t="shared" si="46"/>
        <v>0</v>
      </c>
    </row>
    <row r="362" spans="1:52" x14ac:dyDescent="0.35">
      <c r="A362" t="s">
        <v>1065</v>
      </c>
      <c r="B362">
        <v>2050</v>
      </c>
      <c r="C362" t="s">
        <v>837</v>
      </c>
      <c r="D362" t="s">
        <v>1070</v>
      </c>
      <c r="E362" t="s">
        <v>1025</v>
      </c>
      <c r="F362" t="s">
        <v>989</v>
      </c>
      <c r="G362" t="s">
        <v>978</v>
      </c>
      <c r="H362" s="198">
        <v>41894.111997799999</v>
      </c>
      <c r="I362" s="198">
        <v>0</v>
      </c>
      <c r="J362" s="198">
        <v>5110.7751520000002</v>
      </c>
      <c r="K362" s="198">
        <v>4984.2242999999999</v>
      </c>
      <c r="L362" s="198">
        <v>0</v>
      </c>
      <c r="M362" s="198">
        <v>2710.89</v>
      </c>
      <c r="N362" s="198">
        <v>28.89</v>
      </c>
      <c r="O362" s="198">
        <v>0</v>
      </c>
      <c r="P362" s="198">
        <v>2354.3785232</v>
      </c>
      <c r="Q362" s="198">
        <v>0</v>
      </c>
      <c r="R362" s="198">
        <v>0</v>
      </c>
      <c r="S362" s="198">
        <v>3583</v>
      </c>
      <c r="T362" s="198">
        <v>0</v>
      </c>
      <c r="U362" s="198">
        <v>2000</v>
      </c>
      <c r="V362" s="198">
        <v>4500</v>
      </c>
      <c r="W362" s="198">
        <v>101.11499999999999</v>
      </c>
      <c r="X362" s="198">
        <v>1500</v>
      </c>
      <c r="Y362" s="198">
        <v>186</v>
      </c>
      <c r="Z362" s="277">
        <v>68953.384973000007</v>
      </c>
      <c r="AA362" s="272">
        <v>24.972060710000001</v>
      </c>
      <c r="AB362" s="198">
        <v>5.3788187150374736</v>
      </c>
      <c r="AC362" s="272">
        <v>0</v>
      </c>
      <c r="AD362" s="198">
        <v>0</v>
      </c>
      <c r="AE362" s="198">
        <v>5.3788187150374736</v>
      </c>
      <c r="AF362" s="198">
        <v>0</v>
      </c>
      <c r="AG362" s="198">
        <v>0</v>
      </c>
      <c r="AH362" s="198">
        <v>0</v>
      </c>
      <c r="AI362" s="198">
        <v>0</v>
      </c>
      <c r="AJ362" s="198">
        <v>0</v>
      </c>
      <c r="AK362" s="198">
        <v>0</v>
      </c>
      <c r="AL362" s="198">
        <v>0</v>
      </c>
      <c r="AM362" s="198">
        <v>5.0284334669386886E-2</v>
      </c>
      <c r="AN362" s="198">
        <v>1.2850441082176671E-2</v>
      </c>
      <c r="AO362" s="198">
        <v>0</v>
      </c>
      <c r="AP362" s="198">
        <v>1.8373119406741435E-3</v>
      </c>
      <c r="AQ362" s="198">
        <v>2.2970634650298521E-3</v>
      </c>
      <c r="AS362" s="258">
        <f t="shared" si="40"/>
        <v>92500.965941279501</v>
      </c>
      <c r="AT362" s="3">
        <f t="shared" si="41"/>
        <v>9.4191313233207392</v>
      </c>
      <c r="AU362" s="3">
        <f t="shared" si="47"/>
        <v>3.6357304481319543</v>
      </c>
      <c r="AV362" s="3">
        <f t="shared" si="42"/>
        <v>0</v>
      </c>
      <c r="AW362" s="3">
        <f t="shared" si="43"/>
        <v>0</v>
      </c>
      <c r="AX362" s="3">
        <f t="shared" si="44"/>
        <v>3.6357304481319543</v>
      </c>
      <c r="AY362" s="102">
        <f t="shared" si="45"/>
        <v>1</v>
      </c>
      <c r="AZ362" s="102">
        <f t="shared" si="46"/>
        <v>0</v>
      </c>
    </row>
    <row r="363" spans="1:52" x14ac:dyDescent="0.35">
      <c r="A363" t="s">
        <v>1017</v>
      </c>
      <c r="B363">
        <v>2021</v>
      </c>
      <c r="C363" t="s">
        <v>837</v>
      </c>
      <c r="D363" t="s">
        <v>1071</v>
      </c>
      <c r="E363" t="s">
        <v>1072</v>
      </c>
      <c r="F363" t="s">
        <v>983</v>
      </c>
      <c r="G363" t="s">
        <v>978</v>
      </c>
      <c r="H363" s="198">
        <v>62000</v>
      </c>
      <c r="I363" s="198">
        <v>20319</v>
      </c>
      <c r="J363" s="198">
        <v>0</v>
      </c>
      <c r="K363" s="198">
        <v>0</v>
      </c>
      <c r="L363" s="198">
        <v>120</v>
      </c>
      <c r="M363" s="198">
        <v>0</v>
      </c>
      <c r="N363" s="198">
        <v>0</v>
      </c>
      <c r="O363" s="198">
        <v>300</v>
      </c>
      <c r="P363" s="198">
        <v>0</v>
      </c>
      <c r="Q363" s="198">
        <v>0</v>
      </c>
      <c r="R363" s="198">
        <v>262</v>
      </c>
      <c r="S363" s="198">
        <v>10495</v>
      </c>
      <c r="T363" s="198">
        <v>506</v>
      </c>
      <c r="U363" s="198">
        <v>2000</v>
      </c>
      <c r="V363" s="198">
        <v>1920</v>
      </c>
      <c r="W363" s="198">
        <v>0</v>
      </c>
      <c r="X363" s="198">
        <v>0</v>
      </c>
      <c r="Y363" s="198">
        <v>186</v>
      </c>
      <c r="Z363" s="277">
        <v>98108</v>
      </c>
      <c r="AA363" s="272">
        <v>6.2365514629999996</v>
      </c>
      <c r="AB363" s="198">
        <v>21.537573817339638</v>
      </c>
      <c r="AC363" s="272">
        <v>0</v>
      </c>
      <c r="AD363" s="198">
        <v>0</v>
      </c>
      <c r="AE363" s="198">
        <v>21.537573817339638</v>
      </c>
      <c r="AF363" s="198">
        <v>1612.2066128204019</v>
      </c>
      <c r="AG363" s="198">
        <v>0.70875444734719417</v>
      </c>
      <c r="AH363" s="198">
        <v>3.7449361052999627E-3</v>
      </c>
      <c r="AI363" s="198">
        <v>1634.4616541514979</v>
      </c>
      <c r="AJ363" s="198">
        <v>0.68773792343818785</v>
      </c>
      <c r="AK363" s="198">
        <v>16.048882686798741</v>
      </c>
      <c r="AL363" s="198">
        <v>0.75139302189932389</v>
      </c>
      <c r="AM363" s="198">
        <v>0.13505981873438103</v>
      </c>
      <c r="AN363" s="198">
        <v>5.5533053230092069E-2</v>
      </c>
      <c r="AO363" s="198">
        <v>1.1119328152606075E-2</v>
      </c>
      <c r="AP363" s="198">
        <v>9.2273341355332949E-3</v>
      </c>
      <c r="AQ363" s="198">
        <v>8.7643322961524165E-3</v>
      </c>
      <c r="AS363" s="258">
        <f t="shared" si="40"/>
        <v>131611.88199999998</v>
      </c>
      <c r="AT363" s="3">
        <f t="shared" si="41"/>
        <v>37.715574165771642</v>
      </c>
      <c r="AU363" s="3">
        <f t="shared" si="47"/>
        <v>14.557994432434729</v>
      </c>
      <c r="AV363" s="3">
        <f t="shared" si="42"/>
        <v>0</v>
      </c>
      <c r="AW363" s="3">
        <f t="shared" si="43"/>
        <v>0</v>
      </c>
      <c r="AX363" s="3">
        <f t="shared" si="44"/>
        <v>14.557994432434729</v>
      </c>
      <c r="AY363" s="102">
        <f t="shared" si="45"/>
        <v>1</v>
      </c>
      <c r="AZ363" s="102">
        <f t="shared" si="46"/>
        <v>0</v>
      </c>
    </row>
    <row r="364" spans="1:52" x14ac:dyDescent="0.35">
      <c r="A364" t="s">
        <v>1020</v>
      </c>
      <c r="B364">
        <v>2021</v>
      </c>
      <c r="C364" t="s">
        <v>837</v>
      </c>
      <c r="D364" t="s">
        <v>1071</v>
      </c>
      <c r="E364" t="s">
        <v>1072</v>
      </c>
      <c r="F364" t="s">
        <v>983</v>
      </c>
      <c r="G364" t="s">
        <v>978</v>
      </c>
      <c r="H364" s="198">
        <v>62000</v>
      </c>
      <c r="I364" s="198">
        <v>19506</v>
      </c>
      <c r="J364" s="198">
        <v>0</v>
      </c>
      <c r="K364" s="198">
        <v>0</v>
      </c>
      <c r="L364" s="198">
        <v>150</v>
      </c>
      <c r="M364" s="198">
        <v>949.1457286000001</v>
      </c>
      <c r="N364" s="198">
        <v>75</v>
      </c>
      <c r="O364" s="198">
        <v>300</v>
      </c>
      <c r="P364" s="198">
        <v>1875.3828075000001</v>
      </c>
      <c r="Q364" s="198">
        <v>0</v>
      </c>
      <c r="R364" s="198">
        <v>0</v>
      </c>
      <c r="S364" s="198">
        <v>10358</v>
      </c>
      <c r="T364" s="198">
        <v>392</v>
      </c>
      <c r="U364" s="198">
        <v>2000</v>
      </c>
      <c r="V364" s="198">
        <v>4720</v>
      </c>
      <c r="W364" s="198">
        <v>375</v>
      </c>
      <c r="X364" s="198">
        <v>1500</v>
      </c>
      <c r="Y364" s="198">
        <v>186</v>
      </c>
      <c r="Z364" s="277">
        <v>104386.5285361</v>
      </c>
      <c r="AA364" s="272">
        <v>7.4174101190000004</v>
      </c>
      <c r="AB364" s="198">
        <v>18.108771841526377</v>
      </c>
      <c r="AC364" s="272">
        <v>0</v>
      </c>
      <c r="AD364" s="198">
        <v>0</v>
      </c>
      <c r="AE364" s="198">
        <v>18.108771841526377</v>
      </c>
      <c r="AF364" s="198">
        <v>1355.5418061741061</v>
      </c>
      <c r="AG364" s="198">
        <v>0.59592007379886125</v>
      </c>
      <c r="AH364" s="198">
        <v>3.1487387607871333E-3</v>
      </c>
      <c r="AI364" s="198">
        <v>1374.2538240274864</v>
      </c>
      <c r="AJ364" s="198">
        <v>0.57824940023098814</v>
      </c>
      <c r="AK364" s="198">
        <v>13.493885492927813</v>
      </c>
      <c r="AL364" s="198">
        <v>0.63177054724405468</v>
      </c>
      <c r="AM364" s="198">
        <v>0.11355816876874768</v>
      </c>
      <c r="AN364" s="198">
        <v>4.6692139009522599E-2</v>
      </c>
      <c r="AO364" s="198">
        <v>9.3491206695015035E-3</v>
      </c>
      <c r="AP364" s="198">
        <v>7.7583338765564091E-3</v>
      </c>
      <c r="AQ364" s="198">
        <v>7.3690423647703798E-3</v>
      </c>
      <c r="AS364" s="258">
        <f t="shared" si="40"/>
        <v>140034.52803117814</v>
      </c>
      <c r="AT364" s="3">
        <f t="shared" si="41"/>
        <v>31.711219343112088</v>
      </c>
      <c r="AU364" s="3">
        <f t="shared" si="47"/>
        <v>12.240348048624147</v>
      </c>
      <c r="AV364" s="3">
        <f t="shared" si="42"/>
        <v>0</v>
      </c>
      <c r="AW364" s="3">
        <f t="shared" si="43"/>
        <v>0</v>
      </c>
      <c r="AX364" s="3">
        <f t="shared" si="44"/>
        <v>12.240348048624147</v>
      </c>
      <c r="AY364" s="102">
        <f t="shared" si="45"/>
        <v>1</v>
      </c>
      <c r="AZ364" s="102">
        <f t="shared" si="46"/>
        <v>0</v>
      </c>
    </row>
    <row r="365" spans="1:52" x14ac:dyDescent="0.35">
      <c r="A365" t="s">
        <v>1021</v>
      </c>
      <c r="B365">
        <v>2021</v>
      </c>
      <c r="C365" t="s">
        <v>837</v>
      </c>
      <c r="D365" t="s">
        <v>1071</v>
      </c>
      <c r="E365" t="s">
        <v>1072</v>
      </c>
      <c r="F365" t="s">
        <v>983</v>
      </c>
      <c r="G365" t="s">
        <v>978</v>
      </c>
      <c r="H365" s="198">
        <v>62000</v>
      </c>
      <c r="I365" s="198">
        <v>13491</v>
      </c>
      <c r="J365" s="198">
        <v>0</v>
      </c>
      <c r="K365" s="198">
        <v>0</v>
      </c>
      <c r="L365" s="198">
        <v>0</v>
      </c>
      <c r="M365" s="198">
        <v>35936.67</v>
      </c>
      <c r="N365" s="198">
        <v>75</v>
      </c>
      <c r="O365" s="198">
        <v>0</v>
      </c>
      <c r="P365" s="198">
        <v>6930.1987775999996</v>
      </c>
      <c r="Q365" s="198">
        <v>0</v>
      </c>
      <c r="R365" s="198">
        <v>5413.25211906</v>
      </c>
      <c r="S365" s="198">
        <v>5463</v>
      </c>
      <c r="T365" s="198">
        <v>0</v>
      </c>
      <c r="U365" s="198">
        <v>2000</v>
      </c>
      <c r="V365" s="198">
        <v>4720</v>
      </c>
      <c r="W365" s="198">
        <v>375</v>
      </c>
      <c r="X365" s="198">
        <v>1500</v>
      </c>
      <c r="Y365" s="198">
        <v>186</v>
      </c>
      <c r="Z365" s="277">
        <v>138090.12089666</v>
      </c>
      <c r="AA365" s="272">
        <v>40.123062745000013</v>
      </c>
      <c r="AB365" s="198">
        <v>3.3477052425849143</v>
      </c>
      <c r="AC365" s="272">
        <v>1540.8000000000002</v>
      </c>
      <c r="AD365" s="198">
        <v>5.5468800000000007</v>
      </c>
      <c r="AE365" s="198">
        <v>8.894585242584915</v>
      </c>
      <c r="AF365" s="198">
        <v>250.59426728574752</v>
      </c>
      <c r="AG365" s="198">
        <v>0.11016565743256294</v>
      </c>
      <c r="AH365" s="198">
        <v>5.820963094164709E-4</v>
      </c>
      <c r="AI365" s="198">
        <v>254.05349250628149</v>
      </c>
      <c r="AJ365" s="198">
        <v>0.10689894188382978</v>
      </c>
      <c r="AK365" s="198">
        <v>2.4945673623168974</v>
      </c>
      <c r="AL365" s="198">
        <v>0.11679320892815401</v>
      </c>
      <c r="AM365" s="198">
        <v>0.10300030390745142</v>
      </c>
      <c r="AN365" s="198">
        <v>2.9589208535550977E-2</v>
      </c>
      <c r="AO365" s="198">
        <v>1.7283392022797207E-3</v>
      </c>
      <c r="AP365" s="198">
        <v>4.4306725768689667E-3</v>
      </c>
      <c r="AQ365" s="198">
        <v>5.1085004951744763E-3</v>
      </c>
      <c r="AS365" s="258">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102">
        <f t="shared" si="45"/>
        <v>0.39632650952927595</v>
      </c>
      <c r="AZ365" s="102">
        <f t="shared" si="46"/>
        <v>0.60367349047072405</v>
      </c>
    </row>
    <row r="366" spans="1:52" x14ac:dyDescent="0.35">
      <c r="A366" t="s">
        <v>246</v>
      </c>
      <c r="B366">
        <v>2021</v>
      </c>
      <c r="C366" t="s">
        <v>837</v>
      </c>
      <c r="D366" t="s">
        <v>1071</v>
      </c>
      <c r="E366" t="s">
        <v>1072</v>
      </c>
      <c r="F366" t="s">
        <v>977</v>
      </c>
      <c r="G366" t="s">
        <v>978</v>
      </c>
      <c r="H366" s="198">
        <v>62000</v>
      </c>
      <c r="I366" s="198">
        <v>0</v>
      </c>
      <c r="J366" s="198">
        <v>0</v>
      </c>
      <c r="K366" s="198">
        <v>0</v>
      </c>
      <c r="L366" s="198">
        <v>0</v>
      </c>
      <c r="M366" s="198">
        <v>67077.149999999994</v>
      </c>
      <c r="N366" s="198">
        <v>75</v>
      </c>
      <c r="O366" s="198">
        <v>0</v>
      </c>
      <c r="P366" s="198">
        <v>6753.6955575000002</v>
      </c>
      <c r="Q366" s="198">
        <v>0</v>
      </c>
      <c r="R366" s="198">
        <v>0</v>
      </c>
      <c r="S366" s="198">
        <v>5404</v>
      </c>
      <c r="T366" s="198">
        <v>0</v>
      </c>
      <c r="U366" s="198">
        <v>2000</v>
      </c>
      <c r="V366" s="198">
        <v>4500</v>
      </c>
      <c r="W366" s="198">
        <v>375</v>
      </c>
      <c r="X366" s="198">
        <v>1500</v>
      </c>
      <c r="Y366" s="198">
        <v>186</v>
      </c>
      <c r="Z366" s="277">
        <v>149870.8455575</v>
      </c>
      <c r="AA366" s="272">
        <v>0</v>
      </c>
      <c r="AB366" s="198">
        <v>0</v>
      </c>
      <c r="AC366" s="272">
        <v>1801</v>
      </c>
      <c r="AD366" s="198">
        <v>6.4836</v>
      </c>
      <c r="AE366" s="198">
        <v>6.4836</v>
      </c>
      <c r="AF366" s="198">
        <v>0</v>
      </c>
      <c r="AG366" s="198">
        <v>0</v>
      </c>
      <c r="AH366" s="198">
        <v>0</v>
      </c>
      <c r="AI366" s="198">
        <v>0</v>
      </c>
      <c r="AJ366" s="198">
        <v>0</v>
      </c>
      <c r="AK366" s="198">
        <v>0</v>
      </c>
      <c r="AL366" s="198">
        <v>0</v>
      </c>
      <c r="AM366" s="198">
        <v>9.5856030873344794E-2</v>
      </c>
      <c r="AN366" s="198">
        <v>2.4496541223188052E-2</v>
      </c>
      <c r="AO366" s="198">
        <v>0</v>
      </c>
      <c r="AP366" s="198">
        <v>3.5024313489911765E-3</v>
      </c>
      <c r="AQ366" s="198">
        <v>4.3788465705996964E-3</v>
      </c>
      <c r="AS366" s="258">
        <f t="shared" si="40"/>
        <v>201051.73931538622</v>
      </c>
      <c r="AT366" s="3">
        <f t="shared" si="41"/>
        <v>0</v>
      </c>
      <c r="AU366" s="3">
        <f t="shared" si="47"/>
        <v>0</v>
      </c>
      <c r="AV366" s="3">
        <f t="shared" si="42"/>
        <v>111.9092298706302</v>
      </c>
      <c r="AW366" s="3">
        <f t="shared" si="43"/>
        <v>4.0287322753426871</v>
      </c>
      <c r="AX366" s="3">
        <f t="shared" si="44"/>
        <v>4.0287322753426871</v>
      </c>
      <c r="AY366" s="102">
        <f t="shared" si="45"/>
        <v>0</v>
      </c>
      <c r="AZ366" s="102">
        <f t="shared" si="46"/>
        <v>1</v>
      </c>
    </row>
    <row r="367" spans="1:52" x14ac:dyDescent="0.35">
      <c r="A367" t="s">
        <v>627</v>
      </c>
      <c r="B367">
        <v>2021</v>
      </c>
      <c r="C367" t="s">
        <v>837</v>
      </c>
      <c r="D367" t="s">
        <v>1071</v>
      </c>
      <c r="E367" t="s">
        <v>1072</v>
      </c>
      <c r="F367" t="s">
        <v>989</v>
      </c>
      <c r="G367" t="s">
        <v>978</v>
      </c>
      <c r="H367" s="198">
        <v>62000</v>
      </c>
      <c r="I367" s="198">
        <v>0</v>
      </c>
      <c r="J367" s="198">
        <v>34730.662929600003</v>
      </c>
      <c r="K367" s="198">
        <v>11948.111000000001</v>
      </c>
      <c r="L367" s="198">
        <v>0</v>
      </c>
      <c r="M367" s="198">
        <v>2515.2361799999999</v>
      </c>
      <c r="N367" s="198">
        <v>75</v>
      </c>
      <c r="O367" s="198">
        <v>0</v>
      </c>
      <c r="P367" s="198">
        <v>6919.4797749000008</v>
      </c>
      <c r="Q367" s="198">
        <v>0</v>
      </c>
      <c r="R367" s="198">
        <v>0</v>
      </c>
      <c r="S367" s="198">
        <v>5459</v>
      </c>
      <c r="T367" s="198">
        <v>0</v>
      </c>
      <c r="U367" s="198">
        <v>2000</v>
      </c>
      <c r="V367" s="198">
        <v>4500</v>
      </c>
      <c r="W367" s="198">
        <v>375</v>
      </c>
      <c r="X367" s="198">
        <v>1500</v>
      </c>
      <c r="Y367" s="198">
        <v>186</v>
      </c>
      <c r="Z367" s="277">
        <v>132208.48988449998</v>
      </c>
      <c r="AA367" s="272">
        <v>8.8058577010000008</v>
      </c>
      <c r="AB367" s="198">
        <v>15.253504208311986</v>
      </c>
      <c r="AC367" s="272">
        <v>0</v>
      </c>
      <c r="AD367" s="198">
        <v>0</v>
      </c>
      <c r="AE367" s="198">
        <v>15.253504208311986</v>
      </c>
      <c r="AF367" s="198">
        <v>0</v>
      </c>
      <c r="AG367" s="198">
        <v>0</v>
      </c>
      <c r="AH367" s="198">
        <v>0</v>
      </c>
      <c r="AI367" s="198">
        <v>0</v>
      </c>
      <c r="AJ367" s="198">
        <v>0</v>
      </c>
      <c r="AK367" s="198">
        <v>0</v>
      </c>
      <c r="AL367" s="198">
        <v>0</v>
      </c>
      <c r="AM367" s="198">
        <v>0.14259865430068086</v>
      </c>
      <c r="AN367" s="198">
        <v>3.6441878321285176E-2</v>
      </c>
      <c r="AO367" s="198">
        <v>0</v>
      </c>
      <c r="AP367" s="198">
        <v>5.2103346299262028E-3</v>
      </c>
      <c r="AQ367" s="198">
        <v>6.5141193795278255E-3</v>
      </c>
      <c r="AS367" s="258">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102">
        <f t="shared" ref="AY367:AY430" si="53">AU367/AX367</f>
        <v>1</v>
      </c>
      <c r="AZ367" s="102">
        <f t="shared" ref="AZ367:AZ430" si="54">AW367/AX367</f>
        <v>0</v>
      </c>
    </row>
    <row r="368" spans="1:52" x14ac:dyDescent="0.35">
      <c r="A368" t="s">
        <v>1065</v>
      </c>
      <c r="B368">
        <v>2021</v>
      </c>
      <c r="C368" t="s">
        <v>837</v>
      </c>
      <c r="D368" t="s">
        <v>1071</v>
      </c>
      <c r="E368" t="s">
        <v>1072</v>
      </c>
      <c r="F368" t="s">
        <v>989</v>
      </c>
      <c r="G368" t="s">
        <v>978</v>
      </c>
      <c r="H368" s="198">
        <v>62000</v>
      </c>
      <c r="I368" s="198">
        <v>0</v>
      </c>
      <c r="J368" s="198">
        <v>28557.236575999999</v>
      </c>
      <c r="K368" s="198">
        <v>12311.804</v>
      </c>
      <c r="L368" s="198">
        <v>0</v>
      </c>
      <c r="M368" s="198">
        <v>955.76250000000005</v>
      </c>
      <c r="N368" s="198">
        <v>75</v>
      </c>
      <c r="O368" s="198">
        <v>0</v>
      </c>
      <c r="P368" s="198">
        <v>8486.651199599999</v>
      </c>
      <c r="Q368" s="198">
        <v>0</v>
      </c>
      <c r="R368" s="198">
        <v>0</v>
      </c>
      <c r="S368" s="198">
        <v>5976</v>
      </c>
      <c r="T368" s="198">
        <v>0</v>
      </c>
      <c r="U368" s="198">
        <v>2000</v>
      </c>
      <c r="V368" s="198">
        <v>4500</v>
      </c>
      <c r="W368" s="198">
        <v>375</v>
      </c>
      <c r="X368" s="198">
        <v>1500</v>
      </c>
      <c r="Y368" s="198">
        <v>186</v>
      </c>
      <c r="Z368" s="277">
        <v>126923.4542756</v>
      </c>
      <c r="AA368" s="272">
        <v>8.6387966760000001</v>
      </c>
      <c r="AB368" s="198">
        <v>15.548483491128298</v>
      </c>
      <c r="AC368" s="272">
        <v>0</v>
      </c>
      <c r="AD368" s="198">
        <v>0</v>
      </c>
      <c r="AE368" s="198">
        <v>15.548483491128298</v>
      </c>
      <c r="AF368" s="198">
        <v>0</v>
      </c>
      <c r="AG368" s="198">
        <v>0</v>
      </c>
      <c r="AH368" s="198">
        <v>0</v>
      </c>
      <c r="AI368" s="198">
        <v>0</v>
      </c>
      <c r="AJ368" s="198">
        <v>0</v>
      </c>
      <c r="AK368" s="198">
        <v>0</v>
      </c>
      <c r="AL368" s="198">
        <v>0</v>
      </c>
      <c r="AM368" s="198">
        <v>0.1453562926899806</v>
      </c>
      <c r="AN368" s="198">
        <v>3.7146608131883994E-2</v>
      </c>
      <c r="AO368" s="198">
        <v>0</v>
      </c>
      <c r="AP368" s="198">
        <v>5.311094478376706E-3</v>
      </c>
      <c r="AQ368" s="198">
        <v>6.6400924173630185E-3</v>
      </c>
      <c r="AS368" s="258">
        <f t="shared" si="48"/>
        <v>170267.81391071738</v>
      </c>
      <c r="AT368" s="3">
        <f t="shared" si="49"/>
        <v>27.227764243473224</v>
      </c>
      <c r="AU368" s="3">
        <f t="shared" si="47"/>
        <v>10.509760199378334</v>
      </c>
      <c r="AV368" s="3">
        <f t="shared" si="50"/>
        <v>0</v>
      </c>
      <c r="AW368" s="3">
        <f t="shared" si="51"/>
        <v>0</v>
      </c>
      <c r="AX368" s="3">
        <f t="shared" si="52"/>
        <v>10.509760199378334</v>
      </c>
      <c r="AY368" s="102">
        <f t="shared" si="53"/>
        <v>1</v>
      </c>
      <c r="AZ368" s="102">
        <f t="shared" si="54"/>
        <v>0</v>
      </c>
    </row>
    <row r="369" spans="1:52" x14ac:dyDescent="0.35">
      <c r="A369" t="s">
        <v>1017</v>
      </c>
      <c r="B369">
        <v>2025</v>
      </c>
      <c r="C369" t="s">
        <v>837</v>
      </c>
      <c r="D369" t="s">
        <v>1071</v>
      </c>
      <c r="E369" t="s">
        <v>1072</v>
      </c>
      <c r="F369" t="s">
        <v>983</v>
      </c>
      <c r="G369" t="s">
        <v>978</v>
      </c>
      <c r="H369" s="198">
        <v>62372.671891520004</v>
      </c>
      <c r="I369" s="198">
        <v>18623</v>
      </c>
      <c r="J369" s="198">
        <v>0</v>
      </c>
      <c r="K369" s="198">
        <v>0</v>
      </c>
      <c r="L369" s="198">
        <v>120</v>
      </c>
      <c r="M369" s="198">
        <v>0</v>
      </c>
      <c r="N369" s="198">
        <v>0</v>
      </c>
      <c r="O369" s="198">
        <v>300</v>
      </c>
      <c r="P369" s="198">
        <v>0</v>
      </c>
      <c r="Q369" s="198">
        <v>0</v>
      </c>
      <c r="R369" s="198">
        <v>230</v>
      </c>
      <c r="S369" s="198">
        <v>10114</v>
      </c>
      <c r="T369" s="198">
        <v>506</v>
      </c>
      <c r="U369" s="198">
        <v>2000</v>
      </c>
      <c r="V369" s="198">
        <v>1920</v>
      </c>
      <c r="W369" s="198">
        <v>0</v>
      </c>
      <c r="X369" s="198">
        <v>0</v>
      </c>
      <c r="Y369" s="198">
        <v>186</v>
      </c>
      <c r="Z369" s="277">
        <v>96371.671891520004</v>
      </c>
      <c r="AA369" s="272">
        <v>6.6667666089999988</v>
      </c>
      <c r="AB369" s="198">
        <v>20.147726083386583</v>
      </c>
      <c r="AC369" s="272">
        <v>0</v>
      </c>
      <c r="AD369" s="198">
        <v>0</v>
      </c>
      <c r="AE369" s="198">
        <v>20.147726083386583</v>
      </c>
      <c r="AF369" s="198">
        <v>1508.1688169899082</v>
      </c>
      <c r="AG369" s="198">
        <v>0.66301759829776286</v>
      </c>
      <c r="AH369" s="198">
        <v>3.5032704931983925E-3</v>
      </c>
      <c r="AI369" s="198">
        <v>1528.9877114724602</v>
      </c>
      <c r="AJ369" s="198">
        <v>0.64335729809242115</v>
      </c>
      <c r="AK369" s="198">
        <v>15.013227351434656</v>
      </c>
      <c r="AL369" s="198">
        <v>0.70290465001250801</v>
      </c>
      <c r="AM369" s="198">
        <v>0.12634423244745374</v>
      </c>
      <c r="AN369" s="198">
        <v>5.194943286291779E-2</v>
      </c>
      <c r="AO369" s="198">
        <v>1.0401783401881276E-2</v>
      </c>
      <c r="AP369" s="198">
        <v>8.6318822268148816E-3</v>
      </c>
      <c r="AQ369" s="198">
        <v>8.1987585001098862E-3</v>
      </c>
      <c r="AS369" s="258">
        <f t="shared" si="48"/>
        <v>129282.59784247408</v>
      </c>
      <c r="AT369" s="3">
        <f t="shared" si="49"/>
        <v>35.281738965316791</v>
      </c>
      <c r="AU369" s="3">
        <f t="shared" si="47"/>
        <v>13.618548060971529</v>
      </c>
      <c r="AV369" s="3">
        <f t="shared" si="50"/>
        <v>0</v>
      </c>
      <c r="AW369" s="3">
        <f t="shared" si="51"/>
        <v>0</v>
      </c>
      <c r="AX369" s="3">
        <f t="shared" si="52"/>
        <v>13.618548060971529</v>
      </c>
      <c r="AY369" s="102">
        <f t="shared" si="53"/>
        <v>1</v>
      </c>
      <c r="AZ369" s="102">
        <f t="shared" si="54"/>
        <v>0</v>
      </c>
    </row>
    <row r="370" spans="1:52" x14ac:dyDescent="0.35">
      <c r="A370" t="s">
        <v>1020</v>
      </c>
      <c r="B370">
        <v>2025</v>
      </c>
      <c r="C370" t="s">
        <v>837</v>
      </c>
      <c r="D370" t="s">
        <v>1071</v>
      </c>
      <c r="E370" t="s">
        <v>1072</v>
      </c>
      <c r="F370" t="s">
        <v>983</v>
      </c>
      <c r="G370" t="s">
        <v>978</v>
      </c>
      <c r="H370" s="198">
        <v>62372.671891520004</v>
      </c>
      <c r="I370" s="198">
        <v>18288</v>
      </c>
      <c r="J370" s="198">
        <v>0</v>
      </c>
      <c r="K370" s="198">
        <v>0</v>
      </c>
      <c r="L370" s="198">
        <v>150</v>
      </c>
      <c r="M370" s="198">
        <v>1032.1959798</v>
      </c>
      <c r="N370" s="198">
        <v>50</v>
      </c>
      <c r="O370" s="198">
        <v>300</v>
      </c>
      <c r="P370" s="198">
        <v>1589.7998682</v>
      </c>
      <c r="Q370" s="198">
        <v>0</v>
      </c>
      <c r="R370" s="198">
        <v>0</v>
      </c>
      <c r="S370" s="198">
        <v>9972</v>
      </c>
      <c r="T370" s="198">
        <v>392</v>
      </c>
      <c r="U370" s="198">
        <v>2000</v>
      </c>
      <c r="V370" s="198">
        <v>4720</v>
      </c>
      <c r="W370" s="198">
        <v>233.3</v>
      </c>
      <c r="X370" s="198">
        <v>1500</v>
      </c>
      <c r="Y370" s="198">
        <v>186</v>
      </c>
      <c r="Z370" s="277">
        <v>102785.96773952001</v>
      </c>
      <c r="AA370" s="272">
        <v>8.0472513709999998</v>
      </c>
      <c r="AB370" s="198">
        <v>16.69143677853182</v>
      </c>
      <c r="AC370" s="272">
        <v>0</v>
      </c>
      <c r="AD370" s="198">
        <v>0</v>
      </c>
      <c r="AE370" s="198">
        <v>16.69143677853182</v>
      </c>
      <c r="AF370" s="198">
        <v>1249.4464316197823</v>
      </c>
      <c r="AG370" s="198">
        <v>0.54927867687096021</v>
      </c>
      <c r="AH370" s="198">
        <v>2.9022936739016903E-3</v>
      </c>
      <c r="AI370" s="198">
        <v>1266.6938996276476</v>
      </c>
      <c r="AJ370" s="198">
        <v>0.53299104934583663</v>
      </c>
      <c r="AK370" s="198">
        <v>12.437747770694072</v>
      </c>
      <c r="AL370" s="198">
        <v>0.58232320999709197</v>
      </c>
      <c r="AM370" s="198">
        <v>0.10467021238529406</v>
      </c>
      <c r="AN370" s="198">
        <v>4.3037644581984759E-2</v>
      </c>
      <c r="AO370" s="198">
        <v>8.6173848759859388E-3</v>
      </c>
      <c r="AP370" s="198">
        <v>7.1511055824516768E-3</v>
      </c>
      <c r="AQ370" s="198">
        <v>6.7922830894488664E-3</v>
      </c>
      <c r="AS370" s="258">
        <f t="shared" si="48"/>
        <v>137887.3757225661</v>
      </c>
      <c r="AT370" s="3">
        <f t="shared" si="49"/>
        <v>29.229249640327676</v>
      </c>
      <c r="AU370" s="3">
        <f t="shared" si="47"/>
        <v>11.282322036457566</v>
      </c>
      <c r="AV370" s="3">
        <f t="shared" si="50"/>
        <v>0</v>
      </c>
      <c r="AW370" s="3">
        <f t="shared" si="51"/>
        <v>0</v>
      </c>
      <c r="AX370" s="3">
        <f t="shared" si="52"/>
        <v>11.282322036457566</v>
      </c>
      <c r="AY370" s="102">
        <f t="shared" si="53"/>
        <v>1</v>
      </c>
      <c r="AZ370" s="102">
        <f t="shared" si="54"/>
        <v>0</v>
      </c>
    </row>
    <row r="371" spans="1:52" x14ac:dyDescent="0.35">
      <c r="A371" t="s">
        <v>1021</v>
      </c>
      <c r="B371">
        <v>2025</v>
      </c>
      <c r="C371" t="s">
        <v>837</v>
      </c>
      <c r="D371" t="s">
        <v>1071</v>
      </c>
      <c r="E371" t="s">
        <v>1072</v>
      </c>
      <c r="F371" t="s">
        <v>983</v>
      </c>
      <c r="G371" t="s">
        <v>978</v>
      </c>
      <c r="H371" s="198">
        <v>62372.671891520004</v>
      </c>
      <c r="I371" s="198">
        <v>13376</v>
      </c>
      <c r="J371" s="198">
        <v>0</v>
      </c>
      <c r="K371" s="198">
        <v>0</v>
      </c>
      <c r="L371" s="198">
        <v>0</v>
      </c>
      <c r="M371" s="198">
        <v>30028.32</v>
      </c>
      <c r="N371" s="198">
        <v>50</v>
      </c>
      <c r="O371" s="198">
        <v>0</v>
      </c>
      <c r="P371" s="198">
        <v>5521.2139446000001</v>
      </c>
      <c r="Q371" s="198">
        <v>0</v>
      </c>
      <c r="R371" s="198">
        <v>4401.1801892000003</v>
      </c>
      <c r="S371" s="198">
        <v>5315</v>
      </c>
      <c r="T371" s="198">
        <v>0</v>
      </c>
      <c r="U371" s="198">
        <v>2000</v>
      </c>
      <c r="V371" s="198">
        <v>4720</v>
      </c>
      <c r="W371" s="198">
        <v>233.3</v>
      </c>
      <c r="X371" s="198">
        <v>1500</v>
      </c>
      <c r="Y371" s="198">
        <v>186</v>
      </c>
      <c r="Z371" s="277">
        <v>129703.68602532001</v>
      </c>
      <c r="AA371" s="272">
        <v>44.194706220000015</v>
      </c>
      <c r="AB371" s="198">
        <v>3.0392822803563364</v>
      </c>
      <c r="AC371" s="272">
        <v>1444.8000000000002</v>
      </c>
      <c r="AD371" s="198">
        <v>5.2012800000000006</v>
      </c>
      <c r="AE371" s="198">
        <v>8.2405622803563361</v>
      </c>
      <c r="AF371" s="198">
        <v>227.50710141146286</v>
      </c>
      <c r="AG371" s="198">
        <v>0.10001613232832343</v>
      </c>
      <c r="AH371" s="198">
        <v>5.284679714825355E-4</v>
      </c>
      <c r="AI371" s="198">
        <v>230.64762937156866</v>
      </c>
      <c r="AJ371" s="198">
        <v>9.7050378188462835E-2</v>
      </c>
      <c r="AK371" s="198">
        <v>2.2647437071224417</v>
      </c>
      <c r="AL371" s="198">
        <v>0.1060330897254286</v>
      </c>
      <c r="AM371" s="198">
        <v>9.5956733498528485E-2</v>
      </c>
      <c r="AN371" s="198">
        <v>2.7488205787552285E-2</v>
      </c>
      <c r="AO371" s="198">
        <v>1.5691078907167919E-3</v>
      </c>
      <c r="AP371" s="198">
        <v>4.1118424300401937E-3</v>
      </c>
      <c r="AQ371" s="198">
        <v>4.7495844484213021E-3</v>
      </c>
      <c r="AS371" s="258">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102">
        <f t="shared" si="53"/>
        <v>0.38861970471398427</v>
      </c>
      <c r="AZ371" s="102">
        <f t="shared" si="54"/>
        <v>0.61138029528601567</v>
      </c>
    </row>
    <row r="372" spans="1:52" x14ac:dyDescent="0.35">
      <c r="A372" t="s">
        <v>246</v>
      </c>
      <c r="B372">
        <v>2025</v>
      </c>
      <c r="C372" t="s">
        <v>837</v>
      </c>
      <c r="D372" t="s">
        <v>1071</v>
      </c>
      <c r="E372" t="s">
        <v>1072</v>
      </c>
      <c r="F372" t="s">
        <v>977</v>
      </c>
      <c r="G372" t="s">
        <v>978</v>
      </c>
      <c r="H372" s="198">
        <v>62372.671891520004</v>
      </c>
      <c r="I372" s="198">
        <v>0</v>
      </c>
      <c r="J372" s="198">
        <v>0</v>
      </c>
      <c r="K372" s="198">
        <v>0</v>
      </c>
      <c r="L372" s="198">
        <v>0</v>
      </c>
      <c r="M372" s="198">
        <v>55766.879999999997</v>
      </c>
      <c r="N372" s="198">
        <v>50</v>
      </c>
      <c r="O372" s="198">
        <v>0</v>
      </c>
      <c r="P372" s="198">
        <v>5443.2442965</v>
      </c>
      <c r="Q372" s="198">
        <v>0</v>
      </c>
      <c r="R372" s="198">
        <v>0</v>
      </c>
      <c r="S372" s="198">
        <v>5284</v>
      </c>
      <c r="T372" s="198">
        <v>0</v>
      </c>
      <c r="U372" s="198">
        <v>2000</v>
      </c>
      <c r="V372" s="198">
        <v>4500</v>
      </c>
      <c r="W372" s="198">
        <v>233.3</v>
      </c>
      <c r="X372" s="198">
        <v>1500</v>
      </c>
      <c r="Y372" s="198">
        <v>186</v>
      </c>
      <c r="Z372" s="277">
        <v>137336.09618801999</v>
      </c>
      <c r="AA372" s="272">
        <v>0</v>
      </c>
      <c r="AB372" s="198">
        <v>0</v>
      </c>
      <c r="AC372" s="272">
        <v>1681</v>
      </c>
      <c r="AD372" s="198">
        <v>6.0515999999999996</v>
      </c>
      <c r="AE372" s="198">
        <v>6.0515999999999996</v>
      </c>
      <c r="AF372" s="198">
        <v>0</v>
      </c>
      <c r="AG372" s="198">
        <v>0</v>
      </c>
      <c r="AH372" s="198">
        <v>0</v>
      </c>
      <c r="AI372" s="198">
        <v>0</v>
      </c>
      <c r="AJ372" s="198">
        <v>0</v>
      </c>
      <c r="AK372" s="198">
        <v>0</v>
      </c>
      <c r="AL372" s="198">
        <v>0</v>
      </c>
      <c r="AM372" s="198">
        <v>8.9469177067236311E-2</v>
      </c>
      <c r="AN372" s="198">
        <v>2.2864345250515887E-2</v>
      </c>
      <c r="AO372" s="198">
        <v>0</v>
      </c>
      <c r="AP372" s="198">
        <v>3.2690655733782163E-3</v>
      </c>
      <c r="AQ372" s="198">
        <v>4.0870855553459678E-3</v>
      </c>
      <c r="AS372" s="258">
        <f t="shared" si="48"/>
        <v>184236.37303622882</v>
      </c>
      <c r="AT372" s="3">
        <f t="shared" si="49"/>
        <v>0</v>
      </c>
      <c r="AU372" s="3">
        <f t="shared" si="47"/>
        <v>0</v>
      </c>
      <c r="AV372" s="3">
        <f t="shared" si="50"/>
        <v>104.45275703083253</v>
      </c>
      <c r="AW372" s="3">
        <f t="shared" si="51"/>
        <v>3.760299253109971</v>
      </c>
      <c r="AX372" s="3">
        <f t="shared" si="52"/>
        <v>3.760299253109971</v>
      </c>
      <c r="AY372" s="102">
        <f t="shared" si="53"/>
        <v>0</v>
      </c>
      <c r="AZ372" s="102">
        <f t="shared" si="54"/>
        <v>1</v>
      </c>
    </row>
    <row r="373" spans="1:52" x14ac:dyDescent="0.35">
      <c r="A373" t="s">
        <v>627</v>
      </c>
      <c r="B373">
        <v>2025</v>
      </c>
      <c r="C373" t="s">
        <v>837</v>
      </c>
      <c r="D373" t="s">
        <v>1071</v>
      </c>
      <c r="E373" t="s">
        <v>1072</v>
      </c>
      <c r="F373" t="s">
        <v>989</v>
      </c>
      <c r="G373" t="s">
        <v>978</v>
      </c>
      <c r="H373" s="198">
        <v>62372.671891520004</v>
      </c>
      <c r="I373" s="198">
        <v>0</v>
      </c>
      <c r="J373" s="198">
        <v>26402.241523584904</v>
      </c>
      <c r="K373" s="198">
        <v>10718.348552999998</v>
      </c>
      <c r="L373" s="198">
        <v>0</v>
      </c>
      <c r="M373" s="198">
        <v>2432.1859300000001</v>
      </c>
      <c r="N373" s="198">
        <v>50</v>
      </c>
      <c r="O373" s="198">
        <v>0</v>
      </c>
      <c r="P373" s="198">
        <v>5573.0445756999998</v>
      </c>
      <c r="Q373" s="198">
        <v>0</v>
      </c>
      <c r="R373" s="198">
        <v>0</v>
      </c>
      <c r="S373" s="198">
        <v>5335</v>
      </c>
      <c r="T373" s="198">
        <v>0</v>
      </c>
      <c r="U373" s="198">
        <v>2000</v>
      </c>
      <c r="V373" s="198">
        <v>4500</v>
      </c>
      <c r="W373" s="198">
        <v>233.3</v>
      </c>
      <c r="X373" s="198">
        <v>1500</v>
      </c>
      <c r="Y373" s="198">
        <v>186</v>
      </c>
      <c r="Z373" s="277">
        <v>121302.79247380492</v>
      </c>
      <c r="AA373" s="272">
        <v>9.6155758329999994</v>
      </c>
      <c r="AB373" s="198">
        <v>13.969021703205991</v>
      </c>
      <c r="AC373" s="272">
        <v>0</v>
      </c>
      <c r="AD373" s="198">
        <v>0</v>
      </c>
      <c r="AE373" s="198">
        <v>13.969021703205991</v>
      </c>
      <c r="AF373" s="198">
        <v>0</v>
      </c>
      <c r="AG373" s="198">
        <v>0</v>
      </c>
      <c r="AH373" s="198">
        <v>0</v>
      </c>
      <c r="AI373" s="198">
        <v>0</v>
      </c>
      <c r="AJ373" s="198">
        <v>0</v>
      </c>
      <c r="AK373" s="198">
        <v>0</v>
      </c>
      <c r="AL373" s="198">
        <v>0</v>
      </c>
      <c r="AM373" s="198">
        <v>0.13059056263863045</v>
      </c>
      <c r="AN373" s="198">
        <v>3.3373143785427835E-2</v>
      </c>
      <c r="AO373" s="198">
        <v>0</v>
      </c>
      <c r="AP373" s="198">
        <v>4.7715775032692882E-3</v>
      </c>
      <c r="AQ373" s="198">
        <v>5.9655718284270173E-3</v>
      </c>
      <c r="AS373" s="258">
        <f t="shared" si="48"/>
        <v>162727.69610360928</v>
      </c>
      <c r="AT373" s="3">
        <f t="shared" si="49"/>
        <v>24.461885936584881</v>
      </c>
      <c r="AU373" s="3">
        <f t="shared" si="47"/>
        <v>9.4421471009937665</v>
      </c>
      <c r="AV373" s="3">
        <f t="shared" si="50"/>
        <v>0</v>
      </c>
      <c r="AW373" s="3">
        <f t="shared" si="51"/>
        <v>0</v>
      </c>
      <c r="AX373" s="3">
        <f t="shared" si="52"/>
        <v>9.4421471009937665</v>
      </c>
      <c r="AY373" s="102">
        <f t="shared" si="53"/>
        <v>1</v>
      </c>
      <c r="AZ373" s="102">
        <f t="shared" si="54"/>
        <v>0</v>
      </c>
    </row>
    <row r="374" spans="1:52" x14ac:dyDescent="0.35">
      <c r="A374" t="s">
        <v>1065</v>
      </c>
      <c r="B374">
        <v>2025</v>
      </c>
      <c r="C374" t="s">
        <v>837</v>
      </c>
      <c r="D374" t="s">
        <v>1071</v>
      </c>
      <c r="E374" t="s">
        <v>1072</v>
      </c>
      <c r="F374" t="s">
        <v>989</v>
      </c>
      <c r="G374" t="s">
        <v>978</v>
      </c>
      <c r="H374" s="198">
        <v>62372.671891520004</v>
      </c>
      <c r="I374" s="198">
        <v>0</v>
      </c>
      <c r="J374" s="198">
        <v>20804.011981132076</v>
      </c>
      <c r="K374" s="198">
        <v>11076.371459999998</v>
      </c>
      <c r="L374" s="198">
        <v>0</v>
      </c>
      <c r="M374" s="198">
        <v>1366.3679999999999</v>
      </c>
      <c r="N374" s="198">
        <v>50</v>
      </c>
      <c r="O374" s="198">
        <v>0</v>
      </c>
      <c r="P374" s="198">
        <v>6667.8968455000004</v>
      </c>
      <c r="Q374" s="198">
        <v>0</v>
      </c>
      <c r="R374" s="198">
        <v>0</v>
      </c>
      <c r="S374" s="198">
        <v>5759</v>
      </c>
      <c r="T374" s="198">
        <v>0</v>
      </c>
      <c r="U374" s="198">
        <v>2000</v>
      </c>
      <c r="V374" s="198">
        <v>4500</v>
      </c>
      <c r="W374" s="198">
        <v>233.3</v>
      </c>
      <c r="X374" s="198">
        <v>1500</v>
      </c>
      <c r="Y374" s="198">
        <v>186</v>
      </c>
      <c r="Z374" s="277">
        <v>116515.62017815208</v>
      </c>
      <c r="AA374" s="272">
        <v>9.9159124940000005</v>
      </c>
      <c r="AB374" s="198">
        <v>13.545923038477349</v>
      </c>
      <c r="AC374" s="272">
        <v>0</v>
      </c>
      <c r="AD374" s="198">
        <v>0</v>
      </c>
      <c r="AE374" s="198">
        <v>13.545923038477349</v>
      </c>
      <c r="AF374" s="198">
        <v>0</v>
      </c>
      <c r="AG374" s="198">
        <v>0</v>
      </c>
      <c r="AH374" s="198">
        <v>0</v>
      </c>
      <c r="AI374" s="198">
        <v>0</v>
      </c>
      <c r="AJ374" s="198">
        <v>0</v>
      </c>
      <c r="AK374" s="198">
        <v>0</v>
      </c>
      <c r="AL374" s="198">
        <v>0</v>
      </c>
      <c r="AM374" s="198">
        <v>0.12663518953860256</v>
      </c>
      <c r="AN374" s="198">
        <v>3.2362326215420713E-2</v>
      </c>
      <c r="AO374" s="198">
        <v>0</v>
      </c>
      <c r="AP374" s="198">
        <v>4.6270542780087014E-3</v>
      </c>
      <c r="AQ374" s="198">
        <v>5.7848844811970402E-3</v>
      </c>
      <c r="AS374" s="258">
        <f t="shared" si="48"/>
        <v>156305.704468991</v>
      </c>
      <c r="AT374" s="3">
        <f t="shared" si="49"/>
        <v>23.720975692731656</v>
      </c>
      <c r="AU374" s="3">
        <f t="shared" si="47"/>
        <v>9.1561600136027437</v>
      </c>
      <c r="AV374" s="3">
        <f t="shared" si="50"/>
        <v>0</v>
      </c>
      <c r="AW374" s="3">
        <f t="shared" si="51"/>
        <v>0</v>
      </c>
      <c r="AX374" s="3">
        <f t="shared" si="52"/>
        <v>9.1561600136027437</v>
      </c>
      <c r="AY374" s="102">
        <f t="shared" si="53"/>
        <v>1</v>
      </c>
      <c r="AZ374" s="102">
        <f t="shared" si="54"/>
        <v>0</v>
      </c>
    </row>
    <row r="375" spans="1:52" x14ac:dyDescent="0.35">
      <c r="A375" t="s">
        <v>1017</v>
      </c>
      <c r="B375">
        <v>2030</v>
      </c>
      <c r="C375" t="s">
        <v>837</v>
      </c>
      <c r="D375" t="s">
        <v>1071</v>
      </c>
      <c r="E375" t="s">
        <v>1072</v>
      </c>
      <c r="F375" t="s">
        <v>983</v>
      </c>
      <c r="G375" t="s">
        <v>978</v>
      </c>
      <c r="H375" s="198">
        <v>62789.42325408</v>
      </c>
      <c r="I375" s="198">
        <v>17574</v>
      </c>
      <c r="J375" s="198">
        <v>0</v>
      </c>
      <c r="K375" s="198">
        <v>0</v>
      </c>
      <c r="L375" s="198">
        <v>120</v>
      </c>
      <c r="M375" s="198">
        <v>0</v>
      </c>
      <c r="N375" s="198">
        <v>0</v>
      </c>
      <c r="O375" s="198">
        <v>300</v>
      </c>
      <c r="P375" s="198">
        <v>0</v>
      </c>
      <c r="Q375" s="198">
        <v>0</v>
      </c>
      <c r="R375" s="198">
        <v>183</v>
      </c>
      <c r="S375" s="198">
        <v>9714</v>
      </c>
      <c r="T375" s="198">
        <v>506</v>
      </c>
      <c r="U375" s="198">
        <v>2000</v>
      </c>
      <c r="V375" s="198">
        <v>1920</v>
      </c>
      <c r="W375" s="198">
        <v>0</v>
      </c>
      <c r="X375" s="198">
        <v>0</v>
      </c>
      <c r="Y375" s="198">
        <v>186</v>
      </c>
      <c r="Z375" s="277">
        <v>95292.42325408</v>
      </c>
      <c r="AA375" s="272">
        <v>7.1468572220000013</v>
      </c>
      <c r="AB375" s="198">
        <v>18.794301233068619</v>
      </c>
      <c r="AC375" s="272">
        <v>0</v>
      </c>
      <c r="AD375" s="198">
        <v>0</v>
      </c>
      <c r="AE375" s="198">
        <v>18.794301233068619</v>
      </c>
      <c r="AF375" s="198">
        <v>1406.8574756037499</v>
      </c>
      <c r="AG375" s="198">
        <v>0.61847934668463123</v>
      </c>
      <c r="AH375" s="198">
        <v>3.2679380629649854E-3</v>
      </c>
      <c r="AI375" s="198">
        <v>1426.277859453776</v>
      </c>
      <c r="AJ375" s="198">
        <v>0.60013972846357377</v>
      </c>
      <c r="AK375" s="198">
        <v>14.004712797642906</v>
      </c>
      <c r="AL375" s="198">
        <v>0.65568698302648387</v>
      </c>
      <c r="AM375" s="198">
        <v>0.11785705016291124</v>
      </c>
      <c r="AN375" s="198">
        <v>4.8459726227756933E-2</v>
      </c>
      <c r="AO375" s="198">
        <v>9.703042904543489E-3</v>
      </c>
      <c r="AP375" s="198">
        <v>8.0520349595630952E-3</v>
      </c>
      <c r="AQ375" s="198">
        <v>7.6480063482353257E-3</v>
      </c>
      <c r="AS375" s="258">
        <f t="shared" si="48"/>
        <v>127834.78579534832</v>
      </c>
      <c r="AT375" s="3">
        <f t="shared" si="49"/>
        <v>32.911685785098797</v>
      </c>
      <c r="AU375" s="3">
        <f t="shared" si="47"/>
        <v>12.703721182013371</v>
      </c>
      <c r="AV375" s="3">
        <f t="shared" si="50"/>
        <v>0</v>
      </c>
      <c r="AW375" s="3">
        <f t="shared" si="51"/>
        <v>0</v>
      </c>
      <c r="AX375" s="3">
        <f t="shared" si="52"/>
        <v>12.703721182013371</v>
      </c>
      <c r="AY375" s="102">
        <f t="shared" si="53"/>
        <v>1</v>
      </c>
      <c r="AZ375" s="102">
        <f t="shared" si="54"/>
        <v>0</v>
      </c>
    </row>
    <row r="376" spans="1:52" x14ac:dyDescent="0.35">
      <c r="A376" t="s">
        <v>1020</v>
      </c>
      <c r="B376">
        <v>2030</v>
      </c>
      <c r="C376" t="s">
        <v>837</v>
      </c>
      <c r="D376" t="s">
        <v>1071</v>
      </c>
      <c r="E376" t="s">
        <v>1072</v>
      </c>
      <c r="F376" t="s">
        <v>983</v>
      </c>
      <c r="G376" t="s">
        <v>978</v>
      </c>
      <c r="H376" s="198">
        <v>62789.42325408</v>
      </c>
      <c r="I376" s="198">
        <v>17450</v>
      </c>
      <c r="J376" s="198">
        <v>0</v>
      </c>
      <c r="K376" s="198">
        <v>0</v>
      </c>
      <c r="L376" s="198">
        <v>150</v>
      </c>
      <c r="M376" s="198">
        <v>879.14623113000005</v>
      </c>
      <c r="N376" s="198">
        <v>40</v>
      </c>
      <c r="O376" s="198">
        <v>300</v>
      </c>
      <c r="P376" s="198">
        <v>1251.9670262100001</v>
      </c>
      <c r="Q376" s="198">
        <v>0</v>
      </c>
      <c r="R376" s="198">
        <v>0</v>
      </c>
      <c r="S376" s="198">
        <v>9661</v>
      </c>
      <c r="T376" s="198">
        <v>392</v>
      </c>
      <c r="U376" s="198">
        <v>2000</v>
      </c>
      <c r="V376" s="198">
        <v>4720</v>
      </c>
      <c r="W376" s="198">
        <v>173.28</v>
      </c>
      <c r="X376" s="198">
        <v>1500</v>
      </c>
      <c r="Y376" s="198">
        <v>186</v>
      </c>
      <c r="Z376" s="277">
        <v>101492.81651141999</v>
      </c>
      <c r="AA376" s="272">
        <v>8.6107422519999997</v>
      </c>
      <c r="AB376" s="198">
        <v>15.599141580251311</v>
      </c>
      <c r="AC376" s="272">
        <v>0</v>
      </c>
      <c r="AD376" s="198">
        <v>0</v>
      </c>
      <c r="AE376" s="198">
        <v>15.599141580251311</v>
      </c>
      <c r="AF376" s="198">
        <v>1167.6820900669727</v>
      </c>
      <c r="AG376" s="198">
        <v>0.51333363096360629</v>
      </c>
      <c r="AH376" s="198">
        <v>2.712366258660834E-3</v>
      </c>
      <c r="AI376" s="198">
        <v>1183.8008759405523</v>
      </c>
      <c r="AJ376" s="198">
        <v>0.49811187317594935</v>
      </c>
      <c r="AK376" s="198">
        <v>11.623815911644833</v>
      </c>
      <c r="AL376" s="198">
        <v>0.54421571484453479</v>
      </c>
      <c r="AM376" s="198">
        <v>9.7820546181692725E-2</v>
      </c>
      <c r="AN376" s="198">
        <v>4.0221241587686016E-2</v>
      </c>
      <c r="AO376" s="198">
        <v>8.0534592986575108E-3</v>
      </c>
      <c r="AP376" s="198">
        <v>6.6831339875704377E-3</v>
      </c>
      <c r="AQ376" s="198">
        <v>6.3477930013631431E-3</v>
      </c>
      <c r="AS376" s="258">
        <f t="shared" si="48"/>
        <v>136152.61335006991</v>
      </c>
      <c r="AT376" s="3">
        <f t="shared" si="49"/>
        <v>27.316474278021179</v>
      </c>
      <c r="AU376" s="3">
        <f t="shared" si="47"/>
        <v>10.544001761852606</v>
      </c>
      <c r="AV376" s="3">
        <f t="shared" si="50"/>
        <v>0</v>
      </c>
      <c r="AW376" s="3">
        <f t="shared" si="51"/>
        <v>0</v>
      </c>
      <c r="AX376" s="3">
        <f t="shared" si="52"/>
        <v>10.544001761852606</v>
      </c>
      <c r="AY376" s="102">
        <f t="shared" si="53"/>
        <v>1</v>
      </c>
      <c r="AZ376" s="102">
        <f t="shared" si="54"/>
        <v>0</v>
      </c>
    </row>
    <row r="377" spans="1:52" x14ac:dyDescent="0.35">
      <c r="A377" t="s">
        <v>1021</v>
      </c>
      <c r="B377">
        <v>2030</v>
      </c>
      <c r="C377" t="s">
        <v>837</v>
      </c>
      <c r="D377" t="s">
        <v>1071</v>
      </c>
      <c r="E377" t="s">
        <v>1072</v>
      </c>
      <c r="F377" t="s">
        <v>983</v>
      </c>
      <c r="G377" t="s">
        <v>978</v>
      </c>
      <c r="H377" s="198">
        <v>62789.42325408</v>
      </c>
      <c r="I377" s="198">
        <v>12732</v>
      </c>
      <c r="J377" s="198">
        <v>0</v>
      </c>
      <c r="K377" s="198">
        <v>0</v>
      </c>
      <c r="L377" s="198">
        <v>0</v>
      </c>
      <c r="M377" s="198">
        <v>21448.799999999999</v>
      </c>
      <c r="N377" s="198">
        <v>40</v>
      </c>
      <c r="O377" s="198">
        <v>0</v>
      </c>
      <c r="P377" s="198">
        <v>4221.7433825099997</v>
      </c>
      <c r="Q377" s="198">
        <v>0</v>
      </c>
      <c r="R377" s="198">
        <v>3174.72475227</v>
      </c>
      <c r="S377" s="198">
        <v>5231</v>
      </c>
      <c r="T377" s="198">
        <v>0</v>
      </c>
      <c r="U377" s="198">
        <v>2000</v>
      </c>
      <c r="V377" s="198">
        <v>4720</v>
      </c>
      <c r="W377" s="198">
        <v>173.28</v>
      </c>
      <c r="X377" s="198">
        <v>1500</v>
      </c>
      <c r="Y377" s="198">
        <v>186</v>
      </c>
      <c r="Z377" s="277">
        <v>118216.97138886001</v>
      </c>
      <c r="AA377" s="272">
        <v>48.666432760000006</v>
      </c>
      <c r="AB377" s="198">
        <v>2.7600171182137818</v>
      </c>
      <c r="AC377" s="272">
        <v>1364.8000000000002</v>
      </c>
      <c r="AD377" s="198">
        <v>4.9132800000000003</v>
      </c>
      <c r="AE377" s="198">
        <v>7.6732971182137817</v>
      </c>
      <c r="AF377" s="198">
        <v>206.60255826491257</v>
      </c>
      <c r="AG377" s="198">
        <v>9.0826126650974601E-2</v>
      </c>
      <c r="AH377" s="198">
        <v>4.7990956850131784E-4</v>
      </c>
      <c r="AI377" s="198">
        <v>209.45451807994652</v>
      </c>
      <c r="AJ377" s="198">
        <v>8.8132881522894918E-2</v>
      </c>
      <c r="AK377" s="198">
        <v>2.0566472026718166</v>
      </c>
      <c r="AL377" s="198">
        <v>9.6290214512410835E-2</v>
      </c>
      <c r="AM377" s="198">
        <v>8.9947589038625736E-2</v>
      </c>
      <c r="AN377" s="198">
        <v>2.5680010416582497E-2</v>
      </c>
      <c r="AO377" s="198">
        <v>1.4249300457195148E-3</v>
      </c>
      <c r="AP377" s="198">
        <v>3.8366197845875502E-3</v>
      </c>
      <c r="AQ377" s="198">
        <v>4.4414351181047904E-3</v>
      </c>
      <c r="AS377" s="258">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102">
        <f t="shared" si="53"/>
        <v>0.37929552199706323</v>
      </c>
      <c r="AZ377" s="102">
        <f t="shared" si="54"/>
        <v>0.62070447800293671</v>
      </c>
    </row>
    <row r="378" spans="1:52" x14ac:dyDescent="0.35">
      <c r="A378" t="s">
        <v>246</v>
      </c>
      <c r="B378">
        <v>2030</v>
      </c>
      <c r="C378" t="s">
        <v>837</v>
      </c>
      <c r="D378" t="s">
        <v>1071</v>
      </c>
      <c r="E378" t="s">
        <v>1072</v>
      </c>
      <c r="F378" t="s">
        <v>977</v>
      </c>
      <c r="G378" t="s">
        <v>978</v>
      </c>
      <c r="H378" s="198">
        <v>62789.42325408</v>
      </c>
      <c r="I378" s="198">
        <v>0</v>
      </c>
      <c r="J378" s="198">
        <v>0</v>
      </c>
      <c r="K378" s="198">
        <v>0</v>
      </c>
      <c r="L378" s="198">
        <v>0</v>
      </c>
      <c r="M378" s="198">
        <v>39720</v>
      </c>
      <c r="N378" s="198">
        <v>40</v>
      </c>
      <c r="O378" s="198">
        <v>0</v>
      </c>
      <c r="P378" s="198">
        <v>4106.20524183</v>
      </c>
      <c r="Q378" s="198">
        <v>0</v>
      </c>
      <c r="R378" s="198">
        <v>0</v>
      </c>
      <c r="S378" s="198">
        <v>5175</v>
      </c>
      <c r="T378" s="198">
        <v>0</v>
      </c>
      <c r="U378" s="198">
        <v>2000</v>
      </c>
      <c r="V378" s="198">
        <v>4500</v>
      </c>
      <c r="W378" s="198">
        <v>173.28</v>
      </c>
      <c r="X378" s="198">
        <v>1500</v>
      </c>
      <c r="Y378" s="198">
        <v>186</v>
      </c>
      <c r="Z378" s="277">
        <v>120189.90849591</v>
      </c>
      <c r="AA378" s="272">
        <v>0</v>
      </c>
      <c r="AB378" s="198">
        <v>0</v>
      </c>
      <c r="AC378" s="272">
        <v>1569</v>
      </c>
      <c r="AD378" s="198">
        <v>5.6483999999999996</v>
      </c>
      <c r="AE378" s="198">
        <v>5.6483999999999996</v>
      </c>
      <c r="AF378" s="198">
        <v>0</v>
      </c>
      <c r="AG378" s="198">
        <v>0</v>
      </c>
      <c r="AH378" s="198">
        <v>0</v>
      </c>
      <c r="AI378" s="198">
        <v>0</v>
      </c>
      <c r="AJ378" s="198">
        <v>0</v>
      </c>
      <c r="AK378" s="198">
        <v>0</v>
      </c>
      <c r="AL378" s="198">
        <v>0</v>
      </c>
      <c r="AM378" s="198">
        <v>8.3508113514868393E-2</v>
      </c>
      <c r="AN378" s="198">
        <v>2.1340962342688532E-2</v>
      </c>
      <c r="AO378" s="198">
        <v>0</v>
      </c>
      <c r="AP378" s="198">
        <v>3.0512575161394536E-3</v>
      </c>
      <c r="AQ378" s="198">
        <v>3.814775274442489E-3</v>
      </c>
      <c r="AS378" s="258">
        <f t="shared" si="48"/>
        <v>161234.76224726325</v>
      </c>
      <c r="AT378" s="3">
        <f t="shared" si="49"/>
        <v>0</v>
      </c>
      <c r="AU378" s="3">
        <f t="shared" si="47"/>
        <v>0</v>
      </c>
      <c r="AV378" s="3">
        <f t="shared" si="50"/>
        <v>97.493382380354689</v>
      </c>
      <c r="AW378" s="3">
        <f t="shared" si="51"/>
        <v>3.5097617656927689</v>
      </c>
      <c r="AX378" s="3">
        <f t="shared" si="52"/>
        <v>3.5097617656927689</v>
      </c>
      <c r="AY378" s="102">
        <f t="shared" si="53"/>
        <v>0</v>
      </c>
      <c r="AZ378" s="102">
        <f t="shared" si="54"/>
        <v>1</v>
      </c>
    </row>
    <row r="379" spans="1:52" x14ac:dyDescent="0.35">
      <c r="A379" t="s">
        <v>627</v>
      </c>
      <c r="B379">
        <v>2030</v>
      </c>
      <c r="C379" t="s">
        <v>837</v>
      </c>
      <c r="D379" t="s">
        <v>1071</v>
      </c>
      <c r="E379" t="s">
        <v>1072</v>
      </c>
      <c r="F379" t="s">
        <v>989</v>
      </c>
      <c r="G379" t="s">
        <v>978</v>
      </c>
      <c r="H379" s="198">
        <v>62789.42325408</v>
      </c>
      <c r="I379" s="198">
        <v>0</v>
      </c>
      <c r="J379" s="198">
        <v>20387.211486792454</v>
      </c>
      <c r="K379" s="198">
        <v>9017.35131</v>
      </c>
      <c r="L379" s="198">
        <v>0</v>
      </c>
      <c r="M379" s="198">
        <v>2614.8964833</v>
      </c>
      <c r="N379" s="198">
        <v>40</v>
      </c>
      <c r="O379" s="198">
        <v>0</v>
      </c>
      <c r="P379" s="198">
        <v>4279.9905678000005</v>
      </c>
      <c r="Q379" s="198">
        <v>0</v>
      </c>
      <c r="R379" s="198">
        <v>0</v>
      </c>
      <c r="S379" s="198">
        <v>5259</v>
      </c>
      <c r="T379" s="198">
        <v>0</v>
      </c>
      <c r="U379" s="198">
        <v>2000</v>
      </c>
      <c r="V379" s="198">
        <v>4500</v>
      </c>
      <c r="W379" s="198">
        <v>173.28</v>
      </c>
      <c r="X379" s="198">
        <v>1500</v>
      </c>
      <c r="Y379" s="198">
        <v>186</v>
      </c>
      <c r="Z379" s="277">
        <v>112747.15310197246</v>
      </c>
      <c r="AA379" s="272">
        <v>10.494112680000001</v>
      </c>
      <c r="AB379" s="198">
        <v>12.799575494933604</v>
      </c>
      <c r="AC379" s="272">
        <v>0</v>
      </c>
      <c r="AD379" s="198">
        <v>0</v>
      </c>
      <c r="AE379" s="198">
        <v>12.799575494933604</v>
      </c>
      <c r="AF379" s="198">
        <v>0</v>
      </c>
      <c r="AG379" s="198">
        <v>0</v>
      </c>
      <c r="AH379" s="198">
        <v>0</v>
      </c>
      <c r="AI379" s="198">
        <v>0</v>
      </c>
      <c r="AJ379" s="198">
        <v>0</v>
      </c>
      <c r="AK379" s="198">
        <v>0</v>
      </c>
      <c r="AL379" s="198">
        <v>0</v>
      </c>
      <c r="AM379" s="198">
        <v>0.11965789737697836</v>
      </c>
      <c r="AN379" s="198">
        <v>3.0579240440783414E-2</v>
      </c>
      <c r="AO379" s="198">
        <v>0</v>
      </c>
      <c r="AP379" s="198">
        <v>4.3721147966292511E-3</v>
      </c>
      <c r="AQ379" s="198">
        <v>5.4661513605406076E-3</v>
      </c>
      <c r="AS379" s="258">
        <f t="shared" si="48"/>
        <v>151250.30588629606</v>
      </c>
      <c r="AT379" s="3">
        <f t="shared" si="49"/>
        <v>22.414007397662907</v>
      </c>
      <c r="AU379" s="3">
        <f t="shared" si="47"/>
        <v>8.6516777782441974</v>
      </c>
      <c r="AV379" s="3">
        <f t="shared" si="50"/>
        <v>0</v>
      </c>
      <c r="AW379" s="3">
        <f t="shared" si="51"/>
        <v>0</v>
      </c>
      <c r="AX379" s="3">
        <f t="shared" si="52"/>
        <v>8.6516777782441974</v>
      </c>
      <c r="AY379" s="102">
        <f t="shared" si="53"/>
        <v>1</v>
      </c>
      <c r="AZ379" s="102">
        <f t="shared" si="54"/>
        <v>0</v>
      </c>
    </row>
    <row r="380" spans="1:52" x14ac:dyDescent="0.35">
      <c r="A380" t="s">
        <v>1065</v>
      </c>
      <c r="B380">
        <v>2030</v>
      </c>
      <c r="C380" t="s">
        <v>837</v>
      </c>
      <c r="D380" t="s">
        <v>1071</v>
      </c>
      <c r="E380" t="s">
        <v>1072</v>
      </c>
      <c r="F380" t="s">
        <v>989</v>
      </c>
      <c r="G380" t="s">
        <v>978</v>
      </c>
      <c r="H380" s="198">
        <v>62789.42325408</v>
      </c>
      <c r="I380" s="198">
        <v>0</v>
      </c>
      <c r="J380" s="198">
        <v>15157.511784905661</v>
      </c>
      <c r="K380" s="198">
        <v>9351.6462599999995</v>
      </c>
      <c r="L380" s="198">
        <v>0</v>
      </c>
      <c r="M380" s="198">
        <v>1427.4375</v>
      </c>
      <c r="N380" s="198">
        <v>40</v>
      </c>
      <c r="O380" s="198">
        <v>0</v>
      </c>
      <c r="P380" s="198">
        <v>5005.63734948</v>
      </c>
      <c r="Q380" s="198">
        <v>0</v>
      </c>
      <c r="R380" s="198">
        <v>0</v>
      </c>
      <c r="S380" s="198">
        <v>5613</v>
      </c>
      <c r="T380" s="198">
        <v>0</v>
      </c>
      <c r="U380" s="198">
        <v>2000</v>
      </c>
      <c r="V380" s="198">
        <v>4500</v>
      </c>
      <c r="W380" s="198">
        <v>173.28</v>
      </c>
      <c r="X380" s="198">
        <v>1500</v>
      </c>
      <c r="Y380" s="198">
        <v>186</v>
      </c>
      <c r="Z380" s="277">
        <v>107743.93614846565</v>
      </c>
      <c r="AA380" s="272">
        <v>11.11950882</v>
      </c>
      <c r="AB380" s="198">
        <v>12.079687122366977</v>
      </c>
      <c r="AC380" s="272">
        <v>0</v>
      </c>
      <c r="AD380" s="198">
        <v>0</v>
      </c>
      <c r="AE380" s="198">
        <v>12.079687122366977</v>
      </c>
      <c r="AF380" s="198">
        <v>0</v>
      </c>
      <c r="AG380" s="198">
        <v>0</v>
      </c>
      <c r="AH380" s="198">
        <v>0</v>
      </c>
      <c r="AI380" s="198">
        <v>0</v>
      </c>
      <c r="AJ380" s="198">
        <v>0</v>
      </c>
      <c r="AK380" s="198">
        <v>0</v>
      </c>
      <c r="AL380" s="198">
        <v>0</v>
      </c>
      <c r="AM380" s="198">
        <v>0.11292796097857563</v>
      </c>
      <c r="AN380" s="198">
        <v>2.8859367805636041E-2</v>
      </c>
      <c r="AO380" s="198">
        <v>0</v>
      </c>
      <c r="AP380" s="198">
        <v>4.126213312875689E-3</v>
      </c>
      <c r="AQ380" s="198">
        <v>5.1587178203657781E-3</v>
      </c>
      <c r="AS380" s="258">
        <f t="shared" si="48"/>
        <v>144538.49034316666</v>
      </c>
      <c r="AT380" s="3">
        <f t="shared" si="49"/>
        <v>21.153373143457621</v>
      </c>
      <c r="AU380" s="3">
        <f t="shared" si="47"/>
        <v>8.165080215831571</v>
      </c>
      <c r="AV380" s="3">
        <f t="shared" si="50"/>
        <v>0</v>
      </c>
      <c r="AW380" s="3">
        <f t="shared" si="51"/>
        <v>0</v>
      </c>
      <c r="AX380" s="3">
        <f t="shared" si="52"/>
        <v>8.165080215831571</v>
      </c>
      <c r="AY380" s="102">
        <f t="shared" si="53"/>
        <v>1</v>
      </c>
      <c r="AZ380" s="102">
        <f t="shared" si="54"/>
        <v>0</v>
      </c>
    </row>
    <row r="381" spans="1:52" x14ac:dyDescent="0.35">
      <c r="A381" t="s">
        <v>1017</v>
      </c>
      <c r="B381">
        <v>2035</v>
      </c>
      <c r="C381" t="s">
        <v>837</v>
      </c>
      <c r="D381" t="s">
        <v>1071</v>
      </c>
      <c r="E381" t="s">
        <v>1072</v>
      </c>
      <c r="F381" t="s">
        <v>983</v>
      </c>
      <c r="G381" t="s">
        <v>978</v>
      </c>
      <c r="H381" s="198">
        <v>62789.42325408</v>
      </c>
      <c r="I381" s="198">
        <v>16676</v>
      </c>
      <c r="J381" s="198">
        <v>0</v>
      </c>
      <c r="K381" s="198">
        <v>0</v>
      </c>
      <c r="L381" s="198">
        <v>120</v>
      </c>
      <c r="M381" s="198">
        <v>0</v>
      </c>
      <c r="N381" s="198">
        <v>0</v>
      </c>
      <c r="O381" s="198">
        <v>300</v>
      </c>
      <c r="P381" s="198">
        <v>0</v>
      </c>
      <c r="Q381" s="198">
        <v>0</v>
      </c>
      <c r="R381" s="198">
        <v>156.5</v>
      </c>
      <c r="S381" s="198">
        <v>9354</v>
      </c>
      <c r="T381" s="198">
        <v>506</v>
      </c>
      <c r="U381" s="198">
        <v>2000</v>
      </c>
      <c r="V381" s="198">
        <v>1920</v>
      </c>
      <c r="W381" s="198">
        <v>0</v>
      </c>
      <c r="X381" s="198">
        <v>0</v>
      </c>
      <c r="Y381" s="198">
        <v>186</v>
      </c>
      <c r="Z381" s="277">
        <v>94007.92325408</v>
      </c>
      <c r="AA381" s="272">
        <v>7.5047565700000005</v>
      </c>
      <c r="AB381" s="198">
        <v>17.898007250087261</v>
      </c>
      <c r="AC381" s="272">
        <v>0</v>
      </c>
      <c r="AD381" s="198">
        <v>0</v>
      </c>
      <c r="AE381" s="198">
        <v>17.898007250087261</v>
      </c>
      <c r="AF381" s="198">
        <v>1339.7649099021144</v>
      </c>
      <c r="AG381" s="198">
        <v>0.58898427207891435</v>
      </c>
      <c r="AH381" s="198">
        <v>3.1120911822393729E-3</v>
      </c>
      <c r="AI381" s="198">
        <v>1358.2591420971198</v>
      </c>
      <c r="AJ381" s="198">
        <v>0.57151926415902554</v>
      </c>
      <c r="AK381" s="198">
        <v>13.336832696209633</v>
      </c>
      <c r="AL381" s="198">
        <v>0.6244174886027275</v>
      </c>
      <c r="AM381" s="198">
        <v>0.11223648658872074</v>
      </c>
      <c r="AN381" s="198">
        <v>4.6148697980617846E-2</v>
      </c>
      <c r="AO381" s="198">
        <v>9.2403080114446014E-3</v>
      </c>
      <c r="AP381" s="198">
        <v>7.6680360869519851E-3</v>
      </c>
      <c r="AQ381" s="198">
        <v>7.2832754658939593E-3</v>
      </c>
      <c r="AS381" s="258">
        <f t="shared" si="48"/>
        <v>126111.62904534831</v>
      </c>
      <c r="AT381" s="3">
        <f t="shared" si="49"/>
        <v>31.342138422143133</v>
      </c>
      <c r="AU381" s="3">
        <f t="shared" si="47"/>
        <v>12.097884938584578</v>
      </c>
      <c r="AV381" s="3">
        <f t="shared" si="50"/>
        <v>0</v>
      </c>
      <c r="AW381" s="3">
        <f t="shared" si="51"/>
        <v>0</v>
      </c>
      <c r="AX381" s="3">
        <f t="shared" si="52"/>
        <v>12.097884938584578</v>
      </c>
      <c r="AY381" s="102">
        <f t="shared" si="53"/>
        <v>1</v>
      </c>
      <c r="AZ381" s="102">
        <f t="shared" si="54"/>
        <v>0</v>
      </c>
    </row>
    <row r="382" spans="1:52" x14ac:dyDescent="0.35">
      <c r="A382" t="s">
        <v>1020</v>
      </c>
      <c r="B382">
        <v>2035</v>
      </c>
      <c r="C382" t="s">
        <v>837</v>
      </c>
      <c r="D382" t="s">
        <v>1071</v>
      </c>
      <c r="E382" t="s">
        <v>1072</v>
      </c>
      <c r="F382" t="s">
        <v>983</v>
      </c>
      <c r="G382" t="s">
        <v>978</v>
      </c>
      <c r="H382" s="198">
        <v>62789.42325408</v>
      </c>
      <c r="I382" s="198">
        <v>16362</v>
      </c>
      <c r="J382" s="198">
        <v>0</v>
      </c>
      <c r="K382" s="198">
        <v>0</v>
      </c>
      <c r="L382" s="198">
        <v>150</v>
      </c>
      <c r="M382" s="198">
        <v>982.36582920000001</v>
      </c>
      <c r="N382" s="198">
        <v>35</v>
      </c>
      <c r="O382" s="198">
        <v>300</v>
      </c>
      <c r="P382" s="198">
        <v>1083.18086369</v>
      </c>
      <c r="Q382" s="198">
        <v>0</v>
      </c>
      <c r="R382" s="198">
        <v>0</v>
      </c>
      <c r="S382" s="198">
        <v>9220</v>
      </c>
      <c r="T382" s="198">
        <v>392</v>
      </c>
      <c r="U382" s="198">
        <v>2000</v>
      </c>
      <c r="V382" s="198">
        <v>4720</v>
      </c>
      <c r="W382" s="198">
        <v>140</v>
      </c>
      <c r="X382" s="198">
        <v>1500</v>
      </c>
      <c r="Y382" s="198">
        <v>186</v>
      </c>
      <c r="Z382" s="277">
        <v>99859.969946969999</v>
      </c>
      <c r="AA382" s="272">
        <v>9.1742109719999991</v>
      </c>
      <c r="AB382" s="198">
        <v>14.641061548502618</v>
      </c>
      <c r="AC382" s="272">
        <v>0</v>
      </c>
      <c r="AD382" s="198">
        <v>0</v>
      </c>
      <c r="AE382" s="198">
        <v>14.641061548502618</v>
      </c>
      <c r="AF382" s="198">
        <v>1095.9644966232365</v>
      </c>
      <c r="AG382" s="198">
        <v>0.48180531263140225</v>
      </c>
      <c r="AH382" s="198">
        <v>2.5457760692043966E-3</v>
      </c>
      <c r="AI382" s="198">
        <v>1111.0932865536379</v>
      </c>
      <c r="AJ382" s="198">
        <v>0.46751845642851791</v>
      </c>
      <c r="AK382" s="198">
        <v>10.909895478242996</v>
      </c>
      <c r="AL382" s="198">
        <v>0.5107906570185009</v>
      </c>
      <c r="AM382" s="198">
        <v>9.1812528912968067E-2</v>
      </c>
      <c r="AN382" s="198">
        <v>3.7750902548896341E-2</v>
      </c>
      <c r="AO382" s="198">
        <v>7.5588257638024283E-3</v>
      </c>
      <c r="AP382" s="198">
        <v>6.2726641428003573E-3</v>
      </c>
      <c r="AQ382" s="198">
        <v>5.9579193862675768E-3</v>
      </c>
      <c r="AS382" s="258">
        <f t="shared" si="48"/>
        <v>133962.14968386025</v>
      </c>
      <c r="AT382" s="3">
        <f t="shared" si="49"/>
        <v>25.638730127235203</v>
      </c>
      <c r="AU382" s="3">
        <f t="shared" si="47"/>
        <v>9.8964021814024044</v>
      </c>
      <c r="AV382" s="3">
        <f t="shared" si="50"/>
        <v>0</v>
      </c>
      <c r="AW382" s="3">
        <f t="shared" si="51"/>
        <v>0</v>
      </c>
      <c r="AX382" s="3">
        <f t="shared" si="52"/>
        <v>9.8964021814024044</v>
      </c>
      <c r="AY382" s="102">
        <f t="shared" si="53"/>
        <v>1</v>
      </c>
      <c r="AZ382" s="102">
        <f t="shared" si="54"/>
        <v>0</v>
      </c>
    </row>
    <row r="383" spans="1:52" x14ac:dyDescent="0.35">
      <c r="A383" t="s">
        <v>1021</v>
      </c>
      <c r="B383">
        <v>2035</v>
      </c>
      <c r="C383" t="s">
        <v>837</v>
      </c>
      <c r="D383" t="s">
        <v>1071</v>
      </c>
      <c r="E383" t="s">
        <v>1072</v>
      </c>
      <c r="F383" t="s">
        <v>983</v>
      </c>
      <c r="G383" t="s">
        <v>978</v>
      </c>
      <c r="H383" s="198">
        <v>62789.42325408</v>
      </c>
      <c r="I383" s="198">
        <v>12127</v>
      </c>
      <c r="J383" s="198">
        <v>0</v>
      </c>
      <c r="K383" s="198">
        <v>0</v>
      </c>
      <c r="L383" s="198">
        <v>0</v>
      </c>
      <c r="M383" s="198">
        <v>16801.560000000001</v>
      </c>
      <c r="N383" s="198">
        <v>35</v>
      </c>
      <c r="O383" s="198">
        <v>0</v>
      </c>
      <c r="P383" s="198">
        <v>3590.0713787600002</v>
      </c>
      <c r="Q383" s="198">
        <v>0</v>
      </c>
      <c r="R383" s="198">
        <v>2426.0710816599999</v>
      </c>
      <c r="S383" s="198">
        <v>5213</v>
      </c>
      <c r="T383" s="198">
        <v>0</v>
      </c>
      <c r="U383" s="198">
        <v>2000</v>
      </c>
      <c r="V383" s="198">
        <v>4720</v>
      </c>
      <c r="W383" s="198">
        <v>140</v>
      </c>
      <c r="X383" s="198">
        <v>1500</v>
      </c>
      <c r="Y383" s="198">
        <v>186</v>
      </c>
      <c r="Z383" s="277">
        <v>111528.1257145</v>
      </c>
      <c r="AA383" s="272">
        <v>52.423730300000017</v>
      </c>
      <c r="AB383" s="198">
        <v>2.5622020167458395</v>
      </c>
      <c r="AC383" s="272">
        <v>1280</v>
      </c>
      <c r="AD383" s="198">
        <v>4.6079999999999997</v>
      </c>
      <c r="AE383" s="198">
        <v>7.1702020167458391</v>
      </c>
      <c r="AF383" s="198">
        <v>191.79500299396568</v>
      </c>
      <c r="AG383" s="198">
        <v>8.4316464322854542E-2</v>
      </c>
      <c r="AH383" s="198">
        <v>4.4551363691015317E-4</v>
      </c>
      <c r="AI383" s="198">
        <v>194.44255801872842</v>
      </c>
      <c r="AJ383" s="198">
        <v>8.1816248634619032E-2</v>
      </c>
      <c r="AK383" s="198">
        <v>1.9092438143393629</v>
      </c>
      <c r="AL383" s="198">
        <v>8.9388931752806183E-2</v>
      </c>
      <c r="AM383" s="198">
        <v>8.419373503366763E-2</v>
      </c>
      <c r="AN383" s="198">
        <v>2.4016540209720858E-2</v>
      </c>
      <c r="AO383" s="198">
        <v>1.3228028959570716E-3</v>
      </c>
      <c r="AP383" s="198">
        <v>3.5869581250251876E-3</v>
      </c>
      <c r="AQ383" s="198">
        <v>4.1547599995585827E-3</v>
      </c>
      <c r="AS383" s="258">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102">
        <f t="shared" si="53"/>
        <v>0.37689193623568629</v>
      </c>
      <c r="AZ383" s="102">
        <f t="shared" si="54"/>
        <v>0.6231080637643136</v>
      </c>
    </row>
    <row r="384" spans="1:52" x14ac:dyDescent="0.35">
      <c r="A384" t="s">
        <v>246</v>
      </c>
      <c r="B384">
        <v>2035</v>
      </c>
      <c r="C384" t="s">
        <v>837</v>
      </c>
      <c r="D384" t="s">
        <v>1071</v>
      </c>
      <c r="E384" t="s">
        <v>1072</v>
      </c>
      <c r="F384" t="s">
        <v>977</v>
      </c>
      <c r="G384" t="s">
        <v>978</v>
      </c>
      <c r="H384" s="198">
        <v>62789.42325408</v>
      </c>
      <c r="I384" s="198">
        <v>0</v>
      </c>
      <c r="J384" s="198">
        <v>0</v>
      </c>
      <c r="K384" s="198">
        <v>0</v>
      </c>
      <c r="L384" s="198">
        <v>0</v>
      </c>
      <c r="M384" s="198">
        <v>31502.925000000003</v>
      </c>
      <c r="N384" s="198">
        <v>35</v>
      </c>
      <c r="O384" s="198">
        <v>0</v>
      </c>
      <c r="P384" s="198">
        <v>3493.1013508299998</v>
      </c>
      <c r="Q384" s="198">
        <v>0</v>
      </c>
      <c r="R384" s="198">
        <v>0</v>
      </c>
      <c r="S384" s="198">
        <v>5158</v>
      </c>
      <c r="T384" s="198">
        <v>0</v>
      </c>
      <c r="U384" s="198">
        <v>2000</v>
      </c>
      <c r="V384" s="198">
        <v>4500</v>
      </c>
      <c r="W384" s="198">
        <v>140</v>
      </c>
      <c r="X384" s="198">
        <v>1500</v>
      </c>
      <c r="Y384" s="198">
        <v>186</v>
      </c>
      <c r="Z384" s="277">
        <v>111304.44960491</v>
      </c>
      <c r="AA384" s="272">
        <v>0</v>
      </c>
      <c r="AB384" s="198">
        <v>0</v>
      </c>
      <c r="AC384" s="272">
        <v>1472</v>
      </c>
      <c r="AD384" s="198">
        <v>5.2991999999999999</v>
      </c>
      <c r="AE384" s="198">
        <v>5.2991999999999999</v>
      </c>
      <c r="AF384" s="198">
        <v>0</v>
      </c>
      <c r="AG384" s="198">
        <v>0</v>
      </c>
      <c r="AH384" s="198">
        <v>0</v>
      </c>
      <c r="AI384" s="198">
        <v>0</v>
      </c>
      <c r="AJ384" s="198">
        <v>0</v>
      </c>
      <c r="AK384" s="198">
        <v>0</v>
      </c>
      <c r="AL384" s="198">
        <v>0</v>
      </c>
      <c r="AM384" s="198">
        <v>7.8345406688264035E-2</v>
      </c>
      <c r="AN384" s="198">
        <v>2.0021603931445201E-2</v>
      </c>
      <c r="AO384" s="198">
        <v>0</v>
      </c>
      <c r="AP384" s="198">
        <v>2.8626201808523112E-3</v>
      </c>
      <c r="AQ384" s="198">
        <v>3.578935120445726E-3</v>
      </c>
      <c r="AS384" s="258">
        <f t="shared" si="48"/>
        <v>149314.91914498675</v>
      </c>
      <c r="AT384" s="3">
        <f t="shared" si="49"/>
        <v>0</v>
      </c>
      <c r="AU384" s="3">
        <f t="shared" si="47"/>
        <v>0</v>
      </c>
      <c r="AV384" s="3">
        <f t="shared" si="50"/>
        <v>91.466066834851546</v>
      </c>
      <c r="AW384" s="3">
        <f t="shared" si="51"/>
        <v>3.2927784060546559</v>
      </c>
      <c r="AX384" s="3">
        <f t="shared" si="52"/>
        <v>3.2927784060546559</v>
      </c>
      <c r="AY384" s="102">
        <f t="shared" si="53"/>
        <v>0</v>
      </c>
      <c r="AZ384" s="102">
        <f t="shared" si="54"/>
        <v>1</v>
      </c>
    </row>
    <row r="385" spans="1:52" x14ac:dyDescent="0.35">
      <c r="A385" t="s">
        <v>627</v>
      </c>
      <c r="B385">
        <v>2035</v>
      </c>
      <c r="C385" t="s">
        <v>837</v>
      </c>
      <c r="D385" t="s">
        <v>1071</v>
      </c>
      <c r="E385" t="s">
        <v>1072</v>
      </c>
      <c r="F385" t="s">
        <v>989</v>
      </c>
      <c r="G385" t="s">
        <v>978</v>
      </c>
      <c r="H385" s="198">
        <v>62789.42325408</v>
      </c>
      <c r="I385" s="198">
        <v>0</v>
      </c>
      <c r="J385" s="198">
        <v>17664.488733962262</v>
      </c>
      <c r="K385" s="198">
        <v>8168.2965292500012</v>
      </c>
      <c r="L385" s="198">
        <v>0</v>
      </c>
      <c r="M385" s="198">
        <v>2402.5251258000003</v>
      </c>
      <c r="N385" s="198">
        <v>35</v>
      </c>
      <c r="O385" s="198">
        <v>0</v>
      </c>
      <c r="P385" s="198">
        <v>3636.0225296899998</v>
      </c>
      <c r="Q385" s="198">
        <v>0</v>
      </c>
      <c r="R385" s="198">
        <v>0</v>
      </c>
      <c r="S385" s="198">
        <v>5239</v>
      </c>
      <c r="T385" s="198">
        <v>0</v>
      </c>
      <c r="U385" s="198">
        <v>2000</v>
      </c>
      <c r="V385" s="198">
        <v>4500</v>
      </c>
      <c r="W385" s="198">
        <v>140</v>
      </c>
      <c r="X385" s="198">
        <v>1500</v>
      </c>
      <c r="Y385" s="198">
        <v>186</v>
      </c>
      <c r="Z385" s="277">
        <v>108260.75617278228</v>
      </c>
      <c r="AA385" s="272">
        <v>11.07735285</v>
      </c>
      <c r="AB385" s="198">
        <v>12.125657575311415</v>
      </c>
      <c r="AC385" s="272">
        <v>0</v>
      </c>
      <c r="AD385" s="198">
        <v>0</v>
      </c>
      <c r="AE385" s="198">
        <v>12.125657575311415</v>
      </c>
      <c r="AF385" s="198">
        <v>0</v>
      </c>
      <c r="AG385" s="198">
        <v>0</v>
      </c>
      <c r="AH385" s="198">
        <v>0</v>
      </c>
      <c r="AI385" s="198">
        <v>0</v>
      </c>
      <c r="AJ385" s="198">
        <v>0</v>
      </c>
      <c r="AK385" s="198">
        <v>0</v>
      </c>
      <c r="AL385" s="198">
        <v>0</v>
      </c>
      <c r="AM385" s="198">
        <v>0.11335771958603695</v>
      </c>
      <c r="AN385" s="198">
        <v>2.8969195005320605E-2</v>
      </c>
      <c r="AO385" s="198">
        <v>0</v>
      </c>
      <c r="AP385" s="198">
        <v>4.1419160287669843E-3</v>
      </c>
      <c r="AQ385" s="198">
        <v>5.1783498350373878E-3</v>
      </c>
      <c r="AS385" s="258">
        <f t="shared" si="48"/>
        <v>145231.80440578741</v>
      </c>
      <c r="AT385" s="3">
        <f t="shared" si="49"/>
        <v>21.23387441264256</v>
      </c>
      <c r="AU385" s="3">
        <f t="shared" si="47"/>
        <v>8.19615324214816</v>
      </c>
      <c r="AV385" s="3">
        <f t="shared" si="50"/>
        <v>0</v>
      </c>
      <c r="AW385" s="3">
        <f t="shared" si="51"/>
        <v>0</v>
      </c>
      <c r="AX385" s="3">
        <f t="shared" si="52"/>
        <v>8.19615324214816</v>
      </c>
      <c r="AY385" s="102">
        <f t="shared" si="53"/>
        <v>1</v>
      </c>
      <c r="AZ385" s="102">
        <f t="shared" si="54"/>
        <v>0</v>
      </c>
    </row>
    <row r="386" spans="1:52" x14ac:dyDescent="0.35">
      <c r="A386" t="s">
        <v>1065</v>
      </c>
      <c r="B386">
        <v>2035</v>
      </c>
      <c r="C386" t="s">
        <v>837</v>
      </c>
      <c r="D386" t="s">
        <v>1071</v>
      </c>
      <c r="E386" t="s">
        <v>1072</v>
      </c>
      <c r="F386" t="s">
        <v>989</v>
      </c>
      <c r="G386" t="s">
        <v>978</v>
      </c>
      <c r="H386" s="198">
        <v>62789.42325408</v>
      </c>
      <c r="I386" s="198">
        <v>0</v>
      </c>
      <c r="J386" s="198">
        <v>11842.952773584904</v>
      </c>
      <c r="K386" s="198">
        <v>8535.8675902500017</v>
      </c>
      <c r="L386" s="198">
        <v>0</v>
      </c>
      <c r="M386" s="198">
        <v>1619.8312500000002</v>
      </c>
      <c r="N386" s="198">
        <v>35</v>
      </c>
      <c r="O386" s="198">
        <v>0</v>
      </c>
      <c r="P386" s="198">
        <v>3978.77231631</v>
      </c>
      <c r="Q386" s="198">
        <v>0</v>
      </c>
      <c r="R386" s="198">
        <v>0</v>
      </c>
      <c r="S386" s="198">
        <v>5434</v>
      </c>
      <c r="T386" s="198">
        <v>0</v>
      </c>
      <c r="U386" s="198">
        <v>2000</v>
      </c>
      <c r="V386" s="198">
        <v>4500</v>
      </c>
      <c r="W386" s="198">
        <v>140</v>
      </c>
      <c r="X386" s="198">
        <v>1500</v>
      </c>
      <c r="Y386" s="198">
        <v>186</v>
      </c>
      <c r="Z386" s="277">
        <v>102561.8471842249</v>
      </c>
      <c r="AA386" s="272">
        <v>12.32768411</v>
      </c>
      <c r="AB386" s="198">
        <v>10.895816789387219</v>
      </c>
      <c r="AC386" s="272">
        <v>0</v>
      </c>
      <c r="AD386" s="198">
        <v>0</v>
      </c>
      <c r="AE386" s="198">
        <v>10.895816789387219</v>
      </c>
      <c r="AF386" s="198">
        <v>0</v>
      </c>
      <c r="AG386" s="198">
        <v>0</v>
      </c>
      <c r="AH386" s="198">
        <v>0</v>
      </c>
      <c r="AI386" s="198">
        <v>0</v>
      </c>
      <c r="AJ386" s="198">
        <v>0</v>
      </c>
      <c r="AK386" s="198">
        <v>0</v>
      </c>
      <c r="AL386" s="198">
        <v>0</v>
      </c>
      <c r="AM386" s="198">
        <v>0.10186045058595257</v>
      </c>
      <c r="AN386" s="198">
        <v>2.6031004038632365E-2</v>
      </c>
      <c r="AO386" s="198">
        <v>0</v>
      </c>
      <c r="AP386" s="198">
        <v>3.7218235733753441E-3</v>
      </c>
      <c r="AQ386" s="198">
        <v>4.6531374256189029E-3</v>
      </c>
      <c r="AS386" s="258">
        <f t="shared" si="48"/>
        <v>137586.71799763769</v>
      </c>
      <c r="AT386" s="3">
        <f t="shared" si="49"/>
        <v>19.080235763879266</v>
      </c>
      <c r="AU386" s="3">
        <f t="shared" si="47"/>
        <v>7.364861126048651</v>
      </c>
      <c r="AV386" s="3">
        <f t="shared" si="50"/>
        <v>0</v>
      </c>
      <c r="AW386" s="3">
        <f t="shared" si="51"/>
        <v>0</v>
      </c>
      <c r="AX386" s="3">
        <f t="shared" si="52"/>
        <v>7.364861126048651</v>
      </c>
      <c r="AY386" s="102">
        <f t="shared" si="53"/>
        <v>1</v>
      </c>
      <c r="AZ386" s="102">
        <f t="shared" si="54"/>
        <v>0</v>
      </c>
    </row>
    <row r="387" spans="1:52" x14ac:dyDescent="0.35">
      <c r="A387" t="s">
        <v>1017</v>
      </c>
      <c r="B387">
        <v>2050</v>
      </c>
      <c r="C387" t="s">
        <v>837</v>
      </c>
      <c r="D387" t="s">
        <v>1071</v>
      </c>
      <c r="E387" t="s">
        <v>1072</v>
      </c>
      <c r="F387" t="s">
        <v>983</v>
      </c>
      <c r="G387" t="s">
        <v>978</v>
      </c>
      <c r="H387" s="198">
        <v>63021.8422832</v>
      </c>
      <c r="I387" s="198">
        <v>16321</v>
      </c>
      <c r="J387" s="198">
        <v>0</v>
      </c>
      <c r="K387" s="198">
        <v>0</v>
      </c>
      <c r="L387" s="198">
        <v>120</v>
      </c>
      <c r="M387" s="198">
        <v>0</v>
      </c>
      <c r="N387" s="198">
        <v>0</v>
      </c>
      <c r="O387" s="198">
        <v>300</v>
      </c>
      <c r="P387" s="198">
        <v>0</v>
      </c>
      <c r="Q387" s="198">
        <v>0</v>
      </c>
      <c r="R387" s="198">
        <v>110</v>
      </c>
      <c r="S387" s="198">
        <v>9283</v>
      </c>
      <c r="T387" s="198">
        <v>506</v>
      </c>
      <c r="U387" s="198">
        <v>2000</v>
      </c>
      <c r="V387" s="198">
        <v>1920</v>
      </c>
      <c r="W387" s="198">
        <v>0</v>
      </c>
      <c r="X387" s="198">
        <v>0</v>
      </c>
      <c r="Y387" s="198">
        <v>186</v>
      </c>
      <c r="Z387" s="277">
        <v>93767.842283200007</v>
      </c>
      <c r="AA387" s="272">
        <v>8.1811733449999995</v>
      </c>
      <c r="AB387" s="198">
        <v>16.418205779992554</v>
      </c>
      <c r="AC387" s="272">
        <v>0</v>
      </c>
      <c r="AD387" s="198">
        <v>0</v>
      </c>
      <c r="AE387" s="198">
        <v>16.418205779992554</v>
      </c>
      <c r="AF387" s="198">
        <v>1228.9935790186282</v>
      </c>
      <c r="AG387" s="198">
        <v>0.54028724231987291</v>
      </c>
      <c r="AH387" s="198">
        <v>2.8547844864604817E-3</v>
      </c>
      <c r="AI387" s="198">
        <v>1245.9587140572835</v>
      </c>
      <c r="AJ387" s="198">
        <v>0.52426623562503338</v>
      </c>
      <c r="AK387" s="198">
        <v>12.234147667955332</v>
      </c>
      <c r="AL387" s="198">
        <v>0.57279085192323587</v>
      </c>
      <c r="AM387" s="198">
        <v>0.10295681005649428</v>
      </c>
      <c r="AN387" s="198">
        <v>4.2333138507406554E-2</v>
      </c>
      <c r="AO387" s="198">
        <v>8.4763223236302802E-3</v>
      </c>
      <c r="AP387" s="198">
        <v>7.0340453350398987E-3</v>
      </c>
      <c r="AQ387" s="198">
        <v>6.6810965981050864E-3</v>
      </c>
      <c r="AS387" s="258">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102">
        <f t="shared" si="53"/>
        <v>1</v>
      </c>
      <c r="AZ387" s="102">
        <f t="shared" si="54"/>
        <v>0</v>
      </c>
    </row>
    <row r="388" spans="1:52" x14ac:dyDescent="0.35">
      <c r="A388" t="s">
        <v>1020</v>
      </c>
      <c r="B388">
        <v>2050</v>
      </c>
      <c r="C388" t="s">
        <v>837</v>
      </c>
      <c r="D388" t="s">
        <v>1071</v>
      </c>
      <c r="E388" t="s">
        <v>1072</v>
      </c>
      <c r="F388" t="s">
        <v>983</v>
      </c>
      <c r="G388" t="s">
        <v>978</v>
      </c>
      <c r="H388" s="198">
        <v>63021.8422832</v>
      </c>
      <c r="I388" s="198">
        <v>15339</v>
      </c>
      <c r="J388" s="198">
        <v>0</v>
      </c>
      <c r="K388" s="198">
        <v>0</v>
      </c>
      <c r="L388" s="198">
        <v>150</v>
      </c>
      <c r="M388" s="198">
        <v>726.09648243000004</v>
      </c>
      <c r="N388" s="198">
        <v>28.89</v>
      </c>
      <c r="O388" s="198">
        <v>300</v>
      </c>
      <c r="P388" s="198">
        <v>753.34136020000005</v>
      </c>
      <c r="Q388" s="198">
        <v>0</v>
      </c>
      <c r="R388" s="198">
        <v>0</v>
      </c>
      <c r="S388" s="198">
        <v>8866</v>
      </c>
      <c r="T388" s="198">
        <v>392</v>
      </c>
      <c r="U388" s="198">
        <v>2000</v>
      </c>
      <c r="V388" s="198">
        <v>4720</v>
      </c>
      <c r="W388" s="198">
        <v>101.11499999999999</v>
      </c>
      <c r="X388" s="198">
        <v>1500</v>
      </c>
      <c r="Y388" s="198">
        <v>186</v>
      </c>
      <c r="Z388" s="277">
        <v>98084.285125830022</v>
      </c>
      <c r="AA388" s="272">
        <v>9.967140229</v>
      </c>
      <c r="AB388" s="198">
        <v>13.47630156834628</v>
      </c>
      <c r="AC388" s="272">
        <v>0</v>
      </c>
      <c r="AD388" s="198">
        <v>0</v>
      </c>
      <c r="AE388" s="198">
        <v>13.47630156834628</v>
      </c>
      <c r="AF388" s="198">
        <v>1008.7757650473155</v>
      </c>
      <c r="AG388" s="198">
        <v>0.44347560924748575</v>
      </c>
      <c r="AH388" s="198">
        <v>2.3432485356627967E-3</v>
      </c>
      <c r="AI388" s="198">
        <v>1022.7009940883137</v>
      </c>
      <c r="AJ388" s="198">
        <v>0.43032533445246185</v>
      </c>
      <c r="AK388" s="198">
        <v>10.041965950138138</v>
      </c>
      <c r="AL388" s="198">
        <v>0.47015504370849748</v>
      </c>
      <c r="AM388" s="198">
        <v>8.4508443823201551E-2</v>
      </c>
      <c r="AN388" s="198">
        <v>3.4747654433445768E-2</v>
      </c>
      <c r="AO388" s="198">
        <v>6.9574883732392307E-3</v>
      </c>
      <c r="AP388" s="198">
        <v>5.7736464904059696E-3</v>
      </c>
      <c r="AQ388" s="198">
        <v>5.4839410450706018E-3</v>
      </c>
      <c r="AS388" s="258">
        <f t="shared" si="48"/>
        <v>131580.06849630096</v>
      </c>
      <c r="AT388" s="3">
        <f t="shared" si="49"/>
        <v>23.599057887944173</v>
      </c>
      <c r="AU388" s="3">
        <f t="shared" si="55"/>
        <v>9.1091004430521352</v>
      </c>
      <c r="AV388" s="3">
        <f t="shared" si="50"/>
        <v>0</v>
      </c>
      <c r="AW388" s="3">
        <f t="shared" si="51"/>
        <v>0</v>
      </c>
      <c r="AX388" s="3">
        <f t="shared" si="52"/>
        <v>9.1091004430521352</v>
      </c>
      <c r="AY388" s="102">
        <f t="shared" si="53"/>
        <v>1</v>
      </c>
      <c r="AZ388" s="102">
        <f t="shared" si="54"/>
        <v>0</v>
      </c>
    </row>
    <row r="389" spans="1:52" x14ac:dyDescent="0.35">
      <c r="A389" t="s">
        <v>1021</v>
      </c>
      <c r="B389">
        <v>2050</v>
      </c>
      <c r="C389" t="s">
        <v>837</v>
      </c>
      <c r="D389" t="s">
        <v>1071</v>
      </c>
      <c r="E389" t="s">
        <v>1072</v>
      </c>
      <c r="F389" t="s">
        <v>983</v>
      </c>
      <c r="G389" t="s">
        <v>978</v>
      </c>
      <c r="H389" s="198">
        <v>63021.8422832</v>
      </c>
      <c r="I389" s="198">
        <v>11659</v>
      </c>
      <c r="J389" s="198">
        <v>0</v>
      </c>
      <c r="K389" s="198">
        <v>0</v>
      </c>
      <c r="L389" s="198">
        <v>0</v>
      </c>
      <c r="M389" s="198">
        <v>11495.216249999999</v>
      </c>
      <c r="N389" s="198">
        <v>28.89</v>
      </c>
      <c r="O389" s="198">
        <v>0</v>
      </c>
      <c r="P389" s="198">
        <v>2490.1671872000002</v>
      </c>
      <c r="Q389" s="198">
        <v>0</v>
      </c>
      <c r="R389" s="198">
        <v>1602.7200002</v>
      </c>
      <c r="S389" s="198">
        <v>5193</v>
      </c>
      <c r="T389" s="198">
        <v>0</v>
      </c>
      <c r="U389" s="198">
        <v>2000</v>
      </c>
      <c r="V389" s="198">
        <v>4720</v>
      </c>
      <c r="W389" s="198">
        <v>101.11499999999999</v>
      </c>
      <c r="X389" s="198">
        <v>1500</v>
      </c>
      <c r="Y389" s="198">
        <v>186</v>
      </c>
      <c r="Z389" s="277">
        <v>103997.95072060001</v>
      </c>
      <c r="AA389" s="272">
        <v>60.922478950000013</v>
      </c>
      <c r="AB389" s="198">
        <v>2.2047721927113071</v>
      </c>
      <c r="AC389" s="272">
        <v>1176</v>
      </c>
      <c r="AD389" s="198">
        <v>4.2336</v>
      </c>
      <c r="AE389" s="198">
        <v>6.4383721927113076</v>
      </c>
      <c r="AF389" s="198">
        <v>165.03940225569806</v>
      </c>
      <c r="AG389" s="198">
        <v>7.2554230584389215E-2</v>
      </c>
      <c r="AH389" s="198">
        <v>3.8336402505088793E-4</v>
      </c>
      <c r="AI389" s="198">
        <v>167.31762062377337</v>
      </c>
      <c r="AJ389" s="198">
        <v>7.0402797563427294E-2</v>
      </c>
      <c r="AK389" s="198">
        <v>1.6429023330126657</v>
      </c>
      <c r="AL389" s="198">
        <v>7.6919083576033914E-2</v>
      </c>
      <c r="AM389" s="198">
        <v>7.6417057589253892E-2</v>
      </c>
      <c r="AN389" s="198">
        <v>2.168036380081436E-2</v>
      </c>
      <c r="AO389" s="198">
        <v>1.1382705276097842E-3</v>
      </c>
      <c r="AP389" s="198">
        <v>3.2315742696214377E-3</v>
      </c>
      <c r="AQ389" s="198">
        <v>3.7564507483653672E-3</v>
      </c>
      <c r="AS389" s="258">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102">
        <f t="shared" si="53"/>
        <v>0.36163770445913285</v>
      </c>
      <c r="AZ389" s="102">
        <f t="shared" si="54"/>
        <v>0.6383622955408671</v>
      </c>
    </row>
    <row r="390" spans="1:52" x14ac:dyDescent="0.35">
      <c r="A390" t="s">
        <v>246</v>
      </c>
      <c r="B390">
        <v>2050</v>
      </c>
      <c r="C390" t="s">
        <v>837</v>
      </c>
      <c r="D390" t="s">
        <v>1071</v>
      </c>
      <c r="E390" t="s">
        <v>1072</v>
      </c>
      <c r="F390" t="s">
        <v>977</v>
      </c>
      <c r="G390" t="s">
        <v>978</v>
      </c>
      <c r="H390" s="198">
        <v>63021.8422832</v>
      </c>
      <c r="I390" s="198">
        <v>0</v>
      </c>
      <c r="J390" s="198">
        <v>0</v>
      </c>
      <c r="K390" s="198">
        <v>0</v>
      </c>
      <c r="L390" s="198">
        <v>0</v>
      </c>
      <c r="M390" s="198">
        <v>21574.166250000002</v>
      </c>
      <c r="N390" s="198">
        <v>28.89</v>
      </c>
      <c r="O390" s="198">
        <v>0</v>
      </c>
      <c r="P390" s="198">
        <v>2426.8882703999998</v>
      </c>
      <c r="Q390" s="198">
        <v>0</v>
      </c>
      <c r="R390" s="198">
        <v>0</v>
      </c>
      <c r="S390" s="198">
        <v>5141</v>
      </c>
      <c r="T390" s="198">
        <v>0</v>
      </c>
      <c r="U390" s="198">
        <v>2000</v>
      </c>
      <c r="V390" s="198">
        <v>4500</v>
      </c>
      <c r="W390" s="198">
        <v>101.11499999999999</v>
      </c>
      <c r="X390" s="198">
        <v>1500</v>
      </c>
      <c r="Y390" s="198">
        <v>186</v>
      </c>
      <c r="Z390" s="277">
        <v>100479.90180360001</v>
      </c>
      <c r="AA390" s="272">
        <v>0</v>
      </c>
      <c r="AB390" s="198">
        <v>0</v>
      </c>
      <c r="AC390" s="272">
        <v>1324</v>
      </c>
      <c r="AD390" s="198">
        <v>4.7664</v>
      </c>
      <c r="AE390" s="198">
        <v>4.7664</v>
      </c>
      <c r="AF390" s="198">
        <v>0</v>
      </c>
      <c r="AG390" s="198">
        <v>0</v>
      </c>
      <c r="AH390" s="198">
        <v>0</v>
      </c>
      <c r="AI390" s="198">
        <v>0</v>
      </c>
      <c r="AJ390" s="198">
        <v>0</v>
      </c>
      <c r="AK390" s="198">
        <v>0</v>
      </c>
      <c r="AL390" s="198">
        <v>0</v>
      </c>
      <c r="AM390" s="198">
        <v>7.0468286994063573E-2</v>
      </c>
      <c r="AN390" s="198">
        <v>1.80085622318162E-2</v>
      </c>
      <c r="AO390" s="198">
        <v>0</v>
      </c>
      <c r="AP390" s="198">
        <v>2.5748023909296603E-3</v>
      </c>
      <c r="AQ390" s="198">
        <v>3.2190965349661285E-3</v>
      </c>
      <c r="AS390" s="258">
        <f t="shared" si="48"/>
        <v>134793.78826952941</v>
      </c>
      <c r="AT390" s="3">
        <f t="shared" si="49"/>
        <v>0</v>
      </c>
      <c r="AU390" s="3">
        <f t="shared" si="55"/>
        <v>0</v>
      </c>
      <c r="AV390" s="3">
        <f t="shared" si="50"/>
        <v>82.269750332434413</v>
      </c>
      <c r="AW390" s="3">
        <f t="shared" si="51"/>
        <v>2.9617110119676391</v>
      </c>
      <c r="AX390" s="3">
        <f t="shared" si="52"/>
        <v>2.9617110119676391</v>
      </c>
      <c r="AY390" s="102">
        <f t="shared" si="53"/>
        <v>0</v>
      </c>
      <c r="AZ390" s="102">
        <f t="shared" si="54"/>
        <v>1</v>
      </c>
    </row>
    <row r="391" spans="1:52" x14ac:dyDescent="0.35">
      <c r="A391" t="s">
        <v>627</v>
      </c>
      <c r="B391">
        <v>2050</v>
      </c>
      <c r="C391" t="s">
        <v>837</v>
      </c>
      <c r="D391" t="s">
        <v>1071</v>
      </c>
      <c r="E391" t="s">
        <v>1072</v>
      </c>
      <c r="F391" t="s">
        <v>989</v>
      </c>
      <c r="G391" t="s">
        <v>978</v>
      </c>
      <c r="H391" s="198">
        <v>63021.8422832</v>
      </c>
      <c r="I391" s="198">
        <v>0</v>
      </c>
      <c r="J391" s="198">
        <v>14727.166691</v>
      </c>
      <c r="K391" s="198">
        <v>6912.4008689999991</v>
      </c>
      <c r="L391" s="198">
        <v>0</v>
      </c>
      <c r="M391" s="198">
        <v>2622.0150752999998</v>
      </c>
      <c r="N391" s="198">
        <v>28.89</v>
      </c>
      <c r="O391" s="198">
        <v>0</v>
      </c>
      <c r="P391" s="198">
        <v>2475.1540660000001</v>
      </c>
      <c r="Q391" s="198">
        <v>0</v>
      </c>
      <c r="R391" s="198">
        <v>0</v>
      </c>
      <c r="S391" s="198">
        <v>5180</v>
      </c>
      <c r="T391" s="198">
        <v>0</v>
      </c>
      <c r="U391" s="198">
        <v>2000</v>
      </c>
      <c r="V391" s="198">
        <v>4500</v>
      </c>
      <c r="W391" s="198">
        <v>101.11499999999999</v>
      </c>
      <c r="X391" s="198">
        <v>1500</v>
      </c>
      <c r="Y391" s="198">
        <v>186</v>
      </c>
      <c r="Z391" s="277">
        <v>103254.58398450002</v>
      </c>
      <c r="AA391" s="272">
        <v>12.62304415</v>
      </c>
      <c r="AB391" s="198">
        <v>10.640871243407638</v>
      </c>
      <c r="AC391" s="272">
        <v>0</v>
      </c>
      <c r="AD391" s="198">
        <v>0</v>
      </c>
      <c r="AE391" s="198">
        <v>10.640871243407638</v>
      </c>
      <c r="AF391" s="198">
        <v>0</v>
      </c>
      <c r="AG391" s="198">
        <v>0</v>
      </c>
      <c r="AH391" s="198">
        <v>0</v>
      </c>
      <c r="AI391" s="198">
        <v>0</v>
      </c>
      <c r="AJ391" s="198">
        <v>0</v>
      </c>
      <c r="AK391" s="198">
        <v>0</v>
      </c>
      <c r="AL391" s="198">
        <v>0</v>
      </c>
      <c r="AM391" s="198">
        <v>9.9477070919211472E-2</v>
      </c>
      <c r="AN391" s="198">
        <v>2.5421918123798529E-2</v>
      </c>
      <c r="AO391" s="198">
        <v>0</v>
      </c>
      <c r="AP391" s="198">
        <v>3.6347385607236938E-3</v>
      </c>
      <c r="AQ391" s="198">
        <v>4.5442610848705966E-3</v>
      </c>
      <c r="AS391" s="258">
        <f t="shared" si="48"/>
        <v>138516.02441520678</v>
      </c>
      <c r="AT391" s="3">
        <f t="shared" si="49"/>
        <v>18.633787258157387</v>
      </c>
      <c r="AU391" s="3">
        <f t="shared" si="55"/>
        <v>7.1925345738370616</v>
      </c>
      <c r="AV391" s="3">
        <f t="shared" si="50"/>
        <v>0</v>
      </c>
      <c r="AW391" s="3">
        <f t="shared" si="51"/>
        <v>0</v>
      </c>
      <c r="AX391" s="3">
        <f t="shared" si="52"/>
        <v>7.1925345738370616</v>
      </c>
      <c r="AY391" s="102">
        <f t="shared" si="53"/>
        <v>1</v>
      </c>
      <c r="AZ391" s="102">
        <f t="shared" si="54"/>
        <v>0</v>
      </c>
    </row>
    <row r="392" spans="1:52" x14ac:dyDescent="0.35">
      <c r="A392" t="s">
        <v>1065</v>
      </c>
      <c r="B392">
        <v>2050</v>
      </c>
      <c r="C392" t="s">
        <v>837</v>
      </c>
      <c r="D392" t="s">
        <v>1071</v>
      </c>
      <c r="E392" t="s">
        <v>1072</v>
      </c>
      <c r="F392" t="s">
        <v>989</v>
      </c>
      <c r="G392" t="s">
        <v>978</v>
      </c>
      <c r="H392" s="198">
        <v>63021.8422832</v>
      </c>
      <c r="I392" s="198">
        <v>0</v>
      </c>
      <c r="J392" s="198">
        <v>9238.4995414999994</v>
      </c>
      <c r="K392" s="198">
        <v>7262.1246059999994</v>
      </c>
      <c r="L392" s="198">
        <v>0</v>
      </c>
      <c r="M392" s="198">
        <v>1529.22</v>
      </c>
      <c r="N392" s="198">
        <v>28.89</v>
      </c>
      <c r="O392" s="198">
        <v>0</v>
      </c>
      <c r="P392" s="198">
        <v>2569.7695969000001</v>
      </c>
      <c r="Q392" s="198">
        <v>0</v>
      </c>
      <c r="R392" s="198">
        <v>0</v>
      </c>
      <c r="S392" s="198">
        <v>5257</v>
      </c>
      <c r="T392" s="198">
        <v>0</v>
      </c>
      <c r="U392" s="198">
        <v>2000</v>
      </c>
      <c r="V392" s="198">
        <v>4500</v>
      </c>
      <c r="W392" s="198">
        <v>101.11499999999999</v>
      </c>
      <c r="X392" s="198">
        <v>1500</v>
      </c>
      <c r="Y392" s="198">
        <v>186</v>
      </c>
      <c r="Z392" s="277">
        <v>97194.461027600002</v>
      </c>
      <c r="AA392" s="272">
        <v>14.414264210000001</v>
      </c>
      <c r="AB392" s="198">
        <v>9.3185601112274892</v>
      </c>
      <c r="AC392" s="272">
        <v>0</v>
      </c>
      <c r="AD392" s="198">
        <v>0</v>
      </c>
      <c r="AE392" s="198">
        <v>9.3185601112274892</v>
      </c>
      <c r="AF392" s="198">
        <v>0</v>
      </c>
      <c r="AG392" s="198">
        <v>0</v>
      </c>
      <c r="AH392" s="198">
        <v>0</v>
      </c>
      <c r="AI392" s="198">
        <v>0</v>
      </c>
      <c r="AJ392" s="198">
        <v>0</v>
      </c>
      <c r="AK392" s="198">
        <v>0</v>
      </c>
      <c r="AL392" s="198">
        <v>0</v>
      </c>
      <c r="AM392" s="198">
        <v>8.7115335186844584E-2</v>
      </c>
      <c r="AN392" s="198">
        <v>2.2262807881082543E-2</v>
      </c>
      <c r="AO392" s="198">
        <v>0</v>
      </c>
      <c r="AP392" s="198">
        <v>3.183059825828088E-3</v>
      </c>
      <c r="AQ392" s="198">
        <v>3.9795585447679575E-3</v>
      </c>
      <c r="AS392" s="258">
        <f t="shared" si="48"/>
        <v>130386.3694685254</v>
      </c>
      <c r="AT392" s="3">
        <f t="shared" si="49"/>
        <v>16.318218940252667</v>
      </c>
      <c r="AU392" s="3">
        <f t="shared" si="55"/>
        <v>6.298738537965697</v>
      </c>
      <c r="AV392" s="3">
        <f t="shared" si="50"/>
        <v>0</v>
      </c>
      <c r="AW392" s="3">
        <f t="shared" si="51"/>
        <v>0</v>
      </c>
      <c r="AX392" s="3">
        <f t="shared" si="52"/>
        <v>6.298738537965697</v>
      </c>
      <c r="AY392" s="102">
        <f t="shared" si="53"/>
        <v>1</v>
      </c>
      <c r="AZ392" s="102">
        <f t="shared" si="54"/>
        <v>0</v>
      </c>
    </row>
    <row r="393" spans="1:52" x14ac:dyDescent="0.35">
      <c r="A393" t="s">
        <v>1017</v>
      </c>
      <c r="B393">
        <v>2021</v>
      </c>
      <c r="C393" t="s">
        <v>837</v>
      </c>
      <c r="D393" t="s">
        <v>1073</v>
      </c>
      <c r="E393" t="s">
        <v>1026</v>
      </c>
      <c r="F393" t="s">
        <v>983</v>
      </c>
      <c r="G393" t="s">
        <v>978</v>
      </c>
      <c r="H393" s="198">
        <v>56000</v>
      </c>
      <c r="I393" s="198">
        <v>15387</v>
      </c>
      <c r="J393" s="198">
        <v>0</v>
      </c>
      <c r="K393" s="198">
        <v>0</v>
      </c>
      <c r="L393" s="198">
        <v>120</v>
      </c>
      <c r="M393" s="198">
        <v>0</v>
      </c>
      <c r="N393" s="198">
        <v>0</v>
      </c>
      <c r="O393" s="198">
        <v>150</v>
      </c>
      <c r="P393" s="198">
        <v>0</v>
      </c>
      <c r="Q393" s="198">
        <v>0</v>
      </c>
      <c r="R393" s="198">
        <v>104.8</v>
      </c>
      <c r="S393" s="198">
        <v>6402</v>
      </c>
      <c r="T393" s="198">
        <v>506</v>
      </c>
      <c r="U393" s="198">
        <v>2000</v>
      </c>
      <c r="V393" s="198">
        <v>1920</v>
      </c>
      <c r="W393" s="198">
        <v>0</v>
      </c>
      <c r="X393" s="198">
        <v>0</v>
      </c>
      <c r="Y393" s="198">
        <v>186</v>
      </c>
      <c r="Z393" s="277">
        <v>82775.8</v>
      </c>
      <c r="AA393" s="272">
        <v>6.9604404459999989</v>
      </c>
      <c r="AB393" s="198">
        <v>19.297656310986852</v>
      </c>
      <c r="AC393" s="272">
        <v>0</v>
      </c>
      <c r="AD393" s="198">
        <v>0</v>
      </c>
      <c r="AE393" s="198">
        <v>19.297656310986852</v>
      </c>
      <c r="AF393" s="198">
        <v>1444.5363893058664</v>
      </c>
      <c r="AG393" s="198">
        <v>0.6350436613606939</v>
      </c>
      <c r="AH393" s="198">
        <v>3.3554610412293451E-3</v>
      </c>
      <c r="AI393" s="198">
        <v>1464.4768961817399</v>
      </c>
      <c r="AJ393" s="198">
        <v>0.61621286552977617</v>
      </c>
      <c r="AK393" s="198">
        <v>14.379791562959101</v>
      </c>
      <c r="AL393" s="198">
        <v>0.67324780469994705</v>
      </c>
      <c r="AM393" s="198">
        <v>0.12101353594720764</v>
      </c>
      <c r="AN393" s="198">
        <v>4.9757590349906372E-2</v>
      </c>
      <c r="AO393" s="198">
        <v>9.9629129500797865E-3</v>
      </c>
      <c r="AP393" s="198">
        <v>8.2676871742535726E-3</v>
      </c>
      <c r="AQ393" s="198">
        <v>7.852837737473764E-3</v>
      </c>
      <c r="AS393" s="258">
        <f t="shared" si="48"/>
        <v>111043.73569999999</v>
      </c>
      <c r="AT393" s="3">
        <f t="shared" si="49"/>
        <v>33.793137239842451</v>
      </c>
      <c r="AU393" s="3">
        <f t="shared" si="55"/>
        <v>13.043956367462711</v>
      </c>
      <c r="AV393" s="3">
        <f t="shared" si="50"/>
        <v>0</v>
      </c>
      <c r="AW393" s="3">
        <f t="shared" si="51"/>
        <v>0</v>
      </c>
      <c r="AX393" s="3">
        <f t="shared" si="52"/>
        <v>13.043956367462711</v>
      </c>
      <c r="AY393" s="102">
        <f t="shared" si="53"/>
        <v>1</v>
      </c>
      <c r="AZ393" s="102">
        <f t="shared" si="54"/>
        <v>0</v>
      </c>
    </row>
    <row r="394" spans="1:52" x14ac:dyDescent="0.35">
      <c r="A394" t="s">
        <v>1020</v>
      </c>
      <c r="B394">
        <v>2021</v>
      </c>
      <c r="C394" t="s">
        <v>837</v>
      </c>
      <c r="D394" t="s">
        <v>1073</v>
      </c>
      <c r="E394" t="s">
        <v>1026</v>
      </c>
      <c r="F394" t="s">
        <v>983</v>
      </c>
      <c r="G394" t="s">
        <v>978</v>
      </c>
      <c r="H394" s="198">
        <v>56000</v>
      </c>
      <c r="I394" s="198">
        <v>15424</v>
      </c>
      <c r="J394" s="198">
        <v>0</v>
      </c>
      <c r="K394" s="198">
        <v>0</v>
      </c>
      <c r="L394" s="198">
        <v>150</v>
      </c>
      <c r="M394" s="198">
        <v>972.87437179999995</v>
      </c>
      <c r="N394" s="198">
        <v>75</v>
      </c>
      <c r="O394" s="198">
        <v>150</v>
      </c>
      <c r="P394" s="198">
        <v>2070.5438457</v>
      </c>
      <c r="Q394" s="198">
        <v>0</v>
      </c>
      <c r="R394" s="198">
        <v>0</v>
      </c>
      <c r="S394" s="198">
        <v>6413</v>
      </c>
      <c r="T394" s="198">
        <v>392</v>
      </c>
      <c r="U394" s="198">
        <v>2000</v>
      </c>
      <c r="V394" s="198">
        <v>4720</v>
      </c>
      <c r="W394" s="198">
        <v>375</v>
      </c>
      <c r="X394" s="198">
        <v>1500</v>
      </c>
      <c r="Y394" s="198">
        <v>186</v>
      </c>
      <c r="Z394" s="277">
        <v>90428.418217500002</v>
      </c>
      <c r="AA394" s="272">
        <v>8.6722875970000004</v>
      </c>
      <c r="AB394" s="198">
        <v>15.488437854213384</v>
      </c>
      <c r="AC394" s="272">
        <v>0</v>
      </c>
      <c r="AD394" s="198">
        <v>0</v>
      </c>
      <c r="AE394" s="198">
        <v>15.488437854213384</v>
      </c>
      <c r="AF394" s="198">
        <v>1159.3953034170061</v>
      </c>
      <c r="AG394" s="198">
        <v>0.50969061347088773</v>
      </c>
      <c r="AH394" s="198">
        <v>2.69311718334034E-3</v>
      </c>
      <c r="AI394" s="198">
        <v>1175.3996977616521</v>
      </c>
      <c r="AJ394" s="198">
        <v>0.49457688119830617</v>
      </c>
      <c r="AK394" s="198">
        <v>11.541324210061259</v>
      </c>
      <c r="AL394" s="198">
        <v>0.5403535338974782</v>
      </c>
      <c r="AM394" s="198">
        <v>9.7126334972077941E-2</v>
      </c>
      <c r="AN394" s="198">
        <v>3.9935800155750711E-2</v>
      </c>
      <c r="AO394" s="198">
        <v>7.9963056439342987E-3</v>
      </c>
      <c r="AP394" s="198">
        <v>6.6357052345054988E-3</v>
      </c>
      <c r="AQ394" s="198">
        <v>6.3027440905783312E-3</v>
      </c>
      <c r="AS394" s="258">
        <f t="shared" si="48"/>
        <v>121309.72303877624</v>
      </c>
      <c r="AT394" s="3">
        <f t="shared" si="49"/>
        <v>27.122615182042161</v>
      </c>
      <c r="AU394" s="3">
        <f t="shared" si="55"/>
        <v>10.469173267195863</v>
      </c>
      <c r="AV394" s="3">
        <f t="shared" si="50"/>
        <v>0</v>
      </c>
      <c r="AW394" s="3">
        <f t="shared" si="51"/>
        <v>0</v>
      </c>
      <c r="AX394" s="3">
        <f t="shared" si="52"/>
        <v>10.469173267195863</v>
      </c>
      <c r="AY394" s="102">
        <f t="shared" si="53"/>
        <v>1</v>
      </c>
      <c r="AZ394" s="102">
        <f t="shared" si="54"/>
        <v>0</v>
      </c>
    </row>
    <row r="395" spans="1:52" x14ac:dyDescent="0.35">
      <c r="A395" t="s">
        <v>1021</v>
      </c>
      <c r="B395">
        <v>2021</v>
      </c>
      <c r="C395" t="s">
        <v>837</v>
      </c>
      <c r="D395" t="s">
        <v>1073</v>
      </c>
      <c r="E395" t="s">
        <v>1026</v>
      </c>
      <c r="F395" t="s">
        <v>983</v>
      </c>
      <c r="G395" t="s">
        <v>978</v>
      </c>
      <c r="H395" s="198">
        <v>56000</v>
      </c>
      <c r="I395" s="198">
        <v>10598</v>
      </c>
      <c r="J395" s="198">
        <v>0</v>
      </c>
      <c r="K395" s="198">
        <v>0</v>
      </c>
      <c r="L395" s="198">
        <v>0</v>
      </c>
      <c r="M395" s="198">
        <v>26274.78</v>
      </c>
      <c r="N395" s="198">
        <v>75</v>
      </c>
      <c r="O395" s="198">
        <v>0</v>
      </c>
      <c r="P395" s="198">
        <v>6278.5360682999999</v>
      </c>
      <c r="Q395" s="198">
        <v>0</v>
      </c>
      <c r="R395" s="198">
        <v>3901.4356596000002</v>
      </c>
      <c r="S395" s="198">
        <v>3748</v>
      </c>
      <c r="T395" s="198">
        <v>0</v>
      </c>
      <c r="U395" s="198">
        <v>2000</v>
      </c>
      <c r="V395" s="198">
        <v>4720</v>
      </c>
      <c r="W395" s="198">
        <v>375</v>
      </c>
      <c r="X395" s="198">
        <v>1500</v>
      </c>
      <c r="Y395" s="198">
        <v>186</v>
      </c>
      <c r="Z395" s="277">
        <v>115656.7517279</v>
      </c>
      <c r="AA395" s="272">
        <v>46.143485285000011</v>
      </c>
      <c r="AB395" s="198">
        <v>2.9109241894145317</v>
      </c>
      <c r="AC395" s="272">
        <v>1136</v>
      </c>
      <c r="AD395" s="198">
        <v>4.0895999999999999</v>
      </c>
      <c r="AE395" s="198">
        <v>7.0005241894145316</v>
      </c>
      <c r="AF395" s="198">
        <v>217.89878782979213</v>
      </c>
      <c r="AG395" s="198">
        <v>9.5792148300245142E-2</v>
      </c>
      <c r="AH395" s="198">
        <v>5.061491693160473E-4</v>
      </c>
      <c r="AI395" s="198">
        <v>220.90668178741848</v>
      </c>
      <c r="AJ395" s="198">
        <v>9.2951646935375443E-2</v>
      </c>
      <c r="AK395" s="198">
        <v>2.1690967247419106</v>
      </c>
      <c r="AL395" s="198">
        <v>0.10155499137247752</v>
      </c>
      <c r="AM395" s="198">
        <v>7.8716309862998129E-2</v>
      </c>
      <c r="AN395" s="198">
        <v>2.2957059568533014E-2</v>
      </c>
      <c r="AO395" s="198">
        <v>1.5028397146293389E-3</v>
      </c>
      <c r="AP395" s="198">
        <v>3.4563220952372148E-3</v>
      </c>
      <c r="AQ395" s="198">
        <v>3.946553062166961E-3</v>
      </c>
      <c r="AS395" s="258">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102">
        <f t="shared" si="53"/>
        <v>0.43639370307236358</v>
      </c>
      <c r="AZ395" s="102">
        <f t="shared" si="54"/>
        <v>0.56360629692763642</v>
      </c>
    </row>
    <row r="396" spans="1:52" x14ac:dyDescent="0.35">
      <c r="A396" t="s">
        <v>246</v>
      </c>
      <c r="B396">
        <v>2021</v>
      </c>
      <c r="C396" t="s">
        <v>837</v>
      </c>
      <c r="D396" t="s">
        <v>1073</v>
      </c>
      <c r="E396" t="s">
        <v>1026</v>
      </c>
      <c r="F396" t="s">
        <v>977</v>
      </c>
      <c r="G396" t="s">
        <v>978</v>
      </c>
      <c r="H396" s="198">
        <v>56000</v>
      </c>
      <c r="I396" s="198">
        <v>0</v>
      </c>
      <c r="J396" s="198">
        <v>0</v>
      </c>
      <c r="K396" s="198">
        <v>0</v>
      </c>
      <c r="L396" s="198">
        <v>0</v>
      </c>
      <c r="M396" s="198">
        <v>51350.512500000004</v>
      </c>
      <c r="N396" s="198">
        <v>75</v>
      </c>
      <c r="O396" s="198">
        <v>0</v>
      </c>
      <c r="P396" s="198">
        <v>6372.6244019999995</v>
      </c>
      <c r="Q396" s="198">
        <v>0</v>
      </c>
      <c r="R396" s="198">
        <v>0</v>
      </c>
      <c r="S396" s="198">
        <v>3779</v>
      </c>
      <c r="T396" s="198">
        <v>0</v>
      </c>
      <c r="U396" s="198">
        <v>2000</v>
      </c>
      <c r="V396" s="198">
        <v>4500</v>
      </c>
      <c r="W396" s="198">
        <v>375</v>
      </c>
      <c r="X396" s="198">
        <v>1500</v>
      </c>
      <c r="Y396" s="198">
        <v>186</v>
      </c>
      <c r="Z396" s="277">
        <v>126138.13690200001</v>
      </c>
      <c r="AA396" s="272">
        <v>0</v>
      </c>
      <c r="AB396" s="198">
        <v>0</v>
      </c>
      <c r="AC396" s="272">
        <v>1408</v>
      </c>
      <c r="AD396" s="198">
        <v>5.0687999999999995</v>
      </c>
      <c r="AE396" s="198">
        <v>5.0687999999999995</v>
      </c>
      <c r="AF396" s="198">
        <v>0</v>
      </c>
      <c r="AG396" s="198">
        <v>0</v>
      </c>
      <c r="AH396" s="198">
        <v>0</v>
      </c>
      <c r="AI396" s="198">
        <v>0</v>
      </c>
      <c r="AJ396" s="198">
        <v>0</v>
      </c>
      <c r="AK396" s="198">
        <v>0</v>
      </c>
      <c r="AL396" s="198">
        <v>0</v>
      </c>
      <c r="AM396" s="198">
        <v>7.4939084658339511E-2</v>
      </c>
      <c r="AN396" s="198">
        <v>1.9151099412686712E-2</v>
      </c>
      <c r="AO396" s="198">
        <v>0</v>
      </c>
      <c r="AP396" s="198">
        <v>2.738158433858732E-3</v>
      </c>
      <c r="AQ396" s="198">
        <v>3.4233292456437377E-3</v>
      </c>
      <c r="AS396" s="258">
        <f t="shared" si="48"/>
        <v>169214.310654033</v>
      </c>
      <c r="AT396" s="3">
        <f t="shared" si="49"/>
        <v>0</v>
      </c>
      <c r="AU396" s="3">
        <f t="shared" si="55"/>
        <v>0</v>
      </c>
      <c r="AV396" s="3">
        <f t="shared" si="50"/>
        <v>87.48928132029279</v>
      </c>
      <c r="AW396" s="3">
        <f t="shared" si="51"/>
        <v>3.1496141275305405</v>
      </c>
      <c r="AX396" s="3">
        <f t="shared" si="52"/>
        <v>3.1496141275305405</v>
      </c>
      <c r="AY396" s="102">
        <f t="shared" si="53"/>
        <v>0</v>
      </c>
      <c r="AZ396" s="102">
        <f t="shared" si="54"/>
        <v>1</v>
      </c>
    </row>
    <row r="397" spans="1:52" x14ac:dyDescent="0.35">
      <c r="A397" t="s">
        <v>627</v>
      </c>
      <c r="B397">
        <v>2021</v>
      </c>
      <c r="C397" t="s">
        <v>837</v>
      </c>
      <c r="D397" t="s">
        <v>1073</v>
      </c>
      <c r="E397" t="s">
        <v>1026</v>
      </c>
      <c r="F397" t="s">
        <v>989</v>
      </c>
      <c r="G397" t="s">
        <v>978</v>
      </c>
      <c r="H397" s="198">
        <v>56000</v>
      </c>
      <c r="I397" s="198">
        <v>0</v>
      </c>
      <c r="J397" s="198">
        <v>31985.854031999999</v>
      </c>
      <c r="K397" s="198">
        <v>9458.8070000000007</v>
      </c>
      <c r="L397" s="198">
        <v>0</v>
      </c>
      <c r="M397" s="198">
        <v>4069.4623120000001</v>
      </c>
      <c r="N397" s="198">
        <v>75</v>
      </c>
      <c r="O397" s="198">
        <v>0</v>
      </c>
      <c r="P397" s="198">
        <v>6372.6244019999995</v>
      </c>
      <c r="Q397" s="198">
        <v>0</v>
      </c>
      <c r="R397" s="198">
        <v>0</v>
      </c>
      <c r="S397" s="198">
        <v>3779</v>
      </c>
      <c r="T397" s="198">
        <v>0</v>
      </c>
      <c r="U397" s="198">
        <v>2000</v>
      </c>
      <c r="V397" s="198">
        <v>4500</v>
      </c>
      <c r="W397" s="198">
        <v>375</v>
      </c>
      <c r="X397" s="198">
        <v>1500</v>
      </c>
      <c r="Y397" s="198">
        <v>186</v>
      </c>
      <c r="Z397" s="277">
        <v>120301.74774600001</v>
      </c>
      <c r="AA397" s="272">
        <v>13.90865745</v>
      </c>
      <c r="AB397" s="198">
        <v>9.6573079021368819</v>
      </c>
      <c r="AC397" s="272">
        <v>0</v>
      </c>
      <c r="AD397" s="198">
        <v>0</v>
      </c>
      <c r="AE397" s="198">
        <v>9.6573079021368819</v>
      </c>
      <c r="AF397" s="198">
        <v>0</v>
      </c>
      <c r="AG397" s="198">
        <v>0</v>
      </c>
      <c r="AH397" s="198">
        <v>0</v>
      </c>
      <c r="AI397" s="198">
        <v>0</v>
      </c>
      <c r="AJ397" s="198">
        <v>0</v>
      </c>
      <c r="AK397" s="198">
        <v>0</v>
      </c>
      <c r="AL397" s="198">
        <v>0</v>
      </c>
      <c r="AM397" s="198">
        <v>9.0282147118799561E-2</v>
      </c>
      <c r="AN397" s="198">
        <v>2.3072104263693258E-2</v>
      </c>
      <c r="AO397" s="198">
        <v>0</v>
      </c>
      <c r="AP397" s="198">
        <v>3.2987702436889509E-3</v>
      </c>
      <c r="AQ397" s="198">
        <v>4.1242232407879484E-3</v>
      </c>
      <c r="AS397" s="258">
        <f t="shared" si="48"/>
        <v>161384.794601259</v>
      </c>
      <c r="AT397" s="3">
        <f t="shared" si="49"/>
        <v>16.911417948640914</v>
      </c>
      <c r="AU397" s="3">
        <f t="shared" si="55"/>
        <v>6.5277099391031932</v>
      </c>
      <c r="AV397" s="3">
        <f t="shared" si="50"/>
        <v>0</v>
      </c>
      <c r="AW397" s="3">
        <f t="shared" si="51"/>
        <v>0</v>
      </c>
      <c r="AX397" s="3">
        <f t="shared" si="52"/>
        <v>6.5277099391031932</v>
      </c>
      <c r="AY397" s="102">
        <f t="shared" si="53"/>
        <v>1</v>
      </c>
      <c r="AZ397" s="102">
        <f t="shared" si="54"/>
        <v>0</v>
      </c>
    </row>
    <row r="398" spans="1:52" x14ac:dyDescent="0.35">
      <c r="A398" t="s">
        <v>1065</v>
      </c>
      <c r="B398">
        <v>2021</v>
      </c>
      <c r="C398" t="s">
        <v>837</v>
      </c>
      <c r="D398" t="s">
        <v>1073</v>
      </c>
      <c r="E398" t="s">
        <v>1026</v>
      </c>
      <c r="F398" t="s">
        <v>989</v>
      </c>
      <c r="G398" t="s">
        <v>978</v>
      </c>
      <c r="H398" s="198">
        <v>56000</v>
      </c>
      <c r="I398" s="198">
        <v>0</v>
      </c>
      <c r="J398" s="198">
        <v>20866.422297599998</v>
      </c>
      <c r="K398" s="198">
        <v>9831.8009000000002</v>
      </c>
      <c r="L398" s="198">
        <v>0</v>
      </c>
      <c r="M398" s="198">
        <v>3197.46</v>
      </c>
      <c r="N398" s="198">
        <v>75</v>
      </c>
      <c r="O398" s="198">
        <v>0</v>
      </c>
      <c r="P398" s="198">
        <v>6372.3329127000006</v>
      </c>
      <c r="Q398" s="198">
        <v>0</v>
      </c>
      <c r="R398" s="198">
        <v>0</v>
      </c>
      <c r="S398" s="198">
        <v>3779</v>
      </c>
      <c r="T398" s="198">
        <v>0</v>
      </c>
      <c r="U398" s="198">
        <v>2000</v>
      </c>
      <c r="V398" s="198">
        <v>4500</v>
      </c>
      <c r="W398" s="198">
        <v>375</v>
      </c>
      <c r="X398" s="198">
        <v>1500</v>
      </c>
      <c r="Y398" s="198">
        <v>186</v>
      </c>
      <c r="Z398" s="277">
        <v>108683.01611030001</v>
      </c>
      <c r="AA398" s="272">
        <v>14.34705677</v>
      </c>
      <c r="AB398" s="198">
        <v>9.3622120308930814</v>
      </c>
      <c r="AC398" s="272">
        <v>0</v>
      </c>
      <c r="AD398" s="198">
        <v>0</v>
      </c>
      <c r="AE398" s="198">
        <v>9.3622120308930814</v>
      </c>
      <c r="AF398" s="198">
        <v>0</v>
      </c>
      <c r="AG398" s="198">
        <v>0</v>
      </c>
      <c r="AH398" s="198">
        <v>0</v>
      </c>
      <c r="AI398" s="198">
        <v>0</v>
      </c>
      <c r="AJ398" s="198">
        <v>0</v>
      </c>
      <c r="AK398" s="198">
        <v>0</v>
      </c>
      <c r="AL398" s="198">
        <v>0</v>
      </c>
      <c r="AM398" s="198">
        <v>8.7523418792876756E-2</v>
      </c>
      <c r="AN398" s="198">
        <v>2.2367095913735209E-2</v>
      </c>
      <c r="AO398" s="198">
        <v>0</v>
      </c>
      <c r="AP398" s="198">
        <v>3.1979705706373009E-3</v>
      </c>
      <c r="AQ398" s="198">
        <v>3.9982004130209104E-3</v>
      </c>
      <c r="AS398" s="258">
        <f t="shared" si="48"/>
        <v>145798.26611196744</v>
      </c>
      <c r="AT398" s="3">
        <f t="shared" si="49"/>
        <v>16.394660104312681</v>
      </c>
      <c r="AU398" s="3">
        <f t="shared" si="55"/>
        <v>6.3282443870853013</v>
      </c>
      <c r="AV398" s="3">
        <f t="shared" si="50"/>
        <v>0</v>
      </c>
      <c r="AW398" s="3">
        <f t="shared" si="51"/>
        <v>0</v>
      </c>
      <c r="AX398" s="3">
        <f t="shared" si="52"/>
        <v>6.3282443870853013</v>
      </c>
      <c r="AY398" s="102">
        <f t="shared" si="53"/>
        <v>1</v>
      </c>
      <c r="AZ398" s="102">
        <f t="shared" si="54"/>
        <v>0</v>
      </c>
    </row>
    <row r="399" spans="1:52" x14ac:dyDescent="0.35">
      <c r="A399" t="s">
        <v>1017</v>
      </c>
      <c r="B399">
        <v>2025</v>
      </c>
      <c r="C399" t="s">
        <v>837</v>
      </c>
      <c r="D399" t="s">
        <v>1073</v>
      </c>
      <c r="E399" t="s">
        <v>1026</v>
      </c>
      <c r="F399" t="s">
        <v>983</v>
      </c>
      <c r="G399" t="s">
        <v>978</v>
      </c>
      <c r="H399" s="198">
        <v>56372.671891520004</v>
      </c>
      <c r="I399" s="198">
        <v>15658</v>
      </c>
      <c r="J399" s="198">
        <v>0</v>
      </c>
      <c r="K399" s="198">
        <v>0</v>
      </c>
      <c r="L399" s="198">
        <v>120</v>
      </c>
      <c r="M399" s="198">
        <v>0</v>
      </c>
      <c r="N399" s="198">
        <v>0</v>
      </c>
      <c r="O399" s="198">
        <v>150</v>
      </c>
      <c r="P399" s="198">
        <v>0</v>
      </c>
      <c r="Q399" s="198">
        <v>0</v>
      </c>
      <c r="R399" s="198">
        <v>92</v>
      </c>
      <c r="S399" s="198">
        <v>6367</v>
      </c>
      <c r="T399" s="198">
        <v>506</v>
      </c>
      <c r="U399" s="198">
        <v>2000</v>
      </c>
      <c r="V399" s="198">
        <v>1920</v>
      </c>
      <c r="W399" s="198">
        <v>0</v>
      </c>
      <c r="X399" s="198">
        <v>0</v>
      </c>
      <c r="Y399" s="198">
        <v>186</v>
      </c>
      <c r="Z399" s="277">
        <v>83371.671891520004</v>
      </c>
      <c r="AA399" s="272">
        <v>7.4256446169999997</v>
      </c>
      <c r="AB399" s="198">
        <v>18.088690535026718</v>
      </c>
      <c r="AC399" s="272">
        <v>0</v>
      </c>
      <c r="AD399" s="198">
        <v>0</v>
      </c>
      <c r="AE399" s="198">
        <v>18.088690535026718</v>
      </c>
      <c r="AF399" s="198">
        <v>1354.0386092305971</v>
      </c>
      <c r="AG399" s="198">
        <v>0.59525924192379109</v>
      </c>
      <c r="AH399" s="198">
        <v>3.1452470392780178E-3</v>
      </c>
      <c r="AI399" s="198">
        <v>1372.7298768216722</v>
      </c>
      <c r="AJ399" s="198">
        <v>0.57760816384340197</v>
      </c>
      <c r="AK399" s="198">
        <v>13.478921758621249</v>
      </c>
      <c r="AL399" s="198">
        <v>0.6310699598100924</v>
      </c>
      <c r="AM399" s="198">
        <v>0.11343224104639625</v>
      </c>
      <c r="AN399" s="198">
        <v>4.6640360834681122E-2</v>
      </c>
      <c r="AO399" s="198">
        <v>9.3387531769233475E-3</v>
      </c>
      <c r="AP399" s="198">
        <v>7.7497304504452833E-3</v>
      </c>
      <c r="AQ399" s="198">
        <v>7.3608706345375989E-3</v>
      </c>
      <c r="AS399" s="258">
        <f t="shared" si="48"/>
        <v>111843.09784247408</v>
      </c>
      <c r="AT399" s="3">
        <f t="shared" si="49"/>
        <v>31.676053914960491</v>
      </c>
      <c r="AU399" s="3">
        <f t="shared" si="55"/>
        <v>12.226774395867464</v>
      </c>
      <c r="AV399" s="3">
        <f t="shared" si="50"/>
        <v>0</v>
      </c>
      <c r="AW399" s="3">
        <f t="shared" si="51"/>
        <v>0</v>
      </c>
      <c r="AX399" s="3">
        <f t="shared" si="52"/>
        <v>12.226774395867464</v>
      </c>
      <c r="AY399" s="102">
        <f t="shared" si="53"/>
        <v>1</v>
      </c>
      <c r="AZ399" s="102">
        <f t="shared" si="54"/>
        <v>0</v>
      </c>
    </row>
    <row r="400" spans="1:52" x14ac:dyDescent="0.35">
      <c r="A400" t="s">
        <v>1020</v>
      </c>
      <c r="B400">
        <v>2025</v>
      </c>
      <c r="C400" t="s">
        <v>837</v>
      </c>
      <c r="D400" t="s">
        <v>1073</v>
      </c>
      <c r="E400" t="s">
        <v>1026</v>
      </c>
      <c r="F400" t="s">
        <v>983</v>
      </c>
      <c r="G400" t="s">
        <v>978</v>
      </c>
      <c r="H400" s="198">
        <v>56372.671891520004</v>
      </c>
      <c r="I400" s="198">
        <v>15684</v>
      </c>
      <c r="J400" s="198">
        <v>0</v>
      </c>
      <c r="K400" s="198">
        <v>0</v>
      </c>
      <c r="L400" s="198">
        <v>150</v>
      </c>
      <c r="M400" s="198">
        <v>949.1457286000001</v>
      </c>
      <c r="N400" s="198">
        <v>50</v>
      </c>
      <c r="O400" s="198">
        <v>150</v>
      </c>
      <c r="P400" s="198">
        <v>1769.1295962999998</v>
      </c>
      <c r="Q400" s="198">
        <v>0</v>
      </c>
      <c r="R400" s="198">
        <v>0</v>
      </c>
      <c r="S400" s="198">
        <v>6375</v>
      </c>
      <c r="T400" s="198">
        <v>392</v>
      </c>
      <c r="U400" s="198">
        <v>2000</v>
      </c>
      <c r="V400" s="198">
        <v>4720</v>
      </c>
      <c r="W400" s="198">
        <v>233.3</v>
      </c>
      <c r="X400" s="198">
        <v>1500</v>
      </c>
      <c r="Y400" s="198">
        <v>186</v>
      </c>
      <c r="Z400" s="277">
        <v>90531.247216420001</v>
      </c>
      <c r="AA400" s="272">
        <v>9.4165369370000001</v>
      </c>
      <c r="AB400" s="198">
        <v>14.264287221369182</v>
      </c>
      <c r="AC400" s="272">
        <v>0</v>
      </c>
      <c r="AD400" s="198">
        <v>0</v>
      </c>
      <c r="AE400" s="198">
        <v>14.264287221369182</v>
      </c>
      <c r="AF400" s="198">
        <v>1067.7608527542859</v>
      </c>
      <c r="AG400" s="198">
        <v>0.4694064936062492</v>
      </c>
      <c r="AH400" s="198">
        <v>2.4802628506218963E-3</v>
      </c>
      <c r="AI400" s="198">
        <v>1082.5003171137587</v>
      </c>
      <c r="AJ400" s="198">
        <v>0.45548729657991166</v>
      </c>
      <c r="AK400" s="198">
        <v>10.629139297122268</v>
      </c>
      <c r="AL400" s="198">
        <v>0.49764592666772423</v>
      </c>
      <c r="AM400" s="198">
        <v>8.9449817460044725E-2</v>
      </c>
      <c r="AN400" s="198">
        <v>3.6779417601618389E-2</v>
      </c>
      <c r="AO400" s="198">
        <v>7.364306296642152E-3</v>
      </c>
      <c r="AP400" s="198">
        <v>6.1112428685363099E-3</v>
      </c>
      <c r="AQ400" s="198">
        <v>5.8045977804236483E-3</v>
      </c>
      <c r="AS400" s="258">
        <f t="shared" si="48"/>
        <v>121447.66814082742</v>
      </c>
      <c r="AT400" s="3">
        <f t="shared" si="49"/>
        <v>24.978940858523831</v>
      </c>
      <c r="AU400" s="3">
        <f t="shared" si="55"/>
        <v>9.6417273232585927</v>
      </c>
      <c r="AV400" s="3">
        <f t="shared" si="50"/>
        <v>0</v>
      </c>
      <c r="AW400" s="3">
        <f t="shared" si="51"/>
        <v>0</v>
      </c>
      <c r="AX400" s="3">
        <f t="shared" si="52"/>
        <v>9.6417273232585927</v>
      </c>
      <c r="AY400" s="102">
        <f t="shared" si="53"/>
        <v>1</v>
      </c>
      <c r="AZ400" s="102">
        <f t="shared" si="54"/>
        <v>0</v>
      </c>
    </row>
    <row r="401" spans="1:52" x14ac:dyDescent="0.35">
      <c r="A401" t="s">
        <v>1021</v>
      </c>
      <c r="B401">
        <v>2025</v>
      </c>
      <c r="C401" t="s">
        <v>837</v>
      </c>
      <c r="D401" t="s">
        <v>1073</v>
      </c>
      <c r="E401" t="s">
        <v>1026</v>
      </c>
      <c r="F401" t="s">
        <v>983</v>
      </c>
      <c r="G401" t="s">
        <v>978</v>
      </c>
      <c r="H401" s="198">
        <v>56372.671891520004</v>
      </c>
      <c r="I401" s="198">
        <v>10884</v>
      </c>
      <c r="J401" s="198">
        <v>0</v>
      </c>
      <c r="K401" s="198">
        <v>0</v>
      </c>
      <c r="L401" s="198">
        <v>0</v>
      </c>
      <c r="M401" s="198">
        <v>22370.304</v>
      </c>
      <c r="N401" s="198">
        <v>50</v>
      </c>
      <c r="O401" s="198">
        <v>0</v>
      </c>
      <c r="P401" s="198">
        <v>5319.5978973000001</v>
      </c>
      <c r="Q401" s="198">
        <v>0</v>
      </c>
      <c r="R401" s="198">
        <v>3351.1418185999996</v>
      </c>
      <c r="S401" s="198">
        <v>3736</v>
      </c>
      <c r="T401" s="198">
        <v>0</v>
      </c>
      <c r="U401" s="198">
        <v>2000</v>
      </c>
      <c r="V401" s="198">
        <v>4720</v>
      </c>
      <c r="W401" s="198">
        <v>233.3</v>
      </c>
      <c r="X401" s="198">
        <v>1500</v>
      </c>
      <c r="Y401" s="198">
        <v>186</v>
      </c>
      <c r="Z401" s="277">
        <v>110723.01560742001</v>
      </c>
      <c r="AA401" s="272">
        <v>51.501945350000007</v>
      </c>
      <c r="AB401" s="198">
        <v>2.6080604642636085</v>
      </c>
      <c r="AC401" s="272">
        <v>1063.2</v>
      </c>
      <c r="AD401" s="198">
        <v>3.8275200000000003</v>
      </c>
      <c r="AE401" s="198">
        <v>6.4355804642636087</v>
      </c>
      <c r="AF401" s="198">
        <v>195.22776162169475</v>
      </c>
      <c r="AG401" s="198">
        <v>8.5825565529067907E-2</v>
      </c>
      <c r="AH401" s="198">
        <v>4.5348746707778485E-4</v>
      </c>
      <c r="AI401" s="198">
        <v>197.92270274730353</v>
      </c>
      <c r="AJ401" s="198">
        <v>8.3280600828392046E-2</v>
      </c>
      <c r="AK401" s="198">
        <v>1.9434155762403653</v>
      </c>
      <c r="AL401" s="198">
        <v>9.0988820289566369E-2</v>
      </c>
      <c r="AM401" s="198">
        <v>7.2942392570242515E-2</v>
      </c>
      <c r="AN401" s="198">
        <v>2.1185948793341007E-2</v>
      </c>
      <c r="AO401" s="198">
        <v>1.3464785026360659E-3</v>
      </c>
      <c r="AP401" s="198">
        <v>3.1849910734110991E-3</v>
      </c>
      <c r="AQ401" s="198">
        <v>3.646306377603839E-3</v>
      </c>
      <c r="AS401" s="258">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102">
        <f t="shared" si="53"/>
        <v>0.42569320475118155</v>
      </c>
      <c r="AZ401" s="102">
        <f t="shared" si="54"/>
        <v>0.57430679524881856</v>
      </c>
    </row>
    <row r="402" spans="1:52" x14ac:dyDescent="0.35">
      <c r="A402" t="s">
        <v>246</v>
      </c>
      <c r="B402">
        <v>2025</v>
      </c>
      <c r="C402" t="s">
        <v>837</v>
      </c>
      <c r="D402" t="s">
        <v>1073</v>
      </c>
      <c r="E402" t="s">
        <v>1026</v>
      </c>
      <c r="F402" t="s">
        <v>977</v>
      </c>
      <c r="G402" t="s">
        <v>978</v>
      </c>
      <c r="H402" s="198">
        <v>56372.671891520004</v>
      </c>
      <c r="I402" s="198">
        <v>0</v>
      </c>
      <c r="J402" s="198">
        <v>0</v>
      </c>
      <c r="K402" s="198">
        <v>0</v>
      </c>
      <c r="L402" s="198">
        <v>0</v>
      </c>
      <c r="M402" s="198">
        <v>43596.671999999999</v>
      </c>
      <c r="N402" s="198">
        <v>50</v>
      </c>
      <c r="O402" s="198">
        <v>0</v>
      </c>
      <c r="P402" s="198">
        <v>5394.5967848999999</v>
      </c>
      <c r="Q402" s="198">
        <v>0</v>
      </c>
      <c r="R402" s="198">
        <v>0</v>
      </c>
      <c r="S402" s="198">
        <v>3765</v>
      </c>
      <c r="T402" s="198">
        <v>0</v>
      </c>
      <c r="U402" s="198">
        <v>2000</v>
      </c>
      <c r="V402" s="198">
        <v>4500</v>
      </c>
      <c r="W402" s="198">
        <v>233.3</v>
      </c>
      <c r="X402" s="198">
        <v>1500</v>
      </c>
      <c r="Y402" s="198">
        <v>186</v>
      </c>
      <c r="Z402" s="277">
        <v>117598.24067642</v>
      </c>
      <c r="AA402" s="272">
        <v>0</v>
      </c>
      <c r="AB402" s="198">
        <v>0</v>
      </c>
      <c r="AC402" s="272">
        <v>1313</v>
      </c>
      <c r="AD402" s="198">
        <v>4.7267999999999999</v>
      </c>
      <c r="AE402" s="198">
        <v>4.7267999999999999</v>
      </c>
      <c r="AF402" s="198">
        <v>0</v>
      </c>
      <c r="AG402" s="198">
        <v>0</v>
      </c>
      <c r="AH402" s="198">
        <v>0</v>
      </c>
      <c r="AI402" s="198">
        <v>0</v>
      </c>
      <c r="AJ402" s="198">
        <v>0</v>
      </c>
      <c r="AK402" s="198">
        <v>0</v>
      </c>
      <c r="AL402" s="198">
        <v>0</v>
      </c>
      <c r="AM402" s="198">
        <v>6.9882825395170295E-2</v>
      </c>
      <c r="AN402" s="198">
        <v>1.7858944267654588E-2</v>
      </c>
      <c r="AO402" s="198">
        <v>0</v>
      </c>
      <c r="AP402" s="198">
        <v>2.5534105281651387E-3</v>
      </c>
      <c r="AQ402" s="198">
        <v>3.1923517752345367E-3</v>
      </c>
      <c r="AS402" s="258">
        <f t="shared" si="48"/>
        <v>157758.03986741742</v>
      </c>
      <c r="AT402" s="3">
        <f t="shared" si="49"/>
        <v>0</v>
      </c>
      <c r="AU402" s="3">
        <f t="shared" si="55"/>
        <v>0</v>
      </c>
      <c r="AV402" s="3">
        <f t="shared" si="50"/>
        <v>81.586240322119622</v>
      </c>
      <c r="AW402" s="3">
        <f t="shared" si="51"/>
        <v>2.9371046515963064</v>
      </c>
      <c r="AX402" s="3">
        <f t="shared" si="52"/>
        <v>2.9371046515963064</v>
      </c>
      <c r="AY402" s="102">
        <f t="shared" si="53"/>
        <v>0</v>
      </c>
      <c r="AZ402" s="102">
        <f t="shared" si="54"/>
        <v>1</v>
      </c>
    </row>
    <row r="403" spans="1:52" x14ac:dyDescent="0.35">
      <c r="A403" t="s">
        <v>627</v>
      </c>
      <c r="B403">
        <v>2025</v>
      </c>
      <c r="C403" t="s">
        <v>837</v>
      </c>
      <c r="D403" t="s">
        <v>1073</v>
      </c>
      <c r="E403" t="s">
        <v>1026</v>
      </c>
      <c r="F403" t="s">
        <v>989</v>
      </c>
      <c r="G403" t="s">
        <v>978</v>
      </c>
      <c r="H403" s="198">
        <v>56372.671891520004</v>
      </c>
      <c r="I403" s="198">
        <v>0</v>
      </c>
      <c r="J403" s="198">
        <v>25556.846957547172</v>
      </c>
      <c r="K403" s="198">
        <v>8822.5113569999994</v>
      </c>
      <c r="L403" s="198">
        <v>0</v>
      </c>
      <c r="M403" s="198">
        <v>4057.5979899999998</v>
      </c>
      <c r="N403" s="198">
        <v>50</v>
      </c>
      <c r="O403" s="198">
        <v>0</v>
      </c>
      <c r="P403" s="198">
        <v>5394.5967848999999</v>
      </c>
      <c r="Q403" s="198">
        <v>0</v>
      </c>
      <c r="R403" s="198">
        <v>0</v>
      </c>
      <c r="S403" s="198">
        <v>3765</v>
      </c>
      <c r="T403" s="198">
        <v>0</v>
      </c>
      <c r="U403" s="198">
        <v>2000</v>
      </c>
      <c r="V403" s="198">
        <v>4500</v>
      </c>
      <c r="W403" s="198">
        <v>233.3</v>
      </c>
      <c r="X403" s="198">
        <v>1500</v>
      </c>
      <c r="Y403" s="198">
        <v>186</v>
      </c>
      <c r="Z403" s="277">
        <v>112438.52498096717</v>
      </c>
      <c r="AA403" s="272">
        <v>14.703823760000001</v>
      </c>
      <c r="AB403" s="198">
        <v>9.1350515139743482</v>
      </c>
      <c r="AC403" s="272">
        <v>0</v>
      </c>
      <c r="AD403" s="198">
        <v>0</v>
      </c>
      <c r="AE403" s="198">
        <v>9.1350515139743482</v>
      </c>
      <c r="AF403" s="198">
        <v>0</v>
      </c>
      <c r="AG403" s="198">
        <v>0</v>
      </c>
      <c r="AH403" s="198">
        <v>0</v>
      </c>
      <c r="AI403" s="198">
        <v>0</v>
      </c>
      <c r="AJ403" s="198">
        <v>0</v>
      </c>
      <c r="AK403" s="198">
        <v>0</v>
      </c>
      <c r="AL403" s="198">
        <v>0</v>
      </c>
      <c r="AM403" s="198">
        <v>8.5399789784061403E-2</v>
      </c>
      <c r="AN403" s="198">
        <v>2.1824390722593505E-2</v>
      </c>
      <c r="AO403" s="198">
        <v>0</v>
      </c>
      <c r="AP403" s="198">
        <v>3.1203764459240661E-3</v>
      </c>
      <c r="AQ403" s="198">
        <v>3.901189870045643E-3</v>
      </c>
      <c r="AS403" s="258">
        <f t="shared" si="48"/>
        <v>150836.28126196744</v>
      </c>
      <c r="AT403" s="3">
        <f t="shared" si="49"/>
        <v>15.996867419024895</v>
      </c>
      <c r="AU403" s="3">
        <f t="shared" si="55"/>
        <v>6.1746987013632886</v>
      </c>
      <c r="AV403" s="3">
        <f t="shared" si="50"/>
        <v>0</v>
      </c>
      <c r="AW403" s="3">
        <f t="shared" si="51"/>
        <v>0</v>
      </c>
      <c r="AX403" s="3">
        <f t="shared" si="52"/>
        <v>6.1746987013632886</v>
      </c>
      <c r="AY403" s="102">
        <f t="shared" si="53"/>
        <v>1</v>
      </c>
      <c r="AZ403" s="102">
        <f t="shared" si="54"/>
        <v>0</v>
      </c>
    </row>
    <row r="404" spans="1:52" x14ac:dyDescent="0.35">
      <c r="A404" t="s">
        <v>1065</v>
      </c>
      <c r="B404">
        <v>2025</v>
      </c>
      <c r="C404" t="s">
        <v>837</v>
      </c>
      <c r="D404" t="s">
        <v>1073</v>
      </c>
      <c r="E404" t="s">
        <v>1026</v>
      </c>
      <c r="F404" t="s">
        <v>989</v>
      </c>
      <c r="G404" t="s">
        <v>978</v>
      </c>
      <c r="H404" s="198">
        <v>56372.671891520004</v>
      </c>
      <c r="I404" s="198">
        <v>0</v>
      </c>
      <c r="J404" s="198">
        <v>15827.171405660378</v>
      </c>
      <c r="K404" s="198">
        <v>9204.2759159999987</v>
      </c>
      <c r="L404" s="198">
        <v>0</v>
      </c>
      <c r="M404" s="198">
        <v>3082.2719999999999</v>
      </c>
      <c r="N404" s="198">
        <v>50</v>
      </c>
      <c r="O404" s="198">
        <v>0</v>
      </c>
      <c r="P404" s="198">
        <v>5364.2339765999996</v>
      </c>
      <c r="Q404" s="198">
        <v>0</v>
      </c>
      <c r="R404" s="198">
        <v>0</v>
      </c>
      <c r="S404" s="198">
        <v>3754</v>
      </c>
      <c r="T404" s="198">
        <v>0</v>
      </c>
      <c r="U404" s="198">
        <v>2000</v>
      </c>
      <c r="V404" s="198">
        <v>4500</v>
      </c>
      <c r="W404" s="198">
        <v>233.3</v>
      </c>
      <c r="X404" s="198">
        <v>1500</v>
      </c>
      <c r="Y404" s="198">
        <v>186</v>
      </c>
      <c r="Z404" s="277">
        <v>102073.92518978038</v>
      </c>
      <c r="AA404" s="272">
        <v>15.26315247</v>
      </c>
      <c r="AB404" s="198">
        <v>8.8002912742966277</v>
      </c>
      <c r="AC404" s="272">
        <v>0</v>
      </c>
      <c r="AD404" s="198">
        <v>0</v>
      </c>
      <c r="AE404" s="198">
        <v>8.8002912742966277</v>
      </c>
      <c r="AF404" s="198">
        <v>0</v>
      </c>
      <c r="AG404" s="198">
        <v>0</v>
      </c>
      <c r="AH404" s="198">
        <v>0</v>
      </c>
      <c r="AI404" s="198">
        <v>0</v>
      </c>
      <c r="AJ404" s="198">
        <v>0</v>
      </c>
      <c r="AK404" s="198">
        <v>0</v>
      </c>
      <c r="AL404" s="198">
        <v>0</v>
      </c>
      <c r="AM404" s="198">
        <v>8.2270255806852169E-2</v>
      </c>
      <c r="AN404" s="198">
        <v>2.1024620928417812E-2</v>
      </c>
      <c r="AO404" s="198">
        <v>0</v>
      </c>
      <c r="AP404" s="198">
        <v>3.0060281069656802E-3</v>
      </c>
      <c r="AQ404" s="198">
        <v>3.7582280866416875E-3</v>
      </c>
      <c r="AS404" s="258">
        <f t="shared" si="48"/>
        <v>136932.17064209038</v>
      </c>
      <c r="AT404" s="3">
        <f t="shared" si="49"/>
        <v>15.410651220561917</v>
      </c>
      <c r="AU404" s="3">
        <f t="shared" si="55"/>
        <v>5.9484226246445049</v>
      </c>
      <c r="AV404" s="3">
        <f t="shared" si="50"/>
        <v>0</v>
      </c>
      <c r="AW404" s="3">
        <f t="shared" si="51"/>
        <v>0</v>
      </c>
      <c r="AX404" s="3">
        <f t="shared" si="52"/>
        <v>5.9484226246445049</v>
      </c>
      <c r="AY404" s="102">
        <f t="shared" si="53"/>
        <v>1</v>
      </c>
      <c r="AZ404" s="102">
        <f t="shared" si="54"/>
        <v>0</v>
      </c>
    </row>
    <row r="405" spans="1:52" x14ac:dyDescent="0.35">
      <c r="A405" t="s">
        <v>1017</v>
      </c>
      <c r="B405">
        <v>2030</v>
      </c>
      <c r="C405" t="s">
        <v>837</v>
      </c>
      <c r="D405" t="s">
        <v>1073</v>
      </c>
      <c r="E405" t="s">
        <v>1026</v>
      </c>
      <c r="F405" t="s">
        <v>983</v>
      </c>
      <c r="G405" t="s">
        <v>978</v>
      </c>
      <c r="H405" s="198">
        <v>56789.42325408</v>
      </c>
      <c r="I405" s="198">
        <v>15903</v>
      </c>
      <c r="J405" s="198">
        <v>0</v>
      </c>
      <c r="K405" s="198">
        <v>0</v>
      </c>
      <c r="L405" s="198">
        <v>120</v>
      </c>
      <c r="M405" s="198">
        <v>0</v>
      </c>
      <c r="N405" s="198">
        <v>0</v>
      </c>
      <c r="O405" s="198">
        <v>150</v>
      </c>
      <c r="P405" s="198">
        <v>0</v>
      </c>
      <c r="Q405" s="198">
        <v>0</v>
      </c>
      <c r="R405" s="198">
        <v>73.2</v>
      </c>
      <c r="S405" s="198">
        <v>6336</v>
      </c>
      <c r="T405" s="198">
        <v>506</v>
      </c>
      <c r="U405" s="198">
        <v>2000</v>
      </c>
      <c r="V405" s="198">
        <v>1920</v>
      </c>
      <c r="W405" s="198">
        <v>0</v>
      </c>
      <c r="X405" s="198">
        <v>0</v>
      </c>
      <c r="Y405" s="198">
        <v>186</v>
      </c>
      <c r="Z405" s="277">
        <v>83983.623254079997</v>
      </c>
      <c r="AA405" s="272">
        <v>7.8772614380000006</v>
      </c>
      <c r="AB405" s="198">
        <v>17.051635083740891</v>
      </c>
      <c r="AC405" s="272">
        <v>0</v>
      </c>
      <c r="AD405" s="198">
        <v>0</v>
      </c>
      <c r="AE405" s="198">
        <v>17.051635083740891</v>
      </c>
      <c r="AF405" s="198">
        <v>1276.4092684977802</v>
      </c>
      <c r="AG405" s="198">
        <v>0.5611320152696575</v>
      </c>
      <c r="AH405" s="198">
        <v>2.9649246670527991E-3</v>
      </c>
      <c r="AI405" s="198">
        <v>1294.0289338681619</v>
      </c>
      <c r="AJ405" s="198">
        <v>0.54449290357284352</v>
      </c>
      <c r="AK405" s="198">
        <v>12.706152206277716</v>
      </c>
      <c r="AL405" s="198">
        <v>0.59488964367850139</v>
      </c>
      <c r="AM405" s="198">
        <v>0.10692897738002166</v>
      </c>
      <c r="AN405" s="198">
        <v>4.3966389473410743E-2</v>
      </c>
      <c r="AO405" s="198">
        <v>8.8033465441663961E-3</v>
      </c>
      <c r="AP405" s="198">
        <v>7.3054251982730767E-3</v>
      </c>
      <c r="AQ405" s="198">
        <v>6.9388593782238649E-3</v>
      </c>
      <c r="AS405" s="258">
        <f t="shared" si="48"/>
        <v>112664.0305953483</v>
      </c>
      <c r="AT405" s="3">
        <f t="shared" si="49"/>
        <v>29.860011768398046</v>
      </c>
      <c r="AU405" s="3">
        <f t="shared" si="55"/>
        <v>11.525792585474761</v>
      </c>
      <c r="AV405" s="3">
        <f t="shared" si="50"/>
        <v>0</v>
      </c>
      <c r="AW405" s="3">
        <f t="shared" si="51"/>
        <v>0</v>
      </c>
      <c r="AX405" s="3">
        <f t="shared" si="52"/>
        <v>11.525792585474761</v>
      </c>
      <c r="AY405" s="102">
        <f t="shared" si="53"/>
        <v>1</v>
      </c>
      <c r="AZ405" s="102">
        <f t="shared" si="54"/>
        <v>0</v>
      </c>
    </row>
    <row r="406" spans="1:52" x14ac:dyDescent="0.35">
      <c r="A406" t="s">
        <v>1020</v>
      </c>
      <c r="B406">
        <v>2030</v>
      </c>
      <c r="C406" t="s">
        <v>837</v>
      </c>
      <c r="D406" t="s">
        <v>1073</v>
      </c>
      <c r="E406" t="s">
        <v>1026</v>
      </c>
      <c r="F406" t="s">
        <v>983</v>
      </c>
      <c r="G406" t="s">
        <v>978</v>
      </c>
      <c r="H406" s="198">
        <v>56789.42325408</v>
      </c>
      <c r="I406" s="198">
        <v>15944</v>
      </c>
      <c r="J406" s="198">
        <v>0</v>
      </c>
      <c r="K406" s="198">
        <v>0</v>
      </c>
      <c r="L406" s="198">
        <v>150</v>
      </c>
      <c r="M406" s="198">
        <v>946.77286425</v>
      </c>
      <c r="N406" s="198">
        <v>40</v>
      </c>
      <c r="O406" s="198">
        <v>150</v>
      </c>
      <c r="P406" s="198">
        <v>1401.75051321</v>
      </c>
      <c r="Q406" s="198">
        <v>0</v>
      </c>
      <c r="R406" s="198">
        <v>0</v>
      </c>
      <c r="S406" s="198">
        <v>6349</v>
      </c>
      <c r="T406" s="198">
        <v>392</v>
      </c>
      <c r="U406" s="198">
        <v>2000</v>
      </c>
      <c r="V406" s="198">
        <v>4720</v>
      </c>
      <c r="W406" s="198">
        <v>173.28</v>
      </c>
      <c r="X406" s="198">
        <v>1500</v>
      </c>
      <c r="Y406" s="198">
        <v>186</v>
      </c>
      <c r="Z406" s="277">
        <v>90742.226631540005</v>
      </c>
      <c r="AA406" s="272">
        <v>10.10570429</v>
      </c>
      <c r="AB406" s="198">
        <v>13.291521663949263</v>
      </c>
      <c r="AC406" s="272">
        <v>0</v>
      </c>
      <c r="AD406" s="198">
        <v>0</v>
      </c>
      <c r="AE406" s="198">
        <v>13.291521663949263</v>
      </c>
      <c r="AF406" s="198">
        <v>994.94396642822721</v>
      </c>
      <c r="AG406" s="198">
        <v>0.43739490674438686</v>
      </c>
      <c r="AH406" s="198">
        <v>2.3111191537101669E-3</v>
      </c>
      <c r="AI406" s="198">
        <v>1008.6782601092638</v>
      </c>
      <c r="AJ406" s="198">
        <v>0.42442494154744481</v>
      </c>
      <c r="AK406" s="198">
        <v>9.9042758354717364</v>
      </c>
      <c r="AL406" s="198">
        <v>0.46370852694070064</v>
      </c>
      <c r="AM406" s="198">
        <v>8.334970883265562E-2</v>
      </c>
      <c r="AN406" s="198">
        <v>3.4271213012803045E-2</v>
      </c>
      <c r="AO406" s="198">
        <v>6.8620909802727375E-3</v>
      </c>
      <c r="AP406" s="198">
        <v>5.6944813098771174E-3</v>
      </c>
      <c r="AQ406" s="198">
        <v>5.4087481520585347E-3</v>
      </c>
      <c r="AS406" s="258">
        <f t="shared" si="48"/>
        <v>121730.69702621091</v>
      </c>
      <c r="AT406" s="3">
        <f t="shared" si="49"/>
        <v>23.275480114155222</v>
      </c>
      <c r="AU406" s="3">
        <f t="shared" si="55"/>
        <v>8.9842012857816016</v>
      </c>
      <c r="AV406" s="3">
        <f t="shared" si="50"/>
        <v>0</v>
      </c>
      <c r="AW406" s="3">
        <f t="shared" si="51"/>
        <v>0</v>
      </c>
      <c r="AX406" s="3">
        <f t="shared" si="52"/>
        <v>8.9842012857816016</v>
      </c>
      <c r="AY406" s="102">
        <f t="shared" si="53"/>
        <v>1</v>
      </c>
      <c r="AZ406" s="102">
        <f t="shared" si="54"/>
        <v>0</v>
      </c>
    </row>
    <row r="407" spans="1:52" x14ac:dyDescent="0.35">
      <c r="A407" t="s">
        <v>1021</v>
      </c>
      <c r="B407">
        <v>2030</v>
      </c>
      <c r="C407" t="s">
        <v>837</v>
      </c>
      <c r="D407" t="s">
        <v>1073</v>
      </c>
      <c r="E407" t="s">
        <v>1026</v>
      </c>
      <c r="F407" t="s">
        <v>983</v>
      </c>
      <c r="G407" t="s">
        <v>978</v>
      </c>
      <c r="H407" s="198">
        <v>56789.42325408</v>
      </c>
      <c r="I407" s="198">
        <v>11102</v>
      </c>
      <c r="J407" s="198">
        <v>0</v>
      </c>
      <c r="K407" s="198">
        <v>0</v>
      </c>
      <c r="L407" s="198">
        <v>0</v>
      </c>
      <c r="M407" s="198">
        <v>16508.625</v>
      </c>
      <c r="N407" s="198">
        <v>40</v>
      </c>
      <c r="O407" s="198">
        <v>0</v>
      </c>
      <c r="P407" s="198">
        <v>4209.6060960000004</v>
      </c>
      <c r="Q407" s="198">
        <v>0</v>
      </c>
      <c r="R407" s="198">
        <v>2589.4118390100002</v>
      </c>
      <c r="S407" s="198">
        <v>3725</v>
      </c>
      <c r="T407" s="198">
        <v>0</v>
      </c>
      <c r="U407" s="198">
        <v>2000</v>
      </c>
      <c r="V407" s="198">
        <v>4720</v>
      </c>
      <c r="W407" s="198">
        <v>173.28</v>
      </c>
      <c r="X407" s="198">
        <v>1500</v>
      </c>
      <c r="Y407" s="198">
        <v>186</v>
      </c>
      <c r="Z407" s="277">
        <v>103543.34618909001</v>
      </c>
      <c r="AA407" s="272">
        <v>56.639573100000014</v>
      </c>
      <c r="AB407" s="198">
        <v>2.3714901110368714</v>
      </c>
      <c r="AC407" s="272">
        <v>1007.2</v>
      </c>
      <c r="AD407" s="198">
        <v>3.6259200000000003</v>
      </c>
      <c r="AE407" s="198">
        <v>5.9974101110368716</v>
      </c>
      <c r="AF407" s="198">
        <v>177.5191612424662</v>
      </c>
      <c r="AG407" s="198">
        <v>7.804055263105257E-2</v>
      </c>
      <c r="AH407" s="198">
        <v>4.1235280331500235E-4</v>
      </c>
      <c r="AI407" s="198">
        <v>179.96965129696434</v>
      </c>
      <c r="AJ407" s="198">
        <v>7.5726435031675976E-2</v>
      </c>
      <c r="AK407" s="198">
        <v>1.7671334249493142</v>
      </c>
      <c r="AL407" s="198">
        <v>8.2735462037128574E-2</v>
      </c>
      <c r="AM407" s="198">
        <v>6.8478353445658516E-2</v>
      </c>
      <c r="AN407" s="198">
        <v>1.9814278047896115E-2</v>
      </c>
      <c r="AO407" s="198">
        <v>1.2243429542676497E-3</v>
      </c>
      <c r="AP407" s="198">
        <v>2.9747333029869279E-3</v>
      </c>
      <c r="AQ407" s="198">
        <v>3.413883142858766E-3</v>
      </c>
      <c r="AS407" s="258">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102">
        <f t="shared" si="53"/>
        <v>0.41570645286456875</v>
      </c>
      <c r="AZ407" s="102">
        <f t="shared" si="54"/>
        <v>0.58429354713543125</v>
      </c>
    </row>
    <row r="408" spans="1:52" x14ac:dyDescent="0.35">
      <c r="A408" t="s">
        <v>246</v>
      </c>
      <c r="B408">
        <v>2030</v>
      </c>
      <c r="C408" t="s">
        <v>837</v>
      </c>
      <c r="D408" t="s">
        <v>1073</v>
      </c>
      <c r="E408" t="s">
        <v>1026</v>
      </c>
      <c r="F408" t="s">
        <v>977</v>
      </c>
      <c r="G408" t="s">
        <v>978</v>
      </c>
      <c r="H408" s="198">
        <v>56789.42325408</v>
      </c>
      <c r="I408" s="198">
        <v>0</v>
      </c>
      <c r="J408" s="198">
        <v>0</v>
      </c>
      <c r="K408" s="198">
        <v>0</v>
      </c>
      <c r="L408" s="198">
        <v>0</v>
      </c>
      <c r="M408" s="198">
        <v>31788.412499999999</v>
      </c>
      <c r="N408" s="198">
        <v>40</v>
      </c>
      <c r="O408" s="198">
        <v>0</v>
      </c>
      <c r="P408" s="198">
        <v>4265.1788826900001</v>
      </c>
      <c r="Q408" s="198">
        <v>0</v>
      </c>
      <c r="R408" s="198">
        <v>0</v>
      </c>
      <c r="S408" s="198">
        <v>3752</v>
      </c>
      <c r="T408" s="198">
        <v>0</v>
      </c>
      <c r="U408" s="198">
        <v>2000</v>
      </c>
      <c r="V408" s="198">
        <v>4500</v>
      </c>
      <c r="W408" s="198">
        <v>173.28</v>
      </c>
      <c r="X408" s="198">
        <v>1500</v>
      </c>
      <c r="Y408" s="198">
        <v>186</v>
      </c>
      <c r="Z408" s="277">
        <v>104994.29463677001</v>
      </c>
      <c r="AA408" s="272">
        <v>0</v>
      </c>
      <c r="AB408" s="198">
        <v>0</v>
      </c>
      <c r="AC408" s="272">
        <v>1229</v>
      </c>
      <c r="AD408" s="198">
        <v>4.4243999999999994</v>
      </c>
      <c r="AE408" s="198">
        <v>4.4243999999999994</v>
      </c>
      <c r="AF408" s="198">
        <v>0</v>
      </c>
      <c r="AG408" s="198">
        <v>0</v>
      </c>
      <c r="AH408" s="198">
        <v>0</v>
      </c>
      <c r="AI408" s="198">
        <v>0</v>
      </c>
      <c r="AJ408" s="198">
        <v>0</v>
      </c>
      <c r="AK408" s="198">
        <v>0</v>
      </c>
      <c r="AL408" s="198">
        <v>0</v>
      </c>
      <c r="AM408" s="198">
        <v>6.5412027730894357E-2</v>
      </c>
      <c r="AN408" s="198">
        <v>1.6716407086784069E-2</v>
      </c>
      <c r="AO408" s="198">
        <v>0</v>
      </c>
      <c r="AP408" s="198">
        <v>2.3900544852360666E-3</v>
      </c>
      <c r="AQ408" s="198">
        <v>2.9881190645569271E-3</v>
      </c>
      <c r="AS408" s="258">
        <f t="shared" si="48"/>
        <v>140849.84625522696</v>
      </c>
      <c r="AT408" s="3">
        <f t="shared" si="49"/>
        <v>0</v>
      </c>
      <c r="AU408" s="3">
        <f t="shared" si="55"/>
        <v>0</v>
      </c>
      <c r="AV408" s="3">
        <f t="shared" si="50"/>
        <v>76.366709334261245</v>
      </c>
      <c r="AW408" s="3">
        <f t="shared" si="51"/>
        <v>2.749201536033405</v>
      </c>
      <c r="AX408" s="3">
        <f t="shared" si="52"/>
        <v>2.749201536033405</v>
      </c>
      <c r="AY408" s="102">
        <f t="shared" si="53"/>
        <v>0</v>
      </c>
      <c r="AZ408" s="102">
        <f t="shared" si="54"/>
        <v>1</v>
      </c>
    </row>
    <row r="409" spans="1:52" x14ac:dyDescent="0.35">
      <c r="A409" t="s">
        <v>627</v>
      </c>
      <c r="B409">
        <v>2030</v>
      </c>
      <c r="C409" t="s">
        <v>837</v>
      </c>
      <c r="D409" t="s">
        <v>1073</v>
      </c>
      <c r="E409" t="s">
        <v>1026</v>
      </c>
      <c r="F409" t="s">
        <v>989</v>
      </c>
      <c r="G409" t="s">
        <v>978</v>
      </c>
      <c r="H409" s="198">
        <v>56789.42325408</v>
      </c>
      <c r="I409" s="198">
        <v>0</v>
      </c>
      <c r="J409" s="198">
        <v>20316.657837735849</v>
      </c>
      <c r="K409" s="198">
        <v>7657.2734700000001</v>
      </c>
      <c r="L409" s="198">
        <v>0</v>
      </c>
      <c r="M409" s="198">
        <v>3922.344724</v>
      </c>
      <c r="N409" s="198">
        <v>40</v>
      </c>
      <c r="O409" s="198">
        <v>0</v>
      </c>
      <c r="P409" s="198">
        <v>4265.1788826900001</v>
      </c>
      <c r="Q409" s="198">
        <v>0</v>
      </c>
      <c r="R409" s="198">
        <v>0</v>
      </c>
      <c r="S409" s="198">
        <v>3752</v>
      </c>
      <c r="T409" s="198">
        <v>0</v>
      </c>
      <c r="U409" s="198">
        <v>2000</v>
      </c>
      <c r="V409" s="198">
        <v>4500</v>
      </c>
      <c r="W409" s="198">
        <v>173.28</v>
      </c>
      <c r="X409" s="198">
        <v>1500</v>
      </c>
      <c r="Y409" s="198">
        <v>186</v>
      </c>
      <c r="Z409" s="277">
        <v>105102.15816850585</v>
      </c>
      <c r="AA409" s="272">
        <v>15.62247715</v>
      </c>
      <c r="AB409" s="198">
        <v>8.5978802343775556</v>
      </c>
      <c r="AC409" s="272">
        <v>0</v>
      </c>
      <c r="AD409" s="198">
        <v>0</v>
      </c>
      <c r="AE409" s="198">
        <v>8.5978802343775556</v>
      </c>
      <c r="AF409" s="198">
        <v>0</v>
      </c>
      <c r="AG409" s="198">
        <v>0</v>
      </c>
      <c r="AH409" s="198">
        <v>0</v>
      </c>
      <c r="AI409" s="198">
        <v>0</v>
      </c>
      <c r="AJ409" s="198">
        <v>0</v>
      </c>
      <c r="AK409" s="198">
        <v>0</v>
      </c>
      <c r="AL409" s="198">
        <v>0</v>
      </c>
      <c r="AM409" s="198">
        <v>8.0377999344738188E-2</v>
      </c>
      <c r="AN409" s="198">
        <v>2.0541044276988683E-2</v>
      </c>
      <c r="AO409" s="198">
        <v>0</v>
      </c>
      <c r="AP409" s="198">
        <v>2.9368879778276804E-3</v>
      </c>
      <c r="AQ409" s="198">
        <v>3.6717869869599038E-3</v>
      </c>
      <c r="AS409" s="258">
        <f t="shared" si="48"/>
        <v>140994.54518305059</v>
      </c>
      <c r="AT409" s="3">
        <f t="shared" si="49"/>
        <v>15.056198641418922</v>
      </c>
      <c r="AU409" s="3">
        <f t="shared" si="55"/>
        <v>5.8116059703084062</v>
      </c>
      <c r="AV409" s="3">
        <f t="shared" si="50"/>
        <v>0</v>
      </c>
      <c r="AW409" s="3">
        <f t="shared" si="51"/>
        <v>0</v>
      </c>
      <c r="AX409" s="3">
        <f t="shared" si="52"/>
        <v>5.8116059703084062</v>
      </c>
      <c r="AY409" s="102">
        <f t="shared" si="53"/>
        <v>1</v>
      </c>
      <c r="AZ409" s="102">
        <f t="shared" si="54"/>
        <v>0</v>
      </c>
    </row>
    <row r="410" spans="1:52" x14ac:dyDescent="0.35">
      <c r="A410" t="s">
        <v>1065</v>
      </c>
      <c r="B410">
        <v>2030</v>
      </c>
      <c r="C410" t="s">
        <v>837</v>
      </c>
      <c r="D410" t="s">
        <v>1073</v>
      </c>
      <c r="E410" t="s">
        <v>1026</v>
      </c>
      <c r="F410" t="s">
        <v>989</v>
      </c>
      <c r="G410" t="s">
        <v>978</v>
      </c>
      <c r="H410" s="198">
        <v>56789.42325408</v>
      </c>
      <c r="I410" s="198">
        <v>0</v>
      </c>
      <c r="J410" s="198">
        <v>11642.439532075472</v>
      </c>
      <c r="K410" s="198">
        <v>8010.3305700000001</v>
      </c>
      <c r="L410" s="198">
        <v>0</v>
      </c>
      <c r="M410" s="198">
        <v>2705.9249999999997</v>
      </c>
      <c r="N410" s="198">
        <v>40</v>
      </c>
      <c r="O410" s="198">
        <v>0</v>
      </c>
      <c r="P410" s="198">
        <v>4212.9531531900002</v>
      </c>
      <c r="Q410" s="198">
        <v>0</v>
      </c>
      <c r="R410" s="198">
        <v>0</v>
      </c>
      <c r="S410" s="198">
        <v>3727</v>
      </c>
      <c r="T410" s="198">
        <v>0</v>
      </c>
      <c r="U410" s="198">
        <v>2000</v>
      </c>
      <c r="V410" s="198">
        <v>4500</v>
      </c>
      <c r="W410" s="198">
        <v>173.28</v>
      </c>
      <c r="X410" s="198">
        <v>1500</v>
      </c>
      <c r="Y410" s="198">
        <v>186</v>
      </c>
      <c r="Z410" s="277">
        <v>95487.351509345477</v>
      </c>
      <c r="AA410" s="272">
        <v>16.270935260000002</v>
      </c>
      <c r="AB410" s="198">
        <v>8.2552222938412712</v>
      </c>
      <c r="AC410" s="272">
        <v>0</v>
      </c>
      <c r="AD410" s="198">
        <v>0</v>
      </c>
      <c r="AE410" s="198">
        <v>8.2552222938412712</v>
      </c>
      <c r="AF410" s="198">
        <v>0</v>
      </c>
      <c r="AG410" s="198">
        <v>0</v>
      </c>
      <c r="AH410" s="198">
        <v>0</v>
      </c>
      <c r="AI410" s="198">
        <v>0</v>
      </c>
      <c r="AJ410" s="198">
        <v>0</v>
      </c>
      <c r="AK410" s="198">
        <v>0</v>
      </c>
      <c r="AL410" s="198">
        <v>0</v>
      </c>
      <c r="AM410" s="198">
        <v>7.7174633053385247E-2</v>
      </c>
      <c r="AN410" s="198">
        <v>1.972240622475404E-2</v>
      </c>
      <c r="AO410" s="198">
        <v>0</v>
      </c>
      <c r="AP410" s="198">
        <v>2.8198419201209855E-3</v>
      </c>
      <c r="AQ410" s="198">
        <v>3.5254524332394431E-3</v>
      </c>
      <c r="AS410" s="258">
        <f t="shared" si="48"/>
        <v>128096.28204978695</v>
      </c>
      <c r="AT410" s="3">
        <f t="shared" si="49"/>
        <v>14.456152365111686</v>
      </c>
      <c r="AU410" s="3">
        <f t="shared" si="55"/>
        <v>5.5799915631860655</v>
      </c>
      <c r="AV410" s="3">
        <f t="shared" si="50"/>
        <v>0</v>
      </c>
      <c r="AW410" s="3">
        <f t="shared" si="51"/>
        <v>0</v>
      </c>
      <c r="AX410" s="3">
        <f t="shared" si="52"/>
        <v>5.5799915631860655</v>
      </c>
      <c r="AY410" s="102">
        <f t="shared" si="53"/>
        <v>1</v>
      </c>
      <c r="AZ410" s="102">
        <f t="shared" si="54"/>
        <v>0</v>
      </c>
    </row>
    <row r="411" spans="1:52" x14ac:dyDescent="0.35">
      <c r="A411" t="s">
        <v>1017</v>
      </c>
      <c r="B411">
        <v>2035</v>
      </c>
      <c r="C411" t="s">
        <v>837</v>
      </c>
      <c r="D411" t="s">
        <v>1073</v>
      </c>
      <c r="E411" t="s">
        <v>1026</v>
      </c>
      <c r="F411" t="s">
        <v>983</v>
      </c>
      <c r="G411" t="s">
        <v>978</v>
      </c>
      <c r="H411" s="198">
        <v>56789.42325408</v>
      </c>
      <c r="I411" s="198">
        <v>16019</v>
      </c>
      <c r="J411" s="198">
        <v>0</v>
      </c>
      <c r="K411" s="198">
        <v>0</v>
      </c>
      <c r="L411" s="198">
        <v>120</v>
      </c>
      <c r="M411" s="198">
        <v>0</v>
      </c>
      <c r="N411" s="198">
        <v>0</v>
      </c>
      <c r="O411" s="198">
        <v>150</v>
      </c>
      <c r="P411" s="198">
        <v>0</v>
      </c>
      <c r="Q411" s="198">
        <v>0</v>
      </c>
      <c r="R411" s="198">
        <v>62.6</v>
      </c>
      <c r="S411" s="198">
        <v>6300</v>
      </c>
      <c r="T411" s="198">
        <v>506</v>
      </c>
      <c r="U411" s="198">
        <v>2000</v>
      </c>
      <c r="V411" s="198">
        <v>1920</v>
      </c>
      <c r="W411" s="198">
        <v>0</v>
      </c>
      <c r="X411" s="198">
        <v>0</v>
      </c>
      <c r="Y411" s="198">
        <v>186</v>
      </c>
      <c r="Z411" s="277">
        <v>84053.023254080006</v>
      </c>
      <c r="AA411" s="272">
        <v>8.2539804500000002</v>
      </c>
      <c r="AB411" s="198">
        <v>16.273383286242218</v>
      </c>
      <c r="AC411" s="272">
        <v>0</v>
      </c>
      <c r="AD411" s="198">
        <v>0</v>
      </c>
      <c r="AE411" s="198">
        <v>16.273383286242218</v>
      </c>
      <c r="AF411" s="198">
        <v>1218.1528137546477</v>
      </c>
      <c r="AG411" s="198">
        <v>0.53552145080630775</v>
      </c>
      <c r="AH411" s="198">
        <v>2.8296028671051681E-3</v>
      </c>
      <c r="AI411" s="198">
        <v>1234.9683019198239</v>
      </c>
      <c r="AJ411" s="198">
        <v>0.51964176297255626</v>
      </c>
      <c r="AK411" s="198">
        <v>12.126232113848788</v>
      </c>
      <c r="AL411" s="198">
        <v>0.56773835101756509</v>
      </c>
      <c r="AM411" s="198">
        <v>0.10204864370867499</v>
      </c>
      <c r="AN411" s="198">
        <v>4.1959724337242356E-2</v>
      </c>
      <c r="AO411" s="198">
        <v>8.4015539748113297E-3</v>
      </c>
      <c r="AP411" s="198">
        <v>6.9719990919714396E-3</v>
      </c>
      <c r="AQ411" s="198">
        <v>6.6221636621137756E-3</v>
      </c>
      <c r="AS411" s="258">
        <f t="shared" si="48"/>
        <v>112757.13069534831</v>
      </c>
      <c r="AT411" s="3">
        <f t="shared" si="49"/>
        <v>28.497174262319476</v>
      </c>
      <c r="AU411" s="3">
        <f t="shared" si="55"/>
        <v>10.999745156404707</v>
      </c>
      <c r="AV411" s="3">
        <f t="shared" si="50"/>
        <v>0</v>
      </c>
      <c r="AW411" s="3">
        <f t="shared" si="51"/>
        <v>0</v>
      </c>
      <c r="AX411" s="3">
        <f t="shared" si="52"/>
        <v>10.999745156404707</v>
      </c>
      <c r="AY411" s="102">
        <f t="shared" si="53"/>
        <v>1</v>
      </c>
      <c r="AZ411" s="102">
        <f t="shared" si="54"/>
        <v>0</v>
      </c>
    </row>
    <row r="412" spans="1:52" x14ac:dyDescent="0.35">
      <c r="A412" t="s">
        <v>1020</v>
      </c>
      <c r="B412">
        <v>2035</v>
      </c>
      <c r="C412" t="s">
        <v>837</v>
      </c>
      <c r="D412" t="s">
        <v>1073</v>
      </c>
      <c r="E412" t="s">
        <v>1026</v>
      </c>
      <c r="F412" t="s">
        <v>983</v>
      </c>
      <c r="G412" t="s">
        <v>978</v>
      </c>
      <c r="H412" s="198">
        <v>56789.42325408</v>
      </c>
      <c r="I412" s="198">
        <v>16001</v>
      </c>
      <c r="J412" s="198">
        <v>0</v>
      </c>
      <c r="K412" s="198">
        <v>0</v>
      </c>
      <c r="L412" s="198">
        <v>150</v>
      </c>
      <c r="M412" s="198">
        <v>896.94271350000008</v>
      </c>
      <c r="N412" s="198">
        <v>35</v>
      </c>
      <c r="O412" s="198">
        <v>150</v>
      </c>
      <c r="P412" s="198">
        <v>1217.5948122899999</v>
      </c>
      <c r="Q412" s="198">
        <v>0</v>
      </c>
      <c r="R412" s="198">
        <v>0</v>
      </c>
      <c r="S412" s="198">
        <v>6295</v>
      </c>
      <c r="T412" s="198">
        <v>392</v>
      </c>
      <c r="U412" s="198">
        <v>2000</v>
      </c>
      <c r="V412" s="198">
        <v>4720</v>
      </c>
      <c r="W412" s="198">
        <v>140</v>
      </c>
      <c r="X412" s="198">
        <v>1500</v>
      </c>
      <c r="Y412" s="198">
        <v>186</v>
      </c>
      <c r="Z412" s="277">
        <v>90472.960779870002</v>
      </c>
      <c r="AA412" s="272">
        <v>10.64098914</v>
      </c>
      <c r="AB412" s="198">
        <v>12.622904293275127</v>
      </c>
      <c r="AC412" s="272">
        <v>0</v>
      </c>
      <c r="AD412" s="198">
        <v>0</v>
      </c>
      <c r="AE412" s="198">
        <v>12.622904293275127</v>
      </c>
      <c r="AF412" s="198">
        <v>944.89425537026261</v>
      </c>
      <c r="AG412" s="198">
        <v>0.41539217147541413</v>
      </c>
      <c r="AH412" s="198">
        <v>2.1948605001912446E-3</v>
      </c>
      <c r="AI412" s="198">
        <v>957.9376584549284</v>
      </c>
      <c r="AJ412" s="198">
        <v>0.40307464805654453</v>
      </c>
      <c r="AK412" s="198">
        <v>9.406050648395837</v>
      </c>
      <c r="AL412" s="198">
        <v>0.44038211000506844</v>
      </c>
      <c r="AM412" s="198">
        <v>7.9156880910078511E-2</v>
      </c>
      <c r="AN412" s="198">
        <v>3.2547232199034791E-2</v>
      </c>
      <c r="AO412" s="198">
        <v>6.5169000123340513E-3</v>
      </c>
      <c r="AP412" s="198">
        <v>5.4080258372061459E-3</v>
      </c>
      <c r="AQ412" s="198">
        <v>5.1366662144518927E-3</v>
      </c>
      <c r="AS412" s="258">
        <f t="shared" si="48"/>
        <v>121369.4768861956</v>
      </c>
      <c r="AT412" s="3">
        <f t="shared" si="49"/>
        <v>22.104629198167579</v>
      </c>
      <c r="AU412" s="3">
        <f t="shared" si="55"/>
        <v>8.5322595748788306</v>
      </c>
      <c r="AV412" s="3">
        <f t="shared" si="50"/>
        <v>0</v>
      </c>
      <c r="AW412" s="3">
        <f t="shared" si="51"/>
        <v>0</v>
      </c>
      <c r="AX412" s="3">
        <f t="shared" si="52"/>
        <v>8.5322595748788306</v>
      </c>
      <c r="AY412" s="102">
        <f t="shared" si="53"/>
        <v>1</v>
      </c>
      <c r="AZ412" s="102">
        <f t="shared" si="54"/>
        <v>0</v>
      </c>
    </row>
    <row r="413" spans="1:52" x14ac:dyDescent="0.35">
      <c r="A413" t="s">
        <v>1021</v>
      </c>
      <c r="B413">
        <v>2035</v>
      </c>
      <c r="C413" t="s">
        <v>837</v>
      </c>
      <c r="D413" t="s">
        <v>1073</v>
      </c>
      <c r="E413" t="s">
        <v>1026</v>
      </c>
      <c r="F413" t="s">
        <v>983</v>
      </c>
      <c r="G413" t="s">
        <v>978</v>
      </c>
      <c r="H413" s="198">
        <v>56789.42325408</v>
      </c>
      <c r="I413" s="198">
        <v>10980</v>
      </c>
      <c r="J413" s="198">
        <v>0</v>
      </c>
      <c r="K413" s="198">
        <v>0</v>
      </c>
      <c r="L413" s="198">
        <v>0</v>
      </c>
      <c r="M413" s="198">
        <v>13271.445</v>
      </c>
      <c r="N413" s="198">
        <v>35</v>
      </c>
      <c r="O413" s="198">
        <v>0</v>
      </c>
      <c r="P413" s="198">
        <v>3591.7606516599999</v>
      </c>
      <c r="Q413" s="198">
        <v>0</v>
      </c>
      <c r="R413" s="198">
        <v>2031.7434215200001</v>
      </c>
      <c r="S413" s="198">
        <v>3714</v>
      </c>
      <c r="T413" s="198">
        <v>0</v>
      </c>
      <c r="U413" s="198">
        <v>2000</v>
      </c>
      <c r="V413" s="198">
        <v>4720</v>
      </c>
      <c r="W413" s="198">
        <v>140</v>
      </c>
      <c r="X413" s="198">
        <v>1500</v>
      </c>
      <c r="Y413" s="198">
        <v>186</v>
      </c>
      <c r="Z413" s="277">
        <v>98959.372327260018</v>
      </c>
      <c r="AA413" s="272">
        <v>61.154770650000017</v>
      </c>
      <c r="AB413" s="198">
        <v>2.1963975348503735</v>
      </c>
      <c r="AC413" s="272">
        <v>956.80000000000007</v>
      </c>
      <c r="AD413" s="198">
        <v>3.44448</v>
      </c>
      <c r="AE413" s="198">
        <v>5.6408775348503735</v>
      </c>
      <c r="AF413" s="198">
        <v>164.41251276025102</v>
      </c>
      <c r="AG413" s="198">
        <v>7.2278638911237564E-2</v>
      </c>
      <c r="AH413" s="198">
        <v>3.8190784624175507E-4</v>
      </c>
      <c r="AI413" s="198">
        <v>166.6820774908085</v>
      </c>
      <c r="AJ413" s="198">
        <v>7.013537794338881E-2</v>
      </c>
      <c r="AK413" s="198">
        <v>1.6366618946656133</v>
      </c>
      <c r="AL413" s="198">
        <v>7.6626912343987635E-2</v>
      </c>
      <c r="AM413" s="198">
        <v>6.4697888054242328E-2</v>
      </c>
      <c r="AN413" s="198">
        <v>1.8677292383472013E-2</v>
      </c>
      <c r="AO413" s="198">
        <v>1.1339468944229045E-3</v>
      </c>
      <c r="AP413" s="198">
        <v>2.8017048348509335E-3</v>
      </c>
      <c r="AQ413" s="198">
        <v>3.2200927092209614E-3</v>
      </c>
      <c r="AS413" s="258">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102">
        <f t="shared" si="53"/>
        <v>0.40955893827019041</v>
      </c>
      <c r="AZ413" s="102">
        <f t="shared" si="54"/>
        <v>0.59044106172980948</v>
      </c>
    </row>
    <row r="414" spans="1:52" x14ac:dyDescent="0.35">
      <c r="A414" t="s">
        <v>246</v>
      </c>
      <c r="B414">
        <v>2035</v>
      </c>
      <c r="C414" t="s">
        <v>837</v>
      </c>
      <c r="D414" t="s">
        <v>1073</v>
      </c>
      <c r="E414" t="s">
        <v>1026</v>
      </c>
      <c r="F414" t="s">
        <v>977</v>
      </c>
      <c r="G414" t="s">
        <v>978</v>
      </c>
      <c r="H414" s="198">
        <v>56789.42325408</v>
      </c>
      <c r="I414" s="198">
        <v>0</v>
      </c>
      <c r="J414" s="198">
        <v>0</v>
      </c>
      <c r="K414" s="198">
        <v>0</v>
      </c>
      <c r="L414" s="198">
        <v>0</v>
      </c>
      <c r="M414" s="198">
        <v>26006.670000000002</v>
      </c>
      <c r="N414" s="198">
        <v>35</v>
      </c>
      <c r="O414" s="198">
        <v>0</v>
      </c>
      <c r="P414" s="198">
        <v>3563.9238514399999</v>
      </c>
      <c r="Q414" s="198">
        <v>0</v>
      </c>
      <c r="R414" s="198">
        <v>0</v>
      </c>
      <c r="S414" s="198">
        <v>3698</v>
      </c>
      <c r="T414" s="198">
        <v>0</v>
      </c>
      <c r="U414" s="198">
        <v>2000</v>
      </c>
      <c r="V414" s="198">
        <v>4500</v>
      </c>
      <c r="W414" s="198">
        <v>140</v>
      </c>
      <c r="X414" s="198">
        <v>1500</v>
      </c>
      <c r="Y414" s="198">
        <v>186</v>
      </c>
      <c r="Z414" s="277">
        <v>98419.017105520004</v>
      </c>
      <c r="AA414" s="272">
        <v>0</v>
      </c>
      <c r="AB414" s="198">
        <v>0</v>
      </c>
      <c r="AC414" s="272">
        <v>1166</v>
      </c>
      <c r="AD414" s="198">
        <v>4.1975999999999996</v>
      </c>
      <c r="AE414" s="198">
        <v>4.1975999999999996</v>
      </c>
      <c r="AF414" s="198">
        <v>0</v>
      </c>
      <c r="AG414" s="198">
        <v>0</v>
      </c>
      <c r="AH414" s="198">
        <v>0</v>
      </c>
      <c r="AI414" s="198">
        <v>0</v>
      </c>
      <c r="AJ414" s="198">
        <v>0</v>
      </c>
      <c r="AK414" s="198">
        <v>0</v>
      </c>
      <c r="AL414" s="198">
        <v>0</v>
      </c>
      <c r="AM414" s="198">
        <v>6.2058929482687403E-2</v>
      </c>
      <c r="AN414" s="198">
        <v>1.5859504201131185E-2</v>
      </c>
      <c r="AO414" s="198">
        <v>0</v>
      </c>
      <c r="AP414" s="198">
        <v>2.2675374530392624E-3</v>
      </c>
      <c r="AQ414" s="198">
        <v>2.8349445315487202E-3</v>
      </c>
      <c r="AS414" s="258">
        <f t="shared" si="48"/>
        <v>132029.11144705507</v>
      </c>
      <c r="AT414" s="3">
        <f t="shared" si="49"/>
        <v>0</v>
      </c>
      <c r="AU414" s="3">
        <f t="shared" si="55"/>
        <v>0</v>
      </c>
      <c r="AV414" s="3">
        <f t="shared" si="50"/>
        <v>72.452061093367462</v>
      </c>
      <c r="AW414" s="3">
        <f t="shared" si="51"/>
        <v>2.6082741993612286</v>
      </c>
      <c r="AX414" s="3">
        <f t="shared" si="52"/>
        <v>2.6082741993612286</v>
      </c>
      <c r="AY414" s="102">
        <f t="shared" si="53"/>
        <v>0</v>
      </c>
      <c r="AZ414" s="102">
        <f t="shared" si="54"/>
        <v>1</v>
      </c>
    </row>
    <row r="415" spans="1:52" x14ac:dyDescent="0.35">
      <c r="A415" t="s">
        <v>627</v>
      </c>
      <c r="B415">
        <v>2035</v>
      </c>
      <c r="C415" t="s">
        <v>837</v>
      </c>
      <c r="D415" t="s">
        <v>1073</v>
      </c>
      <c r="E415" t="s">
        <v>1026</v>
      </c>
      <c r="F415" t="s">
        <v>989</v>
      </c>
      <c r="G415" t="s">
        <v>978</v>
      </c>
      <c r="H415" s="198">
        <v>56789.42325408</v>
      </c>
      <c r="I415" s="198">
        <v>0</v>
      </c>
      <c r="J415" s="198">
        <v>17314.219649999999</v>
      </c>
      <c r="K415" s="198">
        <v>7169.4667687500005</v>
      </c>
      <c r="L415" s="198">
        <v>0</v>
      </c>
      <c r="M415" s="198">
        <v>3587.7708540000003</v>
      </c>
      <c r="N415" s="198">
        <v>35</v>
      </c>
      <c r="O415" s="198">
        <v>0</v>
      </c>
      <c r="P415" s="198">
        <v>3563.9238514399999</v>
      </c>
      <c r="Q415" s="198">
        <v>0</v>
      </c>
      <c r="R415" s="198">
        <v>0</v>
      </c>
      <c r="S415" s="198">
        <v>3698</v>
      </c>
      <c r="T415" s="198">
        <v>0</v>
      </c>
      <c r="U415" s="198">
        <v>2000</v>
      </c>
      <c r="V415" s="198">
        <v>4500</v>
      </c>
      <c r="W415" s="198">
        <v>140</v>
      </c>
      <c r="X415" s="198">
        <v>1500</v>
      </c>
      <c r="Y415" s="198">
        <v>186</v>
      </c>
      <c r="Z415" s="277">
        <v>100483.80437827001</v>
      </c>
      <c r="AA415" s="272">
        <v>16.239262440000001</v>
      </c>
      <c r="AB415" s="198">
        <v>8.2713231586889719</v>
      </c>
      <c r="AC415" s="272">
        <v>0</v>
      </c>
      <c r="AD415" s="198">
        <v>0</v>
      </c>
      <c r="AE415" s="198">
        <v>8.2713231586889719</v>
      </c>
      <c r="AF415" s="198">
        <v>0</v>
      </c>
      <c r="AG415" s="198">
        <v>0</v>
      </c>
      <c r="AH415" s="198">
        <v>0</v>
      </c>
      <c r="AI415" s="198">
        <v>0</v>
      </c>
      <c r="AJ415" s="198">
        <v>0</v>
      </c>
      <c r="AK415" s="198">
        <v>0</v>
      </c>
      <c r="AL415" s="198">
        <v>0</v>
      </c>
      <c r="AM415" s="198">
        <v>7.7325153329185756E-2</v>
      </c>
      <c r="AN415" s="198">
        <v>1.9760872517458616E-2</v>
      </c>
      <c r="AO415" s="198">
        <v>0</v>
      </c>
      <c r="AP415" s="198">
        <v>2.825341698568093E-3</v>
      </c>
      <c r="AQ415" s="198">
        <v>3.5323284241133572E-3</v>
      </c>
      <c r="AS415" s="258">
        <f t="shared" si="48"/>
        <v>134799.0235734492</v>
      </c>
      <c r="AT415" s="3">
        <f t="shared" si="49"/>
        <v>14.48434743329563</v>
      </c>
      <c r="AU415" s="3">
        <f t="shared" si="55"/>
        <v>5.5908746971359777</v>
      </c>
      <c r="AV415" s="3">
        <f t="shared" si="50"/>
        <v>0</v>
      </c>
      <c r="AW415" s="3">
        <f t="shared" si="51"/>
        <v>0</v>
      </c>
      <c r="AX415" s="3">
        <f t="shared" si="52"/>
        <v>5.5908746971359777</v>
      </c>
      <c r="AY415" s="102">
        <f t="shared" si="53"/>
        <v>1</v>
      </c>
      <c r="AZ415" s="102">
        <f t="shared" si="54"/>
        <v>0</v>
      </c>
    </row>
    <row r="416" spans="1:52" x14ac:dyDescent="0.35">
      <c r="A416" t="s">
        <v>1065</v>
      </c>
      <c r="B416">
        <v>2035</v>
      </c>
      <c r="C416" t="s">
        <v>837</v>
      </c>
      <c r="D416" t="s">
        <v>1073</v>
      </c>
      <c r="E416" t="s">
        <v>1026</v>
      </c>
      <c r="F416" t="s">
        <v>989</v>
      </c>
      <c r="G416" t="s">
        <v>978</v>
      </c>
      <c r="H416" s="198">
        <v>56789.42325408</v>
      </c>
      <c r="I416" s="198">
        <v>0</v>
      </c>
      <c r="J416" s="198">
        <v>9524.6677386792435</v>
      </c>
      <c r="K416" s="198">
        <v>7521.2817322500014</v>
      </c>
      <c r="L416" s="198">
        <v>0</v>
      </c>
      <c r="M416" s="198">
        <v>2614.0724999999998</v>
      </c>
      <c r="N416" s="198">
        <v>35</v>
      </c>
      <c r="O416" s="198">
        <v>0</v>
      </c>
      <c r="P416" s="198">
        <v>3625.8163207899997</v>
      </c>
      <c r="Q416" s="198">
        <v>0</v>
      </c>
      <c r="R416" s="198">
        <v>0</v>
      </c>
      <c r="S416" s="198">
        <v>3733</v>
      </c>
      <c r="T416" s="198">
        <v>0</v>
      </c>
      <c r="U416" s="198">
        <v>2000</v>
      </c>
      <c r="V416" s="198">
        <v>4500</v>
      </c>
      <c r="W416" s="198">
        <v>140</v>
      </c>
      <c r="X416" s="198">
        <v>1500</v>
      </c>
      <c r="Y416" s="198">
        <v>186</v>
      </c>
      <c r="Z416" s="277">
        <v>92169.261545799236</v>
      </c>
      <c r="AA416" s="272">
        <v>17.077317449999999</v>
      </c>
      <c r="AB416" s="198">
        <v>7.865414922060844</v>
      </c>
      <c r="AC416" s="272">
        <v>0</v>
      </c>
      <c r="AD416" s="198">
        <v>0</v>
      </c>
      <c r="AE416" s="198">
        <v>7.865414922060844</v>
      </c>
      <c r="AF416" s="198">
        <v>0</v>
      </c>
      <c r="AG416" s="198">
        <v>0</v>
      </c>
      <c r="AH416" s="198">
        <v>0</v>
      </c>
      <c r="AI416" s="198">
        <v>0</v>
      </c>
      <c r="AJ416" s="198">
        <v>0</v>
      </c>
      <c r="AK416" s="198">
        <v>0</v>
      </c>
      <c r="AL416" s="198">
        <v>0</v>
      </c>
      <c r="AM416" s="198">
        <v>7.3530486377758802E-2</v>
      </c>
      <c r="AN416" s="198">
        <v>1.8791124296538394E-2</v>
      </c>
      <c r="AO416" s="198">
        <v>0</v>
      </c>
      <c r="AP416" s="198">
        <v>2.6866904278179038E-3</v>
      </c>
      <c r="AQ416" s="198">
        <v>3.3589823736308454E-3</v>
      </c>
      <c r="AS416" s="258">
        <f t="shared" si="48"/>
        <v>123645.06436368967</v>
      </c>
      <c r="AT416" s="3">
        <f t="shared" si="49"/>
        <v>13.773540248935769</v>
      </c>
      <c r="AU416" s="3">
        <f t="shared" si="55"/>
        <v>5.3165072173526093</v>
      </c>
      <c r="AV416" s="3">
        <f t="shared" si="50"/>
        <v>0</v>
      </c>
      <c r="AW416" s="3">
        <f t="shared" si="51"/>
        <v>0</v>
      </c>
      <c r="AX416" s="3">
        <f t="shared" si="52"/>
        <v>5.3165072173526093</v>
      </c>
      <c r="AY416" s="102">
        <f t="shared" si="53"/>
        <v>1</v>
      </c>
      <c r="AZ416" s="102">
        <f t="shared" si="54"/>
        <v>0</v>
      </c>
    </row>
    <row r="417" spans="1:53" x14ac:dyDescent="0.35">
      <c r="A417" t="s">
        <v>1017</v>
      </c>
      <c r="B417">
        <v>2050</v>
      </c>
      <c r="C417" t="s">
        <v>837</v>
      </c>
      <c r="D417" t="s">
        <v>1073</v>
      </c>
      <c r="E417" t="s">
        <v>1026</v>
      </c>
      <c r="F417" t="s">
        <v>983</v>
      </c>
      <c r="G417" t="s">
        <v>978</v>
      </c>
      <c r="H417" s="198">
        <v>57021.8422832</v>
      </c>
      <c r="I417" s="198">
        <v>16516</v>
      </c>
      <c r="J417" s="198">
        <v>0</v>
      </c>
      <c r="K417" s="198">
        <v>0</v>
      </c>
      <c r="L417" s="198">
        <v>120</v>
      </c>
      <c r="M417" s="198">
        <v>0</v>
      </c>
      <c r="N417" s="198">
        <v>0</v>
      </c>
      <c r="O417" s="198">
        <v>150</v>
      </c>
      <c r="P417" s="198">
        <v>0</v>
      </c>
      <c r="Q417" s="198">
        <v>0</v>
      </c>
      <c r="R417" s="198">
        <v>44</v>
      </c>
      <c r="S417" s="198">
        <v>6314</v>
      </c>
      <c r="T417" s="198">
        <v>506</v>
      </c>
      <c r="U417" s="198">
        <v>2000</v>
      </c>
      <c r="V417" s="198">
        <v>1920</v>
      </c>
      <c r="W417" s="198">
        <v>0</v>
      </c>
      <c r="X417" s="198">
        <v>0</v>
      </c>
      <c r="Y417" s="198">
        <v>186</v>
      </c>
      <c r="Z417" s="277">
        <v>84777.842283200007</v>
      </c>
      <c r="AA417" s="272">
        <v>9.2438198029999992</v>
      </c>
      <c r="AB417" s="198">
        <v>14.530809812671553</v>
      </c>
      <c r="AC417" s="272">
        <v>0</v>
      </c>
      <c r="AD417" s="198">
        <v>0</v>
      </c>
      <c r="AE417" s="198">
        <v>14.530809812671553</v>
      </c>
      <c r="AF417" s="198">
        <v>1087.7115439420636</v>
      </c>
      <c r="AG417" s="198">
        <v>0.47817716914779851</v>
      </c>
      <c r="AH417" s="198">
        <v>2.5266055855794798E-3</v>
      </c>
      <c r="AI417" s="198">
        <v>1102.7264093906012</v>
      </c>
      <c r="AJ417" s="198">
        <v>0.46399789740460096</v>
      </c>
      <c r="AK417" s="198">
        <v>10.827740580510543</v>
      </c>
      <c r="AL417" s="198">
        <v>0.50694424489899581</v>
      </c>
      <c r="AM417" s="198">
        <v>9.112115208553237E-2</v>
      </c>
      <c r="AN417" s="198">
        <v>3.746662654053335E-2</v>
      </c>
      <c r="AO417" s="198">
        <v>7.5019054606848563E-3</v>
      </c>
      <c r="AP417" s="198">
        <v>6.2254290357189488E-3</v>
      </c>
      <c r="AQ417" s="198">
        <v>5.9130544048520226E-3</v>
      </c>
      <c r="AS417" s="258">
        <f t="shared" si="48"/>
        <v>113729.4754229128</v>
      </c>
      <c r="AT417" s="3">
        <f t="shared" si="49"/>
        <v>25.445662534993506</v>
      </c>
      <c r="AU417" s="3">
        <f t="shared" si="55"/>
        <v>9.8218792026301767</v>
      </c>
      <c r="AV417" s="3">
        <f t="shared" si="50"/>
        <v>0</v>
      </c>
      <c r="AW417" s="3">
        <f t="shared" si="51"/>
        <v>0</v>
      </c>
      <c r="AX417" s="3">
        <f t="shared" si="52"/>
        <v>9.8218792026301767</v>
      </c>
      <c r="AY417" s="102">
        <f t="shared" si="53"/>
        <v>1</v>
      </c>
      <c r="AZ417" s="102">
        <f t="shared" si="54"/>
        <v>0</v>
      </c>
    </row>
    <row r="418" spans="1:53" x14ac:dyDescent="0.35">
      <c r="A418" t="s">
        <v>1020</v>
      </c>
      <c r="B418">
        <v>2050</v>
      </c>
      <c r="C418" t="s">
        <v>837</v>
      </c>
      <c r="D418" t="s">
        <v>1073</v>
      </c>
      <c r="E418" t="s">
        <v>1026</v>
      </c>
      <c r="F418" t="s">
        <v>983</v>
      </c>
      <c r="G418" t="s">
        <v>978</v>
      </c>
      <c r="H418" s="198">
        <v>57021.8422832</v>
      </c>
      <c r="I418" s="198">
        <v>24053</v>
      </c>
      <c r="J418" s="198">
        <v>0</v>
      </c>
      <c r="K418" s="198">
        <v>0</v>
      </c>
      <c r="L418" s="198">
        <v>150</v>
      </c>
      <c r="M418" s="198">
        <v>857.19723610999995</v>
      </c>
      <c r="N418" s="198">
        <v>28.89</v>
      </c>
      <c r="O418" s="198">
        <v>150</v>
      </c>
      <c r="P418" s="198">
        <v>851.64755940000009</v>
      </c>
      <c r="Q418" s="198">
        <v>0</v>
      </c>
      <c r="R418" s="198">
        <v>0</v>
      </c>
      <c r="S418" s="198">
        <v>7659</v>
      </c>
      <c r="T418" s="198">
        <v>392</v>
      </c>
      <c r="U418" s="198">
        <v>2000</v>
      </c>
      <c r="V418" s="198">
        <v>4720</v>
      </c>
      <c r="W418" s="198">
        <v>101.11499999999999</v>
      </c>
      <c r="X418" s="198">
        <v>1500</v>
      </c>
      <c r="Y418" s="198">
        <v>186</v>
      </c>
      <c r="Z418" s="277">
        <v>99670.69207871001</v>
      </c>
      <c r="AA418" s="272">
        <v>11.34314676</v>
      </c>
      <c r="AB418" s="198">
        <v>11.841527782542769</v>
      </c>
      <c r="AC418" s="272">
        <v>0</v>
      </c>
      <c r="AD418" s="198">
        <v>0</v>
      </c>
      <c r="AE418" s="198">
        <v>11.841527782542769</v>
      </c>
      <c r="AF418" s="198">
        <v>886.40389854599312</v>
      </c>
      <c r="AG418" s="198">
        <v>0.38967877953391655</v>
      </c>
      <c r="AH418" s="198">
        <v>2.0589953776063109E-3</v>
      </c>
      <c r="AI418" s="198">
        <v>898.63989562063307</v>
      </c>
      <c r="AJ418" s="198">
        <v>0.37812372909640574</v>
      </c>
      <c r="AK418" s="198">
        <v>8.8238021527520161</v>
      </c>
      <c r="AL418" s="198">
        <v>0.41312180377839164</v>
      </c>
      <c r="AM418" s="198">
        <v>7.4256952496700196E-2</v>
      </c>
      <c r="AN418" s="198">
        <v>3.0532510219147293E-2</v>
      </c>
      <c r="AO418" s="198">
        <v>6.1134942291544946E-3</v>
      </c>
      <c r="AP418" s="198">
        <v>5.0732610112636861E-3</v>
      </c>
      <c r="AQ418" s="198">
        <v>4.8186989519112509E-3</v>
      </c>
      <c r="AS418" s="258">
        <f t="shared" si="48"/>
        <v>133708.23342358947</v>
      </c>
      <c r="AT418" s="3">
        <f t="shared" si="49"/>
        <v>20.736319842998146</v>
      </c>
      <c r="AU418" s="3">
        <f t="shared" si="55"/>
        <v>8.00410004357086</v>
      </c>
      <c r="AV418" s="3">
        <f t="shared" si="50"/>
        <v>0</v>
      </c>
      <c r="AW418" s="3">
        <f t="shared" si="51"/>
        <v>0</v>
      </c>
      <c r="AX418" s="3">
        <f t="shared" si="52"/>
        <v>8.00410004357086</v>
      </c>
      <c r="AY418" s="102">
        <f t="shared" si="53"/>
        <v>1</v>
      </c>
      <c r="AZ418" s="102">
        <f t="shared" si="54"/>
        <v>0</v>
      </c>
    </row>
    <row r="419" spans="1:53" x14ac:dyDescent="0.35">
      <c r="A419" t="s">
        <v>1021</v>
      </c>
      <c r="B419">
        <v>2050</v>
      </c>
      <c r="C419" t="s">
        <v>837</v>
      </c>
      <c r="D419" t="s">
        <v>1073</v>
      </c>
      <c r="E419" t="s">
        <v>1026</v>
      </c>
      <c r="F419" t="s">
        <v>983</v>
      </c>
      <c r="G419" t="s">
        <v>978</v>
      </c>
      <c r="H419" s="198">
        <v>57021.8422832</v>
      </c>
      <c r="I419" s="198">
        <v>11122</v>
      </c>
      <c r="J419" s="198">
        <v>0</v>
      </c>
      <c r="K419" s="198">
        <v>0</v>
      </c>
      <c r="L419" s="198">
        <v>0</v>
      </c>
      <c r="M419" s="198">
        <v>9435.9825000000001</v>
      </c>
      <c r="N419" s="198">
        <v>28.89</v>
      </c>
      <c r="O419" s="198">
        <v>0</v>
      </c>
      <c r="P419" s="198">
        <v>2491.2232818000002</v>
      </c>
      <c r="Q419" s="198">
        <v>0</v>
      </c>
      <c r="R419" s="198">
        <v>1314.8658171</v>
      </c>
      <c r="S419" s="198">
        <v>3693</v>
      </c>
      <c r="T419" s="198">
        <v>0</v>
      </c>
      <c r="U419" s="198">
        <v>2000</v>
      </c>
      <c r="V419" s="198">
        <v>4720</v>
      </c>
      <c r="W419" s="198">
        <v>101.11499999999999</v>
      </c>
      <c r="X419" s="198">
        <v>1500</v>
      </c>
      <c r="Y419" s="198">
        <v>186</v>
      </c>
      <c r="Z419" s="277">
        <v>93614.918882100013</v>
      </c>
      <c r="AA419" s="272">
        <v>73.163101850000018</v>
      </c>
      <c r="AB419" s="198">
        <v>1.8359006671885656</v>
      </c>
      <c r="AC419" s="272">
        <v>864.80000000000007</v>
      </c>
      <c r="AD419" s="198">
        <v>3.11328</v>
      </c>
      <c r="AE419" s="198">
        <v>4.9491806671885659</v>
      </c>
      <c r="AF419" s="198">
        <v>137.42732683009325</v>
      </c>
      <c r="AG419" s="198">
        <v>6.0415475475236416E-2</v>
      </c>
      <c r="AH419" s="198">
        <v>3.1922493929021403E-4</v>
      </c>
      <c r="AI419" s="198">
        <v>139.32438568986015</v>
      </c>
      <c r="AJ419" s="198">
        <v>5.8623990018528874E-2</v>
      </c>
      <c r="AK419" s="198">
        <v>1.3680349830584724</v>
      </c>
      <c r="AL419" s="198">
        <v>6.4050062552319445E-2</v>
      </c>
      <c r="AM419" s="198">
        <v>5.7540662888333163E-2</v>
      </c>
      <c r="AN419" s="198">
        <v>1.6496427424960804E-2</v>
      </c>
      <c r="AO419" s="198">
        <v>9.4783108567331046E-4</v>
      </c>
      <c r="AP419" s="198">
        <v>2.468343544734063E-3</v>
      </c>
      <c r="AQ419" s="198">
        <v>2.8497114807423747E-3</v>
      </c>
      <c r="AS419" s="258">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102">
        <f t="shared" si="53"/>
        <v>0.39079392243516653</v>
      </c>
      <c r="AZ419" s="102">
        <f t="shared" si="54"/>
        <v>0.60920607756483347</v>
      </c>
    </row>
    <row r="420" spans="1:53" x14ac:dyDescent="0.35">
      <c r="A420" t="s">
        <v>246</v>
      </c>
      <c r="B420">
        <v>2050</v>
      </c>
      <c r="C420" t="s">
        <v>837</v>
      </c>
      <c r="D420" t="s">
        <v>1073</v>
      </c>
      <c r="E420" t="s">
        <v>1026</v>
      </c>
      <c r="F420" t="s">
        <v>977</v>
      </c>
      <c r="G420" t="s">
        <v>978</v>
      </c>
      <c r="H420" s="198">
        <v>57021.8422832</v>
      </c>
      <c r="I420" s="198">
        <v>0</v>
      </c>
      <c r="J420" s="198">
        <v>0</v>
      </c>
      <c r="K420" s="198">
        <v>0</v>
      </c>
      <c r="L420" s="198">
        <v>0</v>
      </c>
      <c r="M420" s="198">
        <v>17968.334999999999</v>
      </c>
      <c r="N420" s="198">
        <v>28.89</v>
      </c>
      <c r="O420" s="198">
        <v>0</v>
      </c>
      <c r="P420" s="198">
        <v>2475.7152474999998</v>
      </c>
      <c r="Q420" s="198">
        <v>0</v>
      </c>
      <c r="R420" s="198">
        <v>0</v>
      </c>
      <c r="S420" s="198">
        <v>3681</v>
      </c>
      <c r="T420" s="198">
        <v>0</v>
      </c>
      <c r="U420" s="198">
        <v>2000</v>
      </c>
      <c r="V420" s="198">
        <v>4500</v>
      </c>
      <c r="W420" s="198">
        <v>101.11499999999999</v>
      </c>
      <c r="X420" s="198">
        <v>1500</v>
      </c>
      <c r="Y420" s="198">
        <v>186</v>
      </c>
      <c r="Z420" s="277">
        <v>89462.897530700007</v>
      </c>
      <c r="AA420" s="272">
        <v>0</v>
      </c>
      <c r="AB420" s="198">
        <v>0</v>
      </c>
      <c r="AC420" s="272">
        <v>1045</v>
      </c>
      <c r="AD420" s="198">
        <v>3.762</v>
      </c>
      <c r="AE420" s="198">
        <v>3.762</v>
      </c>
      <c r="AF420" s="198">
        <v>0</v>
      </c>
      <c r="AG420" s="198">
        <v>0</v>
      </c>
      <c r="AH420" s="198">
        <v>0</v>
      </c>
      <c r="AI420" s="198">
        <v>0</v>
      </c>
      <c r="AJ420" s="198">
        <v>0</v>
      </c>
      <c r="AK420" s="198">
        <v>0</v>
      </c>
      <c r="AL420" s="198">
        <v>0</v>
      </c>
      <c r="AM420" s="198">
        <v>5.5618851894861362E-2</v>
      </c>
      <c r="AN420" s="198">
        <v>1.4213706595353422E-2</v>
      </c>
      <c r="AO420" s="198">
        <v>0</v>
      </c>
      <c r="AP420" s="198">
        <v>2.032226962629528E-3</v>
      </c>
      <c r="AQ420" s="198">
        <v>2.5407521745012119E-3</v>
      </c>
      <c r="AS420" s="258">
        <f t="shared" si="48"/>
        <v>120014.47703743406</v>
      </c>
      <c r="AT420" s="3">
        <f t="shared" si="49"/>
        <v>0</v>
      </c>
      <c r="AU420" s="3">
        <f t="shared" si="55"/>
        <v>0</v>
      </c>
      <c r="AV420" s="3">
        <f t="shared" si="50"/>
        <v>64.933450979904805</v>
      </c>
      <c r="AW420" s="3">
        <f t="shared" si="51"/>
        <v>2.3376042352765731</v>
      </c>
      <c r="AX420" s="3">
        <f t="shared" si="52"/>
        <v>2.3376042352765731</v>
      </c>
      <c r="AY420" s="102">
        <f t="shared" si="53"/>
        <v>0</v>
      </c>
      <c r="AZ420" s="102">
        <f t="shared" si="54"/>
        <v>1</v>
      </c>
    </row>
    <row r="421" spans="1:53" x14ac:dyDescent="0.35">
      <c r="A421" t="s">
        <v>627</v>
      </c>
      <c r="B421">
        <v>2050</v>
      </c>
      <c r="C421" t="s">
        <v>837</v>
      </c>
      <c r="D421" t="s">
        <v>1073</v>
      </c>
      <c r="E421" t="s">
        <v>1026</v>
      </c>
      <c r="F421" t="s">
        <v>989</v>
      </c>
      <c r="G421" t="s">
        <v>978</v>
      </c>
      <c r="H421" s="198">
        <v>57021.8422832</v>
      </c>
      <c r="I421" s="198">
        <v>0</v>
      </c>
      <c r="J421" s="198">
        <v>14730.505720499999</v>
      </c>
      <c r="K421" s="198">
        <v>6235.3365030000004</v>
      </c>
      <c r="L421" s="198">
        <v>0</v>
      </c>
      <c r="M421" s="198">
        <v>3448.9582915000001</v>
      </c>
      <c r="N421" s="198">
        <v>28.89</v>
      </c>
      <c r="O421" s="198">
        <v>0</v>
      </c>
      <c r="P421" s="198">
        <v>2475.7152474999998</v>
      </c>
      <c r="Q421" s="198">
        <v>0</v>
      </c>
      <c r="R421" s="198">
        <v>0</v>
      </c>
      <c r="S421" s="198">
        <v>3681</v>
      </c>
      <c r="T421" s="198">
        <v>0</v>
      </c>
      <c r="U421" s="198">
        <v>2000</v>
      </c>
      <c r="V421" s="198">
        <v>4500</v>
      </c>
      <c r="W421" s="198">
        <v>101.11499999999999</v>
      </c>
      <c r="X421" s="198">
        <v>1500</v>
      </c>
      <c r="Y421" s="198">
        <v>186</v>
      </c>
      <c r="Z421" s="277">
        <v>95909.363045700011</v>
      </c>
      <c r="AA421" s="272">
        <v>17.893128619999999</v>
      </c>
      <c r="AB421" s="198">
        <v>7.5068027706381075</v>
      </c>
      <c r="AC421" s="272">
        <v>0</v>
      </c>
      <c r="AD421" s="198">
        <v>0</v>
      </c>
      <c r="AE421" s="198">
        <v>7.5068027706381075</v>
      </c>
      <c r="AF421" s="198">
        <v>0</v>
      </c>
      <c r="AG421" s="198">
        <v>0</v>
      </c>
      <c r="AH421" s="198">
        <v>0</v>
      </c>
      <c r="AI421" s="198">
        <v>0</v>
      </c>
      <c r="AJ421" s="198">
        <v>0</v>
      </c>
      <c r="AK421" s="198">
        <v>0</v>
      </c>
      <c r="AL421" s="198">
        <v>0</v>
      </c>
      <c r="AM421" s="198">
        <v>7.0177970817374452E-2</v>
      </c>
      <c r="AN421" s="198">
        <v>1.7934370319995722E-2</v>
      </c>
      <c r="AO421" s="198">
        <v>0</v>
      </c>
      <c r="AP421" s="198">
        <v>2.5641946861343604E-3</v>
      </c>
      <c r="AQ421" s="198">
        <v>3.205834458672127E-3</v>
      </c>
      <c r="AS421" s="258">
        <f t="shared" si="48"/>
        <v>128662.41052580655</v>
      </c>
      <c r="AT421" s="3">
        <f t="shared" si="49"/>
        <v>13.14555571788139</v>
      </c>
      <c r="AU421" s="3">
        <f t="shared" si="55"/>
        <v>5.0741088047880281</v>
      </c>
      <c r="AV421" s="3">
        <f t="shared" si="50"/>
        <v>0</v>
      </c>
      <c r="AW421" s="3">
        <f t="shared" si="51"/>
        <v>0</v>
      </c>
      <c r="AX421" s="3">
        <f t="shared" si="52"/>
        <v>5.0741088047880281</v>
      </c>
      <c r="AY421" s="102">
        <f t="shared" si="53"/>
        <v>1</v>
      </c>
      <c r="AZ421" s="102">
        <f t="shared" si="54"/>
        <v>0</v>
      </c>
    </row>
    <row r="422" spans="1:53" x14ac:dyDescent="0.35">
      <c r="A422" t="s">
        <v>1065</v>
      </c>
      <c r="B422">
        <v>2050</v>
      </c>
      <c r="C422" t="s">
        <v>837</v>
      </c>
      <c r="D422" t="s">
        <v>1073</v>
      </c>
      <c r="E422" t="s">
        <v>1026</v>
      </c>
      <c r="F422" t="s">
        <v>989</v>
      </c>
      <c r="G422" t="s">
        <v>978</v>
      </c>
      <c r="H422" s="198">
        <v>57021.8422832</v>
      </c>
      <c r="I422" s="198">
        <v>0</v>
      </c>
      <c r="J422" s="198">
        <v>7370.3744120000001</v>
      </c>
      <c r="K422" s="198">
        <v>6558.634368</v>
      </c>
      <c r="L422" s="198">
        <v>0</v>
      </c>
      <c r="M422" s="198">
        <v>2172.1875</v>
      </c>
      <c r="N422" s="198">
        <v>28.89</v>
      </c>
      <c r="O422" s="198">
        <v>0</v>
      </c>
      <c r="P422" s="198">
        <v>2495.6450452999998</v>
      </c>
      <c r="Q422" s="198">
        <v>0</v>
      </c>
      <c r="R422" s="198">
        <v>0</v>
      </c>
      <c r="S422" s="198">
        <v>3697</v>
      </c>
      <c r="T422" s="198">
        <v>0</v>
      </c>
      <c r="U422" s="198">
        <v>2000</v>
      </c>
      <c r="V422" s="198">
        <v>4500</v>
      </c>
      <c r="W422" s="198">
        <v>101.11499999999999</v>
      </c>
      <c r="X422" s="198">
        <v>1500</v>
      </c>
      <c r="Y422" s="198">
        <v>186</v>
      </c>
      <c r="Z422" s="277">
        <v>87631.688608500001</v>
      </c>
      <c r="AA422" s="272">
        <v>19.027511669999999</v>
      </c>
      <c r="AB422" s="198">
        <v>7.0592618640606517</v>
      </c>
      <c r="AC422" s="272">
        <v>0</v>
      </c>
      <c r="AD422" s="198">
        <v>0</v>
      </c>
      <c r="AE422" s="198">
        <v>7.0592618640606517</v>
      </c>
      <c r="AF422" s="198">
        <v>0</v>
      </c>
      <c r="AG422" s="198">
        <v>0</v>
      </c>
      <c r="AH422" s="198">
        <v>0</v>
      </c>
      <c r="AI422" s="198">
        <v>0</v>
      </c>
      <c r="AJ422" s="198">
        <v>0</v>
      </c>
      <c r="AK422" s="198">
        <v>0</v>
      </c>
      <c r="AL422" s="198">
        <v>0</v>
      </c>
      <c r="AM422" s="198">
        <v>6.5994097384037359E-2</v>
      </c>
      <c r="AN422" s="198">
        <v>1.6865158220365131E-2</v>
      </c>
      <c r="AO422" s="198">
        <v>0</v>
      </c>
      <c r="AP422" s="198">
        <v>2.4113224115406701E-3</v>
      </c>
      <c r="AQ422" s="198">
        <v>3.0147088751436538E-3</v>
      </c>
      <c r="AS422" s="258">
        <f t="shared" si="48"/>
        <v>117557.91026830274</v>
      </c>
      <c r="AT422" s="3">
        <f t="shared" si="49"/>
        <v>12.361843383456359</v>
      </c>
      <c r="AU422" s="3">
        <f t="shared" si="55"/>
        <v>4.771600356923952</v>
      </c>
      <c r="AV422" s="3">
        <f t="shared" si="50"/>
        <v>0</v>
      </c>
      <c r="AW422" s="3">
        <f t="shared" si="51"/>
        <v>0</v>
      </c>
      <c r="AX422" s="3">
        <f t="shared" si="52"/>
        <v>4.771600356923952</v>
      </c>
      <c r="AY422" s="102">
        <f t="shared" si="53"/>
        <v>1</v>
      </c>
      <c r="AZ422" s="102">
        <f t="shared" si="54"/>
        <v>0</v>
      </c>
    </row>
    <row r="423" spans="1:53" x14ac:dyDescent="0.35">
      <c r="A423" t="s">
        <v>1017</v>
      </c>
      <c r="B423">
        <v>2021</v>
      </c>
      <c r="C423" t="s">
        <v>837</v>
      </c>
      <c r="D423" t="s">
        <v>1018</v>
      </c>
      <c r="E423" t="s">
        <v>1026</v>
      </c>
      <c r="F423" t="s">
        <v>983</v>
      </c>
      <c r="G423" t="s">
        <v>978</v>
      </c>
      <c r="H423" s="198">
        <v>56000</v>
      </c>
      <c r="I423" s="198">
        <v>15131</v>
      </c>
      <c r="J423" s="198">
        <v>0</v>
      </c>
      <c r="K423" s="198">
        <v>0</v>
      </c>
      <c r="L423" s="198">
        <v>120</v>
      </c>
      <c r="M423" s="198">
        <v>0</v>
      </c>
      <c r="N423" s="198">
        <v>0</v>
      </c>
      <c r="O423" s="198">
        <v>150</v>
      </c>
      <c r="P423" s="198">
        <v>0</v>
      </c>
      <c r="Q423" s="198">
        <v>0</v>
      </c>
      <c r="R423" s="198">
        <v>104.8</v>
      </c>
      <c r="S423" s="198">
        <v>6322</v>
      </c>
      <c r="T423" s="198">
        <v>506</v>
      </c>
      <c r="U423" s="198">
        <v>2000</v>
      </c>
      <c r="V423" s="198">
        <v>1920</v>
      </c>
      <c r="W423" s="198">
        <v>0</v>
      </c>
      <c r="X423" s="198">
        <v>0</v>
      </c>
      <c r="Y423" s="198">
        <v>186</v>
      </c>
      <c r="Z423" s="277">
        <v>82439.8</v>
      </c>
      <c r="AA423" s="272">
        <v>6.8612284140000002</v>
      </c>
      <c r="AB423" s="198">
        <v>19.576696678094297</v>
      </c>
      <c r="AC423" s="272">
        <v>0</v>
      </c>
      <c r="AD423" s="198">
        <v>0</v>
      </c>
      <c r="AE423" s="198">
        <v>19.576696678094297</v>
      </c>
      <c r="AF423" s="198">
        <v>1465.4241052997761</v>
      </c>
      <c r="AG423" s="198">
        <v>0.64422626952510897</v>
      </c>
      <c r="AH423" s="198">
        <v>3.403980357029694E-3</v>
      </c>
      <c r="AI423" s="198">
        <v>1485.6529480372321</v>
      </c>
      <c r="AJ423" s="198">
        <v>0.62512318403906908</v>
      </c>
      <c r="AK423" s="198">
        <v>14.587720559723966</v>
      </c>
      <c r="AL423" s="198">
        <v>0.68298283736662357</v>
      </c>
      <c r="AM423" s="198">
        <v>0.12276336820411511</v>
      </c>
      <c r="AN423" s="198">
        <v>5.0477075454929979E-2</v>
      </c>
      <c r="AO423" s="198">
        <v>1.0106974738840476E-2</v>
      </c>
      <c r="AP423" s="198">
        <v>8.3872363271172683E-3</v>
      </c>
      <c r="AQ423" s="198">
        <v>7.9663882479496049E-3</v>
      </c>
      <c r="AS423" s="258">
        <f t="shared" si="48"/>
        <v>110592.9917</v>
      </c>
      <c r="AT423" s="3">
        <f t="shared" si="49"/>
        <v>34.281779449505457</v>
      </c>
      <c r="AU423" s="3">
        <f t="shared" si="55"/>
        <v>13.232569446411473</v>
      </c>
      <c r="AV423" s="3">
        <f t="shared" si="50"/>
        <v>0</v>
      </c>
      <c r="AW423" s="3">
        <f t="shared" si="51"/>
        <v>0</v>
      </c>
      <c r="AX423" s="3">
        <f t="shared" si="52"/>
        <v>13.232569446411473</v>
      </c>
      <c r="AY423" s="102">
        <f t="shared" si="53"/>
        <v>1</v>
      </c>
      <c r="AZ423" s="102">
        <f t="shared" si="54"/>
        <v>0</v>
      </c>
      <c r="BA423" s="71"/>
    </row>
    <row r="424" spans="1:53" x14ac:dyDescent="0.35">
      <c r="A424" t="s">
        <v>1020</v>
      </c>
      <c r="B424">
        <v>2021</v>
      </c>
      <c r="C424" t="s">
        <v>837</v>
      </c>
      <c r="D424" t="s">
        <v>1018</v>
      </c>
      <c r="E424" t="s">
        <v>1026</v>
      </c>
      <c r="F424" t="s">
        <v>983</v>
      </c>
      <c r="G424" t="s">
        <v>978</v>
      </c>
      <c r="H424" s="198">
        <v>56000</v>
      </c>
      <c r="I424" s="198">
        <v>19574</v>
      </c>
      <c r="J424" s="198">
        <v>0</v>
      </c>
      <c r="K424" s="198">
        <v>0</v>
      </c>
      <c r="L424" s="198">
        <v>150</v>
      </c>
      <c r="M424" s="198">
        <v>1067.7889448000001</v>
      </c>
      <c r="N424" s="198">
        <v>75</v>
      </c>
      <c r="O424" s="198">
        <v>150</v>
      </c>
      <c r="P424" s="198">
        <v>2049.3377244000003</v>
      </c>
      <c r="Q424" s="198">
        <v>0</v>
      </c>
      <c r="R424" s="198">
        <v>0</v>
      </c>
      <c r="S424" s="198">
        <v>7277</v>
      </c>
      <c r="T424" s="198">
        <v>392</v>
      </c>
      <c r="U424" s="198">
        <v>2000</v>
      </c>
      <c r="V424" s="198">
        <v>4720</v>
      </c>
      <c r="W424" s="198">
        <v>375</v>
      </c>
      <c r="X424" s="198">
        <v>1500</v>
      </c>
      <c r="Y424" s="198">
        <v>186</v>
      </c>
      <c r="Z424" s="277">
        <v>95516.126669200006</v>
      </c>
      <c r="AA424" s="272">
        <v>8.1963825949999993</v>
      </c>
      <c r="AB424" s="198">
        <v>16.387740072301984</v>
      </c>
      <c r="AC424" s="272">
        <v>0</v>
      </c>
      <c r="AD424" s="198">
        <v>0</v>
      </c>
      <c r="AE424" s="198">
        <v>16.387740072301984</v>
      </c>
      <c r="AF424" s="198">
        <v>1226.7130521672962</v>
      </c>
      <c r="AG424" s="198">
        <v>0.53928468251437212</v>
      </c>
      <c r="AH424" s="198">
        <v>2.8494871335798112E-3</v>
      </c>
      <c r="AI424" s="198">
        <v>1243.6467066134953</v>
      </c>
      <c r="AJ424" s="198">
        <v>0.52329340448254336</v>
      </c>
      <c r="AK424" s="198">
        <v>12.2114459201706</v>
      </c>
      <c r="AL424" s="198">
        <v>0.57172797825138855</v>
      </c>
      <c r="AM424" s="198">
        <v>0.102765762866444</v>
      </c>
      <c r="AN424" s="198">
        <v>4.225458491630936E-2</v>
      </c>
      <c r="AO424" s="198">
        <v>8.4605936160197653E-3</v>
      </c>
      <c r="AP424" s="198">
        <v>7.0209929240803107E-3</v>
      </c>
      <c r="AQ424" s="198">
        <v>6.6686991206500058E-3</v>
      </c>
      <c r="AS424" s="258">
        <f t="shared" si="48"/>
        <v>128134.8839267318</v>
      </c>
      <c r="AT424" s="3">
        <f t="shared" si="49"/>
        <v>28.697430423137558</v>
      </c>
      <c r="AU424" s="3">
        <f t="shared" si="55"/>
        <v>11.077042881250064</v>
      </c>
      <c r="AV424" s="3">
        <f t="shared" si="50"/>
        <v>0</v>
      </c>
      <c r="AW424" s="3">
        <f t="shared" si="51"/>
        <v>0</v>
      </c>
      <c r="AX424" s="3">
        <f t="shared" si="52"/>
        <v>11.077042881250064</v>
      </c>
      <c r="AY424" s="102">
        <f t="shared" si="53"/>
        <v>1</v>
      </c>
      <c r="AZ424" s="102">
        <f t="shared" si="54"/>
        <v>0</v>
      </c>
    </row>
    <row r="425" spans="1:53" x14ac:dyDescent="0.35">
      <c r="A425" t="s">
        <v>1021</v>
      </c>
      <c r="B425">
        <v>2021</v>
      </c>
      <c r="C425" t="s">
        <v>837</v>
      </c>
      <c r="D425" t="s">
        <v>1018</v>
      </c>
      <c r="E425" t="s">
        <v>1026</v>
      </c>
      <c r="F425" t="s">
        <v>983</v>
      </c>
      <c r="G425" t="s">
        <v>978</v>
      </c>
      <c r="H425" s="198">
        <v>56000</v>
      </c>
      <c r="I425" s="198">
        <v>9948</v>
      </c>
      <c r="J425" s="198">
        <v>0</v>
      </c>
      <c r="K425" s="198">
        <v>0</v>
      </c>
      <c r="L425" s="198">
        <v>0</v>
      </c>
      <c r="M425" s="198">
        <v>19706.084999999999</v>
      </c>
      <c r="N425" s="198">
        <v>75</v>
      </c>
      <c r="O425" s="198">
        <v>0</v>
      </c>
      <c r="P425" s="198">
        <v>6278.5360682999999</v>
      </c>
      <c r="Q425" s="198">
        <v>0</v>
      </c>
      <c r="R425" s="198">
        <v>3335.0140658399996</v>
      </c>
      <c r="S425" s="198">
        <v>3748</v>
      </c>
      <c r="T425" s="198">
        <v>0</v>
      </c>
      <c r="U425" s="198">
        <v>2000</v>
      </c>
      <c r="V425" s="198">
        <v>4720</v>
      </c>
      <c r="W425" s="198">
        <v>375</v>
      </c>
      <c r="X425" s="198">
        <v>1500</v>
      </c>
      <c r="Y425" s="198">
        <v>186</v>
      </c>
      <c r="Z425" s="277">
        <v>107871.63513414</v>
      </c>
      <c r="AA425" s="272">
        <v>46.428268490000015</v>
      </c>
      <c r="AB425" s="198">
        <v>2.8930690690937713</v>
      </c>
      <c r="AC425" s="272">
        <v>1126.4000000000001</v>
      </c>
      <c r="AD425" s="198">
        <v>4.05504</v>
      </c>
      <c r="AE425" s="198">
        <v>6.9481090690937712</v>
      </c>
      <c r="AF425" s="198">
        <v>216.56223324393352</v>
      </c>
      <c r="AG425" s="198">
        <v>9.5204575343208087E-2</v>
      </c>
      <c r="AH425" s="198">
        <v>5.0304453527876968E-4</v>
      </c>
      <c r="AI425" s="198">
        <v>219.55167728495923</v>
      </c>
      <c r="AJ425" s="198">
        <v>9.2381497136875268E-2</v>
      </c>
      <c r="AK425" s="198">
        <v>2.155791849558808</v>
      </c>
      <c r="AL425" s="198">
        <v>0.10093207010344438</v>
      </c>
      <c r="AM425" s="198">
        <v>7.8093394011261349E-2</v>
      </c>
      <c r="AN425" s="198">
        <v>2.278044577353799E-2</v>
      </c>
      <c r="AO425" s="198">
        <v>1.4936215481016421E-3</v>
      </c>
      <c r="AP425" s="198">
        <v>3.430003171131203E-3</v>
      </c>
      <c r="AQ425" s="198">
        <v>3.9159463575532709E-3</v>
      </c>
      <c r="AS425" s="258">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102">
        <f t="shared" si="53"/>
        <v>0.43696781879735741</v>
      </c>
      <c r="AZ425" s="102">
        <f t="shared" si="54"/>
        <v>0.56303218120264253</v>
      </c>
    </row>
    <row r="426" spans="1:53" x14ac:dyDescent="0.35">
      <c r="A426" t="s">
        <v>246</v>
      </c>
      <c r="B426">
        <v>2021</v>
      </c>
      <c r="C426" t="s">
        <v>837</v>
      </c>
      <c r="D426" t="s">
        <v>1018</v>
      </c>
      <c r="E426" t="s">
        <v>1026</v>
      </c>
      <c r="F426" t="s">
        <v>977</v>
      </c>
      <c r="G426" t="s">
        <v>978</v>
      </c>
      <c r="H426" s="198">
        <v>56000</v>
      </c>
      <c r="I426" s="198">
        <v>0</v>
      </c>
      <c r="J426" s="198">
        <v>0</v>
      </c>
      <c r="K426" s="198">
        <v>0</v>
      </c>
      <c r="L426" s="198">
        <v>0</v>
      </c>
      <c r="M426" s="198">
        <v>39412.17</v>
      </c>
      <c r="N426" s="198">
        <v>75</v>
      </c>
      <c r="O426" s="198">
        <v>0</v>
      </c>
      <c r="P426" s="198">
        <v>6372.6244019999995</v>
      </c>
      <c r="Q426" s="198">
        <v>0</v>
      </c>
      <c r="R426" s="198">
        <v>0</v>
      </c>
      <c r="S426" s="198">
        <v>3779</v>
      </c>
      <c r="T426" s="198">
        <v>0</v>
      </c>
      <c r="U426" s="198">
        <v>2000</v>
      </c>
      <c r="V426" s="198">
        <v>4500</v>
      </c>
      <c r="W426" s="198">
        <v>375</v>
      </c>
      <c r="X426" s="198">
        <v>1500</v>
      </c>
      <c r="Y426" s="198">
        <v>186</v>
      </c>
      <c r="Z426" s="277">
        <v>114199.794402</v>
      </c>
      <c r="AA426" s="272">
        <v>0</v>
      </c>
      <c r="AB426" s="198">
        <v>0</v>
      </c>
      <c r="AC426" s="272">
        <v>1384</v>
      </c>
      <c r="AD426" s="198">
        <v>4.9824000000000002</v>
      </c>
      <c r="AE426" s="198">
        <v>4.9824000000000002</v>
      </c>
      <c r="AF426" s="198">
        <v>0</v>
      </c>
      <c r="AG426" s="198">
        <v>0</v>
      </c>
      <c r="AH426" s="198">
        <v>0</v>
      </c>
      <c r="AI426" s="198">
        <v>0</v>
      </c>
      <c r="AJ426" s="198">
        <v>0</v>
      </c>
      <c r="AK426" s="198">
        <v>0</v>
      </c>
      <c r="AL426" s="198">
        <v>0</v>
      </c>
      <c r="AM426" s="198">
        <v>7.3661713897117828E-2</v>
      </c>
      <c r="AN426" s="198">
        <v>1.8824660218152284E-2</v>
      </c>
      <c r="AO426" s="198">
        <v>0</v>
      </c>
      <c r="AP426" s="198">
        <v>2.6914852787361405E-3</v>
      </c>
      <c r="AQ426" s="198">
        <v>3.3649770425929924E-3</v>
      </c>
      <c r="AS426" s="258">
        <f t="shared" si="48"/>
        <v>153199.024190283</v>
      </c>
      <c r="AT426" s="3">
        <f t="shared" si="49"/>
        <v>0</v>
      </c>
      <c r="AU426" s="3">
        <f t="shared" si="55"/>
        <v>0</v>
      </c>
      <c r="AV426" s="3">
        <f t="shared" si="50"/>
        <v>85.997986752333262</v>
      </c>
      <c r="AW426" s="3">
        <f t="shared" si="51"/>
        <v>3.0959275230839971</v>
      </c>
      <c r="AX426" s="3">
        <f t="shared" si="52"/>
        <v>3.0959275230839971</v>
      </c>
      <c r="AY426" s="102">
        <f t="shared" si="53"/>
        <v>0</v>
      </c>
      <c r="AZ426" s="102">
        <f t="shared" si="54"/>
        <v>1</v>
      </c>
    </row>
    <row r="427" spans="1:53" x14ac:dyDescent="0.35">
      <c r="A427" t="s">
        <v>627</v>
      </c>
      <c r="B427">
        <v>2021</v>
      </c>
      <c r="C427" t="s">
        <v>837</v>
      </c>
      <c r="D427" t="s">
        <v>1018</v>
      </c>
      <c r="E427" t="s">
        <v>1026</v>
      </c>
      <c r="F427" t="s">
        <v>989</v>
      </c>
      <c r="G427" t="s">
        <v>978</v>
      </c>
      <c r="H427" s="198">
        <v>56000</v>
      </c>
      <c r="I427" s="198">
        <v>0</v>
      </c>
      <c r="J427" s="198">
        <v>31985.854031999999</v>
      </c>
      <c r="K427" s="198">
        <v>8043.3707000000004</v>
      </c>
      <c r="L427" s="198">
        <v>0</v>
      </c>
      <c r="M427" s="198">
        <v>4069.4623120000001</v>
      </c>
      <c r="N427" s="198">
        <v>75</v>
      </c>
      <c r="O427" s="198">
        <v>0</v>
      </c>
      <c r="P427" s="198">
        <v>6372.6244019999995</v>
      </c>
      <c r="Q427" s="198">
        <v>0</v>
      </c>
      <c r="R427" s="198">
        <v>0</v>
      </c>
      <c r="S427" s="198">
        <v>3779</v>
      </c>
      <c r="T427" s="198">
        <v>0</v>
      </c>
      <c r="U427" s="198">
        <v>2000</v>
      </c>
      <c r="V427" s="198">
        <v>4500</v>
      </c>
      <c r="W427" s="198">
        <v>375</v>
      </c>
      <c r="X427" s="198">
        <v>1500</v>
      </c>
      <c r="Y427" s="198">
        <v>186</v>
      </c>
      <c r="Z427" s="277">
        <v>118886.31144600001</v>
      </c>
      <c r="AA427" s="272">
        <v>13.990123349999999</v>
      </c>
      <c r="AB427" s="198">
        <v>9.6010724237109759</v>
      </c>
      <c r="AC427" s="272">
        <v>0</v>
      </c>
      <c r="AD427" s="198">
        <v>0</v>
      </c>
      <c r="AE427" s="198">
        <v>9.6010724237109759</v>
      </c>
      <c r="AF427" s="198">
        <v>0</v>
      </c>
      <c r="AG427" s="198">
        <v>0</v>
      </c>
      <c r="AH427" s="198">
        <v>0</v>
      </c>
      <c r="AI427" s="198">
        <v>0</v>
      </c>
      <c r="AJ427" s="198">
        <v>0</v>
      </c>
      <c r="AK427" s="198">
        <v>0</v>
      </c>
      <c r="AL427" s="198">
        <v>0</v>
      </c>
      <c r="AM427" s="198">
        <v>8.9756425065822418E-2</v>
      </c>
      <c r="AN427" s="198">
        <v>2.293775307237688E-2</v>
      </c>
      <c r="AO427" s="198">
        <v>0</v>
      </c>
      <c r="AP427" s="198">
        <v>3.2795611716834967E-3</v>
      </c>
      <c r="AQ427" s="198">
        <v>4.100207472684538E-3</v>
      </c>
      <c r="AS427" s="258">
        <f t="shared" si="48"/>
        <v>159485.98680480898</v>
      </c>
      <c r="AT427" s="3">
        <f t="shared" si="49"/>
        <v>16.812941055407361</v>
      </c>
      <c r="AU427" s="3">
        <f t="shared" si="55"/>
        <v>6.4896984254214365</v>
      </c>
      <c r="AV427" s="3">
        <f t="shared" si="50"/>
        <v>0</v>
      </c>
      <c r="AW427" s="3">
        <f t="shared" si="51"/>
        <v>0</v>
      </c>
      <c r="AX427" s="3">
        <f t="shared" si="52"/>
        <v>6.4896984254214365</v>
      </c>
      <c r="AY427" s="102">
        <f t="shared" si="53"/>
        <v>1</v>
      </c>
      <c r="AZ427" s="102">
        <f t="shared" si="54"/>
        <v>0</v>
      </c>
    </row>
    <row r="428" spans="1:53" x14ac:dyDescent="0.35">
      <c r="A428" t="s">
        <v>1065</v>
      </c>
      <c r="B428">
        <v>2021</v>
      </c>
      <c r="C428" t="s">
        <v>837</v>
      </c>
      <c r="D428" t="s">
        <v>1018</v>
      </c>
      <c r="E428" t="s">
        <v>1026</v>
      </c>
      <c r="F428" t="s">
        <v>989</v>
      </c>
      <c r="G428" t="s">
        <v>978</v>
      </c>
      <c r="H428" s="198">
        <v>56000</v>
      </c>
      <c r="I428" s="198">
        <v>0</v>
      </c>
      <c r="J428" s="198">
        <v>16521.915203199998</v>
      </c>
      <c r="K428" s="198">
        <v>7865.1085999999996</v>
      </c>
      <c r="L428" s="198">
        <v>0</v>
      </c>
      <c r="M428" s="198">
        <v>4622.415</v>
      </c>
      <c r="N428" s="198">
        <v>75</v>
      </c>
      <c r="O428" s="198">
        <v>0</v>
      </c>
      <c r="P428" s="198">
        <v>6810.5598876000004</v>
      </c>
      <c r="Q428" s="198">
        <v>0</v>
      </c>
      <c r="R428" s="198">
        <v>0</v>
      </c>
      <c r="S428" s="198">
        <v>3923</v>
      </c>
      <c r="T428" s="198">
        <v>0</v>
      </c>
      <c r="U428" s="198">
        <v>2000</v>
      </c>
      <c r="V428" s="198">
        <v>4500</v>
      </c>
      <c r="W428" s="198">
        <v>375</v>
      </c>
      <c r="X428" s="198">
        <v>1500</v>
      </c>
      <c r="Y428" s="198">
        <v>186</v>
      </c>
      <c r="Z428" s="277">
        <v>104378.99869079998</v>
      </c>
      <c r="AA428" s="272">
        <v>14.588603279999999</v>
      </c>
      <c r="AB428" s="198">
        <v>9.2071999575273953</v>
      </c>
      <c r="AC428" s="272">
        <v>0</v>
      </c>
      <c r="AD428" s="198">
        <v>0</v>
      </c>
      <c r="AE428" s="198">
        <v>9.2071999575273953</v>
      </c>
      <c r="AF428" s="198">
        <v>0</v>
      </c>
      <c r="AG428" s="198">
        <v>0</v>
      </c>
      <c r="AH428" s="198">
        <v>0</v>
      </c>
      <c r="AI428" s="198">
        <v>0</v>
      </c>
      <c r="AJ428" s="198">
        <v>0</v>
      </c>
      <c r="AK428" s="198">
        <v>0</v>
      </c>
      <c r="AL428" s="198">
        <v>0</v>
      </c>
      <c r="AM428" s="198">
        <v>8.6074275516654364E-2</v>
      </c>
      <c r="AN428" s="198">
        <v>2.1996759298700597E-2</v>
      </c>
      <c r="AO428" s="198">
        <v>0</v>
      </c>
      <c r="AP428" s="198">
        <v>3.145021113064543E-3</v>
      </c>
      <c r="AQ428" s="198">
        <v>3.9320013850872538E-3</v>
      </c>
      <c r="AS428" s="258">
        <f t="shared" si="48"/>
        <v>140024.42674370817</v>
      </c>
      <c r="AT428" s="3">
        <f t="shared" si="49"/>
        <v>16.123210339395023</v>
      </c>
      <c r="AU428" s="3">
        <f t="shared" si="55"/>
        <v>6.2234663410455475</v>
      </c>
      <c r="AV428" s="3">
        <f t="shared" si="50"/>
        <v>0</v>
      </c>
      <c r="AW428" s="3">
        <f t="shared" si="51"/>
        <v>0</v>
      </c>
      <c r="AX428" s="3">
        <f t="shared" si="52"/>
        <v>6.2234663410455475</v>
      </c>
      <c r="AY428" s="102">
        <f t="shared" si="53"/>
        <v>1</v>
      </c>
      <c r="AZ428" s="102">
        <f t="shared" si="54"/>
        <v>0</v>
      </c>
    </row>
    <row r="429" spans="1:53" x14ac:dyDescent="0.35">
      <c r="A429" t="s">
        <v>1017</v>
      </c>
      <c r="B429">
        <v>2025</v>
      </c>
      <c r="C429" t="s">
        <v>837</v>
      </c>
      <c r="D429" t="s">
        <v>1018</v>
      </c>
      <c r="E429" t="s">
        <v>1026</v>
      </c>
      <c r="F429" t="s">
        <v>983</v>
      </c>
      <c r="G429" t="s">
        <v>978</v>
      </c>
      <c r="H429" s="198">
        <v>56372.671891520004</v>
      </c>
      <c r="I429" s="198">
        <v>15202</v>
      </c>
      <c r="J429" s="198">
        <v>0</v>
      </c>
      <c r="K429" s="198">
        <v>0</v>
      </c>
      <c r="L429" s="198">
        <v>120</v>
      </c>
      <c r="M429" s="198">
        <v>0</v>
      </c>
      <c r="N429" s="198">
        <v>0</v>
      </c>
      <c r="O429" s="198">
        <v>150</v>
      </c>
      <c r="P429" s="198">
        <v>0</v>
      </c>
      <c r="Q429" s="198">
        <v>0</v>
      </c>
      <c r="R429" s="198">
        <v>92</v>
      </c>
      <c r="S429" s="198">
        <v>6224</v>
      </c>
      <c r="T429" s="198">
        <v>506</v>
      </c>
      <c r="U429" s="198">
        <v>2000</v>
      </c>
      <c r="V429" s="198">
        <v>1920</v>
      </c>
      <c r="W429" s="198">
        <v>0</v>
      </c>
      <c r="X429" s="198">
        <v>0</v>
      </c>
      <c r="Y429" s="198">
        <v>186</v>
      </c>
      <c r="Z429" s="277">
        <v>82772.671891520004</v>
      </c>
      <c r="AA429" s="272">
        <v>7.3476613730000011</v>
      </c>
      <c r="AB429" s="198">
        <v>18.280671996341329</v>
      </c>
      <c r="AC429" s="272">
        <v>0</v>
      </c>
      <c r="AD429" s="198">
        <v>0</v>
      </c>
      <c r="AE429" s="198">
        <v>18.280671996341329</v>
      </c>
      <c r="AF429" s="198">
        <v>1368.4094842462944</v>
      </c>
      <c r="AG429" s="198">
        <v>0.60157693191380268</v>
      </c>
      <c r="AH429" s="198">
        <v>3.1786286221862333E-3</v>
      </c>
      <c r="AI429" s="198">
        <v>1387.2991286551389</v>
      </c>
      <c r="AJ429" s="198">
        <v>0.5837385169028001</v>
      </c>
      <c r="AK429" s="198">
        <v>13.621978166776092</v>
      </c>
      <c r="AL429" s="198">
        <v>0.63776772120091796</v>
      </c>
      <c r="AM429" s="198">
        <v>0.11463613622908567</v>
      </c>
      <c r="AN429" s="198">
        <v>4.7135370941241587E-2</v>
      </c>
      <c r="AO429" s="198">
        <v>9.4378685594487168E-3</v>
      </c>
      <c r="AP429" s="198">
        <v>7.8319809911237166E-3</v>
      </c>
      <c r="AQ429" s="198">
        <v>7.4389940729495691E-3</v>
      </c>
      <c r="AS429" s="258">
        <f t="shared" si="48"/>
        <v>111039.53934247408</v>
      </c>
      <c r="AT429" s="3">
        <f t="shared" si="49"/>
        <v>32.012242712457962</v>
      </c>
      <c r="AU429" s="3">
        <f t="shared" si="55"/>
        <v>12.356541335665423</v>
      </c>
      <c r="AV429" s="3">
        <f t="shared" si="50"/>
        <v>0</v>
      </c>
      <c r="AW429" s="3">
        <f t="shared" si="51"/>
        <v>0</v>
      </c>
      <c r="AX429" s="3">
        <f t="shared" si="52"/>
        <v>12.356541335665423</v>
      </c>
      <c r="AY429" s="102">
        <f t="shared" si="53"/>
        <v>1</v>
      </c>
      <c r="AZ429" s="102">
        <f t="shared" si="54"/>
        <v>0</v>
      </c>
    </row>
    <row r="430" spans="1:53" x14ac:dyDescent="0.35">
      <c r="A430" t="s">
        <v>1020</v>
      </c>
      <c r="B430">
        <v>2025</v>
      </c>
      <c r="C430" t="s">
        <v>837</v>
      </c>
      <c r="D430" t="s">
        <v>1018</v>
      </c>
      <c r="E430" t="s">
        <v>1026</v>
      </c>
      <c r="F430" t="s">
        <v>983</v>
      </c>
      <c r="G430" t="s">
        <v>978</v>
      </c>
      <c r="H430" s="198">
        <v>56372.671891520004</v>
      </c>
      <c r="I430" s="198">
        <v>19555</v>
      </c>
      <c r="J430" s="198">
        <v>0</v>
      </c>
      <c r="K430" s="198">
        <v>0</v>
      </c>
      <c r="L430" s="198">
        <v>150</v>
      </c>
      <c r="M430" s="198">
        <v>1032.1959798</v>
      </c>
      <c r="N430" s="198">
        <v>50</v>
      </c>
      <c r="O430" s="198">
        <v>150</v>
      </c>
      <c r="P430" s="198">
        <v>1729.8388872</v>
      </c>
      <c r="Q430" s="198">
        <v>0</v>
      </c>
      <c r="R430" s="198">
        <v>0</v>
      </c>
      <c r="S430" s="198">
        <v>7227</v>
      </c>
      <c r="T430" s="198">
        <v>392</v>
      </c>
      <c r="U430" s="198">
        <v>2000</v>
      </c>
      <c r="V430" s="198">
        <v>4720</v>
      </c>
      <c r="W430" s="198">
        <v>233.3</v>
      </c>
      <c r="X430" s="198">
        <v>1500</v>
      </c>
      <c r="Y430" s="198">
        <v>186</v>
      </c>
      <c r="Z430" s="277">
        <v>95298.006758520016</v>
      </c>
      <c r="AA430" s="272">
        <v>9.0061600449999997</v>
      </c>
      <c r="AB430" s="198">
        <v>14.914257222707393</v>
      </c>
      <c r="AC430" s="272">
        <v>0</v>
      </c>
      <c r="AD430" s="198">
        <v>0</v>
      </c>
      <c r="AE430" s="198">
        <v>14.914257222707393</v>
      </c>
      <c r="AF430" s="198">
        <v>1116.4147050024303</v>
      </c>
      <c r="AG430" s="198">
        <v>0.49079558473590279</v>
      </c>
      <c r="AH430" s="198">
        <v>2.5932791144785833E-3</v>
      </c>
      <c r="AI430" s="198">
        <v>1131.82579140097</v>
      </c>
      <c r="AJ430" s="198">
        <v>0.47624214217248145</v>
      </c>
      <c r="AK430" s="198">
        <v>11.113469258792197</v>
      </c>
      <c r="AL430" s="198">
        <v>0.52032178271313612</v>
      </c>
      <c r="AM430" s="198">
        <v>9.3525709726649517E-2</v>
      </c>
      <c r="AN430" s="198">
        <v>3.845531754227087E-2</v>
      </c>
      <c r="AO430" s="198">
        <v>7.6998700790590381E-3</v>
      </c>
      <c r="AP430" s="198">
        <v>6.3897092562216398E-3</v>
      </c>
      <c r="AQ430" s="198">
        <v>6.0690915030022097E-3</v>
      </c>
      <c r="AS430" s="258">
        <f t="shared" si="48"/>
        <v>127842.27606655459</v>
      </c>
      <c r="AT430" s="3">
        <f t="shared" si="49"/>
        <v>26.117137388871281</v>
      </c>
      <c r="AU430" s="3">
        <f t="shared" si="55"/>
        <v>10.081064629353548</v>
      </c>
      <c r="AV430" s="3">
        <f t="shared" si="50"/>
        <v>0</v>
      </c>
      <c r="AW430" s="3">
        <f t="shared" si="51"/>
        <v>0</v>
      </c>
      <c r="AX430" s="3">
        <f t="shared" si="52"/>
        <v>10.081064629353548</v>
      </c>
      <c r="AY430" s="102">
        <f t="shared" si="53"/>
        <v>1</v>
      </c>
      <c r="AZ430" s="102">
        <f t="shared" si="54"/>
        <v>0</v>
      </c>
    </row>
    <row r="431" spans="1:53" x14ac:dyDescent="0.35">
      <c r="A431" t="s">
        <v>1021</v>
      </c>
      <c r="B431">
        <v>2025</v>
      </c>
      <c r="C431" t="s">
        <v>837</v>
      </c>
      <c r="D431" t="s">
        <v>1018</v>
      </c>
      <c r="E431" t="s">
        <v>1026</v>
      </c>
      <c r="F431" t="s">
        <v>983</v>
      </c>
      <c r="G431" t="s">
        <v>978</v>
      </c>
      <c r="H431" s="198">
        <v>56372.671891520004</v>
      </c>
      <c r="I431" s="198">
        <v>10143</v>
      </c>
      <c r="J431" s="198">
        <v>0</v>
      </c>
      <c r="K431" s="198">
        <v>0</v>
      </c>
      <c r="L431" s="198">
        <v>0</v>
      </c>
      <c r="M431" s="198">
        <v>16491.743999999999</v>
      </c>
      <c r="N431" s="198">
        <v>50</v>
      </c>
      <c r="O431" s="198">
        <v>0</v>
      </c>
      <c r="P431" s="198">
        <v>5319.5978973000001</v>
      </c>
      <c r="Q431" s="198">
        <v>0</v>
      </c>
      <c r="R431" s="198">
        <v>2784.4571833999998</v>
      </c>
      <c r="S431" s="198">
        <v>3736</v>
      </c>
      <c r="T431" s="198">
        <v>0</v>
      </c>
      <c r="U431" s="198">
        <v>2000</v>
      </c>
      <c r="V431" s="198">
        <v>4720</v>
      </c>
      <c r="W431" s="198">
        <v>233.3</v>
      </c>
      <c r="X431" s="198">
        <v>1500</v>
      </c>
      <c r="Y431" s="198">
        <v>186</v>
      </c>
      <c r="Z431" s="277">
        <v>103536.77097222001</v>
      </c>
      <c r="AA431" s="272">
        <v>51.950978400000011</v>
      </c>
      <c r="AB431" s="198">
        <v>2.5855179562893462</v>
      </c>
      <c r="AC431" s="272">
        <v>1054.4000000000001</v>
      </c>
      <c r="AD431" s="198">
        <v>3.7958400000000001</v>
      </c>
      <c r="AE431" s="198">
        <v>6.3813579562893459</v>
      </c>
      <c r="AF431" s="198">
        <v>193.54033012481915</v>
      </c>
      <c r="AG431" s="198">
        <v>8.508374089660839E-2</v>
      </c>
      <c r="AH431" s="198">
        <v>4.4956779382522653E-4</v>
      </c>
      <c r="AI431" s="198">
        <v>196.21197779820679</v>
      </c>
      <c r="AJ431" s="198">
        <v>8.2560773342028368E-2</v>
      </c>
      <c r="AK431" s="198">
        <v>1.9266178594216818</v>
      </c>
      <c r="AL431" s="198">
        <v>9.0202367584557713E-2</v>
      </c>
      <c r="AM431" s="198">
        <v>7.2332661637923901E-2</v>
      </c>
      <c r="AN431" s="198">
        <v>2.1008130219820162E-2</v>
      </c>
      <c r="AO431" s="198">
        <v>1.3348403512976473E-3</v>
      </c>
      <c r="AP431" s="198">
        <v>3.1582197055250718E-3</v>
      </c>
      <c r="AQ431" s="198">
        <v>3.6157372974550813E-3</v>
      </c>
      <c r="AS431" s="258">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102">
        <f t="shared" ref="AY431:AY494" si="61">AU431/AX431</f>
        <v>0.42560284150954447</v>
      </c>
      <c r="AZ431" s="102">
        <f t="shared" ref="AZ431:AZ494" si="62">AW431/AX431</f>
        <v>0.57439715849045547</v>
      </c>
    </row>
    <row r="432" spans="1:53" x14ac:dyDescent="0.35">
      <c r="A432" t="s">
        <v>246</v>
      </c>
      <c r="B432">
        <v>2025</v>
      </c>
      <c r="C432" t="s">
        <v>837</v>
      </c>
      <c r="D432" t="s">
        <v>1018</v>
      </c>
      <c r="E432" t="s">
        <v>1026</v>
      </c>
      <c r="F432" t="s">
        <v>977</v>
      </c>
      <c r="G432" t="s">
        <v>978</v>
      </c>
      <c r="H432" s="198">
        <v>56372.671891520004</v>
      </c>
      <c r="I432" s="198">
        <v>0</v>
      </c>
      <c r="J432" s="198">
        <v>0</v>
      </c>
      <c r="K432" s="198">
        <v>0</v>
      </c>
      <c r="L432" s="198">
        <v>0</v>
      </c>
      <c r="M432" s="198">
        <v>33205.919999999998</v>
      </c>
      <c r="N432" s="198">
        <v>50</v>
      </c>
      <c r="O432" s="198">
        <v>0</v>
      </c>
      <c r="P432" s="198">
        <v>5394.5967848999999</v>
      </c>
      <c r="Q432" s="198">
        <v>0</v>
      </c>
      <c r="R432" s="198">
        <v>0</v>
      </c>
      <c r="S432" s="198">
        <v>3765</v>
      </c>
      <c r="T432" s="198">
        <v>0</v>
      </c>
      <c r="U432" s="198">
        <v>2000</v>
      </c>
      <c r="V432" s="198">
        <v>4500</v>
      </c>
      <c r="W432" s="198">
        <v>233.3</v>
      </c>
      <c r="X432" s="198">
        <v>1500</v>
      </c>
      <c r="Y432" s="198">
        <v>186</v>
      </c>
      <c r="Z432" s="277">
        <v>107207.48867642001</v>
      </c>
      <c r="AA432" s="272">
        <v>0</v>
      </c>
      <c r="AB432" s="198">
        <v>0</v>
      </c>
      <c r="AC432" s="272">
        <v>1292</v>
      </c>
      <c r="AD432" s="198">
        <v>4.6512000000000002</v>
      </c>
      <c r="AE432" s="198">
        <v>4.6512000000000002</v>
      </c>
      <c r="AF432" s="198">
        <v>0</v>
      </c>
      <c r="AG432" s="198">
        <v>0</v>
      </c>
      <c r="AH432" s="198">
        <v>0</v>
      </c>
      <c r="AI432" s="198">
        <v>0</v>
      </c>
      <c r="AJ432" s="198">
        <v>0</v>
      </c>
      <c r="AK432" s="198">
        <v>0</v>
      </c>
      <c r="AL432" s="198">
        <v>0</v>
      </c>
      <c r="AM432" s="198">
        <v>6.8765125979101324E-2</v>
      </c>
      <c r="AN432" s="198">
        <v>1.757330997243696E-2</v>
      </c>
      <c r="AO432" s="198">
        <v>0</v>
      </c>
      <c r="AP432" s="198">
        <v>2.5125715174328708E-3</v>
      </c>
      <c r="AQ432" s="198">
        <v>3.1412935975651348E-3</v>
      </c>
      <c r="AS432" s="258">
        <f t="shared" si="56"/>
        <v>143818.84605941744</v>
      </c>
      <c r="AT432" s="3">
        <f t="shared" si="57"/>
        <v>0</v>
      </c>
      <c r="AU432" s="3">
        <f t="shared" si="55"/>
        <v>0</v>
      </c>
      <c r="AV432" s="3">
        <f t="shared" si="58"/>
        <v>80.281357575155027</v>
      </c>
      <c r="AW432" s="3">
        <f t="shared" si="59"/>
        <v>2.8901288727055809</v>
      </c>
      <c r="AX432" s="3">
        <f t="shared" si="60"/>
        <v>2.8901288727055809</v>
      </c>
      <c r="AY432" s="102">
        <f t="shared" si="61"/>
        <v>0</v>
      </c>
      <c r="AZ432" s="102">
        <f t="shared" si="62"/>
        <v>1</v>
      </c>
    </row>
    <row r="433" spans="1:52" x14ac:dyDescent="0.35">
      <c r="A433" t="s">
        <v>627</v>
      </c>
      <c r="B433">
        <v>2025</v>
      </c>
      <c r="C433" t="s">
        <v>837</v>
      </c>
      <c r="D433" t="s">
        <v>1018</v>
      </c>
      <c r="E433" t="s">
        <v>1026</v>
      </c>
      <c r="F433" t="s">
        <v>989</v>
      </c>
      <c r="G433" t="s">
        <v>978</v>
      </c>
      <c r="H433" s="198">
        <v>56372.671891520004</v>
      </c>
      <c r="I433" s="198">
        <v>0</v>
      </c>
      <c r="J433" s="198">
        <v>25556.846957547172</v>
      </c>
      <c r="K433" s="198">
        <v>7542.5109209999991</v>
      </c>
      <c r="L433" s="198">
        <v>0</v>
      </c>
      <c r="M433" s="198">
        <v>4057.5979899999998</v>
      </c>
      <c r="N433" s="198">
        <v>50</v>
      </c>
      <c r="O433" s="198">
        <v>0</v>
      </c>
      <c r="P433" s="198">
        <v>5394.5967848999999</v>
      </c>
      <c r="Q433" s="198">
        <v>0</v>
      </c>
      <c r="R433" s="198">
        <v>0</v>
      </c>
      <c r="S433" s="198">
        <v>3765</v>
      </c>
      <c r="T433" s="198">
        <v>0</v>
      </c>
      <c r="U433" s="198">
        <v>2000</v>
      </c>
      <c r="V433" s="198">
        <v>4500</v>
      </c>
      <c r="W433" s="198">
        <v>233.3</v>
      </c>
      <c r="X433" s="198">
        <v>1500</v>
      </c>
      <c r="Y433" s="198">
        <v>186</v>
      </c>
      <c r="Z433" s="277">
        <v>111158.52454496716</v>
      </c>
      <c r="AA433" s="272">
        <v>14.77684088</v>
      </c>
      <c r="AB433" s="198">
        <v>9.089912288478267</v>
      </c>
      <c r="AC433" s="272">
        <v>0</v>
      </c>
      <c r="AD433" s="198">
        <v>0</v>
      </c>
      <c r="AE433" s="198">
        <v>9.089912288478267</v>
      </c>
      <c r="AF433" s="198">
        <v>0</v>
      </c>
      <c r="AG433" s="198">
        <v>0</v>
      </c>
      <c r="AH433" s="198">
        <v>0</v>
      </c>
      <c r="AI433" s="198">
        <v>0</v>
      </c>
      <c r="AJ433" s="198">
        <v>0</v>
      </c>
      <c r="AK433" s="198">
        <v>0</v>
      </c>
      <c r="AL433" s="198">
        <v>0</v>
      </c>
      <c r="AM433" s="198">
        <v>8.4977801975620076E-2</v>
      </c>
      <c r="AN433" s="198">
        <v>2.1716549393769609E-2</v>
      </c>
      <c r="AO433" s="198">
        <v>0</v>
      </c>
      <c r="AP433" s="198">
        <v>3.1049576630294362E-3</v>
      </c>
      <c r="AQ433" s="198">
        <v>3.8819128370724152E-3</v>
      </c>
      <c r="AS433" s="258">
        <f t="shared" si="56"/>
        <v>149119.16067707344</v>
      </c>
      <c r="AT433" s="3">
        <f t="shared" si="57"/>
        <v>15.91782175578439</v>
      </c>
      <c r="AU433" s="3">
        <f t="shared" si="55"/>
        <v>6.1441875305587423</v>
      </c>
      <c r="AV433" s="3">
        <f t="shared" si="58"/>
        <v>0</v>
      </c>
      <c r="AW433" s="3">
        <f t="shared" si="59"/>
        <v>0</v>
      </c>
      <c r="AX433" s="3">
        <f t="shared" si="60"/>
        <v>6.1441875305587423</v>
      </c>
      <c r="AY433" s="102">
        <f t="shared" si="61"/>
        <v>1</v>
      </c>
      <c r="AZ433" s="102">
        <f t="shared" si="62"/>
        <v>0</v>
      </c>
    </row>
    <row r="434" spans="1:52" x14ac:dyDescent="0.35">
      <c r="A434" t="s">
        <v>1065</v>
      </c>
      <c r="B434">
        <v>2025</v>
      </c>
      <c r="C434" t="s">
        <v>837</v>
      </c>
      <c r="D434" t="s">
        <v>1018</v>
      </c>
      <c r="E434" t="s">
        <v>1026</v>
      </c>
      <c r="F434" t="s">
        <v>989</v>
      </c>
      <c r="G434" t="s">
        <v>978</v>
      </c>
      <c r="H434" s="198">
        <v>56372.671891520004</v>
      </c>
      <c r="I434" s="198">
        <v>0</v>
      </c>
      <c r="J434" s="198">
        <v>12536.750759433962</v>
      </c>
      <c r="K434" s="198">
        <v>7392.5588879999996</v>
      </c>
      <c r="L434" s="198">
        <v>0</v>
      </c>
      <c r="M434" s="198">
        <v>4289.76</v>
      </c>
      <c r="N434" s="198">
        <v>50</v>
      </c>
      <c r="O434" s="198">
        <v>0</v>
      </c>
      <c r="P434" s="198">
        <v>5568.8961692000003</v>
      </c>
      <c r="Q434" s="198">
        <v>0</v>
      </c>
      <c r="R434" s="198">
        <v>0</v>
      </c>
      <c r="S434" s="198">
        <v>3833</v>
      </c>
      <c r="T434" s="198">
        <v>0</v>
      </c>
      <c r="U434" s="198">
        <v>2000</v>
      </c>
      <c r="V434" s="198">
        <v>4500</v>
      </c>
      <c r="W434" s="198">
        <v>233.3</v>
      </c>
      <c r="X434" s="198">
        <v>1500</v>
      </c>
      <c r="Y434" s="198">
        <v>186</v>
      </c>
      <c r="Z434" s="277">
        <v>98462.937708153957</v>
      </c>
      <c r="AA434" s="272">
        <v>15.54104862</v>
      </c>
      <c r="AB434" s="198">
        <v>8.6429294949339148</v>
      </c>
      <c r="AC434" s="272">
        <v>0</v>
      </c>
      <c r="AD434" s="198">
        <v>0</v>
      </c>
      <c r="AE434" s="198">
        <v>8.6429294949339148</v>
      </c>
      <c r="AF434" s="198">
        <v>0</v>
      </c>
      <c r="AG434" s="198">
        <v>0</v>
      </c>
      <c r="AH434" s="198">
        <v>0</v>
      </c>
      <c r="AI434" s="198">
        <v>0</v>
      </c>
      <c r="AJ434" s="198">
        <v>0</v>
      </c>
      <c r="AK434" s="198">
        <v>0</v>
      </c>
      <c r="AL434" s="198">
        <v>0</v>
      </c>
      <c r="AM434" s="198">
        <v>8.0799146108448863E-2</v>
      </c>
      <c r="AN434" s="198">
        <v>2.0648670672159187E-2</v>
      </c>
      <c r="AO434" s="198">
        <v>0</v>
      </c>
      <c r="AP434" s="198">
        <v>2.9522760302465772E-3</v>
      </c>
      <c r="AQ434" s="198">
        <v>3.691025599754442E-3</v>
      </c>
      <c r="AS434" s="258">
        <f t="shared" si="56"/>
        <v>132088.03093548852</v>
      </c>
      <c r="AT434" s="3">
        <f t="shared" si="57"/>
        <v>15.135086762338959</v>
      </c>
      <c r="AU434" s="3">
        <f t="shared" si="55"/>
        <v>5.8420563306845033</v>
      </c>
      <c r="AV434" s="3">
        <f t="shared" si="58"/>
        <v>0</v>
      </c>
      <c r="AW434" s="3">
        <f t="shared" si="59"/>
        <v>0</v>
      </c>
      <c r="AX434" s="3">
        <f t="shared" si="60"/>
        <v>5.8420563306845033</v>
      </c>
      <c r="AY434" s="102">
        <f t="shared" si="61"/>
        <v>1</v>
      </c>
      <c r="AZ434" s="102">
        <f t="shared" si="62"/>
        <v>0</v>
      </c>
    </row>
    <row r="435" spans="1:52" x14ac:dyDescent="0.35">
      <c r="A435" t="s">
        <v>1017</v>
      </c>
      <c r="B435">
        <v>2030</v>
      </c>
      <c r="C435" t="s">
        <v>837</v>
      </c>
      <c r="D435" t="s">
        <v>1018</v>
      </c>
      <c r="E435" t="s">
        <v>1026</v>
      </c>
      <c r="F435" t="s">
        <v>983</v>
      </c>
      <c r="G435" t="s">
        <v>978</v>
      </c>
      <c r="H435" s="198">
        <v>56789.42325408</v>
      </c>
      <c r="I435" s="198">
        <v>15228</v>
      </c>
      <c r="J435" s="198">
        <v>0</v>
      </c>
      <c r="K435" s="198">
        <v>0</v>
      </c>
      <c r="L435" s="198">
        <v>120</v>
      </c>
      <c r="M435" s="198">
        <v>0</v>
      </c>
      <c r="N435" s="198">
        <v>0</v>
      </c>
      <c r="O435" s="198">
        <v>150</v>
      </c>
      <c r="P435" s="198">
        <v>0</v>
      </c>
      <c r="Q435" s="198">
        <v>0</v>
      </c>
      <c r="R435" s="198">
        <v>73.2</v>
      </c>
      <c r="S435" s="198">
        <v>6124</v>
      </c>
      <c r="T435" s="198">
        <v>506</v>
      </c>
      <c r="U435" s="198">
        <v>2000</v>
      </c>
      <c r="V435" s="198">
        <v>1920</v>
      </c>
      <c r="W435" s="198">
        <v>0</v>
      </c>
      <c r="X435" s="198">
        <v>0</v>
      </c>
      <c r="Y435" s="198">
        <v>186</v>
      </c>
      <c r="Z435" s="277">
        <v>83096.623254079997</v>
      </c>
      <c r="AA435" s="272">
        <v>7.7991592620000008</v>
      </c>
      <c r="AB435" s="198">
        <v>17.222393207746244</v>
      </c>
      <c r="AC435" s="272">
        <v>0</v>
      </c>
      <c r="AD435" s="198">
        <v>0</v>
      </c>
      <c r="AE435" s="198">
        <v>17.222393207746244</v>
      </c>
      <c r="AF435" s="198">
        <v>1289.1914592426169</v>
      </c>
      <c r="AG435" s="198">
        <v>0.56675129164850491</v>
      </c>
      <c r="AH435" s="198">
        <v>2.9946159530483507E-3</v>
      </c>
      <c r="AI435" s="198">
        <v>1306.9875710939064</v>
      </c>
      <c r="AJ435" s="198">
        <v>0.54994555291067637</v>
      </c>
      <c r="AK435" s="198">
        <v>12.833393887407714</v>
      </c>
      <c r="AL435" s="198">
        <v>0.60084697498695838</v>
      </c>
      <c r="AM435" s="198">
        <v>0.10799978328746414</v>
      </c>
      <c r="AN435" s="198">
        <v>4.4406676762512247E-2</v>
      </c>
      <c r="AO435" s="198">
        <v>8.8915048312437576E-3</v>
      </c>
      <c r="AP435" s="198">
        <v>7.3785830330374402E-3</v>
      </c>
      <c r="AQ435" s="198">
        <v>7.0083463572932362E-3</v>
      </c>
      <c r="AS435" s="258">
        <f t="shared" si="56"/>
        <v>111474.12009534831</v>
      </c>
      <c r="AT435" s="3">
        <f t="shared" si="57"/>
        <v>30.15903526774629</v>
      </c>
      <c r="AU435" s="3">
        <f t="shared" si="55"/>
        <v>11.641213934213754</v>
      </c>
      <c r="AV435" s="3">
        <f t="shared" si="58"/>
        <v>0</v>
      </c>
      <c r="AW435" s="3">
        <f t="shared" si="59"/>
        <v>0</v>
      </c>
      <c r="AX435" s="3">
        <f t="shared" si="60"/>
        <v>11.641213934213754</v>
      </c>
      <c r="AY435" s="102">
        <f t="shared" si="61"/>
        <v>1</v>
      </c>
      <c r="AZ435" s="102">
        <f t="shared" si="62"/>
        <v>0</v>
      </c>
    </row>
    <row r="436" spans="1:52" x14ac:dyDescent="0.35">
      <c r="A436" t="s">
        <v>1020</v>
      </c>
      <c r="B436">
        <v>2030</v>
      </c>
      <c r="C436" t="s">
        <v>837</v>
      </c>
      <c r="D436" t="s">
        <v>1018</v>
      </c>
      <c r="E436" t="s">
        <v>1026</v>
      </c>
      <c r="F436" t="s">
        <v>983</v>
      </c>
      <c r="G436" t="s">
        <v>978</v>
      </c>
      <c r="H436" s="198">
        <v>56789.42325408</v>
      </c>
      <c r="I436" s="198">
        <v>19458</v>
      </c>
      <c r="J436" s="198">
        <v>0</v>
      </c>
      <c r="K436" s="198">
        <v>0</v>
      </c>
      <c r="L436" s="198">
        <v>150</v>
      </c>
      <c r="M436" s="198">
        <v>1014.3994975600001</v>
      </c>
      <c r="N436" s="198">
        <v>40</v>
      </c>
      <c r="O436" s="198">
        <v>150</v>
      </c>
      <c r="P436" s="198">
        <v>1353.84008109</v>
      </c>
      <c r="Q436" s="198">
        <v>0</v>
      </c>
      <c r="R436" s="198">
        <v>0</v>
      </c>
      <c r="S436" s="198">
        <v>7172</v>
      </c>
      <c r="T436" s="198">
        <v>392</v>
      </c>
      <c r="U436" s="198">
        <v>2000</v>
      </c>
      <c r="V436" s="198">
        <v>4720</v>
      </c>
      <c r="W436" s="198">
        <v>173.28</v>
      </c>
      <c r="X436" s="198">
        <v>1500</v>
      </c>
      <c r="Y436" s="198">
        <v>186</v>
      </c>
      <c r="Z436" s="277">
        <v>95098.942832730012</v>
      </c>
      <c r="AA436" s="272">
        <v>9.5399659000000003</v>
      </c>
      <c r="AB436" s="198">
        <v>14.079734551252431</v>
      </c>
      <c r="AC436" s="272">
        <v>0</v>
      </c>
      <c r="AD436" s="198">
        <v>0</v>
      </c>
      <c r="AE436" s="198">
        <v>14.079734551252431</v>
      </c>
      <c r="AF436" s="198">
        <v>1053.9460638788394</v>
      </c>
      <c r="AG436" s="198">
        <v>0.46333326888630699</v>
      </c>
      <c r="AH436" s="198">
        <v>2.4481729799841318E-3</v>
      </c>
      <c r="AI436" s="198">
        <v>1068.4948276823422</v>
      </c>
      <c r="AJ436" s="198">
        <v>0.44959415972115918</v>
      </c>
      <c r="AK436" s="198">
        <v>10.491618507763224</v>
      </c>
      <c r="AL436" s="198">
        <v>0.49120733754553758</v>
      </c>
      <c r="AM436" s="198">
        <v>8.8292507431333558E-2</v>
      </c>
      <c r="AN436" s="198">
        <v>3.6303562087888333E-2</v>
      </c>
      <c r="AO436" s="198">
        <v>7.2690262192354896E-3</v>
      </c>
      <c r="AP436" s="198">
        <v>6.0321750418992582E-3</v>
      </c>
      <c r="AQ436" s="198">
        <v>5.7294973563571643E-3</v>
      </c>
      <c r="AS436" s="258">
        <f t="shared" si="56"/>
        <v>127575.2318101073</v>
      </c>
      <c r="AT436" s="3">
        <f t="shared" si="57"/>
        <v>24.655761006591032</v>
      </c>
      <c r="AU436" s="3">
        <f t="shared" si="55"/>
        <v>9.516981761532989</v>
      </c>
      <c r="AV436" s="3">
        <f t="shared" si="58"/>
        <v>0</v>
      </c>
      <c r="AW436" s="3">
        <f t="shared" si="59"/>
        <v>0</v>
      </c>
      <c r="AX436" s="3">
        <f t="shared" si="60"/>
        <v>9.516981761532989</v>
      </c>
      <c r="AY436" s="102">
        <f t="shared" si="61"/>
        <v>1</v>
      </c>
      <c r="AZ436" s="102">
        <f t="shared" si="62"/>
        <v>0</v>
      </c>
    </row>
    <row r="437" spans="1:52" x14ac:dyDescent="0.35">
      <c r="A437" t="s">
        <v>1021</v>
      </c>
      <c r="B437">
        <v>2030</v>
      </c>
      <c r="C437" t="s">
        <v>837</v>
      </c>
      <c r="D437" t="s">
        <v>1018</v>
      </c>
      <c r="E437" t="s">
        <v>1026</v>
      </c>
      <c r="F437" t="s">
        <v>983</v>
      </c>
      <c r="G437" t="s">
        <v>978</v>
      </c>
      <c r="H437" s="198">
        <v>56789.42325408</v>
      </c>
      <c r="I437" s="198">
        <v>10209</v>
      </c>
      <c r="J437" s="198">
        <v>0</v>
      </c>
      <c r="K437" s="198">
        <v>0</v>
      </c>
      <c r="L437" s="198">
        <v>0</v>
      </c>
      <c r="M437" s="198">
        <v>12586.275000000001</v>
      </c>
      <c r="N437" s="198">
        <v>40</v>
      </c>
      <c r="O437" s="198">
        <v>0</v>
      </c>
      <c r="P437" s="198">
        <v>4209.6060960000004</v>
      </c>
      <c r="Q437" s="198">
        <v>0</v>
      </c>
      <c r="R437" s="198">
        <v>2046.2621568600002</v>
      </c>
      <c r="S437" s="198">
        <v>3725</v>
      </c>
      <c r="T437" s="198">
        <v>0</v>
      </c>
      <c r="U437" s="198">
        <v>2000</v>
      </c>
      <c r="V437" s="198">
        <v>4720</v>
      </c>
      <c r="W437" s="198">
        <v>173.28</v>
      </c>
      <c r="X437" s="198">
        <v>1500</v>
      </c>
      <c r="Y437" s="198">
        <v>186</v>
      </c>
      <c r="Z437" s="277">
        <v>98184.846506939997</v>
      </c>
      <c r="AA437" s="272">
        <v>57.407290300000014</v>
      </c>
      <c r="AB437" s="198">
        <v>2.3397757810561557</v>
      </c>
      <c r="AC437" s="272">
        <v>1002.4000000000001</v>
      </c>
      <c r="AD437" s="198">
        <v>3.6086400000000003</v>
      </c>
      <c r="AE437" s="198">
        <v>5.9484157810561555</v>
      </c>
      <c r="AF437" s="198">
        <v>175.14516810146932</v>
      </c>
      <c r="AG437" s="198">
        <v>7.6996903396969754E-2</v>
      </c>
      <c r="AH437" s="198">
        <v>4.068383409894195E-4</v>
      </c>
      <c r="AI437" s="198">
        <v>177.56288734666023</v>
      </c>
      <c r="AJ437" s="198">
        <v>7.4713732875474378E-2</v>
      </c>
      <c r="AK437" s="198">
        <v>1.7435012570149131</v>
      </c>
      <c r="AL437" s="198">
        <v>8.1629027002067325E-2</v>
      </c>
      <c r="AM437" s="198">
        <v>6.8024002126709851E-2</v>
      </c>
      <c r="AN437" s="198">
        <v>1.9667217136965773E-2</v>
      </c>
      <c r="AO437" s="198">
        <v>1.2079696131853917E-3</v>
      </c>
      <c r="AP437" s="198">
        <v>2.9518113142545034E-3</v>
      </c>
      <c r="AQ437" s="198">
        <v>3.3893071201780384E-3</v>
      </c>
      <c r="AS437" s="258">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102">
        <f t="shared" si="61"/>
        <v>0.41359815142706607</v>
      </c>
      <c r="AZ437" s="102">
        <f t="shared" si="62"/>
        <v>0.58640184857293398</v>
      </c>
    </row>
    <row r="438" spans="1:52" x14ac:dyDescent="0.35">
      <c r="A438" t="s">
        <v>246</v>
      </c>
      <c r="B438">
        <v>2030</v>
      </c>
      <c r="C438" t="s">
        <v>837</v>
      </c>
      <c r="D438" t="s">
        <v>1018</v>
      </c>
      <c r="E438" t="s">
        <v>1026</v>
      </c>
      <c r="F438" t="s">
        <v>977</v>
      </c>
      <c r="G438" t="s">
        <v>978</v>
      </c>
      <c r="H438" s="198">
        <v>56789.42325408</v>
      </c>
      <c r="I438" s="198">
        <v>0</v>
      </c>
      <c r="J438" s="198">
        <v>0</v>
      </c>
      <c r="K438" s="198">
        <v>0</v>
      </c>
      <c r="L438" s="198">
        <v>0</v>
      </c>
      <c r="M438" s="198">
        <v>24204.375</v>
      </c>
      <c r="N438" s="198">
        <v>40</v>
      </c>
      <c r="O438" s="198">
        <v>0</v>
      </c>
      <c r="P438" s="198">
        <v>4265.1788826900001</v>
      </c>
      <c r="Q438" s="198">
        <v>0</v>
      </c>
      <c r="R438" s="198">
        <v>0</v>
      </c>
      <c r="S438" s="198">
        <v>3752</v>
      </c>
      <c r="T438" s="198">
        <v>0</v>
      </c>
      <c r="U438" s="198">
        <v>2000</v>
      </c>
      <c r="V438" s="198">
        <v>4500</v>
      </c>
      <c r="W438" s="198">
        <v>173.28</v>
      </c>
      <c r="X438" s="198">
        <v>1500</v>
      </c>
      <c r="Y438" s="198">
        <v>186</v>
      </c>
      <c r="Z438" s="277">
        <v>97410.25713677</v>
      </c>
      <c r="AA438" s="272">
        <v>0</v>
      </c>
      <c r="AB438" s="198">
        <v>0</v>
      </c>
      <c r="AC438" s="272">
        <v>1216</v>
      </c>
      <c r="AD438" s="198">
        <v>4.3776000000000002</v>
      </c>
      <c r="AE438" s="198">
        <v>4.3776000000000002</v>
      </c>
      <c r="AF438" s="198">
        <v>0</v>
      </c>
      <c r="AG438" s="198">
        <v>0</v>
      </c>
      <c r="AH438" s="198">
        <v>0</v>
      </c>
      <c r="AI438" s="198">
        <v>0</v>
      </c>
      <c r="AJ438" s="198">
        <v>0</v>
      </c>
      <c r="AK438" s="198">
        <v>0</v>
      </c>
      <c r="AL438" s="198">
        <v>0</v>
      </c>
      <c r="AM438" s="198">
        <v>6.4720118568565951E-2</v>
      </c>
      <c r="AN438" s="198">
        <v>1.6539585856411253E-2</v>
      </c>
      <c r="AO438" s="198">
        <v>0</v>
      </c>
      <c r="AP438" s="198">
        <v>2.3647731928779963E-3</v>
      </c>
      <c r="AQ438" s="198">
        <v>2.9565116212377737E-3</v>
      </c>
      <c r="AS438" s="258">
        <f t="shared" si="56"/>
        <v>130675.85994897694</v>
      </c>
      <c r="AT438" s="3">
        <f t="shared" si="57"/>
        <v>0</v>
      </c>
      <c r="AU438" s="3">
        <f t="shared" si="55"/>
        <v>0</v>
      </c>
      <c r="AV438" s="3">
        <f t="shared" si="58"/>
        <v>75.558924776616507</v>
      </c>
      <c r="AW438" s="3">
        <f t="shared" si="59"/>
        <v>2.7201212919581947</v>
      </c>
      <c r="AX438" s="3">
        <f t="shared" si="60"/>
        <v>2.7201212919581947</v>
      </c>
      <c r="AY438" s="102">
        <f t="shared" si="61"/>
        <v>0</v>
      </c>
      <c r="AZ438" s="102">
        <f t="shared" si="62"/>
        <v>1</v>
      </c>
    </row>
    <row r="439" spans="1:52" x14ac:dyDescent="0.35">
      <c r="A439" t="s">
        <v>627</v>
      </c>
      <c r="B439">
        <v>2030</v>
      </c>
      <c r="C439" t="s">
        <v>837</v>
      </c>
      <c r="D439" t="s">
        <v>1018</v>
      </c>
      <c r="E439" t="s">
        <v>1026</v>
      </c>
      <c r="F439" t="s">
        <v>989</v>
      </c>
      <c r="G439" t="s">
        <v>978</v>
      </c>
      <c r="H439" s="198">
        <v>56789.42325408</v>
      </c>
      <c r="I439" s="198">
        <v>0</v>
      </c>
      <c r="J439" s="198">
        <v>20316.657837735849</v>
      </c>
      <c r="K439" s="198">
        <v>6584.4619500000008</v>
      </c>
      <c r="L439" s="198">
        <v>0</v>
      </c>
      <c r="M439" s="198">
        <v>3922.344724</v>
      </c>
      <c r="N439" s="198">
        <v>40</v>
      </c>
      <c r="O439" s="198">
        <v>0</v>
      </c>
      <c r="P439" s="198">
        <v>4265.1788826900001</v>
      </c>
      <c r="Q439" s="198">
        <v>0</v>
      </c>
      <c r="R439" s="198">
        <v>0</v>
      </c>
      <c r="S439" s="198">
        <v>3752</v>
      </c>
      <c r="T439" s="198">
        <v>0</v>
      </c>
      <c r="U439" s="198">
        <v>2000</v>
      </c>
      <c r="V439" s="198">
        <v>4500</v>
      </c>
      <c r="W439" s="198">
        <v>173.28</v>
      </c>
      <c r="X439" s="198">
        <v>1500</v>
      </c>
      <c r="Y439" s="198">
        <v>186</v>
      </c>
      <c r="Z439" s="277">
        <v>104029.34664850585</v>
      </c>
      <c r="AA439" s="272">
        <v>15.69872584</v>
      </c>
      <c r="AB439" s="198">
        <v>8.5561203418022114</v>
      </c>
      <c r="AC439" s="272">
        <v>0</v>
      </c>
      <c r="AD439" s="198">
        <v>0</v>
      </c>
      <c r="AE439" s="198">
        <v>8.5561203418022114</v>
      </c>
      <c r="AF439" s="198">
        <v>0</v>
      </c>
      <c r="AG439" s="198">
        <v>0</v>
      </c>
      <c r="AH439" s="198">
        <v>0</v>
      </c>
      <c r="AI439" s="198">
        <v>0</v>
      </c>
      <c r="AJ439" s="198">
        <v>0</v>
      </c>
      <c r="AK439" s="198">
        <v>0</v>
      </c>
      <c r="AL439" s="198">
        <v>0</v>
      </c>
      <c r="AM439" s="198">
        <v>7.9987603511514502E-2</v>
      </c>
      <c r="AN439" s="198">
        <v>2.0441276452942629E-2</v>
      </c>
      <c r="AO439" s="198">
        <v>0</v>
      </c>
      <c r="AP439" s="198">
        <v>2.9226235169237556E-3</v>
      </c>
      <c r="AQ439" s="198">
        <v>3.653953122570643E-3</v>
      </c>
      <c r="AS439" s="258">
        <f t="shared" si="56"/>
        <v>139555.36852897058</v>
      </c>
      <c r="AT439" s="3">
        <f t="shared" si="57"/>
        <v>14.983070705146357</v>
      </c>
      <c r="AU439" s="3">
        <f t="shared" si="55"/>
        <v>5.7833790080346201</v>
      </c>
      <c r="AV439" s="3">
        <f t="shared" si="58"/>
        <v>0</v>
      </c>
      <c r="AW439" s="3">
        <f t="shared" si="59"/>
        <v>0</v>
      </c>
      <c r="AX439" s="3">
        <f t="shared" si="60"/>
        <v>5.7833790080346201</v>
      </c>
      <c r="AY439" s="102">
        <f t="shared" si="61"/>
        <v>1</v>
      </c>
      <c r="AZ439" s="102">
        <f t="shared" si="62"/>
        <v>0</v>
      </c>
    </row>
    <row r="440" spans="1:52" x14ac:dyDescent="0.35">
      <c r="A440" t="s">
        <v>1065</v>
      </c>
      <c r="B440">
        <v>2030</v>
      </c>
      <c r="C440" t="s">
        <v>837</v>
      </c>
      <c r="D440" t="s">
        <v>1018</v>
      </c>
      <c r="E440" t="s">
        <v>1026</v>
      </c>
      <c r="F440" t="s">
        <v>989</v>
      </c>
      <c r="G440" t="s">
        <v>978</v>
      </c>
      <c r="H440" s="198">
        <v>56789.42325408</v>
      </c>
      <c r="I440" s="198">
        <v>0</v>
      </c>
      <c r="J440" s="198">
        <v>9265.4039433962262</v>
      </c>
      <c r="K440" s="198">
        <v>6407.9333999999999</v>
      </c>
      <c r="L440" s="198">
        <v>0</v>
      </c>
      <c r="M440" s="198">
        <v>3624.4500000000003</v>
      </c>
      <c r="N440" s="198">
        <v>40</v>
      </c>
      <c r="O440" s="198">
        <v>0</v>
      </c>
      <c r="P440" s="198">
        <v>4353.7660899900002</v>
      </c>
      <c r="Q440" s="198">
        <v>0</v>
      </c>
      <c r="R440" s="198">
        <v>0</v>
      </c>
      <c r="S440" s="198">
        <v>3795</v>
      </c>
      <c r="T440" s="198">
        <v>0</v>
      </c>
      <c r="U440" s="198">
        <v>2000</v>
      </c>
      <c r="V440" s="198">
        <v>4500</v>
      </c>
      <c r="W440" s="198">
        <v>173.28</v>
      </c>
      <c r="X440" s="198">
        <v>1500</v>
      </c>
      <c r="Y440" s="198">
        <v>186</v>
      </c>
      <c r="Z440" s="277">
        <v>92635.25668746623</v>
      </c>
      <c r="AA440" s="272">
        <v>16.581434269999999</v>
      </c>
      <c r="AB440" s="198">
        <v>8.1006374546874476</v>
      </c>
      <c r="AC440" s="272">
        <v>0</v>
      </c>
      <c r="AD440" s="198">
        <v>0</v>
      </c>
      <c r="AE440" s="198">
        <v>8.1006374546874476</v>
      </c>
      <c r="AF440" s="198">
        <v>0</v>
      </c>
      <c r="AG440" s="198">
        <v>0</v>
      </c>
      <c r="AH440" s="198">
        <v>0</v>
      </c>
      <c r="AI440" s="198">
        <v>0</v>
      </c>
      <c r="AJ440" s="198">
        <v>0</v>
      </c>
      <c r="AK440" s="198">
        <v>0</v>
      </c>
      <c r="AL440" s="198">
        <v>0</v>
      </c>
      <c r="AM440" s="198">
        <v>7.5729483811769652E-2</v>
      </c>
      <c r="AN440" s="198">
        <v>1.9353090307452275E-2</v>
      </c>
      <c r="AO440" s="198">
        <v>0</v>
      </c>
      <c r="AP440" s="198">
        <v>2.7670383984052449E-3</v>
      </c>
      <c r="AQ440" s="198">
        <v>3.4594358587683527E-3</v>
      </c>
      <c r="AS440" s="258">
        <f t="shared" si="56"/>
        <v>124270.19684623594</v>
      </c>
      <c r="AT440" s="3">
        <f t="shared" si="57"/>
        <v>14.185450752411187</v>
      </c>
      <c r="AU440" s="3">
        <f t="shared" si="55"/>
        <v>5.4755022995936926</v>
      </c>
      <c r="AV440" s="3">
        <f t="shared" si="58"/>
        <v>0</v>
      </c>
      <c r="AW440" s="3">
        <f t="shared" si="59"/>
        <v>0</v>
      </c>
      <c r="AX440" s="3">
        <f t="shared" si="60"/>
        <v>5.4755022995936926</v>
      </c>
      <c r="AY440" s="102">
        <f t="shared" si="61"/>
        <v>1</v>
      </c>
      <c r="AZ440" s="102">
        <f t="shared" si="62"/>
        <v>0</v>
      </c>
    </row>
    <row r="441" spans="1:52" x14ac:dyDescent="0.35">
      <c r="A441" t="s">
        <v>1017</v>
      </c>
      <c r="B441">
        <v>2035</v>
      </c>
      <c r="C441" t="s">
        <v>837</v>
      </c>
      <c r="D441" t="s">
        <v>1018</v>
      </c>
      <c r="E441" t="s">
        <v>1026</v>
      </c>
      <c r="F441" t="s">
        <v>983</v>
      </c>
      <c r="G441" t="s">
        <v>978</v>
      </c>
      <c r="H441" s="198">
        <v>56789.42325408</v>
      </c>
      <c r="I441" s="198">
        <v>15186</v>
      </c>
      <c r="J441" s="198">
        <v>0</v>
      </c>
      <c r="K441" s="198">
        <v>0</v>
      </c>
      <c r="L441" s="198">
        <v>120</v>
      </c>
      <c r="M441" s="198">
        <v>0</v>
      </c>
      <c r="N441" s="198">
        <v>0</v>
      </c>
      <c r="O441" s="198">
        <v>150</v>
      </c>
      <c r="P441" s="198">
        <v>0</v>
      </c>
      <c r="Q441" s="198">
        <v>0</v>
      </c>
      <c r="R441" s="198">
        <v>62.6</v>
      </c>
      <c r="S441" s="198">
        <v>6040</v>
      </c>
      <c r="T441" s="198">
        <v>506</v>
      </c>
      <c r="U441" s="198">
        <v>2000</v>
      </c>
      <c r="V441" s="198">
        <v>1920</v>
      </c>
      <c r="W441" s="198">
        <v>0</v>
      </c>
      <c r="X441" s="198">
        <v>0</v>
      </c>
      <c r="Y441" s="198">
        <v>186</v>
      </c>
      <c r="Z441" s="277">
        <v>82960.023254080006</v>
      </c>
      <c r="AA441" s="272">
        <v>8.2014395330000003</v>
      </c>
      <c r="AB441" s="198">
        <v>16.37763553087699</v>
      </c>
      <c r="AC441" s="272">
        <v>0</v>
      </c>
      <c r="AD441" s="198">
        <v>0</v>
      </c>
      <c r="AE441" s="198">
        <v>16.37763553087699</v>
      </c>
      <c r="AF441" s="198">
        <v>1225.9566713120032</v>
      </c>
      <c r="AG441" s="198">
        <v>0.53895216415672853</v>
      </c>
      <c r="AH441" s="198">
        <v>2.8477301640004666E-3</v>
      </c>
      <c r="AI441" s="198">
        <v>1242.8798846106083</v>
      </c>
      <c r="AJ441" s="198">
        <v>0.52297074621119588</v>
      </c>
      <c r="AK441" s="198">
        <v>12.203916446270293</v>
      </c>
      <c r="AL441" s="198">
        <v>0.57137545563298109</v>
      </c>
      <c r="AM441" s="198">
        <v>0.10270239836936425</v>
      </c>
      <c r="AN441" s="198">
        <v>4.2228531097918354E-2</v>
      </c>
      <c r="AO441" s="198">
        <v>8.4553768858119435E-3</v>
      </c>
      <c r="AP441" s="198">
        <v>7.0166638394394167E-3</v>
      </c>
      <c r="AQ441" s="198">
        <v>6.6645872573779415E-3</v>
      </c>
      <c r="AS441" s="258">
        <f t="shared" si="56"/>
        <v>111290.87119534831</v>
      </c>
      <c r="AT441" s="3">
        <f t="shared" si="57"/>
        <v>28.679735831130238</v>
      </c>
      <c r="AU441" s="3">
        <f t="shared" si="55"/>
        <v>11.070212870634435</v>
      </c>
      <c r="AV441" s="3">
        <f t="shared" si="58"/>
        <v>0</v>
      </c>
      <c r="AW441" s="3">
        <f t="shared" si="59"/>
        <v>0</v>
      </c>
      <c r="AX441" s="3">
        <f t="shared" si="60"/>
        <v>11.070212870634435</v>
      </c>
      <c r="AY441" s="102">
        <f t="shared" si="61"/>
        <v>1</v>
      </c>
      <c r="AZ441" s="102">
        <f t="shared" si="62"/>
        <v>0</v>
      </c>
    </row>
    <row r="442" spans="1:52" x14ac:dyDescent="0.35">
      <c r="A442" t="s">
        <v>1020</v>
      </c>
      <c r="B442">
        <v>2035</v>
      </c>
      <c r="C442" t="s">
        <v>837</v>
      </c>
      <c r="D442" t="s">
        <v>1018</v>
      </c>
      <c r="E442" t="s">
        <v>1026</v>
      </c>
      <c r="F442" t="s">
        <v>983</v>
      </c>
      <c r="G442" t="s">
        <v>978</v>
      </c>
      <c r="H442" s="198">
        <v>56789.42325408</v>
      </c>
      <c r="I442" s="198">
        <v>19473</v>
      </c>
      <c r="J442" s="198">
        <v>0</v>
      </c>
      <c r="K442" s="198">
        <v>0</v>
      </c>
      <c r="L442" s="198">
        <v>150</v>
      </c>
      <c r="M442" s="198">
        <v>982.36582920000001</v>
      </c>
      <c r="N442" s="198">
        <v>35</v>
      </c>
      <c r="O442" s="198">
        <v>150</v>
      </c>
      <c r="P442" s="198">
        <v>1172.1892693299999</v>
      </c>
      <c r="Q442" s="198">
        <v>0</v>
      </c>
      <c r="R442" s="198">
        <v>0</v>
      </c>
      <c r="S442" s="198">
        <v>7145</v>
      </c>
      <c r="T442" s="198">
        <v>392</v>
      </c>
      <c r="U442" s="198">
        <v>2000</v>
      </c>
      <c r="V442" s="198">
        <v>4720</v>
      </c>
      <c r="W442" s="198">
        <v>140</v>
      </c>
      <c r="X442" s="198">
        <v>1500</v>
      </c>
      <c r="Y442" s="198">
        <v>186</v>
      </c>
      <c r="Z442" s="277">
        <v>94834.978352610007</v>
      </c>
      <c r="AA442" s="272">
        <v>10.02818156</v>
      </c>
      <c r="AB442" s="198">
        <v>13.394271603116049</v>
      </c>
      <c r="AC442" s="272">
        <v>0</v>
      </c>
      <c r="AD442" s="198">
        <v>0</v>
      </c>
      <c r="AE442" s="198">
        <v>13.394271603116049</v>
      </c>
      <c r="AF442" s="198">
        <v>1002.6353681058953</v>
      </c>
      <c r="AG442" s="198">
        <v>0.44077618250769884</v>
      </c>
      <c r="AH442" s="198">
        <v>2.3289852309325361E-3</v>
      </c>
      <c r="AI442" s="198">
        <v>1016.4758345695451</v>
      </c>
      <c r="AJ442" s="198">
        <v>0.42770595315976834</v>
      </c>
      <c r="AK442" s="198">
        <v>9.9808407138442412</v>
      </c>
      <c r="AL442" s="198">
        <v>0.46729321981025429</v>
      </c>
      <c r="AM442" s="198">
        <v>8.3994042696652046E-2</v>
      </c>
      <c r="AN442" s="198">
        <v>3.4536146189099066E-2</v>
      </c>
      <c r="AO442" s="198">
        <v>6.9151382873160212E-3</v>
      </c>
      <c r="AP442" s="198">
        <v>5.7385024252143684E-3</v>
      </c>
      <c r="AQ442" s="198">
        <v>5.4505604108535406E-3</v>
      </c>
      <c r="AS442" s="258">
        <f t="shared" si="56"/>
        <v>127221.12346002631</v>
      </c>
      <c r="AT442" s="3">
        <f t="shared" si="57"/>
        <v>23.455410917134227</v>
      </c>
      <c r="AU442" s="3">
        <f t="shared" si="55"/>
        <v>9.0536535395502611</v>
      </c>
      <c r="AV442" s="3">
        <f t="shared" si="58"/>
        <v>0</v>
      </c>
      <c r="AW442" s="3">
        <f t="shared" si="59"/>
        <v>0</v>
      </c>
      <c r="AX442" s="3">
        <f t="shared" si="60"/>
        <v>9.0536535395502611</v>
      </c>
      <c r="AY442" s="102">
        <f t="shared" si="61"/>
        <v>1</v>
      </c>
      <c r="AZ442" s="102">
        <f t="shared" si="62"/>
        <v>0</v>
      </c>
    </row>
    <row r="443" spans="1:52" x14ac:dyDescent="0.35">
      <c r="A443" t="s">
        <v>1021</v>
      </c>
      <c r="B443">
        <v>2035</v>
      </c>
      <c r="C443" t="s">
        <v>837</v>
      </c>
      <c r="D443" t="s">
        <v>1018</v>
      </c>
      <c r="E443" t="s">
        <v>1026</v>
      </c>
      <c r="F443" t="s">
        <v>983</v>
      </c>
      <c r="G443" t="s">
        <v>978</v>
      </c>
      <c r="H443" s="198">
        <v>56789.42325408</v>
      </c>
      <c r="I443" s="198">
        <v>10226</v>
      </c>
      <c r="J443" s="198">
        <v>0</v>
      </c>
      <c r="K443" s="198">
        <v>0</v>
      </c>
      <c r="L443" s="198">
        <v>0</v>
      </c>
      <c r="M443" s="198">
        <v>9886.5562499999996</v>
      </c>
      <c r="N443" s="198">
        <v>35</v>
      </c>
      <c r="O443" s="198">
        <v>0</v>
      </c>
      <c r="P443" s="198">
        <v>3591.7606516599999</v>
      </c>
      <c r="Q443" s="198">
        <v>0</v>
      </c>
      <c r="R443" s="198">
        <v>1639.1027985150001</v>
      </c>
      <c r="S443" s="198">
        <v>3714</v>
      </c>
      <c r="T443" s="198">
        <v>0</v>
      </c>
      <c r="U443" s="198">
        <v>2000</v>
      </c>
      <c r="V443" s="198">
        <v>4720</v>
      </c>
      <c r="W443" s="198">
        <v>140</v>
      </c>
      <c r="X443" s="198">
        <v>1500</v>
      </c>
      <c r="Y443" s="198">
        <v>186</v>
      </c>
      <c r="Z443" s="277">
        <v>94427.842954255</v>
      </c>
      <c r="AA443" s="272">
        <v>62.096177100000013</v>
      </c>
      <c r="AB443" s="198">
        <v>2.1630991435058888</v>
      </c>
      <c r="AC443" s="272">
        <v>952.80000000000007</v>
      </c>
      <c r="AD443" s="198">
        <v>3.4300800000000002</v>
      </c>
      <c r="AE443" s="198">
        <v>5.5931791435058891</v>
      </c>
      <c r="AF443" s="198">
        <v>161.91994385824034</v>
      </c>
      <c r="AG443" s="198">
        <v>7.1182861682332121E-2</v>
      </c>
      <c r="AH443" s="198">
        <v>3.7611794859348916E-4</v>
      </c>
      <c r="AI443" s="198">
        <v>164.15510094929695</v>
      </c>
      <c r="AJ443" s="198">
        <v>6.9072093531165418E-2</v>
      </c>
      <c r="AK443" s="198">
        <v>1.6118493516707979</v>
      </c>
      <c r="AL443" s="198">
        <v>7.5465213300775297E-2</v>
      </c>
      <c r="AM443" s="198">
        <v>6.4276182281508498E-2</v>
      </c>
      <c r="AN443" s="198">
        <v>1.8537028393069779E-2</v>
      </c>
      <c r="AO443" s="198">
        <v>1.1167557407928176E-3</v>
      </c>
      <c r="AP443" s="198">
        <v>2.779659959179474E-3</v>
      </c>
      <c r="AQ443" s="198">
        <v>3.1968171543995645E-3</v>
      </c>
      <c r="AS443" s="258">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102">
        <f t="shared" si="61"/>
        <v>0.40688054330808043</v>
      </c>
      <c r="AZ443" s="102">
        <f t="shared" si="62"/>
        <v>0.59311945669191957</v>
      </c>
    </row>
    <row r="444" spans="1:52" x14ac:dyDescent="0.35">
      <c r="A444" t="s">
        <v>246</v>
      </c>
      <c r="B444">
        <v>2035</v>
      </c>
      <c r="C444" t="s">
        <v>837</v>
      </c>
      <c r="D444" t="s">
        <v>1018</v>
      </c>
      <c r="E444" t="s">
        <v>1026</v>
      </c>
      <c r="F444" t="s">
        <v>977</v>
      </c>
      <c r="G444" t="s">
        <v>978</v>
      </c>
      <c r="H444" s="198">
        <v>56789.42325408</v>
      </c>
      <c r="I444" s="198">
        <v>0</v>
      </c>
      <c r="J444" s="198">
        <v>0</v>
      </c>
      <c r="K444" s="198">
        <v>0</v>
      </c>
      <c r="L444" s="198">
        <v>0</v>
      </c>
      <c r="M444" s="198">
        <v>19706.084999999999</v>
      </c>
      <c r="N444" s="198">
        <v>35</v>
      </c>
      <c r="O444" s="198">
        <v>0</v>
      </c>
      <c r="P444" s="198">
        <v>3563.9238514399999</v>
      </c>
      <c r="Q444" s="198">
        <v>0</v>
      </c>
      <c r="R444" s="198">
        <v>0</v>
      </c>
      <c r="S444" s="198">
        <v>3698</v>
      </c>
      <c r="T444" s="198">
        <v>0</v>
      </c>
      <c r="U444" s="198">
        <v>2000</v>
      </c>
      <c r="V444" s="198">
        <v>4500</v>
      </c>
      <c r="W444" s="198">
        <v>140</v>
      </c>
      <c r="X444" s="198">
        <v>1500</v>
      </c>
      <c r="Y444" s="198">
        <v>186</v>
      </c>
      <c r="Z444" s="277">
        <v>92118.432105519998</v>
      </c>
      <c r="AA444" s="272">
        <v>0</v>
      </c>
      <c r="AB444" s="198">
        <v>0</v>
      </c>
      <c r="AC444" s="272">
        <v>1155</v>
      </c>
      <c r="AD444" s="198">
        <v>4.1579999999999995</v>
      </c>
      <c r="AE444" s="198">
        <v>4.1579999999999995</v>
      </c>
      <c r="AF444" s="198">
        <v>0</v>
      </c>
      <c r="AG444" s="198">
        <v>0</v>
      </c>
      <c r="AH444" s="198">
        <v>0</v>
      </c>
      <c r="AI444" s="198">
        <v>0</v>
      </c>
      <c r="AJ444" s="198">
        <v>0</v>
      </c>
      <c r="AK444" s="198">
        <v>0</v>
      </c>
      <c r="AL444" s="198">
        <v>0</v>
      </c>
      <c r="AM444" s="198">
        <v>6.1473467883794125E-2</v>
      </c>
      <c r="AN444" s="198">
        <v>1.5709886236969568E-2</v>
      </c>
      <c r="AO444" s="198">
        <v>0</v>
      </c>
      <c r="AP444" s="198">
        <v>2.2461455902747412E-3</v>
      </c>
      <c r="AQ444" s="198">
        <v>2.8081997718171284E-3</v>
      </c>
      <c r="AS444" s="258">
        <f t="shared" si="56"/>
        <v>123576.87666955507</v>
      </c>
      <c r="AT444" s="3">
        <f t="shared" si="57"/>
        <v>0</v>
      </c>
      <c r="AU444" s="3">
        <f t="shared" si="55"/>
        <v>0</v>
      </c>
      <c r="AV444" s="3">
        <f t="shared" si="58"/>
        <v>71.768551083052685</v>
      </c>
      <c r="AW444" s="3">
        <f t="shared" si="59"/>
        <v>2.5836678389898968</v>
      </c>
      <c r="AX444" s="3">
        <f t="shared" si="60"/>
        <v>2.5836678389898968</v>
      </c>
      <c r="AY444" s="102">
        <f t="shared" si="61"/>
        <v>0</v>
      </c>
      <c r="AZ444" s="102">
        <f t="shared" si="62"/>
        <v>1</v>
      </c>
    </row>
    <row r="445" spans="1:52" x14ac:dyDescent="0.35">
      <c r="A445" t="s">
        <v>627</v>
      </c>
      <c r="B445">
        <v>2035</v>
      </c>
      <c r="C445" t="s">
        <v>837</v>
      </c>
      <c r="D445" t="s">
        <v>1018</v>
      </c>
      <c r="E445" t="s">
        <v>1026</v>
      </c>
      <c r="F445" t="s">
        <v>989</v>
      </c>
      <c r="G445" t="s">
        <v>978</v>
      </c>
      <c r="H445" s="198">
        <v>56789.42325408</v>
      </c>
      <c r="I445" s="198">
        <v>0</v>
      </c>
      <c r="J445" s="198">
        <v>17314.219649999999</v>
      </c>
      <c r="K445" s="198">
        <v>6197.5559002500013</v>
      </c>
      <c r="L445" s="198">
        <v>0</v>
      </c>
      <c r="M445" s="198">
        <v>3587.7708540000003</v>
      </c>
      <c r="N445" s="198">
        <v>35</v>
      </c>
      <c r="O445" s="198">
        <v>0</v>
      </c>
      <c r="P445" s="198">
        <v>3563.9238514399999</v>
      </c>
      <c r="Q445" s="198">
        <v>0</v>
      </c>
      <c r="R445" s="198">
        <v>0</v>
      </c>
      <c r="S445" s="198">
        <v>3698</v>
      </c>
      <c r="T445" s="198">
        <v>0</v>
      </c>
      <c r="U445" s="198">
        <v>2000</v>
      </c>
      <c r="V445" s="198">
        <v>4500</v>
      </c>
      <c r="W445" s="198">
        <v>140</v>
      </c>
      <c r="X445" s="198">
        <v>1500</v>
      </c>
      <c r="Y445" s="198">
        <v>186</v>
      </c>
      <c r="Z445" s="277">
        <v>99511.893509770001</v>
      </c>
      <c r="AA445" s="272">
        <v>16.316109770000001</v>
      </c>
      <c r="AB445" s="198">
        <v>8.2323660108594634</v>
      </c>
      <c r="AC445" s="272">
        <v>0</v>
      </c>
      <c r="AD445" s="198">
        <v>0</v>
      </c>
      <c r="AE445" s="198">
        <v>8.2323660108594634</v>
      </c>
      <c r="AF445" s="198">
        <v>0</v>
      </c>
      <c r="AG445" s="198">
        <v>0</v>
      </c>
      <c r="AH445" s="198">
        <v>0</v>
      </c>
      <c r="AI445" s="198">
        <v>0</v>
      </c>
      <c r="AJ445" s="198">
        <v>0</v>
      </c>
      <c r="AK445" s="198">
        <v>0</v>
      </c>
      <c r="AL445" s="198">
        <v>0</v>
      </c>
      <c r="AM445" s="198">
        <v>7.6960959188612246E-2</v>
      </c>
      <c r="AN445" s="198">
        <v>1.9667800681534273E-2</v>
      </c>
      <c r="AO445" s="198">
        <v>0</v>
      </c>
      <c r="AP445" s="198">
        <v>2.8120346070534337E-3</v>
      </c>
      <c r="AQ445" s="198">
        <v>3.5156914921545324E-3</v>
      </c>
      <c r="AS445" s="258">
        <f t="shared" si="56"/>
        <v>133495.20514335646</v>
      </c>
      <c r="AT445" s="3">
        <f t="shared" si="57"/>
        <v>14.416127530222429</v>
      </c>
      <c r="AU445" s="3">
        <f t="shared" si="55"/>
        <v>5.5645422074128801</v>
      </c>
      <c r="AV445" s="3">
        <f t="shared" si="58"/>
        <v>0</v>
      </c>
      <c r="AW445" s="3">
        <f t="shared" si="59"/>
        <v>0</v>
      </c>
      <c r="AX445" s="3">
        <f t="shared" si="60"/>
        <v>5.5645422074128801</v>
      </c>
      <c r="AY445" s="102">
        <f t="shared" si="61"/>
        <v>1</v>
      </c>
      <c r="AZ445" s="102">
        <f t="shared" si="62"/>
        <v>0</v>
      </c>
    </row>
    <row r="446" spans="1:52" x14ac:dyDescent="0.35">
      <c r="A446" t="s">
        <v>1065</v>
      </c>
      <c r="B446">
        <v>2035</v>
      </c>
      <c r="C446" t="s">
        <v>837</v>
      </c>
      <c r="D446" t="s">
        <v>1018</v>
      </c>
      <c r="E446" t="s">
        <v>1026</v>
      </c>
      <c r="F446" t="s">
        <v>989</v>
      </c>
      <c r="G446" t="s">
        <v>978</v>
      </c>
      <c r="H446" s="198">
        <v>56789.42325408</v>
      </c>
      <c r="I446" s="198">
        <v>0</v>
      </c>
      <c r="J446" s="198">
        <v>7589.264649056603</v>
      </c>
      <c r="K446" s="198">
        <v>5994.7295265000012</v>
      </c>
      <c r="L446" s="198">
        <v>0</v>
      </c>
      <c r="M446" s="198">
        <v>3351.3749999999995</v>
      </c>
      <c r="N446" s="198">
        <v>35</v>
      </c>
      <c r="O446" s="198">
        <v>0</v>
      </c>
      <c r="P446" s="198">
        <v>3689.8776980399998</v>
      </c>
      <c r="Q446" s="198">
        <v>0</v>
      </c>
      <c r="R446" s="198">
        <v>0</v>
      </c>
      <c r="S446" s="198">
        <v>3770</v>
      </c>
      <c r="T446" s="198">
        <v>0</v>
      </c>
      <c r="U446" s="198">
        <v>2000</v>
      </c>
      <c r="V446" s="198">
        <v>4500</v>
      </c>
      <c r="W446" s="198">
        <v>140</v>
      </c>
      <c r="X446" s="198">
        <v>1500</v>
      </c>
      <c r="Y446" s="198">
        <v>186</v>
      </c>
      <c r="Z446" s="277">
        <v>89545.670127676611</v>
      </c>
      <c r="AA446" s="272">
        <v>17.42557012</v>
      </c>
      <c r="AB446" s="198">
        <v>7.7082234081876919</v>
      </c>
      <c r="AC446" s="272">
        <v>0</v>
      </c>
      <c r="AD446" s="198">
        <v>0</v>
      </c>
      <c r="AE446" s="198">
        <v>7.7082234081876919</v>
      </c>
      <c r="AF446" s="198">
        <v>0</v>
      </c>
      <c r="AG446" s="198">
        <v>0</v>
      </c>
      <c r="AH446" s="198">
        <v>0</v>
      </c>
      <c r="AI446" s="198">
        <v>0</v>
      </c>
      <c r="AJ446" s="198">
        <v>0</v>
      </c>
      <c r="AK446" s="198">
        <v>0</v>
      </c>
      <c r="AL446" s="198">
        <v>0</v>
      </c>
      <c r="AM446" s="198">
        <v>7.2060968420463223E-2</v>
      </c>
      <c r="AN446" s="198">
        <v>1.8415580818562854E-2</v>
      </c>
      <c r="AO446" s="198">
        <v>0</v>
      </c>
      <c r="AP446" s="198">
        <v>2.6329965108609393E-3</v>
      </c>
      <c r="AQ446" s="198">
        <v>3.2918525998533264E-3</v>
      </c>
      <c r="AS446" s="258">
        <f t="shared" si="56"/>
        <v>120125.51647627816</v>
      </c>
      <c r="AT446" s="3">
        <f t="shared" si="57"/>
        <v>13.49827395153417</v>
      </c>
      <c r="AU446" s="3">
        <f t="shared" si="55"/>
        <v>5.2102560117526107</v>
      </c>
      <c r="AV446" s="3">
        <f t="shared" si="58"/>
        <v>0</v>
      </c>
      <c r="AW446" s="3">
        <f t="shared" si="59"/>
        <v>0</v>
      </c>
      <c r="AX446" s="3">
        <f t="shared" si="60"/>
        <v>5.2102560117526107</v>
      </c>
      <c r="AY446" s="102">
        <f t="shared" si="61"/>
        <v>1</v>
      </c>
      <c r="AZ446" s="102">
        <f t="shared" si="62"/>
        <v>0</v>
      </c>
    </row>
    <row r="447" spans="1:52" x14ac:dyDescent="0.35">
      <c r="A447" t="s">
        <v>1017</v>
      </c>
      <c r="B447">
        <v>2050</v>
      </c>
      <c r="C447" t="s">
        <v>837</v>
      </c>
      <c r="D447" t="s">
        <v>1018</v>
      </c>
      <c r="E447" t="s">
        <v>1026</v>
      </c>
      <c r="F447" t="s">
        <v>983</v>
      </c>
      <c r="G447" t="s">
        <v>978</v>
      </c>
      <c r="H447" s="198">
        <v>57021.8422832</v>
      </c>
      <c r="I447" s="198">
        <v>15460</v>
      </c>
      <c r="J447" s="198">
        <v>0</v>
      </c>
      <c r="K447" s="198">
        <v>0</v>
      </c>
      <c r="L447" s="198">
        <v>120</v>
      </c>
      <c r="M447" s="198">
        <v>0</v>
      </c>
      <c r="N447" s="198">
        <v>0</v>
      </c>
      <c r="O447" s="198">
        <v>150</v>
      </c>
      <c r="P447" s="198">
        <v>0</v>
      </c>
      <c r="Q447" s="198">
        <v>0</v>
      </c>
      <c r="R447" s="198">
        <v>44</v>
      </c>
      <c r="S447" s="198">
        <v>5984</v>
      </c>
      <c r="T447" s="198">
        <v>506</v>
      </c>
      <c r="U447" s="198">
        <v>2000</v>
      </c>
      <c r="V447" s="198">
        <v>1920</v>
      </c>
      <c r="W447" s="198">
        <v>0</v>
      </c>
      <c r="X447" s="198">
        <v>0</v>
      </c>
      <c r="Y447" s="198">
        <v>186</v>
      </c>
      <c r="Z447" s="277">
        <v>83391.842283200007</v>
      </c>
      <c r="AA447" s="272">
        <v>9.2251997049999996</v>
      </c>
      <c r="AB447" s="198">
        <v>14.560138728183773</v>
      </c>
      <c r="AC447" s="272">
        <v>0</v>
      </c>
      <c r="AD447" s="198">
        <v>0</v>
      </c>
      <c r="AE447" s="198">
        <v>14.560138728183773</v>
      </c>
      <c r="AF447" s="198">
        <v>1089.9069756065896</v>
      </c>
      <c r="AG447" s="198">
        <v>0.47914231960910164</v>
      </c>
      <c r="AH447" s="198">
        <v>2.5317052739456118E-3</v>
      </c>
      <c r="AI447" s="198">
        <v>1104.9521469861691</v>
      </c>
      <c r="AJ447" s="198">
        <v>0.46493442849311334</v>
      </c>
      <c r="AK447" s="198">
        <v>10.849595239181879</v>
      </c>
      <c r="AL447" s="198">
        <v>0.50796745868540738</v>
      </c>
      <c r="AM447" s="198">
        <v>9.1305070573582656E-2</v>
      </c>
      <c r="AN447" s="198">
        <v>3.7542248996439216E-2</v>
      </c>
      <c r="AO447" s="198">
        <v>7.5170472700040606E-3</v>
      </c>
      <c r="AP447" s="198">
        <v>6.237994411260283E-3</v>
      </c>
      <c r="AQ447" s="198">
        <v>5.924989284965025E-3</v>
      </c>
      <c r="AS447" s="258">
        <f t="shared" si="56"/>
        <v>111870.1564229128</v>
      </c>
      <c r="AT447" s="3">
        <f t="shared" si="57"/>
        <v>25.497021935898367</v>
      </c>
      <c r="AU447" s="3">
        <f t="shared" si="55"/>
        <v>9.8417036356121539</v>
      </c>
      <c r="AV447" s="3">
        <f t="shared" si="58"/>
        <v>0</v>
      </c>
      <c r="AW447" s="3">
        <f t="shared" si="59"/>
        <v>0</v>
      </c>
      <c r="AX447" s="3">
        <f t="shared" si="60"/>
        <v>9.8417036356121539</v>
      </c>
      <c r="AY447" s="102">
        <f t="shared" si="61"/>
        <v>1</v>
      </c>
      <c r="AZ447" s="102">
        <f t="shared" si="62"/>
        <v>0</v>
      </c>
    </row>
    <row r="448" spans="1:52" x14ac:dyDescent="0.35">
      <c r="A448" t="s">
        <v>1020</v>
      </c>
      <c r="B448">
        <v>2050</v>
      </c>
      <c r="C448" t="s">
        <v>837</v>
      </c>
      <c r="D448" t="s">
        <v>1018</v>
      </c>
      <c r="E448" t="s">
        <v>1026</v>
      </c>
      <c r="F448" t="s">
        <v>983</v>
      </c>
      <c r="G448" t="s">
        <v>978</v>
      </c>
      <c r="H448" s="198">
        <v>57021.8422832</v>
      </c>
      <c r="I448" s="198">
        <v>19336</v>
      </c>
      <c r="J448" s="198">
        <v>0</v>
      </c>
      <c r="K448" s="198">
        <v>0</v>
      </c>
      <c r="L448" s="198">
        <v>150</v>
      </c>
      <c r="M448" s="198">
        <v>958.04396987999996</v>
      </c>
      <c r="N448" s="198">
        <v>28.89</v>
      </c>
      <c r="O448" s="198">
        <v>150</v>
      </c>
      <c r="P448" s="198">
        <v>823.75653690000001</v>
      </c>
      <c r="Q448" s="198">
        <v>0</v>
      </c>
      <c r="R448" s="198">
        <v>0</v>
      </c>
      <c r="S448" s="198">
        <v>7072</v>
      </c>
      <c r="T448" s="198">
        <v>392</v>
      </c>
      <c r="U448" s="198">
        <v>2000</v>
      </c>
      <c r="V448" s="198">
        <v>4720</v>
      </c>
      <c r="W448" s="198">
        <v>101.11499999999999</v>
      </c>
      <c r="X448" s="198">
        <v>1500</v>
      </c>
      <c r="Y448" s="198">
        <v>186</v>
      </c>
      <c r="Z448" s="277">
        <v>94439.647789980008</v>
      </c>
      <c r="AA448" s="272">
        <v>11.54051484</v>
      </c>
      <c r="AB448" s="198">
        <v>11.639011721941515</v>
      </c>
      <c r="AC448" s="272">
        <v>0</v>
      </c>
      <c r="AD448" s="198">
        <v>0</v>
      </c>
      <c r="AE448" s="198">
        <v>11.639011721941515</v>
      </c>
      <c r="AF448" s="198">
        <v>871.24445046364599</v>
      </c>
      <c r="AG448" s="198">
        <v>0.38301441892265697</v>
      </c>
      <c r="AH448" s="198">
        <v>2.023782047001813E-3</v>
      </c>
      <c r="AI448" s="198">
        <v>883.27118518881628</v>
      </c>
      <c r="AJ448" s="198">
        <v>0.37165698515569973</v>
      </c>
      <c r="AK448" s="198">
        <v>8.6728958098952589</v>
      </c>
      <c r="AL448" s="198">
        <v>0.40605651610723276</v>
      </c>
      <c r="AM448" s="198">
        <v>7.2986995970139815E-2</v>
      </c>
      <c r="AN448" s="198">
        <v>3.0010337421565808E-2</v>
      </c>
      <c r="AO448" s="198">
        <v>6.0089400879547328E-3</v>
      </c>
      <c r="AP448" s="198">
        <v>4.9864971364267149E-3</v>
      </c>
      <c r="AQ448" s="198">
        <v>4.7362886458354484E-3</v>
      </c>
      <c r="AS448" s="258">
        <f t="shared" si="56"/>
        <v>126690.78751025817</v>
      </c>
      <c r="AT448" s="3">
        <f t="shared" si="57"/>
        <v>20.381683356635079</v>
      </c>
      <c r="AU448" s="3">
        <f t="shared" si="55"/>
        <v>7.8672124021068948</v>
      </c>
      <c r="AV448" s="3">
        <f t="shared" si="58"/>
        <v>0</v>
      </c>
      <c r="AW448" s="3">
        <f t="shared" si="59"/>
        <v>0</v>
      </c>
      <c r="AX448" s="3">
        <f t="shared" si="60"/>
        <v>7.8672124021068948</v>
      </c>
      <c r="AY448" s="102">
        <f t="shared" si="61"/>
        <v>1</v>
      </c>
      <c r="AZ448" s="102">
        <f t="shared" si="62"/>
        <v>0</v>
      </c>
    </row>
    <row r="449" spans="1:52" x14ac:dyDescent="0.35">
      <c r="A449" t="s">
        <v>1021</v>
      </c>
      <c r="B449">
        <v>2050</v>
      </c>
      <c r="C449" t="s">
        <v>837</v>
      </c>
      <c r="D449" t="s">
        <v>1018</v>
      </c>
      <c r="E449" t="s">
        <v>1026</v>
      </c>
      <c r="F449" t="s">
        <v>983</v>
      </c>
      <c r="G449" t="s">
        <v>978</v>
      </c>
      <c r="H449" s="198">
        <v>57021.8422832</v>
      </c>
      <c r="I449" s="198">
        <v>10399</v>
      </c>
      <c r="J449" s="198">
        <v>0</v>
      </c>
      <c r="K449" s="198">
        <v>0</v>
      </c>
      <c r="L449" s="198">
        <v>0</v>
      </c>
      <c r="M449" s="198">
        <v>6994.4437500000004</v>
      </c>
      <c r="N449" s="198">
        <v>28.89</v>
      </c>
      <c r="O449" s="198">
        <v>0</v>
      </c>
      <c r="P449" s="198">
        <v>2491.2232818000002</v>
      </c>
      <c r="Q449" s="198">
        <v>0</v>
      </c>
      <c r="R449" s="198">
        <v>1050.4485079000001</v>
      </c>
      <c r="S449" s="198">
        <v>3693</v>
      </c>
      <c r="T449" s="198">
        <v>0</v>
      </c>
      <c r="U449" s="198">
        <v>2000</v>
      </c>
      <c r="V449" s="198">
        <v>4720</v>
      </c>
      <c r="W449" s="198">
        <v>101.11499999999999</v>
      </c>
      <c r="X449" s="198">
        <v>1500</v>
      </c>
      <c r="Y449" s="198">
        <v>186</v>
      </c>
      <c r="Z449" s="277">
        <v>90185.962822900023</v>
      </c>
      <c r="AA449" s="272">
        <v>73.29850955000002</v>
      </c>
      <c r="AB449" s="198">
        <v>1.8325091236456115</v>
      </c>
      <c r="AC449" s="272">
        <v>863.2</v>
      </c>
      <c r="AD449" s="198">
        <v>3.1075200000000001</v>
      </c>
      <c r="AE449" s="198">
        <v>4.940029123645612</v>
      </c>
      <c r="AF449" s="198">
        <v>137.17345102337555</v>
      </c>
      <c r="AG449" s="198">
        <v>6.0303867195221836E-2</v>
      </c>
      <c r="AH449" s="198">
        <v>3.1863522041219999E-4</v>
      </c>
      <c r="AI449" s="198">
        <v>139.0670053592641</v>
      </c>
      <c r="AJ449" s="198">
        <v>5.8515691231800927E-2</v>
      </c>
      <c r="AK449" s="198">
        <v>1.3655077492618681</v>
      </c>
      <c r="AL449" s="198">
        <v>6.3931739932824028E-2</v>
      </c>
      <c r="AM449" s="198">
        <v>5.7434236831261497E-2</v>
      </c>
      <c r="AN449" s="198">
        <v>1.6465919965905629E-2</v>
      </c>
      <c r="AO449" s="198">
        <v>9.46080113817437E-4</v>
      </c>
      <c r="AP449" s="198">
        <v>2.4637789634157333E-3</v>
      </c>
      <c r="AQ449" s="198">
        <v>2.8444412055969948E-3</v>
      </c>
      <c r="AS449" s="258">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102">
        <f t="shared" si="61"/>
        <v>0.39079458857798688</v>
      </c>
      <c r="AZ449" s="102">
        <f t="shared" si="62"/>
        <v>0.60920541142201323</v>
      </c>
    </row>
    <row r="450" spans="1:52" x14ac:dyDescent="0.35">
      <c r="A450" t="s">
        <v>246</v>
      </c>
      <c r="B450">
        <v>2050</v>
      </c>
      <c r="C450" t="s">
        <v>837</v>
      </c>
      <c r="D450" t="s">
        <v>1018</v>
      </c>
      <c r="E450" t="s">
        <v>1026</v>
      </c>
      <c r="F450" t="s">
        <v>977</v>
      </c>
      <c r="G450" t="s">
        <v>978</v>
      </c>
      <c r="H450" s="198">
        <v>57021.8422832</v>
      </c>
      <c r="I450" s="198">
        <v>0</v>
      </c>
      <c r="J450" s="198">
        <v>0</v>
      </c>
      <c r="K450" s="198">
        <v>0</v>
      </c>
      <c r="L450" s="198">
        <v>0</v>
      </c>
      <c r="M450" s="198">
        <v>13554.449999999999</v>
      </c>
      <c r="N450" s="198">
        <v>28.89</v>
      </c>
      <c r="O450" s="198">
        <v>0</v>
      </c>
      <c r="P450" s="198">
        <v>2475.7152474999998</v>
      </c>
      <c r="Q450" s="198">
        <v>0</v>
      </c>
      <c r="R450" s="198">
        <v>0</v>
      </c>
      <c r="S450" s="198">
        <v>3681</v>
      </c>
      <c r="T450" s="198">
        <v>0</v>
      </c>
      <c r="U450" s="198">
        <v>2000</v>
      </c>
      <c r="V450" s="198">
        <v>4500</v>
      </c>
      <c r="W450" s="198">
        <v>101.11499999999999</v>
      </c>
      <c r="X450" s="198">
        <v>1500</v>
      </c>
      <c r="Y450" s="198">
        <v>186</v>
      </c>
      <c r="Z450" s="277">
        <v>85049.012530700013</v>
      </c>
      <c r="AA450" s="272">
        <v>0</v>
      </c>
      <c r="AB450" s="198">
        <v>0</v>
      </c>
      <c r="AC450" s="272">
        <v>1039</v>
      </c>
      <c r="AD450" s="198">
        <v>3.7403999999999997</v>
      </c>
      <c r="AE450" s="198">
        <v>3.7403999999999997</v>
      </c>
      <c r="AF450" s="198">
        <v>0</v>
      </c>
      <c r="AG450" s="198">
        <v>0</v>
      </c>
      <c r="AH450" s="198">
        <v>0</v>
      </c>
      <c r="AI450" s="198">
        <v>0</v>
      </c>
      <c r="AJ450" s="198">
        <v>0</v>
      </c>
      <c r="AK450" s="198">
        <v>0</v>
      </c>
      <c r="AL450" s="198">
        <v>0</v>
      </c>
      <c r="AM450" s="198">
        <v>5.5299509204555931E-2</v>
      </c>
      <c r="AN450" s="198">
        <v>1.4132096796719812E-2</v>
      </c>
      <c r="AO450" s="198">
        <v>0</v>
      </c>
      <c r="AP450" s="198">
        <v>2.0205586738488799E-3</v>
      </c>
      <c r="AQ450" s="198">
        <v>2.5261641237385251E-3</v>
      </c>
      <c r="AS450" s="258">
        <f t="shared" si="56"/>
        <v>114093.25030993405</v>
      </c>
      <c r="AT450" s="3">
        <f t="shared" si="57"/>
        <v>0</v>
      </c>
      <c r="AU450" s="3">
        <f t="shared" si="55"/>
        <v>0</v>
      </c>
      <c r="AV450" s="3">
        <f t="shared" si="58"/>
        <v>64.560627337914923</v>
      </c>
      <c r="AW450" s="3">
        <f t="shared" si="59"/>
        <v>2.3241825841649373</v>
      </c>
      <c r="AX450" s="3">
        <f t="shared" si="60"/>
        <v>2.3241825841649373</v>
      </c>
      <c r="AY450" s="102">
        <f t="shared" si="61"/>
        <v>0</v>
      </c>
      <c r="AZ450" s="102">
        <f t="shared" si="62"/>
        <v>1</v>
      </c>
    </row>
    <row r="451" spans="1:52" x14ac:dyDescent="0.35">
      <c r="A451" t="s">
        <v>627</v>
      </c>
      <c r="B451">
        <v>2050</v>
      </c>
      <c r="C451" t="s">
        <v>837</v>
      </c>
      <c r="D451" t="s">
        <v>1018</v>
      </c>
      <c r="E451" t="s">
        <v>1026</v>
      </c>
      <c r="F451" t="s">
        <v>989</v>
      </c>
      <c r="G451" t="s">
        <v>978</v>
      </c>
      <c r="H451" s="198">
        <v>57021.8422832</v>
      </c>
      <c r="I451" s="198">
        <v>0</v>
      </c>
      <c r="J451" s="198">
        <v>14730.505720499999</v>
      </c>
      <c r="K451" s="198">
        <v>5433.8585399999993</v>
      </c>
      <c r="L451" s="198">
        <v>0</v>
      </c>
      <c r="M451" s="198">
        <v>3448.9582915000001</v>
      </c>
      <c r="N451" s="198">
        <v>28.89</v>
      </c>
      <c r="O451" s="198">
        <v>0</v>
      </c>
      <c r="P451" s="198">
        <v>2475.7152474999998</v>
      </c>
      <c r="Q451" s="198">
        <v>0</v>
      </c>
      <c r="R451" s="198">
        <v>0</v>
      </c>
      <c r="S451" s="198">
        <v>3681</v>
      </c>
      <c r="T451" s="198">
        <v>0</v>
      </c>
      <c r="U451" s="198">
        <v>2000</v>
      </c>
      <c r="V451" s="198">
        <v>4500</v>
      </c>
      <c r="W451" s="198">
        <v>101.11499999999999</v>
      </c>
      <c r="X451" s="198">
        <v>1500</v>
      </c>
      <c r="Y451" s="198">
        <v>186</v>
      </c>
      <c r="Z451" s="277">
        <v>95107.885082700013</v>
      </c>
      <c r="AA451" s="272">
        <v>17.970529559999999</v>
      </c>
      <c r="AB451" s="198">
        <v>7.4744701902930464</v>
      </c>
      <c r="AC451" s="272">
        <v>0</v>
      </c>
      <c r="AD451" s="198">
        <v>0</v>
      </c>
      <c r="AE451" s="198">
        <v>7.4744701902930464</v>
      </c>
      <c r="AF451" s="198">
        <v>0</v>
      </c>
      <c r="AG451" s="198">
        <v>0</v>
      </c>
      <c r="AH451" s="198">
        <v>0</v>
      </c>
      <c r="AI451" s="198">
        <v>0</v>
      </c>
      <c r="AJ451" s="198">
        <v>0</v>
      </c>
      <c r="AK451" s="198">
        <v>0</v>
      </c>
      <c r="AL451" s="198">
        <v>0</v>
      </c>
      <c r="AM451" s="198">
        <v>6.9875706997578738E-2</v>
      </c>
      <c r="AN451" s="198">
        <v>1.7857125121603486E-2</v>
      </c>
      <c r="AO451" s="198">
        <v>0</v>
      </c>
      <c r="AP451" s="198">
        <v>2.5531504329092593E-3</v>
      </c>
      <c r="AQ451" s="198">
        <v>3.192026596207243E-3</v>
      </c>
      <c r="AS451" s="258">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102">
        <f t="shared" si="61"/>
        <v>1</v>
      </c>
      <c r="AZ451" s="102">
        <f t="shared" si="62"/>
        <v>0</v>
      </c>
    </row>
    <row r="452" spans="1:52" x14ac:dyDescent="0.35">
      <c r="A452" t="s">
        <v>1065</v>
      </c>
      <c r="B452">
        <v>2050</v>
      </c>
      <c r="C452" t="s">
        <v>837</v>
      </c>
      <c r="D452" t="s">
        <v>1018</v>
      </c>
      <c r="E452" t="s">
        <v>1026</v>
      </c>
      <c r="F452" t="s">
        <v>989</v>
      </c>
      <c r="G452" t="s">
        <v>978</v>
      </c>
      <c r="H452" s="198">
        <v>57021.8422832</v>
      </c>
      <c r="I452" s="198">
        <v>0</v>
      </c>
      <c r="J452" s="198">
        <v>6061.2589480000006</v>
      </c>
      <c r="K452" s="198">
        <v>5262.6573449999996</v>
      </c>
      <c r="L452" s="198">
        <v>0</v>
      </c>
      <c r="M452" s="198">
        <v>2624.0025000000001</v>
      </c>
      <c r="N452" s="198">
        <v>28.89</v>
      </c>
      <c r="O452" s="198">
        <v>0</v>
      </c>
      <c r="P452" s="198">
        <v>2548.0950032999999</v>
      </c>
      <c r="Q452" s="198">
        <v>0</v>
      </c>
      <c r="R452" s="198">
        <v>0</v>
      </c>
      <c r="S452" s="198">
        <v>3740</v>
      </c>
      <c r="T452" s="198">
        <v>0</v>
      </c>
      <c r="U452" s="198">
        <v>2000</v>
      </c>
      <c r="V452" s="198">
        <v>4500</v>
      </c>
      <c r="W452" s="198">
        <v>101.11499999999999</v>
      </c>
      <c r="X452" s="198">
        <v>1500</v>
      </c>
      <c r="Y452" s="198">
        <v>186</v>
      </c>
      <c r="Z452" s="277">
        <v>85573.861079499999</v>
      </c>
      <c r="AA452" s="272">
        <v>19.415072080000002</v>
      </c>
      <c r="AB452" s="198">
        <v>6.9183460636423257</v>
      </c>
      <c r="AC452" s="272">
        <v>0</v>
      </c>
      <c r="AD452" s="198">
        <v>0</v>
      </c>
      <c r="AE452" s="198">
        <v>6.9183460636423257</v>
      </c>
      <c r="AF452" s="198">
        <v>0</v>
      </c>
      <c r="AG452" s="198">
        <v>0</v>
      </c>
      <c r="AH452" s="198">
        <v>0</v>
      </c>
      <c r="AI452" s="198">
        <v>0</v>
      </c>
      <c r="AJ452" s="198">
        <v>0</v>
      </c>
      <c r="AK452" s="198">
        <v>0</v>
      </c>
      <c r="AL452" s="198">
        <v>0</v>
      </c>
      <c r="AM452" s="198">
        <v>6.4676734289306204E-2</v>
      </c>
      <c r="AN452" s="198">
        <v>1.6528498762822724E-2</v>
      </c>
      <c r="AO452" s="198">
        <v>0</v>
      </c>
      <c r="AP452" s="198">
        <v>2.3631879983070682E-3</v>
      </c>
      <c r="AQ452" s="198">
        <v>2.9545297626033047E-3</v>
      </c>
      <c r="AS452" s="258">
        <f t="shared" si="56"/>
        <v>114797.33463814924</v>
      </c>
      <c r="AT452" s="3">
        <f t="shared" si="57"/>
        <v>12.115078340797389</v>
      </c>
      <c r="AU452" s="3">
        <f t="shared" si="63"/>
        <v>4.6763504715222588</v>
      </c>
      <c r="AV452" s="3">
        <f t="shared" si="58"/>
        <v>0</v>
      </c>
      <c r="AW452" s="3">
        <f t="shared" si="59"/>
        <v>0</v>
      </c>
      <c r="AX452" s="3">
        <f t="shared" si="60"/>
        <v>4.6763504715222588</v>
      </c>
      <c r="AY452" s="102">
        <f t="shared" si="61"/>
        <v>1</v>
      </c>
      <c r="AZ452" s="102">
        <f t="shared" si="62"/>
        <v>0</v>
      </c>
    </row>
    <row r="453" spans="1:52" x14ac:dyDescent="0.35">
      <c r="A453" t="s">
        <v>1017</v>
      </c>
      <c r="B453">
        <v>2021</v>
      </c>
      <c r="C453" t="s">
        <v>837</v>
      </c>
      <c r="D453" t="s">
        <v>1022</v>
      </c>
      <c r="E453" t="s">
        <v>1026</v>
      </c>
      <c r="F453" t="s">
        <v>983</v>
      </c>
      <c r="G453" t="s">
        <v>978</v>
      </c>
      <c r="H453" s="198">
        <v>56000</v>
      </c>
      <c r="I453" s="198">
        <v>15576</v>
      </c>
      <c r="J453" s="198">
        <v>0</v>
      </c>
      <c r="K453" s="198">
        <v>0</v>
      </c>
      <c r="L453" s="198">
        <v>120</v>
      </c>
      <c r="M453" s="198">
        <v>0</v>
      </c>
      <c r="N453" s="198">
        <v>0</v>
      </c>
      <c r="O453" s="198">
        <v>150</v>
      </c>
      <c r="P453" s="198">
        <v>0</v>
      </c>
      <c r="Q453" s="198">
        <v>0</v>
      </c>
      <c r="R453" s="198">
        <v>104.8</v>
      </c>
      <c r="S453" s="198">
        <v>6461</v>
      </c>
      <c r="T453" s="198">
        <v>506</v>
      </c>
      <c r="U453" s="198">
        <v>2000</v>
      </c>
      <c r="V453" s="198">
        <v>1920</v>
      </c>
      <c r="W453" s="198">
        <v>0</v>
      </c>
      <c r="X453" s="198">
        <v>0</v>
      </c>
      <c r="Y453" s="198">
        <v>186</v>
      </c>
      <c r="Z453" s="277">
        <v>83023.8</v>
      </c>
      <c r="AA453" s="272">
        <v>7.7210540049999992</v>
      </c>
      <c r="AB453" s="198">
        <v>17.396612873451861</v>
      </c>
      <c r="AC453" s="272">
        <v>0</v>
      </c>
      <c r="AD453" s="198">
        <v>0</v>
      </c>
      <c r="AE453" s="198">
        <v>17.396612873451861</v>
      </c>
      <c r="AF453" s="198">
        <v>1302.2327655436927</v>
      </c>
      <c r="AG453" s="198">
        <v>0.57248447979362393</v>
      </c>
      <c r="AH453" s="198">
        <v>3.0249091291455108E-3</v>
      </c>
      <c r="AI453" s="198">
        <v>1320.2089007297297</v>
      </c>
      <c r="AJ453" s="198">
        <v>0.55550873621677432</v>
      </c>
      <c r="AK453" s="198">
        <v>12.963214961979805</v>
      </c>
      <c r="AL453" s="198">
        <v>0.60692507097859894</v>
      </c>
      <c r="AM453" s="198">
        <v>0.10909229615217787</v>
      </c>
      <c r="AN453" s="198">
        <v>4.4855889382810717E-2</v>
      </c>
      <c r="AO453" s="198">
        <v>8.9814502285316591E-3</v>
      </c>
      <c r="AP453" s="198">
        <v>7.4532238947278319E-3</v>
      </c>
      <c r="AQ453" s="198">
        <v>7.0792419491420878E-3</v>
      </c>
      <c r="AS453" s="258">
        <f t="shared" si="56"/>
        <v>111376.4277</v>
      </c>
      <c r="AT453" s="3">
        <f t="shared" si="57"/>
        <v>30.464120454164362</v>
      </c>
      <c r="AU453" s="3">
        <f t="shared" si="63"/>
        <v>11.758975059253803</v>
      </c>
      <c r="AV453" s="3">
        <f t="shared" si="58"/>
        <v>0</v>
      </c>
      <c r="AW453" s="3">
        <f t="shared" si="59"/>
        <v>0</v>
      </c>
      <c r="AX453" s="3">
        <f t="shared" si="60"/>
        <v>11.758975059253803</v>
      </c>
      <c r="AY453" s="102">
        <f t="shared" si="61"/>
        <v>1</v>
      </c>
      <c r="AZ453" s="102">
        <f t="shared" si="62"/>
        <v>0</v>
      </c>
    </row>
    <row r="454" spans="1:52" x14ac:dyDescent="0.35">
      <c r="A454" t="s">
        <v>1020</v>
      </c>
      <c r="B454">
        <v>2021</v>
      </c>
      <c r="C454" t="s">
        <v>837</v>
      </c>
      <c r="D454" t="s">
        <v>1022</v>
      </c>
      <c r="E454" t="s">
        <v>1026</v>
      </c>
      <c r="F454" t="s">
        <v>983</v>
      </c>
      <c r="G454" t="s">
        <v>978</v>
      </c>
      <c r="H454" s="198">
        <v>56000</v>
      </c>
      <c r="I454" s="198">
        <v>21178</v>
      </c>
      <c r="J454" s="198">
        <v>0</v>
      </c>
      <c r="K454" s="198">
        <v>0</v>
      </c>
      <c r="L454" s="198">
        <v>150</v>
      </c>
      <c r="M454" s="198">
        <v>1566.0904522000001</v>
      </c>
      <c r="N454" s="198">
        <v>75</v>
      </c>
      <c r="O454" s="198">
        <v>150</v>
      </c>
      <c r="P454" s="198">
        <v>2129.8402034999999</v>
      </c>
      <c r="Q454" s="198">
        <v>0</v>
      </c>
      <c r="R454" s="198">
        <v>0</v>
      </c>
      <c r="S454" s="198">
        <v>7476</v>
      </c>
      <c r="T454" s="198">
        <v>392</v>
      </c>
      <c r="U454" s="198">
        <v>2000</v>
      </c>
      <c r="V454" s="198">
        <v>4720</v>
      </c>
      <c r="W454" s="198">
        <v>750</v>
      </c>
      <c r="X454" s="198">
        <v>1500</v>
      </c>
      <c r="Y454" s="198">
        <v>186</v>
      </c>
      <c r="Z454" s="277">
        <v>98272.930655700009</v>
      </c>
      <c r="AA454" s="272">
        <v>8.7971669329999997</v>
      </c>
      <c r="AB454" s="198">
        <v>15.268573226243678</v>
      </c>
      <c r="AC454" s="272">
        <v>0</v>
      </c>
      <c r="AD454" s="198">
        <v>0</v>
      </c>
      <c r="AE454" s="198">
        <v>15.268573226243678</v>
      </c>
      <c r="AF454" s="198">
        <v>1142.9372190411009</v>
      </c>
      <c r="AG454" s="198">
        <v>0.50245534945231896</v>
      </c>
      <c r="AH454" s="198">
        <v>2.65488729772067E-3</v>
      </c>
      <c r="AI454" s="198">
        <v>1158.7144245471059</v>
      </c>
      <c r="AJ454" s="198">
        <v>0.48755616271070851</v>
      </c>
      <c r="AK454" s="198">
        <v>11.377490453706509</v>
      </c>
      <c r="AL454" s="198">
        <v>0.5326829973449384</v>
      </c>
      <c r="AM454" s="198">
        <v>9.5747587437581577E-2</v>
      </c>
      <c r="AN454" s="198">
        <v>3.936889535059452E-2</v>
      </c>
      <c r="AO454" s="198">
        <v>7.8827948572375364E-3</v>
      </c>
      <c r="AP454" s="198">
        <v>6.5415087198902886E-3</v>
      </c>
      <c r="AQ454" s="198">
        <v>6.2132740938164377E-3</v>
      </c>
      <c r="AS454" s="258">
        <f t="shared" si="56"/>
        <v>131833.13647462154</v>
      </c>
      <c r="AT454" s="3">
        <f t="shared" si="57"/>
        <v>26.737598710226514</v>
      </c>
      <c r="AU454" s="3">
        <f t="shared" si="63"/>
        <v>10.320559126298743</v>
      </c>
      <c r="AV454" s="3">
        <f t="shared" si="58"/>
        <v>0</v>
      </c>
      <c r="AW454" s="3">
        <f t="shared" si="59"/>
        <v>0</v>
      </c>
      <c r="AX454" s="3">
        <f t="shared" si="60"/>
        <v>10.320559126298743</v>
      </c>
      <c r="AY454" s="102">
        <f t="shared" si="61"/>
        <v>1</v>
      </c>
      <c r="AZ454" s="102">
        <f t="shared" si="62"/>
        <v>0</v>
      </c>
    </row>
    <row r="455" spans="1:52" x14ac:dyDescent="0.35">
      <c r="A455" t="s">
        <v>1021</v>
      </c>
      <c r="B455">
        <v>2021</v>
      </c>
      <c r="C455" t="s">
        <v>837</v>
      </c>
      <c r="D455" t="s">
        <v>1022</v>
      </c>
      <c r="E455" t="s">
        <v>1026</v>
      </c>
      <c r="F455" t="s">
        <v>983</v>
      </c>
      <c r="G455" t="s">
        <v>978</v>
      </c>
      <c r="H455" s="198">
        <v>56000</v>
      </c>
      <c r="I455" s="198">
        <v>8670</v>
      </c>
      <c r="J455" s="198">
        <v>0</v>
      </c>
      <c r="K455" s="198">
        <v>0</v>
      </c>
      <c r="L455" s="198">
        <v>0</v>
      </c>
      <c r="M455" s="198">
        <v>13902</v>
      </c>
      <c r="N455" s="198">
        <v>75</v>
      </c>
      <c r="O455" s="198">
        <v>0</v>
      </c>
      <c r="P455" s="198">
        <v>6148.0374381000001</v>
      </c>
      <c r="Q455" s="198">
        <v>0</v>
      </c>
      <c r="R455" s="198">
        <v>2221.5849918600002</v>
      </c>
      <c r="S455" s="198">
        <v>3704</v>
      </c>
      <c r="T455" s="198">
        <v>0</v>
      </c>
      <c r="U455" s="198">
        <v>2000</v>
      </c>
      <c r="V455" s="198">
        <v>4720</v>
      </c>
      <c r="W455" s="198">
        <v>750</v>
      </c>
      <c r="X455" s="198">
        <v>1500</v>
      </c>
      <c r="Y455" s="198">
        <v>186</v>
      </c>
      <c r="Z455" s="277">
        <v>99876.62242996</v>
      </c>
      <c r="AA455" s="272">
        <v>49.723178090000012</v>
      </c>
      <c r="AB455" s="198">
        <v>2.7013596608180923</v>
      </c>
      <c r="AC455" s="272">
        <v>1063.2</v>
      </c>
      <c r="AD455" s="198">
        <v>3.8275200000000003</v>
      </c>
      <c r="AE455" s="198">
        <v>6.5288796608180926</v>
      </c>
      <c r="AF455" s="198">
        <v>202.21172290404076</v>
      </c>
      <c r="AG455" s="198">
        <v>8.8895838023673276E-2</v>
      </c>
      <c r="AH455" s="198">
        <v>4.6971025673532124E-4</v>
      </c>
      <c r="AI455" s="198">
        <v>205.00307124306588</v>
      </c>
      <c r="AJ455" s="198">
        <v>8.6259831276585486E-2</v>
      </c>
      <c r="AK455" s="198">
        <v>2.0129381637413766</v>
      </c>
      <c r="AL455" s="198">
        <v>9.4243799974576783E-2</v>
      </c>
      <c r="AM455" s="198">
        <v>7.3527461839491728E-2</v>
      </c>
      <c r="AN455" s="198">
        <v>2.1426513923495715E-2</v>
      </c>
      <c r="AO455" s="198">
        <v>1.3946466199765892E-3</v>
      </c>
      <c r="AP455" s="198">
        <v>3.2249632108712579E-3</v>
      </c>
      <c r="AQ455" s="198">
        <v>3.6842728249159877E-3</v>
      </c>
      <c r="AS455" s="258">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102">
        <f t="shared" si="61"/>
        <v>0.43430784453102206</v>
      </c>
      <c r="AZ455" s="102">
        <f t="shared" si="62"/>
        <v>0.565692155468978</v>
      </c>
    </row>
    <row r="456" spans="1:52" x14ac:dyDescent="0.35">
      <c r="A456" t="s">
        <v>246</v>
      </c>
      <c r="B456">
        <v>2021</v>
      </c>
      <c r="C456" t="s">
        <v>837</v>
      </c>
      <c r="D456" t="s">
        <v>1022</v>
      </c>
      <c r="E456" t="s">
        <v>1026</v>
      </c>
      <c r="F456" t="s">
        <v>977</v>
      </c>
      <c r="G456" t="s">
        <v>978</v>
      </c>
      <c r="H456" s="198">
        <v>56000</v>
      </c>
      <c r="I456" s="198">
        <v>0</v>
      </c>
      <c r="J456" s="198">
        <v>0</v>
      </c>
      <c r="K456" s="198">
        <v>0</v>
      </c>
      <c r="L456" s="198">
        <v>0</v>
      </c>
      <c r="M456" s="198">
        <v>27804</v>
      </c>
      <c r="N456" s="198">
        <v>75</v>
      </c>
      <c r="O456" s="198">
        <v>0</v>
      </c>
      <c r="P456" s="198">
        <v>6103.4789330999993</v>
      </c>
      <c r="Q456" s="198">
        <v>0</v>
      </c>
      <c r="R456" s="198">
        <v>0</v>
      </c>
      <c r="S456" s="198">
        <v>3690</v>
      </c>
      <c r="T456" s="198">
        <v>0</v>
      </c>
      <c r="U456" s="198">
        <v>2000</v>
      </c>
      <c r="V456" s="198">
        <v>4500</v>
      </c>
      <c r="W456" s="198">
        <v>750</v>
      </c>
      <c r="X456" s="198">
        <v>1500</v>
      </c>
      <c r="Y456" s="198">
        <v>186</v>
      </c>
      <c r="Z456" s="277">
        <v>102608.47893310001</v>
      </c>
      <c r="AA456" s="272">
        <v>0</v>
      </c>
      <c r="AB456" s="198">
        <v>0</v>
      </c>
      <c r="AC456" s="272">
        <v>1298</v>
      </c>
      <c r="AD456" s="198">
        <v>4.6727999999999996</v>
      </c>
      <c r="AE456" s="198">
        <v>4.6727999999999996</v>
      </c>
      <c r="AF456" s="198">
        <v>0</v>
      </c>
      <c r="AG456" s="198">
        <v>0</v>
      </c>
      <c r="AH456" s="198">
        <v>0</v>
      </c>
      <c r="AI456" s="198">
        <v>0</v>
      </c>
      <c r="AJ456" s="198">
        <v>0</v>
      </c>
      <c r="AK456" s="198">
        <v>0</v>
      </c>
      <c r="AL456" s="198">
        <v>0</v>
      </c>
      <c r="AM456" s="198">
        <v>6.9084468669406734E-2</v>
      </c>
      <c r="AN456" s="198">
        <v>1.7654919771070563E-2</v>
      </c>
      <c r="AO456" s="198">
        <v>0</v>
      </c>
      <c r="AP456" s="198">
        <v>2.5242398062135184E-3</v>
      </c>
      <c r="AQ456" s="198">
        <v>3.1558816483278208E-3</v>
      </c>
      <c r="AS456" s="258">
        <f t="shared" si="56"/>
        <v>137649.27448875364</v>
      </c>
      <c r="AT456" s="3">
        <f t="shared" si="57"/>
        <v>0</v>
      </c>
      <c r="AU456" s="3">
        <f t="shared" si="63"/>
        <v>0</v>
      </c>
      <c r="AV456" s="3">
        <f t="shared" si="58"/>
        <v>80.65418121714491</v>
      </c>
      <c r="AW456" s="3">
        <f t="shared" si="59"/>
        <v>2.9035505238172168</v>
      </c>
      <c r="AX456" s="3">
        <f t="shared" si="60"/>
        <v>2.9035505238172168</v>
      </c>
      <c r="AY456" s="102">
        <f t="shared" si="61"/>
        <v>0</v>
      </c>
      <c r="AZ456" s="102">
        <f t="shared" si="62"/>
        <v>1</v>
      </c>
    </row>
    <row r="457" spans="1:52" x14ac:dyDescent="0.35">
      <c r="A457" t="s">
        <v>627</v>
      </c>
      <c r="B457">
        <v>2021</v>
      </c>
      <c r="C457" t="s">
        <v>837</v>
      </c>
      <c r="D457" t="s">
        <v>1022</v>
      </c>
      <c r="E457" t="s">
        <v>1026</v>
      </c>
      <c r="F457" t="s">
        <v>989</v>
      </c>
      <c r="G457" t="s">
        <v>978</v>
      </c>
      <c r="H457" s="198">
        <v>56000</v>
      </c>
      <c r="I457" s="198">
        <v>0</v>
      </c>
      <c r="J457" s="198">
        <v>30634.943152</v>
      </c>
      <c r="K457" s="198">
        <v>6847.5097999999998</v>
      </c>
      <c r="L457" s="198">
        <v>0</v>
      </c>
      <c r="M457" s="198">
        <v>3915.22613</v>
      </c>
      <c r="N457" s="198">
        <v>75</v>
      </c>
      <c r="O457" s="198">
        <v>0</v>
      </c>
      <c r="P457" s="198">
        <v>6103.4789330999993</v>
      </c>
      <c r="Q457" s="198">
        <v>0</v>
      </c>
      <c r="R457" s="198">
        <v>0</v>
      </c>
      <c r="S457" s="198">
        <v>3690</v>
      </c>
      <c r="T457" s="198">
        <v>0</v>
      </c>
      <c r="U457" s="198">
        <v>2000</v>
      </c>
      <c r="V457" s="198">
        <v>4500</v>
      </c>
      <c r="W457" s="198">
        <v>750</v>
      </c>
      <c r="X457" s="198">
        <v>1500</v>
      </c>
      <c r="Y457" s="198">
        <v>186</v>
      </c>
      <c r="Z457" s="277">
        <v>116202.15801509999</v>
      </c>
      <c r="AA457" s="272">
        <v>15.167300780000001</v>
      </c>
      <c r="AB457" s="198">
        <v>8.8559058363976089</v>
      </c>
      <c r="AC457" s="272">
        <v>0</v>
      </c>
      <c r="AD457" s="198">
        <v>0</v>
      </c>
      <c r="AE457" s="198">
        <v>8.8559058363976089</v>
      </c>
      <c r="AF457" s="198">
        <v>0</v>
      </c>
      <c r="AG457" s="198">
        <v>0</v>
      </c>
      <c r="AH457" s="198">
        <v>0</v>
      </c>
      <c r="AI457" s="198">
        <v>0</v>
      </c>
      <c r="AJ457" s="198">
        <v>0</v>
      </c>
      <c r="AK457" s="198">
        <v>0</v>
      </c>
      <c r="AL457" s="198">
        <v>0</v>
      </c>
      <c r="AM457" s="198">
        <v>8.2790173171860007E-2</v>
      </c>
      <c r="AN457" s="198">
        <v>2.1157488699475372E-2</v>
      </c>
      <c r="AO457" s="198">
        <v>0</v>
      </c>
      <c r="AP457" s="198">
        <v>3.0250250846362288E-3</v>
      </c>
      <c r="AQ457" s="198">
        <v>3.7819786879342444E-3</v>
      </c>
      <c r="AS457" s="258">
        <f t="shared" si="56"/>
        <v>155885.19497725664</v>
      </c>
      <c r="AT457" s="3">
        <f t="shared" si="57"/>
        <v>15.508040794680417</v>
      </c>
      <c r="AU457" s="3">
        <f t="shared" si="63"/>
        <v>5.9860144394094785</v>
      </c>
      <c r="AV457" s="3">
        <f t="shared" si="58"/>
        <v>0</v>
      </c>
      <c r="AW457" s="3">
        <f t="shared" si="59"/>
        <v>0</v>
      </c>
      <c r="AX457" s="3">
        <f t="shared" si="60"/>
        <v>5.9860144394094785</v>
      </c>
      <c r="AY457" s="102">
        <f t="shared" si="61"/>
        <v>1</v>
      </c>
      <c r="AZ457" s="102">
        <f t="shared" si="62"/>
        <v>0</v>
      </c>
    </row>
    <row r="458" spans="1:52" x14ac:dyDescent="0.35">
      <c r="A458" t="s">
        <v>1065</v>
      </c>
      <c r="B458">
        <v>2021</v>
      </c>
      <c r="C458" t="s">
        <v>837</v>
      </c>
      <c r="D458" t="s">
        <v>1022</v>
      </c>
      <c r="E458" t="s">
        <v>1026</v>
      </c>
      <c r="F458" t="s">
        <v>989</v>
      </c>
      <c r="G458" t="s">
        <v>978</v>
      </c>
      <c r="H458" s="198">
        <v>56000</v>
      </c>
      <c r="I458" s="198">
        <v>0</v>
      </c>
      <c r="J458" s="198">
        <v>10954.2787904</v>
      </c>
      <c r="K458" s="198">
        <v>6408.3590000000004</v>
      </c>
      <c r="L458" s="198">
        <v>0</v>
      </c>
      <c r="M458" s="198">
        <v>6360.165</v>
      </c>
      <c r="N458" s="198">
        <v>75</v>
      </c>
      <c r="O458" s="198">
        <v>0</v>
      </c>
      <c r="P458" s="198">
        <v>6167.3804405999999</v>
      </c>
      <c r="Q458" s="198">
        <v>0</v>
      </c>
      <c r="R458" s="198">
        <v>0</v>
      </c>
      <c r="S458" s="198">
        <v>3711</v>
      </c>
      <c r="T458" s="198">
        <v>0</v>
      </c>
      <c r="U458" s="198">
        <v>2000</v>
      </c>
      <c r="V458" s="198">
        <v>4500</v>
      </c>
      <c r="W458" s="198">
        <v>750</v>
      </c>
      <c r="X458" s="198">
        <v>1500</v>
      </c>
      <c r="Y458" s="198">
        <v>186</v>
      </c>
      <c r="Z458" s="277">
        <v>98612.183230999988</v>
      </c>
      <c r="AA458" s="272">
        <v>15.727878520000003</v>
      </c>
      <c r="AB458" s="198">
        <v>8.5402609976415285</v>
      </c>
      <c r="AC458" s="272">
        <v>0</v>
      </c>
      <c r="AD458" s="198">
        <v>0</v>
      </c>
      <c r="AE458" s="198">
        <v>8.5402609976415285</v>
      </c>
      <c r="AF458" s="198">
        <v>0</v>
      </c>
      <c r="AG458" s="198">
        <v>0</v>
      </c>
      <c r="AH458" s="198">
        <v>0</v>
      </c>
      <c r="AI458" s="198">
        <v>0</v>
      </c>
      <c r="AJ458" s="198">
        <v>0</v>
      </c>
      <c r="AK458" s="198">
        <v>0</v>
      </c>
      <c r="AL458" s="198">
        <v>0</v>
      </c>
      <c r="AM458" s="198">
        <v>7.9839341111968803E-2</v>
      </c>
      <c r="AN458" s="198">
        <v>2.0403387173058729E-2</v>
      </c>
      <c r="AO458" s="198">
        <v>0</v>
      </c>
      <c r="AP458" s="198">
        <v>2.9172062377884277E-3</v>
      </c>
      <c r="AQ458" s="198">
        <v>3.6471802748542863E-3</v>
      </c>
      <c r="AS458" s="258">
        <f t="shared" si="56"/>
        <v>132288.24380438647</v>
      </c>
      <c r="AT458" s="3">
        <f t="shared" si="57"/>
        <v>14.955298576494098</v>
      </c>
      <c r="AU458" s="3">
        <f t="shared" si="63"/>
        <v>5.7726591263083238</v>
      </c>
      <c r="AV458" s="3">
        <f t="shared" si="58"/>
        <v>0</v>
      </c>
      <c r="AW458" s="3">
        <f t="shared" si="59"/>
        <v>0</v>
      </c>
      <c r="AX458" s="3">
        <f t="shared" si="60"/>
        <v>5.7726591263083238</v>
      </c>
      <c r="AY458" s="102">
        <f t="shared" si="61"/>
        <v>1</v>
      </c>
      <c r="AZ458" s="102">
        <f t="shared" si="62"/>
        <v>0</v>
      </c>
    </row>
    <row r="459" spans="1:52" x14ac:dyDescent="0.35">
      <c r="A459" t="s">
        <v>1017</v>
      </c>
      <c r="B459">
        <v>2025</v>
      </c>
      <c r="C459" t="s">
        <v>837</v>
      </c>
      <c r="D459" t="s">
        <v>1022</v>
      </c>
      <c r="E459" t="s">
        <v>1026</v>
      </c>
      <c r="F459" t="s">
        <v>983</v>
      </c>
      <c r="G459" t="s">
        <v>978</v>
      </c>
      <c r="H459" s="198">
        <v>56372.671891520004</v>
      </c>
      <c r="I459" s="198">
        <v>15860</v>
      </c>
      <c r="J459" s="198">
        <v>0</v>
      </c>
      <c r="K459" s="198">
        <v>0</v>
      </c>
      <c r="L459" s="198">
        <v>120</v>
      </c>
      <c r="M459" s="198">
        <v>0</v>
      </c>
      <c r="N459" s="198">
        <v>0</v>
      </c>
      <c r="O459" s="198">
        <v>150</v>
      </c>
      <c r="P459" s="198">
        <v>0</v>
      </c>
      <c r="Q459" s="198">
        <v>0</v>
      </c>
      <c r="R459" s="198">
        <v>92</v>
      </c>
      <c r="S459" s="198">
        <v>6430</v>
      </c>
      <c r="T459" s="198">
        <v>506</v>
      </c>
      <c r="U459" s="198">
        <v>2000</v>
      </c>
      <c r="V459" s="198">
        <v>1920</v>
      </c>
      <c r="W459" s="198">
        <v>0</v>
      </c>
      <c r="X459" s="198">
        <v>0</v>
      </c>
      <c r="Y459" s="198">
        <v>186</v>
      </c>
      <c r="Z459" s="277">
        <v>83636.671891520004</v>
      </c>
      <c r="AA459" s="272">
        <v>8.2097145969999996</v>
      </c>
      <c r="AB459" s="198">
        <v>16.361127529218056</v>
      </c>
      <c r="AC459" s="272">
        <v>0</v>
      </c>
      <c r="AD459" s="198">
        <v>0</v>
      </c>
      <c r="AE459" s="198">
        <v>16.361127529218056</v>
      </c>
      <c r="AF459" s="198">
        <v>1224.7209560144167</v>
      </c>
      <c r="AG459" s="198">
        <v>0.53840892192843426</v>
      </c>
      <c r="AH459" s="198">
        <v>2.8448597658784123E-3</v>
      </c>
      <c r="AI459" s="198">
        <v>1241.6271113907912</v>
      </c>
      <c r="AJ459" s="198">
        <v>0.52244361261307959</v>
      </c>
      <c r="AK459" s="198">
        <v>12.191615386537908</v>
      </c>
      <c r="AL459" s="198">
        <v>0.57079953202351497</v>
      </c>
      <c r="AM459" s="198">
        <v>0.10259887845896805</v>
      </c>
      <c r="AN459" s="198">
        <v>4.2185966427328116E-2</v>
      </c>
      <c r="AO459" s="198">
        <v>8.4468542040490747E-3</v>
      </c>
      <c r="AP459" s="198">
        <v>7.0095913228918798E-3</v>
      </c>
      <c r="AQ459" s="198">
        <v>6.6578696199452682E-3</v>
      </c>
      <c r="AS459" s="258">
        <f t="shared" si="56"/>
        <v>112198.59534247407</v>
      </c>
      <c r="AT459" s="3">
        <f t="shared" si="57"/>
        <v>28.650827804340558</v>
      </c>
      <c r="AU459" s="3">
        <f t="shared" si="63"/>
        <v>11.059054538768475</v>
      </c>
      <c r="AV459" s="3">
        <f t="shared" si="58"/>
        <v>0</v>
      </c>
      <c r="AW459" s="3">
        <f t="shared" si="59"/>
        <v>0</v>
      </c>
      <c r="AX459" s="3">
        <f t="shared" si="60"/>
        <v>11.059054538768475</v>
      </c>
      <c r="AY459" s="102">
        <f t="shared" si="61"/>
        <v>1</v>
      </c>
      <c r="AZ459" s="102">
        <f t="shared" si="62"/>
        <v>0</v>
      </c>
    </row>
    <row r="460" spans="1:52" x14ac:dyDescent="0.35">
      <c r="A460" t="s">
        <v>1020</v>
      </c>
      <c r="B460">
        <v>2025</v>
      </c>
      <c r="C460" t="s">
        <v>837</v>
      </c>
      <c r="D460" t="s">
        <v>1022</v>
      </c>
      <c r="E460" t="s">
        <v>1026</v>
      </c>
      <c r="F460" t="s">
        <v>983</v>
      </c>
      <c r="G460" t="s">
        <v>978</v>
      </c>
      <c r="H460" s="198">
        <v>56372.671891520004</v>
      </c>
      <c r="I460" s="198">
        <v>21334</v>
      </c>
      <c r="J460" s="198">
        <v>0</v>
      </c>
      <c r="K460" s="198">
        <v>0</v>
      </c>
      <c r="L460" s="198">
        <v>150</v>
      </c>
      <c r="M460" s="198">
        <v>1459.3115578000002</v>
      </c>
      <c r="N460" s="198">
        <v>50</v>
      </c>
      <c r="O460" s="198">
        <v>150</v>
      </c>
      <c r="P460" s="198">
        <v>1812.4240487999998</v>
      </c>
      <c r="Q460" s="198">
        <v>0</v>
      </c>
      <c r="R460" s="198">
        <v>0</v>
      </c>
      <c r="S460" s="198">
        <v>7448</v>
      </c>
      <c r="T460" s="198">
        <v>392</v>
      </c>
      <c r="U460" s="198">
        <v>2000</v>
      </c>
      <c r="V460" s="198">
        <v>4720</v>
      </c>
      <c r="W460" s="198">
        <v>466.6</v>
      </c>
      <c r="X460" s="198">
        <v>1500</v>
      </c>
      <c r="Y460" s="198">
        <v>186</v>
      </c>
      <c r="Z460" s="277">
        <v>98041.007498120016</v>
      </c>
      <c r="AA460" s="272">
        <v>9.6855170420000007</v>
      </c>
      <c r="AB460" s="198">
        <v>13.868148382532162</v>
      </c>
      <c r="AC460" s="272">
        <v>0</v>
      </c>
      <c r="AD460" s="198">
        <v>0</v>
      </c>
      <c r="AE460" s="198">
        <v>13.868148382532162</v>
      </c>
      <c r="AF460" s="198">
        <v>1038.1076679998423</v>
      </c>
      <c r="AG460" s="198">
        <v>0.45637043085499118</v>
      </c>
      <c r="AH460" s="198">
        <v>2.4113825462359862E-3</v>
      </c>
      <c r="AI460" s="198">
        <v>1052.437797199007</v>
      </c>
      <c r="AJ460" s="198">
        <v>0.44283778903901821</v>
      </c>
      <c r="AK460" s="198">
        <v>10.333953506647502</v>
      </c>
      <c r="AL460" s="198">
        <v>0.48382561609189706</v>
      </c>
      <c r="AM460" s="198">
        <v>8.6965673228167423E-2</v>
      </c>
      <c r="AN460" s="198">
        <v>3.5758002682267906E-2</v>
      </c>
      <c r="AO460" s="198">
        <v>7.1597894007104984E-3</v>
      </c>
      <c r="AP460" s="198">
        <v>5.9415252642689015E-3</v>
      </c>
      <c r="AQ460" s="198">
        <v>5.6433961312302543E-3</v>
      </c>
      <c r="AS460" s="258">
        <f t="shared" si="56"/>
        <v>131522.011558728</v>
      </c>
      <c r="AT460" s="3">
        <f t="shared" si="57"/>
        <v>24.285241378591145</v>
      </c>
      <c r="AU460" s="3">
        <f t="shared" si="63"/>
        <v>9.3739633188646714</v>
      </c>
      <c r="AV460" s="3">
        <f t="shared" si="58"/>
        <v>0</v>
      </c>
      <c r="AW460" s="3">
        <f t="shared" si="59"/>
        <v>0</v>
      </c>
      <c r="AX460" s="3">
        <f t="shared" si="60"/>
        <v>9.3739633188646714</v>
      </c>
      <c r="AY460" s="102">
        <f t="shared" si="61"/>
        <v>1</v>
      </c>
      <c r="AZ460" s="102">
        <f t="shared" si="62"/>
        <v>0</v>
      </c>
    </row>
    <row r="461" spans="1:52" x14ac:dyDescent="0.35">
      <c r="A461" t="s">
        <v>1021</v>
      </c>
      <c r="B461">
        <v>2025</v>
      </c>
      <c r="C461" t="s">
        <v>837</v>
      </c>
      <c r="D461" t="s">
        <v>1022</v>
      </c>
      <c r="E461" t="s">
        <v>1026</v>
      </c>
      <c r="F461" t="s">
        <v>983</v>
      </c>
      <c r="G461" t="s">
        <v>978</v>
      </c>
      <c r="H461" s="198">
        <v>56372.671891520004</v>
      </c>
      <c r="I461" s="198">
        <v>8939</v>
      </c>
      <c r="J461" s="198">
        <v>0</v>
      </c>
      <c r="K461" s="198">
        <v>0</v>
      </c>
      <c r="L461" s="198">
        <v>0</v>
      </c>
      <c r="M461" s="198">
        <v>12456.191999999999</v>
      </c>
      <c r="N461" s="198">
        <v>50</v>
      </c>
      <c r="O461" s="198">
        <v>0</v>
      </c>
      <c r="P461" s="198">
        <v>5212.9945026999994</v>
      </c>
      <c r="Q461" s="198">
        <v>0</v>
      </c>
      <c r="R461" s="198">
        <v>1863.4243223999999</v>
      </c>
      <c r="S461" s="198">
        <v>3695</v>
      </c>
      <c r="T461" s="198">
        <v>0</v>
      </c>
      <c r="U461" s="198">
        <v>2000</v>
      </c>
      <c r="V461" s="198">
        <v>4720</v>
      </c>
      <c r="W461" s="198">
        <v>466.6</v>
      </c>
      <c r="X461" s="198">
        <v>1500</v>
      </c>
      <c r="Y461" s="198">
        <v>186</v>
      </c>
      <c r="Z461" s="277">
        <v>97461.882716620006</v>
      </c>
      <c r="AA461" s="272">
        <v>55.385269350000016</v>
      </c>
      <c r="AB461" s="198">
        <v>2.4251969716203967</v>
      </c>
      <c r="AC461" s="272">
        <v>999.2</v>
      </c>
      <c r="AD461" s="198">
        <v>3.5971199999999999</v>
      </c>
      <c r="AE461" s="198">
        <v>6.0223169716203966</v>
      </c>
      <c r="AF461" s="198">
        <v>181.5394170299065</v>
      </c>
      <c r="AG461" s="198">
        <v>7.9807927945210924E-2</v>
      </c>
      <c r="AH461" s="198">
        <v>4.2169130926777732E-4</v>
      </c>
      <c r="AI461" s="198">
        <v>184.04540304751484</v>
      </c>
      <c r="AJ461" s="198">
        <v>7.7441402793846148E-2</v>
      </c>
      <c r="AK461" s="198">
        <v>1.8071534899896635</v>
      </c>
      <c r="AL461" s="198">
        <v>8.4609162418277886E-2</v>
      </c>
      <c r="AM461" s="198">
        <v>6.8389353162632477E-2</v>
      </c>
      <c r="AN461" s="198">
        <v>1.9843944180982356E-2</v>
      </c>
      <c r="AO461" s="198">
        <v>1.2520705066808976E-3</v>
      </c>
      <c r="AP461" s="198">
        <v>2.9821851934097861E-3</v>
      </c>
      <c r="AQ461" s="198">
        <v>3.4162874594408643E-3</v>
      </c>
      <c r="AS461" s="258">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102">
        <f t="shared" si="61"/>
        <v>0.42310122551636042</v>
      </c>
      <c r="AZ461" s="102">
        <f t="shared" si="62"/>
        <v>0.57689877448363958</v>
      </c>
    </row>
    <row r="462" spans="1:52" x14ac:dyDescent="0.35">
      <c r="A462" t="s">
        <v>246</v>
      </c>
      <c r="B462">
        <v>2025</v>
      </c>
      <c r="C462" t="s">
        <v>837</v>
      </c>
      <c r="D462" t="s">
        <v>1022</v>
      </c>
      <c r="E462" t="s">
        <v>1026</v>
      </c>
      <c r="F462" t="s">
        <v>977</v>
      </c>
      <c r="G462" t="s">
        <v>978</v>
      </c>
      <c r="H462" s="198">
        <v>56372.671891520004</v>
      </c>
      <c r="I462" s="198">
        <v>0</v>
      </c>
      <c r="J462" s="198">
        <v>0</v>
      </c>
      <c r="K462" s="198">
        <v>0</v>
      </c>
      <c r="L462" s="198">
        <v>0</v>
      </c>
      <c r="M462" s="198">
        <v>23895.552</v>
      </c>
      <c r="N462" s="198">
        <v>50</v>
      </c>
      <c r="O462" s="198">
        <v>0</v>
      </c>
      <c r="P462" s="198">
        <v>5178.7465988000004</v>
      </c>
      <c r="Q462" s="198">
        <v>0</v>
      </c>
      <c r="R462" s="198">
        <v>0</v>
      </c>
      <c r="S462" s="198">
        <v>3682</v>
      </c>
      <c r="T462" s="198">
        <v>0</v>
      </c>
      <c r="U462" s="198">
        <v>2000</v>
      </c>
      <c r="V462" s="198">
        <v>4500</v>
      </c>
      <c r="W462" s="198">
        <v>466.6</v>
      </c>
      <c r="X462" s="198">
        <v>1500</v>
      </c>
      <c r="Y462" s="198">
        <v>186</v>
      </c>
      <c r="Z462" s="277">
        <v>97831.570490320009</v>
      </c>
      <c r="AA462" s="272">
        <v>0</v>
      </c>
      <c r="AB462" s="198">
        <v>0</v>
      </c>
      <c r="AC462" s="272">
        <v>1217</v>
      </c>
      <c r="AD462" s="198">
        <v>4.3811999999999998</v>
      </c>
      <c r="AE462" s="198">
        <v>4.3811999999999998</v>
      </c>
      <c r="AF462" s="198">
        <v>0</v>
      </c>
      <c r="AG462" s="198">
        <v>0</v>
      </c>
      <c r="AH462" s="198">
        <v>0</v>
      </c>
      <c r="AI462" s="198">
        <v>0</v>
      </c>
      <c r="AJ462" s="198">
        <v>0</v>
      </c>
      <c r="AK462" s="198">
        <v>0</v>
      </c>
      <c r="AL462" s="198">
        <v>0</v>
      </c>
      <c r="AM462" s="198">
        <v>6.4773342350283508E-2</v>
      </c>
      <c r="AN462" s="198">
        <v>1.6553187489516855E-2</v>
      </c>
      <c r="AO462" s="198">
        <v>0</v>
      </c>
      <c r="AP462" s="198">
        <v>2.3667179076747708E-3</v>
      </c>
      <c r="AQ462" s="198">
        <v>2.9589429630315547E-3</v>
      </c>
      <c r="AS462" s="258">
        <f t="shared" si="56"/>
        <v>131241.05181276429</v>
      </c>
      <c r="AT462" s="3">
        <f t="shared" si="57"/>
        <v>0</v>
      </c>
      <c r="AU462" s="3">
        <f t="shared" si="63"/>
        <v>0</v>
      </c>
      <c r="AV462" s="3">
        <f t="shared" si="58"/>
        <v>75.621062050281481</v>
      </c>
      <c r="AW462" s="3">
        <f t="shared" si="59"/>
        <v>2.7223582338101333</v>
      </c>
      <c r="AX462" s="3">
        <f t="shared" si="60"/>
        <v>2.7223582338101333</v>
      </c>
      <c r="AY462" s="102">
        <f t="shared" si="61"/>
        <v>0</v>
      </c>
      <c r="AZ462" s="102">
        <f t="shared" si="62"/>
        <v>1</v>
      </c>
    </row>
    <row r="463" spans="1:52" x14ac:dyDescent="0.35">
      <c r="A463" t="s">
        <v>627</v>
      </c>
      <c r="B463">
        <v>2025</v>
      </c>
      <c r="C463" t="s">
        <v>837</v>
      </c>
      <c r="D463" t="s">
        <v>1022</v>
      </c>
      <c r="E463" t="s">
        <v>1026</v>
      </c>
      <c r="F463" t="s">
        <v>989</v>
      </c>
      <c r="G463" t="s">
        <v>978</v>
      </c>
      <c r="H463" s="198">
        <v>56372.671891520004</v>
      </c>
      <c r="I463" s="198">
        <v>0</v>
      </c>
      <c r="J463" s="198">
        <v>24534.258905660376</v>
      </c>
      <c r="K463" s="198">
        <v>6495.1666229999992</v>
      </c>
      <c r="L463" s="198">
        <v>0</v>
      </c>
      <c r="M463" s="198">
        <v>3891.497488</v>
      </c>
      <c r="N463" s="198">
        <v>50</v>
      </c>
      <c r="O463" s="198">
        <v>0</v>
      </c>
      <c r="P463" s="198">
        <v>5178.7465988000004</v>
      </c>
      <c r="Q463" s="198">
        <v>0</v>
      </c>
      <c r="R463" s="198">
        <v>0</v>
      </c>
      <c r="S463" s="198">
        <v>3682</v>
      </c>
      <c r="T463" s="198">
        <v>0</v>
      </c>
      <c r="U463" s="198">
        <v>2000</v>
      </c>
      <c r="V463" s="198">
        <v>4500</v>
      </c>
      <c r="W463" s="198">
        <v>466.6</v>
      </c>
      <c r="X463" s="198">
        <v>1500</v>
      </c>
      <c r="Y463" s="198">
        <v>186</v>
      </c>
      <c r="Z463" s="277">
        <v>108856.94150698038</v>
      </c>
      <c r="AA463" s="272">
        <v>16.01247248</v>
      </c>
      <c r="AB463" s="198">
        <v>8.3884726526630704</v>
      </c>
      <c r="AC463" s="272">
        <v>0</v>
      </c>
      <c r="AD463" s="198">
        <v>0</v>
      </c>
      <c r="AE463" s="198">
        <v>8.3884726526630704</v>
      </c>
      <c r="AF463" s="198">
        <v>0</v>
      </c>
      <c r="AG463" s="198">
        <v>0</v>
      </c>
      <c r="AH463" s="198">
        <v>0</v>
      </c>
      <c r="AI463" s="198">
        <v>0</v>
      </c>
      <c r="AJ463" s="198">
        <v>0</v>
      </c>
      <c r="AK463" s="198">
        <v>0</v>
      </c>
      <c r="AL463" s="198">
        <v>0</v>
      </c>
      <c r="AM463" s="198">
        <v>7.842033512902484E-2</v>
      </c>
      <c r="AN463" s="198">
        <v>2.0040752310750826E-2</v>
      </c>
      <c r="AO463" s="198">
        <v>0</v>
      </c>
      <c r="AP463" s="198">
        <v>2.8653579503746095E-3</v>
      </c>
      <c r="AQ463" s="198">
        <v>3.58235796346227E-3</v>
      </c>
      <c r="AS463" s="258">
        <f t="shared" si="56"/>
        <v>146031.58703161418</v>
      </c>
      <c r="AT463" s="3">
        <f t="shared" si="57"/>
        <v>14.689494051291456</v>
      </c>
      <c r="AU463" s="3">
        <f t="shared" si="63"/>
        <v>5.6700601102888939</v>
      </c>
      <c r="AV463" s="3">
        <f t="shared" si="58"/>
        <v>0</v>
      </c>
      <c r="AW463" s="3">
        <f t="shared" si="59"/>
        <v>0</v>
      </c>
      <c r="AX463" s="3">
        <f t="shared" si="60"/>
        <v>5.6700601102888939</v>
      </c>
      <c r="AY463" s="102">
        <f t="shared" si="61"/>
        <v>1</v>
      </c>
      <c r="AZ463" s="102">
        <f t="shared" si="62"/>
        <v>0</v>
      </c>
    </row>
    <row r="464" spans="1:52" x14ac:dyDescent="0.35">
      <c r="A464" t="s">
        <v>1065</v>
      </c>
      <c r="B464">
        <v>2025</v>
      </c>
      <c r="C464" t="s">
        <v>837</v>
      </c>
      <c r="D464" t="s">
        <v>1022</v>
      </c>
      <c r="E464" t="s">
        <v>1026</v>
      </c>
      <c r="F464" t="s">
        <v>989</v>
      </c>
      <c r="G464" t="s">
        <v>978</v>
      </c>
      <c r="H464" s="198">
        <v>56372.671891520004</v>
      </c>
      <c r="I464" s="198">
        <v>0</v>
      </c>
      <c r="J464" s="198">
        <v>8395.5066792452835</v>
      </c>
      <c r="K464" s="198">
        <v>6109.8769709999997</v>
      </c>
      <c r="L464" s="198">
        <v>0</v>
      </c>
      <c r="M464" s="198">
        <v>5767.3440000000001</v>
      </c>
      <c r="N464" s="198">
        <v>50</v>
      </c>
      <c r="O464" s="198">
        <v>0</v>
      </c>
      <c r="P464" s="198">
        <v>5213.1108965000003</v>
      </c>
      <c r="Q464" s="198">
        <v>0</v>
      </c>
      <c r="R464" s="198">
        <v>0</v>
      </c>
      <c r="S464" s="198">
        <v>3695</v>
      </c>
      <c r="T464" s="198">
        <v>0</v>
      </c>
      <c r="U464" s="198">
        <v>2000</v>
      </c>
      <c r="V464" s="198">
        <v>4500</v>
      </c>
      <c r="W464" s="198">
        <v>466.6</v>
      </c>
      <c r="X464" s="198">
        <v>1500</v>
      </c>
      <c r="Y464" s="198">
        <v>186</v>
      </c>
      <c r="Z464" s="277">
        <v>94256.110438265299</v>
      </c>
      <c r="AA464" s="272">
        <v>16.738255930000001</v>
      </c>
      <c r="AB464" s="198">
        <v>8.0247421273597404</v>
      </c>
      <c r="AC464" s="272">
        <v>0</v>
      </c>
      <c r="AD464" s="198">
        <v>0</v>
      </c>
      <c r="AE464" s="198">
        <v>8.0247421273597404</v>
      </c>
      <c r="AF464" s="198">
        <v>0</v>
      </c>
      <c r="AG464" s="198">
        <v>0</v>
      </c>
      <c r="AH464" s="198">
        <v>0</v>
      </c>
      <c r="AI464" s="198">
        <v>0</v>
      </c>
      <c r="AJ464" s="198">
        <v>0</v>
      </c>
      <c r="AK464" s="198">
        <v>0</v>
      </c>
      <c r="AL464" s="198">
        <v>0</v>
      </c>
      <c r="AM464" s="198">
        <v>7.5019970024193985E-2</v>
      </c>
      <c r="AN464" s="198">
        <v>1.9171770117294051E-2</v>
      </c>
      <c r="AO464" s="198">
        <v>0</v>
      </c>
      <c r="AP464" s="198">
        <v>2.7411138602253787E-3</v>
      </c>
      <c r="AQ464" s="198">
        <v>3.4270242098902136E-3</v>
      </c>
      <c r="AS464" s="258">
        <f t="shared" si="56"/>
        <v>126444.57215293289</v>
      </c>
      <c r="AT464" s="3">
        <f t="shared" si="57"/>
        <v>14.052546467511691</v>
      </c>
      <c r="AU464" s="3">
        <f t="shared" si="63"/>
        <v>5.4242020109885285</v>
      </c>
      <c r="AV464" s="3">
        <f t="shared" si="58"/>
        <v>0</v>
      </c>
      <c r="AW464" s="3">
        <f t="shared" si="59"/>
        <v>0</v>
      </c>
      <c r="AX464" s="3">
        <f t="shared" si="60"/>
        <v>5.4242020109885285</v>
      </c>
      <c r="AY464" s="102">
        <f t="shared" si="61"/>
        <v>1</v>
      </c>
      <c r="AZ464" s="102">
        <f t="shared" si="62"/>
        <v>0</v>
      </c>
    </row>
    <row r="465" spans="1:52" x14ac:dyDescent="0.35">
      <c r="A465" t="s">
        <v>1017</v>
      </c>
      <c r="B465">
        <v>2030</v>
      </c>
      <c r="C465" t="s">
        <v>837</v>
      </c>
      <c r="D465" t="s">
        <v>1022</v>
      </c>
      <c r="E465" t="s">
        <v>1026</v>
      </c>
      <c r="F465" t="s">
        <v>983</v>
      </c>
      <c r="G465" t="s">
        <v>978</v>
      </c>
      <c r="H465" s="198">
        <v>56789.42325408</v>
      </c>
      <c r="I465" s="198">
        <v>16167</v>
      </c>
      <c r="J465" s="198">
        <v>0</v>
      </c>
      <c r="K465" s="198">
        <v>0</v>
      </c>
      <c r="L465" s="198">
        <v>120</v>
      </c>
      <c r="M465" s="198">
        <v>0</v>
      </c>
      <c r="N465" s="198">
        <v>0</v>
      </c>
      <c r="O465" s="198">
        <v>150</v>
      </c>
      <c r="P465" s="198">
        <v>0</v>
      </c>
      <c r="Q465" s="198">
        <v>0</v>
      </c>
      <c r="R465" s="198">
        <v>73.2</v>
      </c>
      <c r="S465" s="198">
        <v>6418</v>
      </c>
      <c r="T465" s="198">
        <v>506</v>
      </c>
      <c r="U465" s="198">
        <v>2000</v>
      </c>
      <c r="V465" s="198">
        <v>1920</v>
      </c>
      <c r="W465" s="198">
        <v>0</v>
      </c>
      <c r="X465" s="198">
        <v>0</v>
      </c>
      <c r="Y465" s="198">
        <v>186</v>
      </c>
      <c r="Z465" s="277">
        <v>84329.623254079997</v>
      </c>
      <c r="AA465" s="272">
        <v>8.6754545679999993</v>
      </c>
      <c r="AB465" s="198">
        <v>15.48278380656261</v>
      </c>
      <c r="AC465" s="272">
        <v>0</v>
      </c>
      <c r="AD465" s="198">
        <v>0</v>
      </c>
      <c r="AE465" s="198">
        <v>15.48278380656261</v>
      </c>
      <c r="AF465" s="198">
        <v>1158.9720666546348</v>
      </c>
      <c r="AG465" s="198">
        <v>0.50950455112923376</v>
      </c>
      <c r="AH465" s="198">
        <v>2.6921340620580615E-3</v>
      </c>
      <c r="AI465" s="198">
        <v>1174.970618601933</v>
      </c>
      <c r="AJ465" s="198">
        <v>0.49439633611818978</v>
      </c>
      <c r="AK465" s="198">
        <v>11.537111054567402</v>
      </c>
      <c r="AL465" s="198">
        <v>0.54015627806976485</v>
      </c>
      <c r="AM465" s="198">
        <v>9.709087904480844E-2</v>
      </c>
      <c r="AN465" s="198">
        <v>3.9921221608890292E-2</v>
      </c>
      <c r="AO465" s="198">
        <v>7.9933865959601561E-3</v>
      </c>
      <c r="AP465" s="198">
        <v>6.6332828731320969E-3</v>
      </c>
      <c r="AQ465" s="198">
        <v>6.3004432765288972E-3</v>
      </c>
      <c r="AS465" s="258">
        <f t="shared" si="56"/>
        <v>113128.1895953483</v>
      </c>
      <c r="AT465" s="3">
        <f t="shared" si="57"/>
        <v>27.11271408290639</v>
      </c>
      <c r="AU465" s="3">
        <f t="shared" si="63"/>
        <v>10.465351499947671</v>
      </c>
      <c r="AV465" s="3">
        <f t="shared" si="58"/>
        <v>0</v>
      </c>
      <c r="AW465" s="3">
        <f t="shared" si="59"/>
        <v>0</v>
      </c>
      <c r="AX465" s="3">
        <f t="shared" si="60"/>
        <v>10.465351499947671</v>
      </c>
      <c r="AY465" s="102">
        <f t="shared" si="61"/>
        <v>1</v>
      </c>
      <c r="AZ465" s="102">
        <f t="shared" si="62"/>
        <v>0</v>
      </c>
    </row>
    <row r="466" spans="1:52" x14ac:dyDescent="0.35">
      <c r="A466" t="s">
        <v>1020</v>
      </c>
      <c r="B466">
        <v>2030</v>
      </c>
      <c r="C466" t="s">
        <v>837</v>
      </c>
      <c r="D466" t="s">
        <v>1022</v>
      </c>
      <c r="E466" t="s">
        <v>1026</v>
      </c>
      <c r="F466" t="s">
        <v>983</v>
      </c>
      <c r="G466" t="s">
        <v>978</v>
      </c>
      <c r="H466" s="198">
        <v>56789.42325408</v>
      </c>
      <c r="I466" s="198">
        <v>21467</v>
      </c>
      <c r="J466" s="198">
        <v>0</v>
      </c>
      <c r="K466" s="198">
        <v>0</v>
      </c>
      <c r="L466" s="198">
        <v>150</v>
      </c>
      <c r="M466" s="198">
        <v>1127.11055276</v>
      </c>
      <c r="N466" s="198">
        <v>40</v>
      </c>
      <c r="O466" s="198">
        <v>150</v>
      </c>
      <c r="P466" s="198">
        <v>1425.1587422700002</v>
      </c>
      <c r="Q466" s="198">
        <v>0</v>
      </c>
      <c r="R466" s="198">
        <v>0</v>
      </c>
      <c r="S466" s="198">
        <v>7422</v>
      </c>
      <c r="T466" s="198">
        <v>392</v>
      </c>
      <c r="U466" s="198">
        <v>2000</v>
      </c>
      <c r="V466" s="198">
        <v>4720</v>
      </c>
      <c r="W466" s="198">
        <v>346.56</v>
      </c>
      <c r="X466" s="198">
        <v>1500</v>
      </c>
      <c r="Y466" s="198">
        <v>186</v>
      </c>
      <c r="Z466" s="277">
        <v>97715.252549109995</v>
      </c>
      <c r="AA466" s="272">
        <v>9.9555088759999997</v>
      </c>
      <c r="AB466" s="198">
        <v>13.492046380854436</v>
      </c>
      <c r="AC466" s="272">
        <v>0</v>
      </c>
      <c r="AD466" s="198">
        <v>0</v>
      </c>
      <c r="AE466" s="198">
        <v>13.492046380854436</v>
      </c>
      <c r="AF466" s="198">
        <v>1009.9543514126391</v>
      </c>
      <c r="AG466" s="198">
        <v>0.44399373659007529</v>
      </c>
      <c r="AH466" s="198">
        <v>2.3459862310658648E-3</v>
      </c>
      <c r="AI466" s="198">
        <v>1023.8958497630819</v>
      </c>
      <c r="AJ466" s="198">
        <v>0.43082809789049431</v>
      </c>
      <c r="AK466" s="198">
        <v>10.053698313820886</v>
      </c>
      <c r="AL466" s="198">
        <v>0.47070434152403035</v>
      </c>
      <c r="AM466" s="198">
        <v>8.4607177856170779E-2</v>
      </c>
      <c r="AN466" s="198">
        <v>3.4788251276828809E-2</v>
      </c>
      <c r="AO466" s="198">
        <v>6.9656170389127293E-3</v>
      </c>
      <c r="AP466" s="198">
        <v>5.7803920341309139E-3</v>
      </c>
      <c r="AQ466" s="198">
        <v>5.4903481162631336E-3</v>
      </c>
      <c r="AS466" s="258">
        <f t="shared" si="56"/>
        <v>131085.01129463105</v>
      </c>
      <c r="AT466" s="3">
        <f t="shared" si="57"/>
        <v>23.626629454217781</v>
      </c>
      <c r="AU466" s="3">
        <f t="shared" si="63"/>
        <v>9.1197429088552671</v>
      </c>
      <c r="AV466" s="3">
        <f t="shared" si="58"/>
        <v>0</v>
      </c>
      <c r="AW466" s="3">
        <f t="shared" si="59"/>
        <v>0</v>
      </c>
      <c r="AX466" s="3">
        <f t="shared" si="60"/>
        <v>9.1197429088552671</v>
      </c>
      <c r="AY466" s="102">
        <f t="shared" si="61"/>
        <v>1</v>
      </c>
      <c r="AZ466" s="102">
        <f t="shared" si="62"/>
        <v>0</v>
      </c>
    </row>
    <row r="467" spans="1:52" x14ac:dyDescent="0.35">
      <c r="A467" t="s">
        <v>1021</v>
      </c>
      <c r="B467">
        <v>2030</v>
      </c>
      <c r="C467" t="s">
        <v>837</v>
      </c>
      <c r="D467" t="s">
        <v>1022</v>
      </c>
      <c r="E467" t="s">
        <v>1026</v>
      </c>
      <c r="F467" t="s">
        <v>983</v>
      </c>
      <c r="G467" t="s">
        <v>978</v>
      </c>
      <c r="H467" s="198">
        <v>56789.42325408</v>
      </c>
      <c r="I467" s="198">
        <v>9119</v>
      </c>
      <c r="J467" s="198">
        <v>0</v>
      </c>
      <c r="K467" s="198">
        <v>0</v>
      </c>
      <c r="L467" s="198">
        <v>0</v>
      </c>
      <c r="M467" s="198">
        <v>8837.6999999999989</v>
      </c>
      <c r="N467" s="198">
        <v>40</v>
      </c>
      <c r="O467" s="198">
        <v>0</v>
      </c>
      <c r="P467" s="198">
        <v>4128.4489558800005</v>
      </c>
      <c r="Q467" s="198">
        <v>0</v>
      </c>
      <c r="R467" s="198">
        <v>1383.02151546</v>
      </c>
      <c r="S467" s="198">
        <v>3686</v>
      </c>
      <c r="T467" s="198">
        <v>0</v>
      </c>
      <c r="U467" s="198">
        <v>2000</v>
      </c>
      <c r="V467" s="198">
        <v>4720</v>
      </c>
      <c r="W467" s="198">
        <v>346.56</v>
      </c>
      <c r="X467" s="198">
        <v>1500</v>
      </c>
      <c r="Y467" s="198">
        <v>186</v>
      </c>
      <c r="Z467" s="277">
        <v>92736.153725419994</v>
      </c>
      <c r="AA467" s="272">
        <v>60.847870600000014</v>
      </c>
      <c r="AB467" s="198">
        <v>2.2074755644776825</v>
      </c>
      <c r="AC467" s="272">
        <v>950.40000000000009</v>
      </c>
      <c r="AD467" s="198">
        <v>3.42144</v>
      </c>
      <c r="AE467" s="198">
        <v>5.6289155644776825</v>
      </c>
      <c r="AF467" s="198">
        <v>165.24176459584027</v>
      </c>
      <c r="AG467" s="198">
        <v>7.2643192636405896E-2</v>
      </c>
      <c r="AH467" s="198">
        <v>3.8383408517092787E-4</v>
      </c>
      <c r="AI467" s="198">
        <v>167.52277639138813</v>
      </c>
      <c r="AJ467" s="198">
        <v>7.0489121645269395E-2</v>
      </c>
      <c r="AK467" s="198">
        <v>1.6449167705117693</v>
      </c>
      <c r="AL467" s="198">
        <v>7.7013397573426637E-2</v>
      </c>
      <c r="AM467" s="198">
        <v>6.442672498858576E-2</v>
      </c>
      <c r="AN467" s="198">
        <v>1.8618805817862804E-2</v>
      </c>
      <c r="AO467" s="198">
        <v>1.139666213031167E-3</v>
      </c>
      <c r="AP467" s="198">
        <v>2.7940048159535921E-3</v>
      </c>
      <c r="AQ467" s="198">
        <v>3.2090401287086681E-3</v>
      </c>
      <c r="AS467" s="258">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102">
        <f t="shared" si="61"/>
        <v>0.41240149691436412</v>
      </c>
      <c r="AZ467" s="102">
        <f t="shared" si="62"/>
        <v>0.58759850308563588</v>
      </c>
    </row>
    <row r="468" spans="1:52" x14ac:dyDescent="0.35">
      <c r="A468" t="s">
        <v>246</v>
      </c>
      <c r="B468">
        <v>2030</v>
      </c>
      <c r="C468" t="s">
        <v>837</v>
      </c>
      <c r="D468" t="s">
        <v>1022</v>
      </c>
      <c r="E468" t="s">
        <v>1026</v>
      </c>
      <c r="F468" t="s">
        <v>977</v>
      </c>
      <c r="G468" t="s">
        <v>978</v>
      </c>
      <c r="H468" s="198">
        <v>56789.42325408</v>
      </c>
      <c r="I468" s="198">
        <v>0</v>
      </c>
      <c r="J468" s="198">
        <v>0</v>
      </c>
      <c r="K468" s="198">
        <v>0</v>
      </c>
      <c r="L468" s="198">
        <v>0</v>
      </c>
      <c r="M468" s="198">
        <v>17675.399999999998</v>
      </c>
      <c r="N468" s="198">
        <v>40</v>
      </c>
      <c r="O468" s="198">
        <v>0</v>
      </c>
      <c r="P468" s="198">
        <v>4104.1540131299998</v>
      </c>
      <c r="Q468" s="198">
        <v>0</v>
      </c>
      <c r="R468" s="198">
        <v>0</v>
      </c>
      <c r="S468" s="198">
        <v>3674</v>
      </c>
      <c r="T468" s="198">
        <v>0</v>
      </c>
      <c r="U468" s="198">
        <v>2000</v>
      </c>
      <c r="V468" s="198">
        <v>4500</v>
      </c>
      <c r="W468" s="198">
        <v>346.56</v>
      </c>
      <c r="X468" s="198">
        <v>1500</v>
      </c>
      <c r="Y468" s="198">
        <v>186</v>
      </c>
      <c r="Z468" s="277">
        <v>90815.537267209991</v>
      </c>
      <c r="AA468" s="272">
        <v>0</v>
      </c>
      <c r="AB468" s="198">
        <v>0</v>
      </c>
      <c r="AC468" s="272">
        <v>1149</v>
      </c>
      <c r="AD468" s="198">
        <v>4.1364000000000001</v>
      </c>
      <c r="AE468" s="198">
        <v>4.1364000000000001</v>
      </c>
      <c r="AF468" s="198">
        <v>0</v>
      </c>
      <c r="AG468" s="198">
        <v>0</v>
      </c>
      <c r="AH468" s="198">
        <v>0</v>
      </c>
      <c r="AI468" s="198">
        <v>0</v>
      </c>
      <c r="AJ468" s="198">
        <v>0</v>
      </c>
      <c r="AK468" s="198">
        <v>0</v>
      </c>
      <c r="AL468" s="198">
        <v>0</v>
      </c>
      <c r="AM468" s="198">
        <v>6.1154125193488708E-2</v>
      </c>
      <c r="AN468" s="198">
        <v>1.5628276438335965E-2</v>
      </c>
      <c r="AO468" s="198">
        <v>0</v>
      </c>
      <c r="AP468" s="198">
        <v>2.2344773014940935E-3</v>
      </c>
      <c r="AQ468" s="198">
        <v>2.7936117210544424E-3</v>
      </c>
      <c r="AS468" s="258">
        <f t="shared" si="56"/>
        <v>121829.04324396219</v>
      </c>
      <c r="AT468" s="3">
        <f t="shared" si="57"/>
        <v>0</v>
      </c>
      <c r="AU468" s="3">
        <f t="shared" si="63"/>
        <v>0</v>
      </c>
      <c r="AV468" s="3">
        <f t="shared" si="58"/>
        <v>71.395727441062803</v>
      </c>
      <c r="AW468" s="3">
        <f t="shared" si="59"/>
        <v>2.570246187878261</v>
      </c>
      <c r="AX468" s="3">
        <f t="shared" si="60"/>
        <v>2.570246187878261</v>
      </c>
      <c r="AY468" s="102">
        <f t="shared" si="61"/>
        <v>0</v>
      </c>
      <c r="AZ468" s="102">
        <f t="shared" si="62"/>
        <v>1</v>
      </c>
    </row>
    <row r="469" spans="1:52" x14ac:dyDescent="0.35">
      <c r="A469" t="s">
        <v>627</v>
      </c>
      <c r="B469">
        <v>2030</v>
      </c>
      <c r="C469" t="s">
        <v>837</v>
      </c>
      <c r="D469" t="s">
        <v>1022</v>
      </c>
      <c r="E469" t="s">
        <v>1026</v>
      </c>
      <c r="F469" t="s">
        <v>989</v>
      </c>
      <c r="G469" t="s">
        <v>978</v>
      </c>
      <c r="H469" s="198">
        <v>56789.42325408</v>
      </c>
      <c r="I469" s="198">
        <v>0</v>
      </c>
      <c r="J469" s="198">
        <v>19549.635566037734</v>
      </c>
      <c r="K469" s="198">
        <v>5739.2887200000005</v>
      </c>
      <c r="L469" s="198">
        <v>0</v>
      </c>
      <c r="M469" s="198">
        <v>3719.4648235</v>
      </c>
      <c r="N469" s="198">
        <v>40</v>
      </c>
      <c r="O469" s="198">
        <v>0</v>
      </c>
      <c r="P469" s="198">
        <v>4104.1540131299998</v>
      </c>
      <c r="Q469" s="198">
        <v>0</v>
      </c>
      <c r="R469" s="198">
        <v>0</v>
      </c>
      <c r="S469" s="198">
        <v>3674</v>
      </c>
      <c r="T469" s="198">
        <v>0</v>
      </c>
      <c r="U469" s="198">
        <v>2000</v>
      </c>
      <c r="V469" s="198">
        <v>4500</v>
      </c>
      <c r="W469" s="198">
        <v>346.56</v>
      </c>
      <c r="X469" s="198">
        <v>1500</v>
      </c>
      <c r="Y469" s="198">
        <v>186</v>
      </c>
      <c r="Z469" s="277">
        <v>102148.52637674773</v>
      </c>
      <c r="AA469" s="272">
        <v>16.978379029999999</v>
      </c>
      <c r="AB469" s="198">
        <v>7.9112491989171962</v>
      </c>
      <c r="AC469" s="272">
        <v>0</v>
      </c>
      <c r="AD469" s="198">
        <v>0</v>
      </c>
      <c r="AE469" s="198">
        <v>7.9112491989171962</v>
      </c>
      <c r="AF469" s="198">
        <v>0</v>
      </c>
      <c r="AG469" s="198">
        <v>0</v>
      </c>
      <c r="AH469" s="198">
        <v>0</v>
      </c>
      <c r="AI469" s="198">
        <v>0</v>
      </c>
      <c r="AJ469" s="198">
        <v>0</v>
      </c>
      <c r="AK469" s="198">
        <v>0</v>
      </c>
      <c r="AL469" s="198">
        <v>0</v>
      </c>
      <c r="AM469" s="198">
        <v>7.3958971931720838E-2</v>
      </c>
      <c r="AN469" s="198">
        <v>1.8900626160328688E-2</v>
      </c>
      <c r="AO469" s="198">
        <v>0</v>
      </c>
      <c r="AP469" s="198">
        <v>2.7023466283001602E-3</v>
      </c>
      <c r="AQ469" s="198">
        <v>3.3785562333183729E-3</v>
      </c>
      <c r="AS469" s="258">
        <f t="shared" si="56"/>
        <v>137032.24813440707</v>
      </c>
      <c r="AT469" s="3">
        <f t="shared" si="57"/>
        <v>13.853803053036692</v>
      </c>
      <c r="AU469" s="3">
        <f t="shared" si="63"/>
        <v>5.3474881975200352</v>
      </c>
      <c r="AV469" s="3">
        <f t="shared" si="58"/>
        <v>0</v>
      </c>
      <c r="AW469" s="3">
        <f t="shared" si="59"/>
        <v>0</v>
      </c>
      <c r="AX469" s="3">
        <f t="shared" si="60"/>
        <v>5.3474881975200352</v>
      </c>
      <c r="AY469" s="102">
        <f t="shared" si="61"/>
        <v>1</v>
      </c>
      <c r="AZ469" s="102">
        <f t="shared" si="62"/>
        <v>0</v>
      </c>
    </row>
    <row r="470" spans="1:52" x14ac:dyDescent="0.35">
      <c r="A470" t="s">
        <v>1065</v>
      </c>
      <c r="B470">
        <v>2030</v>
      </c>
      <c r="C470" t="s">
        <v>837</v>
      </c>
      <c r="D470" t="s">
        <v>1022</v>
      </c>
      <c r="E470" t="s">
        <v>1026</v>
      </c>
      <c r="F470" t="s">
        <v>989</v>
      </c>
      <c r="G470" t="s">
        <v>978</v>
      </c>
      <c r="H470" s="198">
        <v>56789.42325408</v>
      </c>
      <c r="I470" s="198">
        <v>0</v>
      </c>
      <c r="J470" s="198">
        <v>6383.6013849056608</v>
      </c>
      <c r="K470" s="198">
        <v>5382.5887500000008</v>
      </c>
      <c r="L470" s="198">
        <v>0</v>
      </c>
      <c r="M470" s="198">
        <v>4617.45</v>
      </c>
      <c r="N470" s="198">
        <v>40</v>
      </c>
      <c r="O470" s="198">
        <v>0</v>
      </c>
      <c r="P470" s="198">
        <v>4092.3543268500002</v>
      </c>
      <c r="Q470" s="198">
        <v>0</v>
      </c>
      <c r="R470" s="198">
        <v>0</v>
      </c>
      <c r="S470" s="198">
        <v>3668</v>
      </c>
      <c r="T470" s="198">
        <v>0</v>
      </c>
      <c r="U470" s="198">
        <v>2000</v>
      </c>
      <c r="V470" s="198">
        <v>4500</v>
      </c>
      <c r="W470" s="198">
        <v>346.56</v>
      </c>
      <c r="X470" s="198">
        <v>1500</v>
      </c>
      <c r="Y470" s="198">
        <v>186</v>
      </c>
      <c r="Z470" s="277">
        <v>89505.977715835659</v>
      </c>
      <c r="AA470" s="272">
        <v>17.860742900000002</v>
      </c>
      <c r="AB470" s="198">
        <v>7.5204143664147374</v>
      </c>
      <c r="AC470" s="272">
        <v>0</v>
      </c>
      <c r="AD470" s="198">
        <v>0</v>
      </c>
      <c r="AE470" s="198">
        <v>7.5204143664147374</v>
      </c>
      <c r="AF470" s="198">
        <v>0</v>
      </c>
      <c r="AG470" s="198">
        <v>0</v>
      </c>
      <c r="AH470" s="198">
        <v>0</v>
      </c>
      <c r="AI470" s="198">
        <v>0</v>
      </c>
      <c r="AJ470" s="198">
        <v>0</v>
      </c>
      <c r="AK470" s="198">
        <v>0</v>
      </c>
      <c r="AL470" s="198">
        <v>0</v>
      </c>
      <c r="AM470" s="198">
        <v>7.0305219953974457E-2</v>
      </c>
      <c r="AN470" s="198">
        <v>1.79668895437935E-2</v>
      </c>
      <c r="AO470" s="198">
        <v>0</v>
      </c>
      <c r="AP470" s="198">
        <v>2.5688441730899471E-3</v>
      </c>
      <c r="AQ470" s="198">
        <v>3.2116473891715025E-3</v>
      </c>
      <c r="AS470" s="258">
        <f t="shared" si="56"/>
        <v>120072.26910579353</v>
      </c>
      <c r="AT470" s="3">
        <f t="shared" si="57"/>
        <v>13.169391696547411</v>
      </c>
      <c r="AU470" s="3">
        <f t="shared" si="63"/>
        <v>5.0833093552870441</v>
      </c>
      <c r="AV470" s="3">
        <f t="shared" si="58"/>
        <v>0</v>
      </c>
      <c r="AW470" s="3">
        <f t="shared" si="59"/>
        <v>0</v>
      </c>
      <c r="AX470" s="3">
        <f t="shared" si="60"/>
        <v>5.0833093552870441</v>
      </c>
      <c r="AY470" s="102">
        <f t="shared" si="61"/>
        <v>1</v>
      </c>
      <c r="AZ470" s="102">
        <f t="shared" si="62"/>
        <v>0</v>
      </c>
    </row>
    <row r="471" spans="1:52" x14ac:dyDescent="0.35">
      <c r="A471" t="s">
        <v>1017</v>
      </c>
      <c r="B471">
        <v>2035</v>
      </c>
      <c r="C471" t="s">
        <v>837</v>
      </c>
      <c r="D471" t="s">
        <v>1022</v>
      </c>
      <c r="E471" t="s">
        <v>1026</v>
      </c>
      <c r="F471" t="s">
        <v>983</v>
      </c>
      <c r="G471" t="s">
        <v>978</v>
      </c>
      <c r="H471" s="198">
        <v>56789.42325408</v>
      </c>
      <c r="I471" s="198">
        <v>16325</v>
      </c>
      <c r="J471" s="198">
        <v>0</v>
      </c>
      <c r="K471" s="198">
        <v>0</v>
      </c>
      <c r="L471" s="198">
        <v>120</v>
      </c>
      <c r="M471" s="198">
        <v>0</v>
      </c>
      <c r="N471" s="198">
        <v>0</v>
      </c>
      <c r="O471" s="198">
        <v>150</v>
      </c>
      <c r="P471" s="198">
        <v>0</v>
      </c>
      <c r="Q471" s="198">
        <v>0</v>
      </c>
      <c r="R471" s="198">
        <v>62.6</v>
      </c>
      <c r="S471" s="198">
        <v>6396</v>
      </c>
      <c r="T471" s="198">
        <v>506</v>
      </c>
      <c r="U471" s="198">
        <v>2000</v>
      </c>
      <c r="V471" s="198">
        <v>1920</v>
      </c>
      <c r="W471" s="198">
        <v>0</v>
      </c>
      <c r="X471" s="198">
        <v>0</v>
      </c>
      <c r="Y471" s="198">
        <v>186</v>
      </c>
      <c r="Z471" s="277">
        <v>84455.023254080006</v>
      </c>
      <c r="AA471" s="272">
        <v>8.9961061420000004</v>
      </c>
      <c r="AB471" s="198">
        <v>14.930925155818377</v>
      </c>
      <c r="AC471" s="272">
        <v>0</v>
      </c>
      <c r="AD471" s="198">
        <v>0</v>
      </c>
      <c r="AE471" s="198">
        <v>14.930925155818377</v>
      </c>
      <c r="AF471" s="198">
        <v>1117.6623920544391</v>
      </c>
      <c r="AG471" s="198">
        <v>0.49134408995848194</v>
      </c>
      <c r="AH471" s="198">
        <v>2.5961773213535747E-3</v>
      </c>
      <c r="AI471" s="198">
        <v>1133.0907016343565</v>
      </c>
      <c r="AJ471" s="198">
        <v>0.47677438270258821</v>
      </c>
      <c r="AK471" s="198">
        <v>11.125889492630895</v>
      </c>
      <c r="AL471" s="198">
        <v>0.52090328593793278</v>
      </c>
      <c r="AM471" s="198">
        <v>9.3630232550052858E-2</v>
      </c>
      <c r="AN471" s="198">
        <v>3.8498294584371248E-2</v>
      </c>
      <c r="AO471" s="198">
        <v>7.7084753295602578E-3</v>
      </c>
      <c r="AP471" s="198">
        <v>6.396850292137205E-3</v>
      </c>
      <c r="AQ471" s="198">
        <v>6.0758742216925152E-3</v>
      </c>
      <c r="AS471" s="258">
        <f t="shared" si="56"/>
        <v>113296.41369534832</v>
      </c>
      <c r="AT471" s="3">
        <f t="shared" si="57"/>
        <v>26.146325480007675</v>
      </c>
      <c r="AU471" s="3">
        <f t="shared" si="63"/>
        <v>10.092331064444512</v>
      </c>
      <c r="AV471" s="3">
        <f t="shared" si="58"/>
        <v>0</v>
      </c>
      <c r="AW471" s="3">
        <f t="shared" si="59"/>
        <v>0</v>
      </c>
      <c r="AX471" s="3">
        <f t="shared" si="60"/>
        <v>10.092331064444512</v>
      </c>
      <c r="AY471" s="102">
        <f t="shared" si="61"/>
        <v>1</v>
      </c>
      <c r="AZ471" s="102">
        <f t="shared" si="62"/>
        <v>0</v>
      </c>
    </row>
    <row r="472" spans="1:52" x14ac:dyDescent="0.35">
      <c r="A472" t="s">
        <v>1020</v>
      </c>
      <c r="B472">
        <v>2035</v>
      </c>
      <c r="C472" t="s">
        <v>837</v>
      </c>
      <c r="D472" t="s">
        <v>1022</v>
      </c>
      <c r="E472" t="s">
        <v>1026</v>
      </c>
      <c r="F472" t="s">
        <v>983</v>
      </c>
      <c r="G472" t="s">
        <v>978</v>
      </c>
      <c r="H472" s="198">
        <v>56789.42325408</v>
      </c>
      <c r="I472" s="198">
        <v>27049</v>
      </c>
      <c r="J472" s="198">
        <v>0</v>
      </c>
      <c r="K472" s="198">
        <v>0</v>
      </c>
      <c r="L472" s="198">
        <v>150</v>
      </c>
      <c r="M472" s="198">
        <v>982.36582920000001</v>
      </c>
      <c r="N472" s="198">
        <v>35</v>
      </c>
      <c r="O472" s="198">
        <v>150</v>
      </c>
      <c r="P472" s="198">
        <v>1224.4593185799999</v>
      </c>
      <c r="Q472" s="198">
        <v>0</v>
      </c>
      <c r="R472" s="198">
        <v>0</v>
      </c>
      <c r="S472" s="198">
        <v>8087</v>
      </c>
      <c r="T472" s="198">
        <v>392</v>
      </c>
      <c r="U472" s="198">
        <v>2000</v>
      </c>
      <c r="V472" s="198">
        <v>4720</v>
      </c>
      <c r="W472" s="198">
        <v>280</v>
      </c>
      <c r="X472" s="198">
        <v>1500</v>
      </c>
      <c r="Y472" s="198">
        <v>186</v>
      </c>
      <c r="Z472" s="277">
        <v>103545.24840186001</v>
      </c>
      <c r="AA472" s="272">
        <v>10.08174182</v>
      </c>
      <c r="AB472" s="198">
        <v>13.323113197913653</v>
      </c>
      <c r="AC472" s="272">
        <v>0</v>
      </c>
      <c r="AD472" s="198">
        <v>0</v>
      </c>
      <c r="AE472" s="198">
        <v>13.323113197913653</v>
      </c>
      <c r="AF472" s="198">
        <v>997.308767607714</v>
      </c>
      <c r="AG472" s="198">
        <v>0.43843451503015179</v>
      </c>
      <c r="AH472" s="198">
        <v>2.3166122643626676E-3</v>
      </c>
      <c r="AI472" s="198">
        <v>1011.0757052114159</v>
      </c>
      <c r="AJ472" s="198">
        <v>0.42543372258058998</v>
      </c>
      <c r="AK472" s="198">
        <v>9.9278165010448625</v>
      </c>
      <c r="AL472" s="198">
        <v>0.46481067792452346</v>
      </c>
      <c r="AM472" s="198">
        <v>8.3547815958693025E-2</v>
      </c>
      <c r="AN472" s="198">
        <v>3.4352669464311626E-2</v>
      </c>
      <c r="AO472" s="198">
        <v>6.8784009247434292E-3</v>
      </c>
      <c r="AP472" s="198">
        <v>5.7080160581368675E-3</v>
      </c>
      <c r="AQ472" s="198">
        <v>5.4216037644760386E-3</v>
      </c>
      <c r="AS472" s="258">
        <f t="shared" si="56"/>
        <v>138905.95073109519</v>
      </c>
      <c r="AT472" s="3">
        <f t="shared" si="57"/>
        <v>23.330801704801853</v>
      </c>
      <c r="AU472" s="3">
        <f t="shared" si="63"/>
        <v>9.0055551011865393</v>
      </c>
      <c r="AV472" s="3">
        <f t="shared" si="58"/>
        <v>0</v>
      </c>
      <c r="AW472" s="3">
        <f t="shared" si="59"/>
        <v>0</v>
      </c>
      <c r="AX472" s="3">
        <f t="shared" si="60"/>
        <v>9.0055551011865393</v>
      </c>
      <c r="AY472" s="102">
        <f t="shared" si="61"/>
        <v>1</v>
      </c>
      <c r="AZ472" s="102">
        <f t="shared" si="62"/>
        <v>0</v>
      </c>
    </row>
    <row r="473" spans="1:52" x14ac:dyDescent="0.35">
      <c r="A473" t="s">
        <v>1021</v>
      </c>
      <c r="B473">
        <v>2035</v>
      </c>
      <c r="C473" t="s">
        <v>837</v>
      </c>
      <c r="D473" t="s">
        <v>1022</v>
      </c>
      <c r="E473" t="s">
        <v>1026</v>
      </c>
      <c r="F473" t="s">
        <v>983</v>
      </c>
      <c r="G473" t="s">
        <v>978</v>
      </c>
      <c r="H473" s="198">
        <v>56789.42325408</v>
      </c>
      <c r="I473" s="198">
        <v>9221</v>
      </c>
      <c r="J473" s="198">
        <v>0</v>
      </c>
      <c r="K473" s="198">
        <v>0</v>
      </c>
      <c r="L473" s="198">
        <v>0</v>
      </c>
      <c r="M473" s="198">
        <v>7462.3949999999995</v>
      </c>
      <c r="N473" s="198">
        <v>35</v>
      </c>
      <c r="O473" s="198">
        <v>0</v>
      </c>
      <c r="P473" s="198">
        <v>3525.4508507199998</v>
      </c>
      <c r="Q473" s="198">
        <v>0</v>
      </c>
      <c r="R473" s="198">
        <v>1115.9549897649999</v>
      </c>
      <c r="S473" s="198">
        <v>3676</v>
      </c>
      <c r="T473" s="198">
        <v>0</v>
      </c>
      <c r="U473" s="198">
        <v>2000</v>
      </c>
      <c r="V473" s="198">
        <v>4720</v>
      </c>
      <c r="W473" s="198">
        <v>280</v>
      </c>
      <c r="X473" s="198">
        <v>1500</v>
      </c>
      <c r="Y473" s="198">
        <v>186</v>
      </c>
      <c r="Z473" s="277">
        <v>90511.224094564997</v>
      </c>
      <c r="AA473" s="272">
        <v>65.450788250000016</v>
      </c>
      <c r="AB473" s="198">
        <v>2.0522317773613667</v>
      </c>
      <c r="AC473" s="272">
        <v>906.40000000000009</v>
      </c>
      <c r="AD473" s="198">
        <v>3.2630400000000002</v>
      </c>
      <c r="AE473" s="198">
        <v>5.3152717773613674</v>
      </c>
      <c r="AF473" s="198">
        <v>153.62090784053083</v>
      </c>
      <c r="AG473" s="198">
        <v>6.7534459151619125E-2</v>
      </c>
      <c r="AH473" s="198">
        <v>3.5684041966217256E-4</v>
      </c>
      <c r="AI473" s="198">
        <v>155.74150431130857</v>
      </c>
      <c r="AJ473" s="198">
        <v>6.5531876196754754E-2</v>
      </c>
      <c r="AK473" s="198">
        <v>1.5292357124494986</v>
      </c>
      <c r="AL473" s="198">
        <v>7.159732335254522E-2</v>
      </c>
      <c r="AM473" s="198">
        <v>6.1111361430615845E-2</v>
      </c>
      <c r="AN473" s="198">
        <v>1.76200492510309E-2</v>
      </c>
      <c r="AO473" s="198">
        <v>1.0595176026426615E-3</v>
      </c>
      <c r="AP473" s="198">
        <v>2.6419263312787785E-3</v>
      </c>
      <c r="AQ473" s="198">
        <v>3.0388873939547279E-3</v>
      </c>
      <c r="AS473" s="258">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102">
        <f t="shared" si="61"/>
        <v>0.40623157992674624</v>
      </c>
      <c r="AZ473" s="102">
        <f t="shared" si="62"/>
        <v>0.5937684200732537</v>
      </c>
    </row>
    <row r="474" spans="1:52" x14ac:dyDescent="0.35">
      <c r="A474" t="s">
        <v>246</v>
      </c>
      <c r="B474">
        <v>2035</v>
      </c>
      <c r="C474" t="s">
        <v>837</v>
      </c>
      <c r="D474" t="s">
        <v>1022</v>
      </c>
      <c r="E474" t="s">
        <v>1026</v>
      </c>
      <c r="F474" t="s">
        <v>977</v>
      </c>
      <c r="G474" t="s">
        <v>978</v>
      </c>
      <c r="H474" s="198">
        <v>56789.42325408</v>
      </c>
      <c r="I474" s="198">
        <v>0</v>
      </c>
      <c r="J474" s="198">
        <v>0</v>
      </c>
      <c r="K474" s="198">
        <v>0</v>
      </c>
      <c r="L474" s="198">
        <v>0</v>
      </c>
      <c r="M474" s="198">
        <v>14623.16625</v>
      </c>
      <c r="N474" s="198">
        <v>35</v>
      </c>
      <c r="O474" s="198">
        <v>0</v>
      </c>
      <c r="P474" s="198">
        <v>3507.1285833400002</v>
      </c>
      <c r="Q474" s="198">
        <v>0</v>
      </c>
      <c r="R474" s="198">
        <v>0</v>
      </c>
      <c r="S474" s="198">
        <v>3666</v>
      </c>
      <c r="T474" s="198">
        <v>0</v>
      </c>
      <c r="U474" s="198">
        <v>2000</v>
      </c>
      <c r="V474" s="198">
        <v>4500</v>
      </c>
      <c r="W474" s="198">
        <v>280</v>
      </c>
      <c r="X474" s="198">
        <v>1500</v>
      </c>
      <c r="Y474" s="198">
        <v>186</v>
      </c>
      <c r="Z474" s="277">
        <v>87086.718087419998</v>
      </c>
      <c r="AA474" s="272">
        <v>0</v>
      </c>
      <c r="AB474" s="198">
        <v>0</v>
      </c>
      <c r="AC474" s="272">
        <v>1092</v>
      </c>
      <c r="AD474" s="198">
        <v>3.9312</v>
      </c>
      <c r="AE474" s="198">
        <v>3.9312</v>
      </c>
      <c r="AF474" s="198">
        <v>0</v>
      </c>
      <c r="AG474" s="198">
        <v>0</v>
      </c>
      <c r="AH474" s="198">
        <v>0</v>
      </c>
      <c r="AI474" s="198">
        <v>0</v>
      </c>
      <c r="AJ474" s="198">
        <v>0</v>
      </c>
      <c r="AK474" s="198">
        <v>0</v>
      </c>
      <c r="AL474" s="198">
        <v>0</v>
      </c>
      <c r="AM474" s="198">
        <v>5.8120369635587178E-2</v>
      </c>
      <c r="AN474" s="198">
        <v>1.4852983351316686E-2</v>
      </c>
      <c r="AO474" s="198">
        <v>0</v>
      </c>
      <c r="AP474" s="198">
        <v>2.1236285580779374E-3</v>
      </c>
      <c r="AQ474" s="198">
        <v>2.6550252388089219E-3</v>
      </c>
      <c r="AS474" s="258">
        <f t="shared" si="56"/>
        <v>116826.83231427392</v>
      </c>
      <c r="AT474" s="3">
        <f t="shared" si="57"/>
        <v>0</v>
      </c>
      <c r="AU474" s="3">
        <f t="shared" si="63"/>
        <v>0</v>
      </c>
      <c r="AV474" s="3">
        <f t="shared" si="58"/>
        <v>67.853902842158902</v>
      </c>
      <c r="AW474" s="3">
        <f t="shared" si="59"/>
        <v>2.4427405023177204</v>
      </c>
      <c r="AX474" s="3">
        <f t="shared" si="60"/>
        <v>2.4427405023177204</v>
      </c>
      <c r="AY474" s="102">
        <f t="shared" si="61"/>
        <v>0</v>
      </c>
      <c r="AZ474" s="102">
        <f t="shared" si="62"/>
        <v>1</v>
      </c>
    </row>
    <row r="475" spans="1:52" x14ac:dyDescent="0.35">
      <c r="A475" t="s">
        <v>627</v>
      </c>
      <c r="B475">
        <v>2035</v>
      </c>
      <c r="C475" t="s">
        <v>837</v>
      </c>
      <c r="D475" t="s">
        <v>1022</v>
      </c>
      <c r="E475" t="s">
        <v>1026</v>
      </c>
      <c r="F475" t="s">
        <v>989</v>
      </c>
      <c r="G475" t="s">
        <v>978</v>
      </c>
      <c r="H475" s="198">
        <v>56789.42325408</v>
      </c>
      <c r="I475" s="198">
        <v>0</v>
      </c>
      <c r="J475" s="198">
        <v>17038.297440566035</v>
      </c>
      <c r="K475" s="198">
        <v>5460.5177055000013</v>
      </c>
      <c r="L475" s="198">
        <v>0</v>
      </c>
      <c r="M475" s="198">
        <v>3470.3140698000002</v>
      </c>
      <c r="N475" s="198">
        <v>35</v>
      </c>
      <c r="O475" s="198">
        <v>0</v>
      </c>
      <c r="P475" s="198">
        <v>3507.1285833400002</v>
      </c>
      <c r="Q475" s="198">
        <v>0</v>
      </c>
      <c r="R475" s="198">
        <v>0</v>
      </c>
      <c r="S475" s="198">
        <v>3666</v>
      </c>
      <c r="T475" s="198">
        <v>0</v>
      </c>
      <c r="U475" s="198">
        <v>2000</v>
      </c>
      <c r="V475" s="198">
        <v>4500</v>
      </c>
      <c r="W475" s="198">
        <v>280</v>
      </c>
      <c r="X475" s="198">
        <v>1500</v>
      </c>
      <c r="Y475" s="198">
        <v>186</v>
      </c>
      <c r="Z475" s="277">
        <v>98432.68105328604</v>
      </c>
      <c r="AA475" s="272">
        <v>17.669465129999999</v>
      </c>
      <c r="AB475" s="198">
        <v>7.6018253247488099</v>
      </c>
      <c r="AC475" s="272">
        <v>0</v>
      </c>
      <c r="AD475" s="198">
        <v>0</v>
      </c>
      <c r="AE475" s="198">
        <v>7.6018253247488099</v>
      </c>
      <c r="AF475" s="198">
        <v>0</v>
      </c>
      <c r="AG475" s="198">
        <v>0</v>
      </c>
      <c r="AH475" s="198">
        <v>0</v>
      </c>
      <c r="AI475" s="198">
        <v>0</v>
      </c>
      <c r="AJ475" s="198">
        <v>0</v>
      </c>
      <c r="AK475" s="198">
        <v>0</v>
      </c>
      <c r="AL475" s="198">
        <v>0</v>
      </c>
      <c r="AM475" s="198">
        <v>7.1066297077317792E-2</v>
      </c>
      <c r="AN475" s="198">
        <v>1.816138703087013E-2</v>
      </c>
      <c r="AO475" s="198">
        <v>0</v>
      </c>
      <c r="AP475" s="198">
        <v>2.5966527559356093E-3</v>
      </c>
      <c r="AQ475" s="198">
        <v>3.2464145281939525E-3</v>
      </c>
      <c r="AS475" s="258">
        <f t="shared" si="56"/>
        <v>132047.44163298322</v>
      </c>
      <c r="AT475" s="3">
        <f t="shared" si="57"/>
        <v>13.311954691943081</v>
      </c>
      <c r="AU475" s="3">
        <f t="shared" si="63"/>
        <v>5.1383378505213795</v>
      </c>
      <c r="AV475" s="3">
        <f t="shared" si="58"/>
        <v>0</v>
      </c>
      <c r="AW475" s="3">
        <f t="shared" si="59"/>
        <v>0</v>
      </c>
      <c r="AX475" s="3">
        <f t="shared" si="60"/>
        <v>5.1383378505213795</v>
      </c>
      <c r="AY475" s="102">
        <f t="shared" si="61"/>
        <v>1</v>
      </c>
      <c r="AZ475" s="102">
        <f t="shared" si="62"/>
        <v>0</v>
      </c>
    </row>
    <row r="476" spans="1:52" x14ac:dyDescent="0.35">
      <c r="A476" t="s">
        <v>1065</v>
      </c>
      <c r="B476">
        <v>2035</v>
      </c>
      <c r="C476" t="s">
        <v>837</v>
      </c>
      <c r="D476" t="s">
        <v>1022</v>
      </c>
      <c r="E476" t="s">
        <v>1026</v>
      </c>
      <c r="F476" t="s">
        <v>989</v>
      </c>
      <c r="G476" t="s">
        <v>978</v>
      </c>
      <c r="H476" s="198">
        <v>56789.42325408</v>
      </c>
      <c r="I476" s="198">
        <v>0</v>
      </c>
      <c r="J476" s="198">
        <v>5289.0910938679244</v>
      </c>
      <c r="K476" s="198">
        <v>5090.7034035000006</v>
      </c>
      <c r="L476" s="198">
        <v>0</v>
      </c>
      <c r="M476" s="198">
        <v>4189.21875</v>
      </c>
      <c r="N476" s="198">
        <v>35</v>
      </c>
      <c r="O476" s="198">
        <v>0</v>
      </c>
      <c r="P476" s="198">
        <v>3545.19596985</v>
      </c>
      <c r="Q476" s="198">
        <v>0</v>
      </c>
      <c r="R476" s="198">
        <v>0</v>
      </c>
      <c r="S476" s="198">
        <v>3688</v>
      </c>
      <c r="T476" s="198">
        <v>0</v>
      </c>
      <c r="U476" s="198">
        <v>2000</v>
      </c>
      <c r="V476" s="198">
        <v>4500</v>
      </c>
      <c r="W476" s="198">
        <v>280</v>
      </c>
      <c r="X476" s="198">
        <v>1500</v>
      </c>
      <c r="Y476" s="198">
        <v>186</v>
      </c>
      <c r="Z476" s="277">
        <v>87092.632471297926</v>
      </c>
      <c r="AA476" s="272">
        <v>18.77914152</v>
      </c>
      <c r="AB476" s="198">
        <v>7.1526266180457441</v>
      </c>
      <c r="AC476" s="272">
        <v>0</v>
      </c>
      <c r="AD476" s="198">
        <v>0</v>
      </c>
      <c r="AE476" s="198">
        <v>7.1526266180457441</v>
      </c>
      <c r="AF476" s="198">
        <v>0</v>
      </c>
      <c r="AG476" s="198">
        <v>0</v>
      </c>
      <c r="AH476" s="198">
        <v>0</v>
      </c>
      <c r="AI476" s="198">
        <v>0</v>
      </c>
      <c r="AJ476" s="198">
        <v>0</v>
      </c>
      <c r="AK476" s="198">
        <v>0</v>
      </c>
      <c r="AL476" s="198">
        <v>0</v>
      </c>
      <c r="AM476" s="198">
        <v>6.6866925561455987E-2</v>
      </c>
      <c r="AN476" s="198">
        <v>1.7088214310149893E-2</v>
      </c>
      <c r="AO476" s="198">
        <v>0</v>
      </c>
      <c r="AP476" s="198">
        <v>2.4432142053383197E-3</v>
      </c>
      <c r="AQ476" s="198">
        <v>3.0545809691224076E-3</v>
      </c>
      <c r="AS476" s="258">
        <f t="shared" si="56"/>
        <v>116834.76646024616</v>
      </c>
      <c r="AT476" s="3">
        <f t="shared" si="57"/>
        <v>12.525339296842796</v>
      </c>
      <c r="AU476" s="3">
        <f t="shared" si="63"/>
        <v>4.8347088379547323</v>
      </c>
      <c r="AV476" s="3">
        <f t="shared" si="58"/>
        <v>0</v>
      </c>
      <c r="AW476" s="3">
        <f t="shared" si="59"/>
        <v>0</v>
      </c>
      <c r="AX476" s="3">
        <f t="shared" si="60"/>
        <v>4.8347088379547323</v>
      </c>
      <c r="AY476" s="102">
        <f t="shared" si="61"/>
        <v>1</v>
      </c>
      <c r="AZ476" s="102">
        <f t="shared" si="62"/>
        <v>0</v>
      </c>
    </row>
    <row r="477" spans="1:52" x14ac:dyDescent="0.35">
      <c r="A477" t="s">
        <v>1017</v>
      </c>
      <c r="B477">
        <v>2050</v>
      </c>
      <c r="C477" t="s">
        <v>837</v>
      </c>
      <c r="D477" t="s">
        <v>1022</v>
      </c>
      <c r="E477" t="s">
        <v>1026</v>
      </c>
      <c r="F477" t="s">
        <v>983</v>
      </c>
      <c r="G477" t="s">
        <v>978</v>
      </c>
      <c r="H477" s="198">
        <v>57021.8422832</v>
      </c>
      <c r="I477" s="198">
        <v>16647</v>
      </c>
      <c r="J477" s="198">
        <v>0</v>
      </c>
      <c r="K477" s="198">
        <v>0</v>
      </c>
      <c r="L477" s="198">
        <v>120</v>
      </c>
      <c r="M477" s="198">
        <v>0</v>
      </c>
      <c r="N477" s="198">
        <v>0</v>
      </c>
      <c r="O477" s="198">
        <v>150</v>
      </c>
      <c r="P477" s="198">
        <v>0</v>
      </c>
      <c r="Q477" s="198">
        <v>0</v>
      </c>
      <c r="R477" s="198">
        <v>44</v>
      </c>
      <c r="S477" s="198">
        <v>6355</v>
      </c>
      <c r="T477" s="198">
        <v>506</v>
      </c>
      <c r="U477" s="198">
        <v>2000</v>
      </c>
      <c r="V477" s="198">
        <v>1920</v>
      </c>
      <c r="W477" s="198">
        <v>0</v>
      </c>
      <c r="X477" s="198">
        <v>0</v>
      </c>
      <c r="Y477" s="198">
        <v>186</v>
      </c>
      <c r="Z477" s="277">
        <v>84949.842283200007</v>
      </c>
      <c r="AA477" s="272">
        <v>9.9727156780000001</v>
      </c>
      <c r="AB477" s="198">
        <v>13.46876736858275</v>
      </c>
      <c r="AC477" s="272">
        <v>0</v>
      </c>
      <c r="AD477" s="198">
        <v>0</v>
      </c>
      <c r="AE477" s="198">
        <v>13.46876736858275</v>
      </c>
      <c r="AF477" s="198">
        <v>1008.2117884924775</v>
      </c>
      <c r="AG477" s="198">
        <v>0.44322767521206968</v>
      </c>
      <c r="AH477" s="198">
        <v>2.3419384950352736E-3</v>
      </c>
      <c r="AI477" s="198">
        <v>1022.1292323517018</v>
      </c>
      <c r="AJ477" s="198">
        <v>0.4300847523449281</v>
      </c>
      <c r="AK477" s="198">
        <v>10.036351785368733</v>
      </c>
      <c r="AL477" s="198">
        <v>0.46989219399404386</v>
      </c>
      <c r="AM477" s="198">
        <v>8.4461197663397256E-2</v>
      </c>
      <c r="AN477" s="198">
        <v>3.4728228052365771E-2</v>
      </c>
      <c r="AO477" s="198">
        <v>6.9535986482289541E-3</v>
      </c>
      <c r="AP477" s="198">
        <v>5.7704186162149604E-3</v>
      </c>
      <c r="AQ477" s="198">
        <v>5.4808751365855888E-3</v>
      </c>
      <c r="AS477" s="258">
        <f t="shared" si="56"/>
        <v>113960.2134229128</v>
      </c>
      <c r="AT477" s="3">
        <f t="shared" si="57"/>
        <v>23.585864355916328</v>
      </c>
      <c r="AU477" s="3">
        <f t="shared" si="63"/>
        <v>9.1040078156679858</v>
      </c>
      <c r="AV477" s="3">
        <f t="shared" si="58"/>
        <v>0</v>
      </c>
      <c r="AW477" s="3">
        <f t="shared" si="59"/>
        <v>0</v>
      </c>
      <c r="AX477" s="3">
        <f t="shared" si="60"/>
        <v>9.1040078156679858</v>
      </c>
      <c r="AY477" s="102">
        <f t="shared" si="61"/>
        <v>1</v>
      </c>
      <c r="AZ477" s="102">
        <f t="shared" si="62"/>
        <v>0</v>
      </c>
    </row>
    <row r="478" spans="1:52" x14ac:dyDescent="0.35">
      <c r="A478" t="s">
        <v>1020</v>
      </c>
      <c r="B478">
        <v>2050</v>
      </c>
      <c r="C478" t="s">
        <v>837</v>
      </c>
      <c r="D478" t="s">
        <v>1022</v>
      </c>
      <c r="E478" t="s">
        <v>1026</v>
      </c>
      <c r="F478" t="s">
        <v>983</v>
      </c>
      <c r="G478" t="s">
        <v>978</v>
      </c>
      <c r="H478" s="198">
        <v>57021.8422832</v>
      </c>
      <c r="I478" s="198">
        <v>26808</v>
      </c>
      <c r="J478" s="198">
        <v>0</v>
      </c>
      <c r="K478" s="198">
        <v>0</v>
      </c>
      <c r="L478" s="198">
        <v>150</v>
      </c>
      <c r="M478" s="198">
        <v>958.04396987999996</v>
      </c>
      <c r="N478" s="198">
        <v>28.89</v>
      </c>
      <c r="O478" s="198">
        <v>150</v>
      </c>
      <c r="P478" s="198">
        <v>853.41609979999998</v>
      </c>
      <c r="Q478" s="198">
        <v>0</v>
      </c>
      <c r="R478" s="198">
        <v>0</v>
      </c>
      <c r="S478" s="198">
        <v>8001</v>
      </c>
      <c r="T478" s="198">
        <v>392</v>
      </c>
      <c r="U478" s="198">
        <v>2000</v>
      </c>
      <c r="V478" s="198">
        <v>4720</v>
      </c>
      <c r="W478" s="198">
        <v>202.23</v>
      </c>
      <c r="X478" s="198">
        <v>1500</v>
      </c>
      <c r="Y478" s="198">
        <v>186</v>
      </c>
      <c r="Z478" s="277">
        <v>102971.42235288001</v>
      </c>
      <c r="AA478" s="272">
        <v>11.565365849999999</v>
      </c>
      <c r="AB478" s="198">
        <v>11.6140024658191</v>
      </c>
      <c r="AC478" s="272">
        <v>0</v>
      </c>
      <c r="AD478" s="198">
        <v>0</v>
      </c>
      <c r="AE478" s="198">
        <v>11.6140024658191</v>
      </c>
      <c r="AF478" s="198">
        <v>869.37236921418719</v>
      </c>
      <c r="AG478" s="198">
        <v>0.38219141900391335</v>
      </c>
      <c r="AH478" s="198">
        <v>2.0194334575546523E-3</v>
      </c>
      <c r="AI478" s="198">
        <v>881.37326156577433</v>
      </c>
      <c r="AJ478" s="198">
        <v>0.37085838945414878</v>
      </c>
      <c r="AK478" s="198">
        <v>8.654259977419569</v>
      </c>
      <c r="AL478" s="198">
        <v>0.40518400462136867</v>
      </c>
      <c r="AM478" s="198">
        <v>7.2830165603487484E-2</v>
      </c>
      <c r="AN478" s="198">
        <v>2.9945852890333559E-2</v>
      </c>
      <c r="AO478" s="198">
        <v>5.9960284142427283E-3</v>
      </c>
      <c r="AP478" s="198">
        <v>4.9757824308298906E-3</v>
      </c>
      <c r="AQ478" s="198">
        <v>4.7261115742211913E-3</v>
      </c>
      <c r="AS478" s="258">
        <f t="shared" si="56"/>
        <v>138136.16308638852</v>
      </c>
      <c r="AT478" s="3">
        <f t="shared" si="57"/>
        <v>20.337888337654977</v>
      </c>
      <c r="AU478" s="3">
        <f t="shared" si="63"/>
        <v>7.8503077769862903</v>
      </c>
      <c r="AV478" s="3">
        <f t="shared" si="58"/>
        <v>0</v>
      </c>
      <c r="AW478" s="3">
        <f t="shared" si="59"/>
        <v>0</v>
      </c>
      <c r="AX478" s="3">
        <f t="shared" si="60"/>
        <v>7.8503077769862903</v>
      </c>
      <c r="AY478" s="102">
        <f t="shared" si="61"/>
        <v>1</v>
      </c>
      <c r="AZ478" s="102">
        <f t="shared" si="62"/>
        <v>0</v>
      </c>
    </row>
    <row r="479" spans="1:52" x14ac:dyDescent="0.35">
      <c r="A479" t="s">
        <v>1021</v>
      </c>
      <c r="B479">
        <v>2050</v>
      </c>
      <c r="C479" t="s">
        <v>837</v>
      </c>
      <c r="D479" t="s">
        <v>1022</v>
      </c>
      <c r="E479" t="s">
        <v>1026</v>
      </c>
      <c r="F479" t="s">
        <v>983</v>
      </c>
      <c r="G479" t="s">
        <v>978</v>
      </c>
      <c r="H479" s="198">
        <v>57021.8422832</v>
      </c>
      <c r="I479" s="198">
        <v>9527</v>
      </c>
      <c r="J479" s="198">
        <v>0</v>
      </c>
      <c r="K479" s="198">
        <v>0</v>
      </c>
      <c r="L479" s="198">
        <v>0</v>
      </c>
      <c r="M479" s="198">
        <v>5317.5150000000003</v>
      </c>
      <c r="N479" s="198">
        <v>28.89</v>
      </c>
      <c r="O479" s="198">
        <v>0</v>
      </c>
      <c r="P479" s="198">
        <v>2448.3425219000001</v>
      </c>
      <c r="Q479" s="198">
        <v>0</v>
      </c>
      <c r="R479" s="198">
        <v>731.454746</v>
      </c>
      <c r="S479" s="198">
        <v>3659</v>
      </c>
      <c r="T479" s="198">
        <v>0</v>
      </c>
      <c r="U479" s="198">
        <v>2000</v>
      </c>
      <c r="V479" s="198">
        <v>4720</v>
      </c>
      <c r="W479" s="198">
        <v>202.23</v>
      </c>
      <c r="X479" s="198">
        <v>1500</v>
      </c>
      <c r="Y479" s="198">
        <v>186</v>
      </c>
      <c r="Z479" s="277">
        <v>87342.27455110001</v>
      </c>
      <c r="AA479" s="272">
        <v>78.708316000000011</v>
      </c>
      <c r="AB479" s="198">
        <v>1.7065564901680781</v>
      </c>
      <c r="AC479" s="272">
        <v>817.6</v>
      </c>
      <c r="AD479" s="198">
        <v>2.9433600000000002</v>
      </c>
      <c r="AE479" s="198">
        <v>4.6499164901680778</v>
      </c>
      <c r="AF479" s="198">
        <v>127.74519924734953</v>
      </c>
      <c r="AG479" s="198">
        <v>5.6159041511076153E-2</v>
      </c>
      <c r="AH479" s="198">
        <v>2.9673467726523331E-4</v>
      </c>
      <c r="AI479" s="198">
        <v>129.50860516969925</v>
      </c>
      <c r="AJ479" s="198">
        <v>5.4493771059452113E-2</v>
      </c>
      <c r="AK479" s="198">
        <v>1.2716532113311896</v>
      </c>
      <c r="AL479" s="198">
        <v>5.9537562079389657E-2</v>
      </c>
      <c r="AM479" s="198">
        <v>5.4217396909929709E-2</v>
      </c>
      <c r="AN479" s="198">
        <v>1.5520925875791684E-2</v>
      </c>
      <c r="AO479" s="198">
        <v>8.8105381720671671E-4</v>
      </c>
      <c r="AP479" s="198">
        <v>2.3211381323030821E-3</v>
      </c>
      <c r="AQ479" s="198">
        <v>2.6823178375637723E-3</v>
      </c>
      <c r="AS479" s="258">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102">
        <f t="shared" si="61"/>
        <v>0.38677025859164155</v>
      </c>
      <c r="AZ479" s="102">
        <f t="shared" si="62"/>
        <v>0.61322974140835851</v>
      </c>
    </row>
    <row r="480" spans="1:52" x14ac:dyDescent="0.35">
      <c r="A480" t="s">
        <v>246</v>
      </c>
      <c r="B480">
        <v>2050</v>
      </c>
      <c r="C480" t="s">
        <v>837</v>
      </c>
      <c r="D480" t="s">
        <v>1022</v>
      </c>
      <c r="E480" t="s">
        <v>1026</v>
      </c>
      <c r="F480" t="s">
        <v>977</v>
      </c>
      <c r="G480" t="s">
        <v>978</v>
      </c>
      <c r="H480" s="198">
        <v>57021.8422832</v>
      </c>
      <c r="I480" s="198">
        <v>0</v>
      </c>
      <c r="J480" s="198">
        <v>0</v>
      </c>
      <c r="K480" s="198">
        <v>0</v>
      </c>
      <c r="L480" s="198">
        <v>0</v>
      </c>
      <c r="M480" s="198">
        <v>10113.705</v>
      </c>
      <c r="N480" s="198">
        <v>28.89</v>
      </c>
      <c r="O480" s="198">
        <v>0</v>
      </c>
      <c r="P480" s="198">
        <v>2438.9534509999999</v>
      </c>
      <c r="Q480" s="198">
        <v>0</v>
      </c>
      <c r="R480" s="198">
        <v>0</v>
      </c>
      <c r="S480" s="198">
        <v>3651</v>
      </c>
      <c r="T480" s="198">
        <v>0</v>
      </c>
      <c r="U480" s="198">
        <v>2000</v>
      </c>
      <c r="V480" s="198">
        <v>4500</v>
      </c>
      <c r="W480" s="198">
        <v>202.23</v>
      </c>
      <c r="X480" s="198">
        <v>1500</v>
      </c>
      <c r="Y480" s="198">
        <v>186</v>
      </c>
      <c r="Z480" s="277">
        <v>81642.620734199983</v>
      </c>
      <c r="AA480" s="272">
        <v>0</v>
      </c>
      <c r="AB480" s="198">
        <v>0</v>
      </c>
      <c r="AC480" s="272">
        <v>979</v>
      </c>
      <c r="AD480" s="198">
        <v>3.5244</v>
      </c>
      <c r="AE480" s="198">
        <v>3.5244</v>
      </c>
      <c r="AF480" s="198">
        <v>0</v>
      </c>
      <c r="AG480" s="198">
        <v>0</v>
      </c>
      <c r="AH480" s="198">
        <v>0</v>
      </c>
      <c r="AI480" s="198">
        <v>0</v>
      </c>
      <c r="AJ480" s="198">
        <v>0</v>
      </c>
      <c r="AK480" s="198">
        <v>0</v>
      </c>
      <c r="AL480" s="198">
        <v>0</v>
      </c>
      <c r="AM480" s="198">
        <v>5.2106082301501697E-2</v>
      </c>
      <c r="AN480" s="198">
        <v>1.3315998810383731E-2</v>
      </c>
      <c r="AO480" s="198">
        <v>0</v>
      </c>
      <c r="AP480" s="198">
        <v>1.9038757860423998E-3</v>
      </c>
      <c r="AQ480" s="198">
        <v>2.3802836161116617E-3</v>
      </c>
      <c r="AS480" s="258">
        <f t="shared" si="56"/>
        <v>109523.57571492928</v>
      </c>
      <c r="AT480" s="3">
        <f t="shared" si="57"/>
        <v>0</v>
      </c>
      <c r="AU480" s="3">
        <f t="shared" si="63"/>
        <v>0</v>
      </c>
      <c r="AV480" s="3">
        <f t="shared" si="58"/>
        <v>60.832390918016088</v>
      </c>
      <c r="AW480" s="3">
        <f t="shared" si="59"/>
        <v>2.1899660730485793</v>
      </c>
      <c r="AX480" s="3">
        <f t="shared" si="60"/>
        <v>2.1899660730485793</v>
      </c>
      <c r="AY480" s="102">
        <f t="shared" si="61"/>
        <v>0</v>
      </c>
      <c r="AZ480" s="102">
        <f t="shared" si="62"/>
        <v>1</v>
      </c>
    </row>
    <row r="481" spans="1:52" x14ac:dyDescent="0.35">
      <c r="A481" t="s">
        <v>627</v>
      </c>
      <c r="B481">
        <v>2050</v>
      </c>
      <c r="C481" t="s">
        <v>837</v>
      </c>
      <c r="D481" t="s">
        <v>1022</v>
      </c>
      <c r="E481" t="s">
        <v>1026</v>
      </c>
      <c r="F481" t="s">
        <v>989</v>
      </c>
      <c r="G481" t="s">
        <v>978</v>
      </c>
      <c r="H481" s="198">
        <v>57021.8422832</v>
      </c>
      <c r="I481" s="198">
        <v>0</v>
      </c>
      <c r="J481" s="198">
        <v>14511.773036000001</v>
      </c>
      <c r="K481" s="198">
        <v>4830.673221</v>
      </c>
      <c r="L481" s="198">
        <v>0</v>
      </c>
      <c r="M481" s="198">
        <v>3428.7889441000002</v>
      </c>
      <c r="N481" s="198">
        <v>28.89</v>
      </c>
      <c r="O481" s="198">
        <v>0</v>
      </c>
      <c r="P481" s="198">
        <v>2438.9534509999999</v>
      </c>
      <c r="Q481" s="198">
        <v>0</v>
      </c>
      <c r="R481" s="198">
        <v>0</v>
      </c>
      <c r="S481" s="198">
        <v>3651</v>
      </c>
      <c r="T481" s="198">
        <v>0</v>
      </c>
      <c r="U481" s="198">
        <v>2000</v>
      </c>
      <c r="V481" s="198">
        <v>4500</v>
      </c>
      <c r="W481" s="198">
        <v>202.23</v>
      </c>
      <c r="X481" s="198">
        <v>1500</v>
      </c>
      <c r="Y481" s="198">
        <v>186</v>
      </c>
      <c r="Z481" s="277">
        <v>94300.1509353</v>
      </c>
      <c r="AA481" s="272">
        <v>19.62154468</v>
      </c>
      <c r="AB481" s="198">
        <v>6.845546040873681</v>
      </c>
      <c r="AC481" s="272">
        <v>0</v>
      </c>
      <c r="AD481" s="198">
        <v>0</v>
      </c>
      <c r="AE481" s="198">
        <v>6.845546040873681</v>
      </c>
      <c r="AF481" s="198">
        <v>0</v>
      </c>
      <c r="AG481" s="198">
        <v>0</v>
      </c>
      <c r="AH481" s="198">
        <v>0</v>
      </c>
      <c r="AI481" s="198">
        <v>0</v>
      </c>
      <c r="AJ481" s="198">
        <v>0</v>
      </c>
      <c r="AK481" s="198">
        <v>0</v>
      </c>
      <c r="AL481" s="198">
        <v>0</v>
      </c>
      <c r="AM481" s="198">
        <v>6.3996157214157093E-2</v>
      </c>
      <c r="AN481" s="198">
        <v>1.6354573510284617E-2</v>
      </c>
      <c r="AO481" s="198">
        <v>0</v>
      </c>
      <c r="AP481" s="198">
        <v>2.3383207629157285E-3</v>
      </c>
      <c r="AQ481" s="198">
        <v>2.923439985941436E-3</v>
      </c>
      <c r="AS481" s="258">
        <f t="shared" si="56"/>
        <v>126503.65247970494</v>
      </c>
      <c r="AT481" s="3">
        <f t="shared" si="57"/>
        <v>11.987594405917493</v>
      </c>
      <c r="AU481" s="3">
        <f t="shared" si="63"/>
        <v>4.6271424068100773</v>
      </c>
      <c r="AV481" s="3">
        <f t="shared" si="58"/>
        <v>0</v>
      </c>
      <c r="AW481" s="3">
        <f t="shared" si="59"/>
        <v>0</v>
      </c>
      <c r="AX481" s="3">
        <f t="shared" si="60"/>
        <v>4.6271424068100773</v>
      </c>
      <c r="AY481" s="102">
        <f t="shared" si="61"/>
        <v>1</v>
      </c>
      <c r="AZ481" s="102">
        <f t="shared" si="62"/>
        <v>0</v>
      </c>
    </row>
    <row r="482" spans="1:52" x14ac:dyDescent="0.35">
      <c r="A482" t="s">
        <v>1065</v>
      </c>
      <c r="B482">
        <v>2050</v>
      </c>
      <c r="C482" t="s">
        <v>837</v>
      </c>
      <c r="D482" t="s">
        <v>1022</v>
      </c>
      <c r="E482" t="s">
        <v>1026</v>
      </c>
      <c r="F482" t="s">
        <v>989</v>
      </c>
      <c r="G482" t="s">
        <v>978</v>
      </c>
      <c r="H482" s="198">
        <v>57021.8422832</v>
      </c>
      <c r="I482" s="198">
        <v>0</v>
      </c>
      <c r="J482" s="198">
        <v>4142.5033134999994</v>
      </c>
      <c r="K482" s="198">
        <v>4498.3530899999996</v>
      </c>
      <c r="L482" s="198">
        <v>0</v>
      </c>
      <c r="M482" s="198">
        <v>3258.28125</v>
      </c>
      <c r="N482" s="198">
        <v>28.89</v>
      </c>
      <c r="O482" s="198">
        <v>0</v>
      </c>
      <c r="P482" s="198">
        <v>2446.2780166000002</v>
      </c>
      <c r="Q482" s="198">
        <v>0</v>
      </c>
      <c r="R482" s="198">
        <v>0</v>
      </c>
      <c r="S482" s="198">
        <v>3657</v>
      </c>
      <c r="T482" s="198">
        <v>0</v>
      </c>
      <c r="U482" s="198">
        <v>2000</v>
      </c>
      <c r="V482" s="198">
        <v>4500</v>
      </c>
      <c r="W482" s="198">
        <v>202.23</v>
      </c>
      <c r="X482" s="198">
        <v>1500</v>
      </c>
      <c r="Y482" s="198">
        <v>186</v>
      </c>
      <c r="Z482" s="277">
        <v>83441.377953299991</v>
      </c>
      <c r="AA482" s="272">
        <v>21.12659215</v>
      </c>
      <c r="AB482" s="198">
        <v>6.3578728905409392</v>
      </c>
      <c r="AC482" s="272">
        <v>0</v>
      </c>
      <c r="AD482" s="198">
        <v>0</v>
      </c>
      <c r="AE482" s="198">
        <v>6.3578728905409392</v>
      </c>
      <c r="AF482" s="198">
        <v>0</v>
      </c>
      <c r="AG482" s="198">
        <v>0</v>
      </c>
      <c r="AH482" s="198">
        <v>0</v>
      </c>
      <c r="AI482" s="198">
        <v>0</v>
      </c>
      <c r="AJ482" s="198">
        <v>0</v>
      </c>
      <c r="AK482" s="198">
        <v>0</v>
      </c>
      <c r="AL482" s="198">
        <v>0</v>
      </c>
      <c r="AM482" s="198">
        <v>5.9437104158130277E-2</v>
      </c>
      <c r="AN482" s="198">
        <v>1.5189482173744429E-2</v>
      </c>
      <c r="AO482" s="198">
        <v>0</v>
      </c>
      <c r="AP482" s="198">
        <v>2.1717400042544316E-3</v>
      </c>
      <c r="AQ482" s="198">
        <v>2.7151756372334971E-3</v>
      </c>
      <c r="AS482" s="258">
        <f t="shared" si="56"/>
        <v>111936.60852435193</v>
      </c>
      <c r="AT482" s="3">
        <f t="shared" si="57"/>
        <v>11.133604396363951</v>
      </c>
      <c r="AU482" s="3">
        <f t="shared" si="63"/>
        <v>4.2975071810598031</v>
      </c>
      <c r="AV482" s="3">
        <f t="shared" si="58"/>
        <v>0</v>
      </c>
      <c r="AW482" s="3">
        <f t="shared" si="59"/>
        <v>0</v>
      </c>
      <c r="AX482" s="3">
        <f t="shared" si="60"/>
        <v>4.2975071810598031</v>
      </c>
      <c r="AY482" s="102">
        <f t="shared" si="61"/>
        <v>1</v>
      </c>
      <c r="AZ482" s="102">
        <f t="shared" si="62"/>
        <v>0</v>
      </c>
    </row>
    <row r="483" spans="1:52" x14ac:dyDescent="0.35">
      <c r="A483" t="s">
        <v>1017</v>
      </c>
      <c r="B483">
        <v>2021</v>
      </c>
      <c r="C483" t="s">
        <v>837</v>
      </c>
      <c r="D483" t="s">
        <v>1027</v>
      </c>
      <c r="E483" t="s">
        <v>1028</v>
      </c>
      <c r="F483" t="s">
        <v>983</v>
      </c>
      <c r="G483" t="s">
        <v>978</v>
      </c>
      <c r="H483" s="198">
        <v>75000</v>
      </c>
      <c r="I483" s="198">
        <v>37589</v>
      </c>
      <c r="J483" s="198">
        <v>0</v>
      </c>
      <c r="K483" s="198">
        <v>0</v>
      </c>
      <c r="L483" s="198">
        <v>120</v>
      </c>
      <c r="M483" s="198">
        <v>0</v>
      </c>
      <c r="N483" s="198">
        <v>0</v>
      </c>
      <c r="O483" s="198">
        <v>150</v>
      </c>
      <c r="P483" s="198">
        <v>0</v>
      </c>
      <c r="Q483" s="198">
        <v>0</v>
      </c>
      <c r="R483" s="198">
        <v>262</v>
      </c>
      <c r="S483" s="198">
        <v>15369</v>
      </c>
      <c r="T483" s="198">
        <v>506</v>
      </c>
      <c r="U483" s="198">
        <v>1800</v>
      </c>
      <c r="V483" s="198">
        <v>1920</v>
      </c>
      <c r="W483" s="198">
        <v>0</v>
      </c>
      <c r="X483" s="198">
        <v>0</v>
      </c>
      <c r="Y483" s="198">
        <v>186</v>
      </c>
      <c r="Z483" s="277">
        <v>132902</v>
      </c>
      <c r="AA483" s="272">
        <v>4.3345589550000003</v>
      </c>
      <c r="AB483" s="198">
        <v>30.988201774267939</v>
      </c>
      <c r="AC483" s="272">
        <v>0</v>
      </c>
      <c r="AD483" s="198">
        <v>0</v>
      </c>
      <c r="AE483" s="198">
        <v>30.988201774267939</v>
      </c>
      <c r="AF483" s="198">
        <v>2319.6384255531138</v>
      </c>
      <c r="AG483" s="198">
        <v>1.0197539429962372</v>
      </c>
      <c r="AH483" s="198">
        <v>5.3882037339482904E-3</v>
      </c>
      <c r="AI483" s="198">
        <v>2351.658917606283</v>
      </c>
      <c r="AJ483" s="198">
        <v>0.98951542639221335</v>
      </c>
      <c r="AK483" s="198">
        <v>23.091088121990957</v>
      </c>
      <c r="AL483" s="198">
        <v>1.0811022063983482</v>
      </c>
      <c r="AM483" s="198">
        <v>0.19432369449002421</v>
      </c>
      <c r="AN483" s="198">
        <v>7.9900803740939649E-2</v>
      </c>
      <c r="AO483" s="198">
        <v>1.59984586615716E-2</v>
      </c>
      <c r="AP483" s="198">
        <v>1.3276262890868903E-2</v>
      </c>
      <c r="AQ483" s="198">
        <v>1.2610097122046755E-2</v>
      </c>
      <c r="AS483" s="258">
        <f t="shared" si="56"/>
        <v>178288.033</v>
      </c>
      <c r="AT483" s="3">
        <f t="shared" si="57"/>
        <v>54.265064031509553</v>
      </c>
      <c r="AU483" s="3">
        <f t="shared" si="63"/>
        <v>20.946002215800213</v>
      </c>
      <c r="AV483" s="3">
        <f t="shared" si="58"/>
        <v>0</v>
      </c>
      <c r="AW483" s="3">
        <f t="shared" si="59"/>
        <v>0</v>
      </c>
      <c r="AX483" s="3">
        <f t="shared" si="60"/>
        <v>20.946002215800213</v>
      </c>
      <c r="AY483" s="102">
        <f t="shared" si="61"/>
        <v>1</v>
      </c>
      <c r="AZ483" s="102">
        <f t="shared" si="62"/>
        <v>0</v>
      </c>
    </row>
    <row r="484" spans="1:52" x14ac:dyDescent="0.35">
      <c r="A484" t="s">
        <v>1020</v>
      </c>
      <c r="B484">
        <v>2021</v>
      </c>
      <c r="C484" t="s">
        <v>837</v>
      </c>
      <c r="D484" t="s">
        <v>1027</v>
      </c>
      <c r="E484" t="s">
        <v>1028</v>
      </c>
      <c r="F484" t="s">
        <v>983</v>
      </c>
      <c r="G484" t="s">
        <v>978</v>
      </c>
      <c r="H484" s="198">
        <v>75000</v>
      </c>
      <c r="I484" s="198">
        <v>37603</v>
      </c>
      <c r="J484" s="198">
        <v>0</v>
      </c>
      <c r="K484" s="198">
        <v>0</v>
      </c>
      <c r="L484" s="198">
        <v>150</v>
      </c>
      <c r="M484" s="198">
        <v>2467.778894</v>
      </c>
      <c r="N484" s="198">
        <v>75</v>
      </c>
      <c r="O484" s="198">
        <v>150</v>
      </c>
      <c r="P484" s="198">
        <v>3740.3072378999996</v>
      </c>
      <c r="Q484" s="198">
        <v>0</v>
      </c>
      <c r="R484" s="198">
        <v>0</v>
      </c>
      <c r="S484" s="198">
        <v>15380</v>
      </c>
      <c r="T484" s="198">
        <v>392</v>
      </c>
      <c r="U484" s="198">
        <v>1800</v>
      </c>
      <c r="V484" s="198">
        <v>4720</v>
      </c>
      <c r="W484" s="198">
        <v>600</v>
      </c>
      <c r="X484" s="198">
        <v>1500</v>
      </c>
      <c r="Y484" s="198">
        <v>186</v>
      </c>
      <c r="Z484" s="277">
        <v>143764.0861319</v>
      </c>
      <c r="AA484" s="272">
        <v>5.5534343450000003</v>
      </c>
      <c r="AB484" s="198">
        <v>24.186868729425846</v>
      </c>
      <c r="AC484" s="272">
        <v>0</v>
      </c>
      <c r="AD484" s="198">
        <v>0</v>
      </c>
      <c r="AE484" s="198">
        <v>24.186868729425846</v>
      </c>
      <c r="AF484" s="198">
        <v>1810.5210010983485</v>
      </c>
      <c r="AG484" s="198">
        <v>0.79593694836611961</v>
      </c>
      <c r="AH484" s="198">
        <v>4.2055933851775831E-3</v>
      </c>
      <c r="AI484" s="198">
        <v>1835.5135916198399</v>
      </c>
      <c r="AJ484" s="198">
        <v>0.7723352228771172</v>
      </c>
      <c r="AK484" s="198">
        <v>18.023024417311277</v>
      </c>
      <c r="AL484" s="198">
        <v>0.84382041073976521</v>
      </c>
      <c r="AM484" s="198">
        <v>0.15167326338858855</v>
      </c>
      <c r="AN484" s="198">
        <v>6.2364065702659809E-2</v>
      </c>
      <c r="AO484" s="198">
        <v>1.2487095002779313E-2</v>
      </c>
      <c r="AP484" s="198">
        <v>1.0362370495000424E-2</v>
      </c>
      <c r="AQ484" s="198">
        <v>9.8424157031764652E-3</v>
      </c>
      <c r="AS484" s="258">
        <f t="shared" si="56"/>
        <v>192859.52154594383</v>
      </c>
      <c r="AT484" s="3">
        <f t="shared" si="57"/>
        <v>42.354893319879181</v>
      </c>
      <c r="AU484" s="3">
        <f t="shared" si="63"/>
        <v>16.348744909119233</v>
      </c>
      <c r="AV484" s="3">
        <f t="shared" si="58"/>
        <v>0</v>
      </c>
      <c r="AW484" s="3">
        <f t="shared" si="59"/>
        <v>0</v>
      </c>
      <c r="AX484" s="3">
        <f t="shared" si="60"/>
        <v>16.348744909119233</v>
      </c>
      <c r="AY484" s="102">
        <f t="shared" si="61"/>
        <v>1</v>
      </c>
      <c r="AZ484" s="102">
        <f t="shared" si="62"/>
        <v>0</v>
      </c>
    </row>
    <row r="485" spans="1:52" x14ac:dyDescent="0.35">
      <c r="A485" t="s">
        <v>1021</v>
      </c>
      <c r="B485">
        <v>2021</v>
      </c>
      <c r="C485" t="s">
        <v>837</v>
      </c>
      <c r="D485" t="s">
        <v>1027</v>
      </c>
      <c r="E485" t="s">
        <v>1028</v>
      </c>
      <c r="F485" t="s">
        <v>983</v>
      </c>
      <c r="G485" t="s">
        <v>978</v>
      </c>
      <c r="H485" s="198">
        <v>75000</v>
      </c>
      <c r="I485" s="198">
        <v>13960</v>
      </c>
      <c r="J485" s="198">
        <v>0</v>
      </c>
      <c r="K485" s="198">
        <v>0</v>
      </c>
      <c r="L485" s="198">
        <v>0</v>
      </c>
      <c r="M485" s="198">
        <v>99781.604999999996</v>
      </c>
      <c r="N485" s="198">
        <v>75</v>
      </c>
      <c r="O485" s="198">
        <v>0</v>
      </c>
      <c r="P485" s="198">
        <v>14730.382280700002</v>
      </c>
      <c r="Q485" s="198">
        <v>0</v>
      </c>
      <c r="R485" s="198">
        <v>6270.8171806399996</v>
      </c>
      <c r="S485" s="198">
        <v>8037</v>
      </c>
      <c r="T485" s="198">
        <v>0</v>
      </c>
      <c r="U485" s="198">
        <v>1800</v>
      </c>
      <c r="V485" s="198">
        <v>4720</v>
      </c>
      <c r="W485" s="198">
        <v>600</v>
      </c>
      <c r="X485" s="198">
        <v>1500</v>
      </c>
      <c r="Y485" s="198">
        <v>186</v>
      </c>
      <c r="Z485" s="277">
        <v>226660.80446133998</v>
      </c>
      <c r="AA485" s="272">
        <v>31.295018325000004</v>
      </c>
      <c r="AB485" s="198">
        <v>4.2920629125402501</v>
      </c>
      <c r="AC485" s="272">
        <v>1915.2</v>
      </c>
      <c r="AD485" s="198">
        <v>6.8947200000000004</v>
      </c>
      <c r="AE485" s="198">
        <v>11.18678291254025</v>
      </c>
      <c r="AF485" s="198">
        <v>321.28466599462683</v>
      </c>
      <c r="AG485" s="198">
        <v>0.14124240285169731</v>
      </c>
      <c r="AH485" s="198">
        <v>7.4630046558216872E-4</v>
      </c>
      <c r="AI485" s="198">
        <v>325.71970767222496</v>
      </c>
      <c r="AJ485" s="198">
        <v>0.13705417610037499</v>
      </c>
      <c r="AK485" s="198">
        <v>3.1982624761690421</v>
      </c>
      <c r="AL485" s="198">
        <v>0.14973952727392176</v>
      </c>
      <c r="AM485" s="198">
        <v>0.12884925359009336</v>
      </c>
      <c r="AN485" s="198">
        <v>3.7116616906414983E-2</v>
      </c>
      <c r="AO485" s="198">
        <v>2.2158882138220478E-3</v>
      </c>
      <c r="AP485" s="198">
        <v>5.563364575577298E-3</v>
      </c>
      <c r="AQ485" s="198">
        <v>6.403084406987905E-3</v>
      </c>
      <c r="AS485" s="258">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102">
        <f t="shared" si="61"/>
        <v>0.40375990998681616</v>
      </c>
      <c r="AZ485" s="102">
        <f t="shared" si="62"/>
        <v>0.5962400900131839</v>
      </c>
    </row>
    <row r="486" spans="1:52" x14ac:dyDescent="0.35">
      <c r="A486" t="s">
        <v>246</v>
      </c>
      <c r="B486">
        <v>2021</v>
      </c>
      <c r="C486" t="s">
        <v>837</v>
      </c>
      <c r="D486" t="s">
        <v>1027</v>
      </c>
      <c r="E486" t="s">
        <v>1028</v>
      </c>
      <c r="F486" t="s">
        <v>977</v>
      </c>
      <c r="G486" t="s">
        <v>978</v>
      </c>
      <c r="H486" s="198">
        <v>75000</v>
      </c>
      <c r="I486" s="198">
        <v>0</v>
      </c>
      <c r="J486" s="198">
        <v>0</v>
      </c>
      <c r="K486" s="198">
        <v>0</v>
      </c>
      <c r="L486" s="198">
        <v>0</v>
      </c>
      <c r="M486" s="198">
        <v>191708.58</v>
      </c>
      <c r="N486" s="198">
        <v>75</v>
      </c>
      <c r="O486" s="198">
        <v>0</v>
      </c>
      <c r="P486" s="198">
        <v>14429.342321999999</v>
      </c>
      <c r="Q486" s="198">
        <v>0</v>
      </c>
      <c r="R486" s="198">
        <v>0</v>
      </c>
      <c r="S486" s="198">
        <v>7938</v>
      </c>
      <c r="T486" s="198">
        <v>0</v>
      </c>
      <c r="U486" s="198">
        <v>1800</v>
      </c>
      <c r="V486" s="198">
        <v>4500</v>
      </c>
      <c r="W486" s="198">
        <v>600</v>
      </c>
      <c r="X486" s="198">
        <v>1500</v>
      </c>
      <c r="Y486" s="198">
        <v>186</v>
      </c>
      <c r="Z486" s="277">
        <v>297736.92232199997</v>
      </c>
      <c r="AA486" s="272">
        <v>0</v>
      </c>
      <c r="AB486" s="198">
        <v>0</v>
      </c>
      <c r="AC486" s="272">
        <v>2351</v>
      </c>
      <c r="AD486" s="198">
        <v>8.4635999999999996</v>
      </c>
      <c r="AE486" s="198">
        <v>8.4635999999999996</v>
      </c>
      <c r="AF486" s="198">
        <v>0</v>
      </c>
      <c r="AG486" s="198">
        <v>0</v>
      </c>
      <c r="AH486" s="198">
        <v>0</v>
      </c>
      <c r="AI486" s="198">
        <v>0</v>
      </c>
      <c r="AJ486" s="198">
        <v>0</v>
      </c>
      <c r="AK486" s="198">
        <v>0</v>
      </c>
      <c r="AL486" s="198">
        <v>0</v>
      </c>
      <c r="AM486" s="198">
        <v>0.12512911081800865</v>
      </c>
      <c r="AN486" s="198">
        <v>3.1977439431268795E-2</v>
      </c>
      <c r="AO486" s="198">
        <v>0</v>
      </c>
      <c r="AP486" s="198">
        <v>4.572024487217244E-3</v>
      </c>
      <c r="AQ486" s="198">
        <v>5.7160845571792808E-3</v>
      </c>
      <c r="AS486" s="258">
        <f t="shared" si="56"/>
        <v>399414.08129496296</v>
      </c>
      <c r="AT486" s="3">
        <f t="shared" si="57"/>
        <v>0</v>
      </c>
      <c r="AU486" s="3">
        <f t="shared" si="63"/>
        <v>0</v>
      </c>
      <c r="AV486" s="3">
        <f t="shared" si="58"/>
        <v>146.08473038636959</v>
      </c>
      <c r="AW486" s="3">
        <f t="shared" si="59"/>
        <v>5.2590502939093051</v>
      </c>
      <c r="AX486" s="3">
        <f t="shared" si="60"/>
        <v>5.2590502939093051</v>
      </c>
      <c r="AY486" s="102">
        <f t="shared" si="61"/>
        <v>0</v>
      </c>
      <c r="AZ486" s="102">
        <f t="shared" si="62"/>
        <v>1</v>
      </c>
    </row>
    <row r="487" spans="1:52" x14ac:dyDescent="0.35">
      <c r="A487" t="s">
        <v>627</v>
      </c>
      <c r="B487">
        <v>2021</v>
      </c>
      <c r="C487" t="s">
        <v>837</v>
      </c>
      <c r="D487" t="s">
        <v>1027</v>
      </c>
      <c r="E487" t="s">
        <v>1028</v>
      </c>
      <c r="F487" t="s">
        <v>989</v>
      </c>
      <c r="G487" t="s">
        <v>978</v>
      </c>
      <c r="H487" s="198">
        <v>75000</v>
      </c>
      <c r="I487" s="198">
        <v>0</v>
      </c>
      <c r="J487" s="198">
        <v>74136.964809600002</v>
      </c>
      <c r="K487" s="198">
        <v>28047.412700000001</v>
      </c>
      <c r="L487" s="198">
        <v>0</v>
      </c>
      <c r="M487" s="198">
        <v>5552.502512</v>
      </c>
      <c r="N487" s="198">
        <v>75</v>
      </c>
      <c r="O487" s="198">
        <v>0</v>
      </c>
      <c r="P487" s="198">
        <v>14770.499188500002</v>
      </c>
      <c r="Q487" s="198">
        <v>0</v>
      </c>
      <c r="R487" s="198">
        <v>0</v>
      </c>
      <c r="S487" s="198">
        <v>8051</v>
      </c>
      <c r="T487" s="198">
        <v>0</v>
      </c>
      <c r="U487" s="198">
        <v>1800</v>
      </c>
      <c r="V487" s="198">
        <v>4500</v>
      </c>
      <c r="W487" s="198">
        <v>600</v>
      </c>
      <c r="X487" s="198">
        <v>1500</v>
      </c>
      <c r="Y487" s="198">
        <v>186</v>
      </c>
      <c r="Z487" s="277">
        <v>214219.37921010001</v>
      </c>
      <c r="AA487" s="272">
        <v>6.7176399780000011</v>
      </c>
      <c r="AB487" s="198">
        <v>19.995145309944146</v>
      </c>
      <c r="AC487" s="272">
        <v>0</v>
      </c>
      <c r="AD487" s="198">
        <v>0</v>
      </c>
      <c r="AE487" s="198">
        <v>19.995145309944146</v>
      </c>
      <c r="AF487" s="198">
        <v>0</v>
      </c>
      <c r="AG487" s="198">
        <v>0</v>
      </c>
      <c r="AH487" s="198">
        <v>0</v>
      </c>
      <c r="AI487" s="198">
        <v>0</v>
      </c>
      <c r="AJ487" s="198">
        <v>0</v>
      </c>
      <c r="AK487" s="198">
        <v>0</v>
      </c>
      <c r="AL487" s="198">
        <v>0</v>
      </c>
      <c r="AM487" s="198">
        <v>0.1869262809912805</v>
      </c>
      <c r="AN487" s="198">
        <v>4.7770049586660653E-2</v>
      </c>
      <c r="AO487" s="198">
        <v>0</v>
      </c>
      <c r="AP487" s="198">
        <v>6.8299976592944229E-3</v>
      </c>
      <c r="AQ487" s="198">
        <v>8.5390715327567437E-3</v>
      </c>
      <c r="AS487" s="258">
        <f t="shared" si="56"/>
        <v>287375.29721034918</v>
      </c>
      <c r="AT487" s="3">
        <f t="shared" si="57"/>
        <v>35.014546777104478</v>
      </c>
      <c r="AU487" s="3">
        <f t="shared" si="63"/>
        <v>13.515413415021607</v>
      </c>
      <c r="AV487" s="3">
        <f t="shared" si="58"/>
        <v>0</v>
      </c>
      <c r="AW487" s="3">
        <f t="shared" si="59"/>
        <v>0</v>
      </c>
      <c r="AX487" s="3">
        <f t="shared" si="60"/>
        <v>13.515413415021607</v>
      </c>
      <c r="AY487" s="102">
        <f t="shared" si="61"/>
        <v>1</v>
      </c>
      <c r="AZ487" s="102">
        <f t="shared" si="62"/>
        <v>0</v>
      </c>
    </row>
    <row r="488" spans="1:52" x14ac:dyDescent="0.35">
      <c r="A488" t="s">
        <v>1065</v>
      </c>
      <c r="B488">
        <v>2021</v>
      </c>
      <c r="C488" t="s">
        <v>837</v>
      </c>
      <c r="D488" t="s">
        <v>1027</v>
      </c>
      <c r="E488" t="s">
        <v>1028</v>
      </c>
      <c r="F488" t="s">
        <v>989</v>
      </c>
      <c r="G488" t="s">
        <v>978</v>
      </c>
      <c r="H488" s="198">
        <v>75000</v>
      </c>
      <c r="I488" s="198">
        <v>0</v>
      </c>
      <c r="J488" s="198">
        <v>31491.0154592</v>
      </c>
      <c r="K488" s="198">
        <v>24967.362499999999</v>
      </c>
      <c r="L488" s="198">
        <v>0</v>
      </c>
      <c r="M488" s="198">
        <v>13293.7875</v>
      </c>
      <c r="N488" s="198">
        <v>75</v>
      </c>
      <c r="O488" s="198">
        <v>0</v>
      </c>
      <c r="P488" s="198">
        <v>14775.4792413</v>
      </c>
      <c r="Q488" s="198">
        <v>0</v>
      </c>
      <c r="R488" s="198">
        <v>0</v>
      </c>
      <c r="S488" s="198">
        <v>8052</v>
      </c>
      <c r="T488" s="198">
        <v>0</v>
      </c>
      <c r="U488" s="198">
        <v>1800</v>
      </c>
      <c r="V488" s="198">
        <v>4500</v>
      </c>
      <c r="W488" s="198">
        <v>600</v>
      </c>
      <c r="X488" s="198">
        <v>1500</v>
      </c>
      <c r="Y488" s="198">
        <v>186</v>
      </c>
      <c r="Z488" s="277">
        <v>176240.64470050001</v>
      </c>
      <c r="AA488" s="272">
        <v>7.7882769209999996</v>
      </c>
      <c r="AB488" s="198">
        <v>17.246457574951449</v>
      </c>
      <c r="AC488" s="272">
        <v>0</v>
      </c>
      <c r="AD488" s="198">
        <v>0</v>
      </c>
      <c r="AE488" s="198">
        <v>17.246457574951449</v>
      </c>
      <c r="AF488" s="198">
        <v>0</v>
      </c>
      <c r="AG488" s="198">
        <v>0</v>
      </c>
      <c r="AH488" s="198">
        <v>0</v>
      </c>
      <c r="AI488" s="198">
        <v>0</v>
      </c>
      <c r="AJ488" s="198">
        <v>0</v>
      </c>
      <c r="AK488" s="198">
        <v>0</v>
      </c>
      <c r="AL488" s="198">
        <v>0</v>
      </c>
      <c r="AM488" s="198">
        <v>0.161229944808467</v>
      </c>
      <c r="AN488" s="198">
        <v>4.1203208117719416E-2</v>
      </c>
      <c r="AO488" s="198">
        <v>0</v>
      </c>
      <c r="AP488" s="198">
        <v>5.8910932149843932E-3</v>
      </c>
      <c r="AQ488" s="198">
        <v>7.3652245400749328E-3</v>
      </c>
      <c r="AS488" s="258">
        <f t="shared" si="56"/>
        <v>236426.82486572076</v>
      </c>
      <c r="AT488" s="3">
        <f t="shared" si="57"/>
        <v>30.201175642227547</v>
      </c>
      <c r="AU488" s="3">
        <f t="shared" si="63"/>
        <v>11.657479876086532</v>
      </c>
      <c r="AV488" s="3">
        <f t="shared" si="58"/>
        <v>0</v>
      </c>
      <c r="AW488" s="3">
        <f t="shared" si="59"/>
        <v>0</v>
      </c>
      <c r="AX488" s="3">
        <f t="shared" si="60"/>
        <v>11.657479876086532</v>
      </c>
      <c r="AY488" s="102">
        <f t="shared" si="61"/>
        <v>1</v>
      </c>
      <c r="AZ488" s="102">
        <f t="shared" si="62"/>
        <v>0</v>
      </c>
    </row>
    <row r="489" spans="1:52" x14ac:dyDescent="0.35">
      <c r="A489" t="s">
        <v>1017</v>
      </c>
      <c r="B489">
        <v>2025</v>
      </c>
      <c r="C489" t="s">
        <v>837</v>
      </c>
      <c r="D489" t="s">
        <v>1027</v>
      </c>
      <c r="E489" t="s">
        <v>1028</v>
      </c>
      <c r="F489" t="s">
        <v>983</v>
      </c>
      <c r="G489" t="s">
        <v>978</v>
      </c>
      <c r="H489" s="198">
        <v>75504.644325104513</v>
      </c>
      <c r="I489" s="198">
        <v>38142</v>
      </c>
      <c r="J489" s="198">
        <v>0</v>
      </c>
      <c r="K489" s="198">
        <v>0</v>
      </c>
      <c r="L489" s="198">
        <v>120</v>
      </c>
      <c r="M489" s="198">
        <v>0</v>
      </c>
      <c r="N489" s="198">
        <v>0</v>
      </c>
      <c r="O489" s="198">
        <v>150</v>
      </c>
      <c r="P489" s="198">
        <v>0</v>
      </c>
      <c r="Q489" s="198">
        <v>0</v>
      </c>
      <c r="R489" s="198">
        <v>230</v>
      </c>
      <c r="S489" s="198">
        <v>15369</v>
      </c>
      <c r="T489" s="198">
        <v>506</v>
      </c>
      <c r="U489" s="198">
        <v>1800</v>
      </c>
      <c r="V489" s="198">
        <v>1920</v>
      </c>
      <c r="W489" s="198">
        <v>0</v>
      </c>
      <c r="X489" s="198">
        <v>0</v>
      </c>
      <c r="Y489" s="198">
        <v>186</v>
      </c>
      <c r="Z489" s="277">
        <v>133927.64432510451</v>
      </c>
      <c r="AA489" s="272">
        <v>4.5854036899999997</v>
      </c>
      <c r="AB489" s="198">
        <v>29.292990667960144</v>
      </c>
      <c r="AC489" s="272">
        <v>0</v>
      </c>
      <c r="AD489" s="198">
        <v>0</v>
      </c>
      <c r="AE489" s="198">
        <v>29.292990667960144</v>
      </c>
      <c r="AF489" s="198">
        <v>2192.7424910855234</v>
      </c>
      <c r="AG489" s="198">
        <v>0.96396825325337931</v>
      </c>
      <c r="AH489" s="198">
        <v>5.0934417829523754E-3</v>
      </c>
      <c r="AI489" s="198">
        <v>2223.0113005417684</v>
      </c>
      <c r="AJ489" s="198">
        <v>0.93538393619145288</v>
      </c>
      <c r="AK489" s="198">
        <v>21.827889007493265</v>
      </c>
      <c r="AL489" s="198">
        <v>1.0219604568805629</v>
      </c>
      <c r="AM489" s="198">
        <v>0.18369320719947752</v>
      </c>
      <c r="AN489" s="198">
        <v>7.5529826331820205E-2</v>
      </c>
      <c r="AO489" s="198">
        <v>1.5123262191493658E-2</v>
      </c>
      <c r="AP489" s="198">
        <v>1.2549984274677897E-2</v>
      </c>
      <c r="AQ489" s="198">
        <v>1.1920261137092492E-2</v>
      </c>
      <c r="AS489" s="258">
        <f t="shared" si="56"/>
        <v>179663.9348621277</v>
      </c>
      <c r="AT489" s="3">
        <f t="shared" si="57"/>
        <v>51.296491027473344</v>
      </c>
      <c r="AU489" s="3">
        <f t="shared" si="63"/>
        <v>19.800150131589977</v>
      </c>
      <c r="AV489" s="3">
        <f t="shared" si="58"/>
        <v>0</v>
      </c>
      <c r="AW489" s="3">
        <f t="shared" si="59"/>
        <v>0</v>
      </c>
      <c r="AX489" s="3">
        <f t="shared" si="60"/>
        <v>19.800150131589977</v>
      </c>
      <c r="AY489" s="102">
        <f t="shared" si="61"/>
        <v>1</v>
      </c>
      <c r="AZ489" s="102">
        <f t="shared" si="62"/>
        <v>0</v>
      </c>
    </row>
    <row r="490" spans="1:52" x14ac:dyDescent="0.35">
      <c r="A490" t="s">
        <v>1020</v>
      </c>
      <c r="B490">
        <v>2025</v>
      </c>
      <c r="C490" t="s">
        <v>837</v>
      </c>
      <c r="D490" t="s">
        <v>1027</v>
      </c>
      <c r="E490" t="s">
        <v>1028</v>
      </c>
      <c r="F490" t="s">
        <v>983</v>
      </c>
      <c r="G490" t="s">
        <v>978</v>
      </c>
      <c r="H490" s="198">
        <v>75504.644325104513</v>
      </c>
      <c r="I490" s="198">
        <v>38155</v>
      </c>
      <c r="J490" s="198">
        <v>0</v>
      </c>
      <c r="K490" s="198">
        <v>0</v>
      </c>
      <c r="L490" s="198">
        <v>150</v>
      </c>
      <c r="M490" s="198">
        <v>2562.6934679999999</v>
      </c>
      <c r="N490" s="198">
        <v>50</v>
      </c>
      <c r="O490" s="198">
        <v>150</v>
      </c>
      <c r="P490" s="198">
        <v>3144.6773137999999</v>
      </c>
      <c r="Q490" s="198">
        <v>0</v>
      </c>
      <c r="R490" s="198">
        <v>0</v>
      </c>
      <c r="S490" s="198">
        <v>15380</v>
      </c>
      <c r="T490" s="198">
        <v>392</v>
      </c>
      <c r="U490" s="198">
        <v>1800</v>
      </c>
      <c r="V490" s="198">
        <v>4720</v>
      </c>
      <c r="W490" s="198">
        <v>373.28</v>
      </c>
      <c r="X490" s="198">
        <v>1500</v>
      </c>
      <c r="Y490" s="198">
        <v>186</v>
      </c>
      <c r="Z490" s="277">
        <v>144068.29510690449</v>
      </c>
      <c r="AA490" s="272">
        <v>5.9817810779999991</v>
      </c>
      <c r="AB490" s="198">
        <v>22.454881873562282</v>
      </c>
      <c r="AC490" s="272">
        <v>0</v>
      </c>
      <c r="AD490" s="198">
        <v>0</v>
      </c>
      <c r="AE490" s="198">
        <v>22.454881873562282</v>
      </c>
      <c r="AF490" s="198">
        <v>1680.8721982191128</v>
      </c>
      <c r="AG490" s="198">
        <v>0.73894104914130088</v>
      </c>
      <c r="AH490" s="198">
        <v>3.9044368962695111E-3</v>
      </c>
      <c r="AI490" s="198">
        <v>1704.0751053069425</v>
      </c>
      <c r="AJ490" s="198">
        <v>0.71702940924295289</v>
      </c>
      <c r="AK490" s="198">
        <v>16.732421580586319</v>
      </c>
      <c r="AL490" s="198">
        <v>0.78339564569638376</v>
      </c>
      <c r="AM490" s="198">
        <v>0.14081215931126043</v>
      </c>
      <c r="AN490" s="198">
        <v>5.7898264722650833E-2</v>
      </c>
      <c r="AO490" s="198">
        <v>1.1592912103178867E-2</v>
      </c>
      <c r="AP490" s="198">
        <v>9.6203360591375388E-3</v>
      </c>
      <c r="AQ490" s="198">
        <v>9.1376144815488222E-3</v>
      </c>
      <c r="AS490" s="258">
        <f t="shared" si="56"/>
        <v>193267.61788591236</v>
      </c>
      <c r="AT490" s="3">
        <f t="shared" si="57"/>
        <v>39.32192037360084</v>
      </c>
      <c r="AU490" s="3">
        <f t="shared" si="63"/>
        <v>15.178034818068394</v>
      </c>
      <c r="AV490" s="3">
        <f t="shared" si="58"/>
        <v>0</v>
      </c>
      <c r="AW490" s="3">
        <f t="shared" si="59"/>
        <v>0</v>
      </c>
      <c r="AX490" s="3">
        <f t="shared" si="60"/>
        <v>15.178034818068394</v>
      </c>
      <c r="AY490" s="102">
        <f t="shared" si="61"/>
        <v>1</v>
      </c>
      <c r="AZ490" s="102">
        <f t="shared" si="62"/>
        <v>0</v>
      </c>
    </row>
    <row r="491" spans="1:52" x14ac:dyDescent="0.35">
      <c r="A491" t="s">
        <v>1021</v>
      </c>
      <c r="B491">
        <v>2025</v>
      </c>
      <c r="C491" t="s">
        <v>837</v>
      </c>
      <c r="D491" t="s">
        <v>1027</v>
      </c>
      <c r="E491" t="s">
        <v>1028</v>
      </c>
      <c r="F491" t="s">
        <v>983</v>
      </c>
      <c r="G491" t="s">
        <v>978</v>
      </c>
      <c r="H491" s="198">
        <v>75504.644325104513</v>
      </c>
      <c r="I491" s="198">
        <v>13994</v>
      </c>
      <c r="J491" s="198">
        <v>0</v>
      </c>
      <c r="K491" s="198">
        <v>0</v>
      </c>
      <c r="L491" s="198">
        <v>0</v>
      </c>
      <c r="M491" s="198">
        <v>84079.296000000002</v>
      </c>
      <c r="N491" s="198">
        <v>50</v>
      </c>
      <c r="O491" s="198">
        <v>0</v>
      </c>
      <c r="P491" s="198">
        <v>12468.3595148</v>
      </c>
      <c r="Q491" s="198">
        <v>0</v>
      </c>
      <c r="R491" s="198">
        <v>5107.6532836999995</v>
      </c>
      <c r="S491" s="198">
        <v>8007</v>
      </c>
      <c r="T491" s="198">
        <v>0</v>
      </c>
      <c r="U491" s="198">
        <v>1800</v>
      </c>
      <c r="V491" s="198">
        <v>4720</v>
      </c>
      <c r="W491" s="198">
        <v>373.28</v>
      </c>
      <c r="X491" s="198">
        <v>1500</v>
      </c>
      <c r="Y491" s="198">
        <v>186</v>
      </c>
      <c r="Z491" s="277">
        <v>207790.2331236045</v>
      </c>
      <c r="AA491" s="272">
        <v>34.989704365000009</v>
      </c>
      <c r="AB491" s="198">
        <v>3.8388488824832625</v>
      </c>
      <c r="AC491" s="272">
        <v>1771.2</v>
      </c>
      <c r="AD491" s="198">
        <v>6.3763199999999998</v>
      </c>
      <c r="AE491" s="198">
        <v>10.215168882483262</v>
      </c>
      <c r="AF491" s="198">
        <v>287.35908726056334</v>
      </c>
      <c r="AG491" s="198">
        <v>0.12632812039224839</v>
      </c>
      <c r="AH491" s="198">
        <v>6.6749597260708368E-4</v>
      </c>
      <c r="AI491" s="198">
        <v>291.32581727704809</v>
      </c>
      <c r="AJ491" s="198">
        <v>0.1225821432452395</v>
      </c>
      <c r="AK491" s="198">
        <v>2.8605466841265792</v>
      </c>
      <c r="AL491" s="198">
        <v>0.13392800353871231</v>
      </c>
      <c r="AM491" s="198">
        <v>0.1183429723794984</v>
      </c>
      <c r="AN491" s="198">
        <v>3.3989402628616244E-2</v>
      </c>
      <c r="AO491" s="198">
        <v>1.9819047778831525E-3</v>
      </c>
      <c r="AP491" s="198">
        <v>5.0891553392300431E-3</v>
      </c>
      <c r="AQ491" s="198">
        <v>5.8685438063614754E-3</v>
      </c>
      <c r="AS491" s="258">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102">
        <f t="shared" si="61"/>
        <v>0.39573855997146157</v>
      </c>
      <c r="AZ491" s="102">
        <f t="shared" si="62"/>
        <v>0.60426144002853843</v>
      </c>
    </row>
    <row r="492" spans="1:52" x14ac:dyDescent="0.35">
      <c r="A492" t="s">
        <v>246</v>
      </c>
      <c r="B492">
        <v>2025</v>
      </c>
      <c r="C492" t="s">
        <v>837</v>
      </c>
      <c r="D492" t="s">
        <v>1027</v>
      </c>
      <c r="E492" t="s">
        <v>1028</v>
      </c>
      <c r="F492" t="s">
        <v>977</v>
      </c>
      <c r="G492" t="s">
        <v>978</v>
      </c>
      <c r="H492" s="198">
        <v>75504.644325104513</v>
      </c>
      <c r="I492" s="198">
        <v>0</v>
      </c>
      <c r="J492" s="198">
        <v>0</v>
      </c>
      <c r="K492" s="198">
        <v>0</v>
      </c>
      <c r="L492" s="198">
        <v>0</v>
      </c>
      <c r="M492" s="198">
        <v>161247.31200000001</v>
      </c>
      <c r="N492" s="198">
        <v>50</v>
      </c>
      <c r="O492" s="198">
        <v>0</v>
      </c>
      <c r="P492" s="198">
        <v>12214.7447593</v>
      </c>
      <c r="Q492" s="198">
        <v>0</v>
      </c>
      <c r="R492" s="198">
        <v>0</v>
      </c>
      <c r="S492" s="198">
        <v>7908</v>
      </c>
      <c r="T492" s="198">
        <v>0</v>
      </c>
      <c r="U492" s="198">
        <v>1800</v>
      </c>
      <c r="V492" s="198">
        <v>4500</v>
      </c>
      <c r="W492" s="198">
        <v>373.28</v>
      </c>
      <c r="X492" s="198">
        <v>1500</v>
      </c>
      <c r="Y492" s="198">
        <v>186</v>
      </c>
      <c r="Z492" s="277">
        <v>265283.98108440451</v>
      </c>
      <c r="AA492" s="272">
        <v>0</v>
      </c>
      <c r="AB492" s="198">
        <v>0</v>
      </c>
      <c r="AC492" s="272">
        <v>2157</v>
      </c>
      <c r="AD492" s="198">
        <v>7.7652000000000001</v>
      </c>
      <c r="AE492" s="198">
        <v>7.7652000000000001</v>
      </c>
      <c r="AF492" s="198">
        <v>0</v>
      </c>
      <c r="AG492" s="198">
        <v>0</v>
      </c>
      <c r="AH492" s="198">
        <v>0</v>
      </c>
      <c r="AI492" s="198">
        <v>0</v>
      </c>
      <c r="AJ492" s="198">
        <v>0</v>
      </c>
      <c r="AK492" s="198">
        <v>0</v>
      </c>
      <c r="AL492" s="198">
        <v>0</v>
      </c>
      <c r="AM492" s="198">
        <v>0.11480369716479996</v>
      </c>
      <c r="AN492" s="198">
        <v>2.9338722608782137E-2</v>
      </c>
      <c r="AO492" s="198">
        <v>0</v>
      </c>
      <c r="AP492" s="198">
        <v>4.1947498166429583E-3</v>
      </c>
      <c r="AQ492" s="198">
        <v>5.2444042491857547E-3</v>
      </c>
      <c r="AS492" s="258">
        <f t="shared" si="56"/>
        <v>355878.46062472864</v>
      </c>
      <c r="AT492" s="3">
        <f t="shared" si="57"/>
        <v>0</v>
      </c>
      <c r="AU492" s="3">
        <f t="shared" si="63"/>
        <v>0</v>
      </c>
      <c r="AV492" s="3">
        <f t="shared" si="58"/>
        <v>134.0300992953633</v>
      </c>
      <c r="AW492" s="3">
        <f t="shared" si="59"/>
        <v>4.8250835746330791</v>
      </c>
      <c r="AX492" s="3">
        <f t="shared" si="60"/>
        <v>4.8250835746330791</v>
      </c>
      <c r="AY492" s="102">
        <f t="shared" si="61"/>
        <v>0</v>
      </c>
      <c r="AZ492" s="102">
        <f t="shared" si="62"/>
        <v>1</v>
      </c>
    </row>
    <row r="493" spans="1:52" x14ac:dyDescent="0.35">
      <c r="A493" t="s">
        <v>627</v>
      </c>
      <c r="B493">
        <v>2025</v>
      </c>
      <c r="C493" t="s">
        <v>837</v>
      </c>
      <c r="D493" t="s">
        <v>1027</v>
      </c>
      <c r="E493" t="s">
        <v>1028</v>
      </c>
      <c r="F493" t="s">
        <v>989</v>
      </c>
      <c r="G493" t="s">
        <v>978</v>
      </c>
      <c r="H493" s="198">
        <v>75504.644325104513</v>
      </c>
      <c r="I493" s="198">
        <v>0</v>
      </c>
      <c r="J493" s="198">
        <v>59233.180443396232</v>
      </c>
      <c r="K493" s="198">
        <v>24776.961758999998</v>
      </c>
      <c r="L493" s="198">
        <v>0</v>
      </c>
      <c r="M493" s="198">
        <v>5481.3165819999995</v>
      </c>
      <c r="N493" s="198">
        <v>50</v>
      </c>
      <c r="O493" s="198">
        <v>0</v>
      </c>
      <c r="P493" s="198">
        <v>12503.0730675</v>
      </c>
      <c r="Q493" s="198">
        <v>0</v>
      </c>
      <c r="R493" s="198">
        <v>0</v>
      </c>
      <c r="S493" s="198">
        <v>8020</v>
      </c>
      <c r="T493" s="198">
        <v>0</v>
      </c>
      <c r="U493" s="198">
        <v>1800</v>
      </c>
      <c r="V493" s="198">
        <v>4500</v>
      </c>
      <c r="W493" s="198">
        <v>373.28</v>
      </c>
      <c r="X493" s="198">
        <v>1500</v>
      </c>
      <c r="Y493" s="198">
        <v>186</v>
      </c>
      <c r="Z493" s="277">
        <v>193928.45617700074</v>
      </c>
      <c r="AA493" s="272">
        <v>7.3144663689999998</v>
      </c>
      <c r="AB493" s="198">
        <v>18.363634573435551</v>
      </c>
      <c r="AC493" s="272">
        <v>0</v>
      </c>
      <c r="AD493" s="198">
        <v>0</v>
      </c>
      <c r="AE493" s="198">
        <v>18.363634573435551</v>
      </c>
      <c r="AF493" s="198">
        <v>0</v>
      </c>
      <c r="AG493" s="198">
        <v>0</v>
      </c>
      <c r="AH493" s="198">
        <v>0</v>
      </c>
      <c r="AI493" s="198">
        <v>0</v>
      </c>
      <c r="AJ493" s="198">
        <v>0</v>
      </c>
      <c r="AK493" s="198">
        <v>0</v>
      </c>
      <c r="AL493" s="198">
        <v>0</v>
      </c>
      <c r="AM493" s="198">
        <v>0.17167396700978493</v>
      </c>
      <c r="AN493" s="198">
        <v>4.3872236013611773E-2</v>
      </c>
      <c r="AO493" s="198">
        <v>0</v>
      </c>
      <c r="AP493" s="198">
        <v>6.2727016587534514E-3</v>
      </c>
      <c r="AQ493" s="198">
        <v>7.8423230635881313E-3</v>
      </c>
      <c r="AS493" s="258">
        <f t="shared" si="56"/>
        <v>260155.02396144648</v>
      </c>
      <c r="AT493" s="3">
        <f t="shared" si="57"/>
        <v>32.157522828775498</v>
      </c>
      <c r="AU493" s="3">
        <f t="shared" si="63"/>
        <v>12.412618623928307</v>
      </c>
      <c r="AV493" s="3">
        <f t="shared" si="58"/>
        <v>0</v>
      </c>
      <c r="AW493" s="3">
        <f t="shared" si="59"/>
        <v>0</v>
      </c>
      <c r="AX493" s="3">
        <f t="shared" si="60"/>
        <v>12.412618623928307</v>
      </c>
      <c r="AY493" s="102">
        <f t="shared" si="61"/>
        <v>1</v>
      </c>
      <c r="AZ493" s="102">
        <f t="shared" si="62"/>
        <v>0</v>
      </c>
    </row>
    <row r="494" spans="1:52" x14ac:dyDescent="0.35">
      <c r="A494" t="s">
        <v>1065</v>
      </c>
      <c r="B494">
        <v>2025</v>
      </c>
      <c r="C494" t="s">
        <v>837</v>
      </c>
      <c r="D494" t="s">
        <v>1027</v>
      </c>
      <c r="E494" t="s">
        <v>1028</v>
      </c>
      <c r="F494" t="s">
        <v>989</v>
      </c>
      <c r="G494" t="s">
        <v>978</v>
      </c>
      <c r="H494" s="198">
        <v>75504.644325104513</v>
      </c>
      <c r="I494" s="198">
        <v>0</v>
      </c>
      <c r="J494" s="198">
        <v>22878.929844339626</v>
      </c>
      <c r="K494" s="198">
        <v>21545.144444999998</v>
      </c>
      <c r="L494" s="198">
        <v>0</v>
      </c>
      <c r="M494" s="198">
        <v>12710.4</v>
      </c>
      <c r="N494" s="198">
        <v>50</v>
      </c>
      <c r="O494" s="198">
        <v>0</v>
      </c>
      <c r="P494" s="198">
        <v>12415.328355</v>
      </c>
      <c r="Q494" s="198">
        <v>0</v>
      </c>
      <c r="R494" s="198">
        <v>0</v>
      </c>
      <c r="S494" s="198">
        <v>7986</v>
      </c>
      <c r="T494" s="198">
        <v>0</v>
      </c>
      <c r="U494" s="198">
        <v>1800</v>
      </c>
      <c r="V494" s="198">
        <v>4500</v>
      </c>
      <c r="W494" s="198">
        <v>373.28</v>
      </c>
      <c r="X494" s="198">
        <v>1500</v>
      </c>
      <c r="Y494" s="198">
        <v>186</v>
      </c>
      <c r="Z494" s="277">
        <v>161449.72696944413</v>
      </c>
      <c r="AA494" s="272">
        <v>8.6802564600000007</v>
      </c>
      <c r="AB494" s="198">
        <v>15.474218776711121</v>
      </c>
      <c r="AC494" s="272">
        <v>0</v>
      </c>
      <c r="AD494" s="198">
        <v>0</v>
      </c>
      <c r="AE494" s="198">
        <v>15.474218776711121</v>
      </c>
      <c r="AF494" s="198">
        <v>0</v>
      </c>
      <c r="AG494" s="198">
        <v>0</v>
      </c>
      <c r="AH494" s="198">
        <v>0</v>
      </c>
      <c r="AI494" s="198">
        <v>0</v>
      </c>
      <c r="AJ494" s="198">
        <v>0</v>
      </c>
      <c r="AK494" s="198">
        <v>0</v>
      </c>
      <c r="AL494" s="198">
        <v>0</v>
      </c>
      <c r="AM494" s="198">
        <v>0.14466202282298551</v>
      </c>
      <c r="AN494" s="198">
        <v>3.6969183610318583E-2</v>
      </c>
      <c r="AO494" s="198">
        <v>0</v>
      </c>
      <c r="AP494" s="198">
        <v>5.2857269295154717E-3</v>
      </c>
      <c r="AQ494" s="198">
        <v>6.6083771335309653E-3</v>
      </c>
      <c r="AS494" s="258">
        <f t="shared" si="56"/>
        <v>216584.8087295093</v>
      </c>
      <c r="AT494" s="3">
        <f t="shared" si="57"/>
        <v>27.097715410291936</v>
      </c>
      <c r="AU494" s="3">
        <f t="shared" si="63"/>
        <v>10.459562098692492</v>
      </c>
      <c r="AV494" s="3">
        <f t="shared" si="58"/>
        <v>0</v>
      </c>
      <c r="AW494" s="3">
        <f t="shared" si="59"/>
        <v>0</v>
      </c>
      <c r="AX494" s="3">
        <f t="shared" si="60"/>
        <v>10.459562098692492</v>
      </c>
      <c r="AY494" s="102">
        <f t="shared" si="61"/>
        <v>1</v>
      </c>
      <c r="AZ494" s="102">
        <f t="shared" si="62"/>
        <v>0</v>
      </c>
    </row>
    <row r="495" spans="1:52" x14ac:dyDescent="0.35">
      <c r="A495" t="s">
        <v>1017</v>
      </c>
      <c r="B495">
        <v>2030</v>
      </c>
      <c r="C495" t="s">
        <v>837</v>
      </c>
      <c r="D495" t="s">
        <v>1027</v>
      </c>
      <c r="E495" t="s">
        <v>1028</v>
      </c>
      <c r="F495" t="s">
        <v>983</v>
      </c>
      <c r="G495" t="s">
        <v>978</v>
      </c>
      <c r="H495" s="198">
        <v>76068.977763931078</v>
      </c>
      <c r="I495" s="198">
        <v>38841</v>
      </c>
      <c r="J495" s="198">
        <v>0</v>
      </c>
      <c r="K495" s="198">
        <v>0</v>
      </c>
      <c r="L495" s="198">
        <v>120</v>
      </c>
      <c r="M495" s="198">
        <v>0</v>
      </c>
      <c r="N495" s="198">
        <v>0</v>
      </c>
      <c r="O495" s="198">
        <v>150</v>
      </c>
      <c r="P495" s="198">
        <v>0</v>
      </c>
      <c r="Q495" s="198">
        <v>0</v>
      </c>
      <c r="R495" s="198">
        <v>183</v>
      </c>
      <c r="S495" s="198">
        <v>15369</v>
      </c>
      <c r="T495" s="198">
        <v>506</v>
      </c>
      <c r="U495" s="198">
        <v>1800</v>
      </c>
      <c r="V495" s="198">
        <v>1920</v>
      </c>
      <c r="W495" s="198">
        <v>0</v>
      </c>
      <c r="X495" s="198">
        <v>0</v>
      </c>
      <c r="Y495" s="198">
        <v>186</v>
      </c>
      <c r="Z495" s="277">
        <v>135143.97776393109</v>
      </c>
      <c r="AA495" s="272">
        <v>4.8432016689999999</v>
      </c>
      <c r="AB495" s="198">
        <v>27.733758922273775</v>
      </c>
      <c r="AC495" s="272">
        <v>0</v>
      </c>
      <c r="AD495" s="198">
        <v>0</v>
      </c>
      <c r="AE495" s="198">
        <v>27.733758922273775</v>
      </c>
      <c r="AF495" s="198">
        <v>2076.0253644196023</v>
      </c>
      <c r="AG495" s="198">
        <v>0.91265734685451516</v>
      </c>
      <c r="AH495" s="198">
        <v>4.8223238143978268E-3</v>
      </c>
      <c r="AI495" s="198">
        <v>2104.6830004335966</v>
      </c>
      <c r="AJ495" s="198">
        <v>0.88559453966834434</v>
      </c>
      <c r="AK495" s="198">
        <v>20.666015920938527</v>
      </c>
      <c r="AL495" s="198">
        <v>0.96756269308558052</v>
      </c>
      <c r="AM495" s="198">
        <v>0.17391543191599826</v>
      </c>
      <c r="AN495" s="198">
        <v>7.1509461723178042E-2</v>
      </c>
      <c r="AO495" s="198">
        <v>1.4318268574604031E-2</v>
      </c>
      <c r="AP495" s="198">
        <v>1.1881963241566184E-2</v>
      </c>
      <c r="AQ495" s="198">
        <v>1.1285759532510497E-2</v>
      </c>
      <c r="AS495" s="258">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102">
        <f t="shared" ref="AY495:AY558" si="69">AU495/AX495</f>
        <v>1</v>
      </c>
      <c r="AZ495" s="102">
        <f t="shared" ref="AZ495:AZ558" si="70">AW495/AX495</f>
        <v>0</v>
      </c>
    </row>
    <row r="496" spans="1:52" x14ac:dyDescent="0.35">
      <c r="A496" t="s">
        <v>1020</v>
      </c>
      <c r="B496">
        <v>2030</v>
      </c>
      <c r="C496" t="s">
        <v>837</v>
      </c>
      <c r="D496" t="s">
        <v>1027</v>
      </c>
      <c r="E496" t="s">
        <v>1028</v>
      </c>
      <c r="F496" t="s">
        <v>983</v>
      </c>
      <c r="G496" t="s">
        <v>978</v>
      </c>
      <c r="H496" s="198">
        <v>76068.977763931078</v>
      </c>
      <c r="I496" s="198">
        <v>38855</v>
      </c>
      <c r="J496" s="198">
        <v>0</v>
      </c>
      <c r="K496" s="198">
        <v>0</v>
      </c>
      <c r="L496" s="198">
        <v>150</v>
      </c>
      <c r="M496" s="198">
        <v>2445.8298986</v>
      </c>
      <c r="N496" s="198">
        <v>40</v>
      </c>
      <c r="O496" s="198">
        <v>150</v>
      </c>
      <c r="P496" s="198">
        <v>2465.5912958400004</v>
      </c>
      <c r="Q496" s="198">
        <v>0</v>
      </c>
      <c r="R496" s="198">
        <v>0</v>
      </c>
      <c r="S496" s="198">
        <v>15380</v>
      </c>
      <c r="T496" s="198">
        <v>392</v>
      </c>
      <c r="U496" s="198">
        <v>1800</v>
      </c>
      <c r="V496" s="198">
        <v>4720</v>
      </c>
      <c r="W496" s="198">
        <v>277.24799999999999</v>
      </c>
      <c r="X496" s="198">
        <v>1500</v>
      </c>
      <c r="Y496" s="198">
        <v>186</v>
      </c>
      <c r="Z496" s="277">
        <v>144430.64695837107</v>
      </c>
      <c r="AA496" s="272">
        <v>6.3859364420000002</v>
      </c>
      <c r="AB496" s="198">
        <v>21.033749508777213</v>
      </c>
      <c r="AC496" s="272">
        <v>0</v>
      </c>
      <c r="AD496" s="198">
        <v>0</v>
      </c>
      <c r="AE496" s="198">
        <v>21.033749508777213</v>
      </c>
      <c r="AF496" s="198">
        <v>1574.4925746073297</v>
      </c>
      <c r="AG496" s="198">
        <v>0.69217469131693243</v>
      </c>
      <c r="AH496" s="198">
        <v>3.6573315375865749E-3</v>
      </c>
      <c r="AI496" s="198">
        <v>1596.2270080507517</v>
      </c>
      <c r="AJ496" s="198">
        <v>0.67164980289652121</v>
      </c>
      <c r="AK496" s="198">
        <v>15.673454270791826</v>
      </c>
      <c r="AL496" s="198">
        <v>0.73381582992181915</v>
      </c>
      <c r="AM496" s="198">
        <v>0.13190039045496951</v>
      </c>
      <c r="AN496" s="198">
        <v>5.42339792311681E-2</v>
      </c>
      <c r="AO496" s="198">
        <v>1.0859215854643563E-2</v>
      </c>
      <c r="AP496" s="198">
        <v>9.0114808885456178E-3</v>
      </c>
      <c r="AQ496" s="198">
        <v>8.5593099618556309E-3</v>
      </c>
      <c r="AS496" s="258">
        <f t="shared" si="64"/>
        <v>193753.71289465477</v>
      </c>
      <c r="AT496" s="3">
        <f t="shared" si="65"/>
        <v>36.833301016657401</v>
      </c>
      <c r="AU496" s="3">
        <f t="shared" si="63"/>
        <v>14.217442077690297</v>
      </c>
      <c r="AV496" s="3">
        <f t="shared" si="66"/>
        <v>0</v>
      </c>
      <c r="AW496" s="3">
        <f t="shared" si="67"/>
        <v>0</v>
      </c>
      <c r="AX496" s="3">
        <f t="shared" si="68"/>
        <v>14.217442077690297</v>
      </c>
      <c r="AY496" s="102">
        <f t="shared" si="69"/>
        <v>1</v>
      </c>
      <c r="AZ496" s="102">
        <f t="shared" si="70"/>
        <v>0</v>
      </c>
    </row>
    <row r="497" spans="1:52" x14ac:dyDescent="0.35">
      <c r="A497" t="s">
        <v>1021</v>
      </c>
      <c r="B497">
        <v>2030</v>
      </c>
      <c r="C497" t="s">
        <v>837</v>
      </c>
      <c r="D497" t="s">
        <v>1027</v>
      </c>
      <c r="E497" t="s">
        <v>1028</v>
      </c>
      <c r="F497" t="s">
        <v>983</v>
      </c>
      <c r="G497" t="s">
        <v>978</v>
      </c>
      <c r="H497" s="198">
        <v>76068.977763931078</v>
      </c>
      <c r="I497" s="198">
        <v>14061</v>
      </c>
      <c r="J497" s="198">
        <v>0</v>
      </c>
      <c r="K497" s="198">
        <v>0</v>
      </c>
      <c r="L497" s="198">
        <v>0</v>
      </c>
      <c r="M497" s="198">
        <v>60510.9375</v>
      </c>
      <c r="N497" s="198">
        <v>40</v>
      </c>
      <c r="O497" s="198">
        <v>0</v>
      </c>
      <c r="P497" s="198">
        <v>9857.0371621500017</v>
      </c>
      <c r="Q497" s="198">
        <v>0</v>
      </c>
      <c r="R497" s="198">
        <v>3679.0722380400002</v>
      </c>
      <c r="S497" s="198">
        <v>7976</v>
      </c>
      <c r="T497" s="198">
        <v>0</v>
      </c>
      <c r="U497" s="198">
        <v>1800</v>
      </c>
      <c r="V497" s="198">
        <v>4720</v>
      </c>
      <c r="W497" s="198">
        <v>277.24799999999999</v>
      </c>
      <c r="X497" s="198">
        <v>1500</v>
      </c>
      <c r="Y497" s="198">
        <v>186</v>
      </c>
      <c r="Z497" s="277">
        <v>180676.27266412109</v>
      </c>
      <c r="AA497" s="272">
        <v>38.943425490000017</v>
      </c>
      <c r="AB497" s="198">
        <v>3.449110750015842</v>
      </c>
      <c r="AC497" s="272">
        <v>1644</v>
      </c>
      <c r="AD497" s="198">
        <v>5.9184000000000001</v>
      </c>
      <c r="AE497" s="198">
        <v>9.3675107500158425</v>
      </c>
      <c r="AF497" s="198">
        <v>258.18503080642449</v>
      </c>
      <c r="AG497" s="198">
        <v>0.11350269088798892</v>
      </c>
      <c r="AH497" s="198">
        <v>5.9972861792415466E-4</v>
      </c>
      <c r="AI497" s="198">
        <v>261.74903959163555</v>
      </c>
      <c r="AJ497" s="198">
        <v>0.11013702309470391</v>
      </c>
      <c r="AK497" s="198">
        <v>2.570130427421474</v>
      </c>
      <c r="AL497" s="198">
        <v>0.12033099787838457</v>
      </c>
      <c r="AM497" s="198">
        <v>0.10912890125727422</v>
      </c>
      <c r="AN497" s="198">
        <v>3.1254363729795433E-2</v>
      </c>
      <c r="AO497" s="198">
        <v>1.780692411753029E-3</v>
      </c>
      <c r="AP497" s="198">
        <v>4.6748122648825417E-3</v>
      </c>
      <c r="AQ497" s="198">
        <v>5.4006801345236654E-3</v>
      </c>
      <c r="AS497" s="258">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102">
        <f t="shared" si="69"/>
        <v>0.38798638461568813</v>
      </c>
      <c r="AZ497" s="102">
        <f t="shared" si="70"/>
        <v>0.61201361538431187</v>
      </c>
    </row>
    <row r="498" spans="1:52" x14ac:dyDescent="0.35">
      <c r="A498" t="s">
        <v>246</v>
      </c>
      <c r="B498">
        <v>2030</v>
      </c>
      <c r="C498" t="s">
        <v>837</v>
      </c>
      <c r="D498" t="s">
        <v>1027</v>
      </c>
      <c r="E498" t="s">
        <v>1028</v>
      </c>
      <c r="F498" t="s">
        <v>977</v>
      </c>
      <c r="G498" t="s">
        <v>978</v>
      </c>
      <c r="H498" s="198">
        <v>76068.977763931078</v>
      </c>
      <c r="I498" s="198">
        <v>0</v>
      </c>
      <c r="J498" s="198">
        <v>0</v>
      </c>
      <c r="K498" s="198">
        <v>0</v>
      </c>
      <c r="L498" s="198">
        <v>0</v>
      </c>
      <c r="M498" s="198">
        <v>116094.1125</v>
      </c>
      <c r="N498" s="198">
        <v>40</v>
      </c>
      <c r="O498" s="198">
        <v>0</v>
      </c>
      <c r="P498" s="198">
        <v>9657.4882562099992</v>
      </c>
      <c r="Q498" s="198">
        <v>0</v>
      </c>
      <c r="R498" s="198">
        <v>0</v>
      </c>
      <c r="S498" s="198">
        <v>7879</v>
      </c>
      <c r="T498" s="198">
        <v>0</v>
      </c>
      <c r="U498" s="198">
        <v>1800</v>
      </c>
      <c r="V498" s="198">
        <v>4500</v>
      </c>
      <c r="W498" s="198">
        <v>277.24799999999999</v>
      </c>
      <c r="X498" s="198">
        <v>1500</v>
      </c>
      <c r="Y498" s="198">
        <v>186</v>
      </c>
      <c r="Z498" s="277">
        <v>218002.82652014107</v>
      </c>
      <c r="AA498" s="272">
        <v>0</v>
      </c>
      <c r="AB498" s="198">
        <v>0</v>
      </c>
      <c r="AC498" s="272">
        <v>1963</v>
      </c>
      <c r="AD498" s="198">
        <v>7.0667999999999997</v>
      </c>
      <c r="AE498" s="198">
        <v>7.0667999999999997</v>
      </c>
      <c r="AF498" s="198">
        <v>0</v>
      </c>
      <c r="AG498" s="198">
        <v>0</v>
      </c>
      <c r="AH498" s="198">
        <v>0</v>
      </c>
      <c r="AI498" s="198">
        <v>0</v>
      </c>
      <c r="AJ498" s="198">
        <v>0</v>
      </c>
      <c r="AK498" s="198">
        <v>0</v>
      </c>
      <c r="AL498" s="198">
        <v>0</v>
      </c>
      <c r="AM498" s="198">
        <v>0.10447828351159123</v>
      </c>
      <c r="AN498" s="198">
        <v>2.6700005786295469E-2</v>
      </c>
      <c r="AO498" s="198">
        <v>0</v>
      </c>
      <c r="AP498" s="198">
        <v>3.8174751460686726E-3</v>
      </c>
      <c r="AQ498" s="198">
        <v>4.7727239411922279E-3</v>
      </c>
      <c r="AS498" s="258">
        <f t="shared" si="64"/>
        <v>292450.79177676921</v>
      </c>
      <c r="AT498" s="3">
        <f t="shared" si="65"/>
        <v>0</v>
      </c>
      <c r="AU498" s="3">
        <f t="shared" si="63"/>
        <v>0</v>
      </c>
      <c r="AV498" s="3">
        <f t="shared" si="66"/>
        <v>121.97546820435707</v>
      </c>
      <c r="AW498" s="3">
        <f t="shared" si="67"/>
        <v>4.3911168553568549</v>
      </c>
      <c r="AX498" s="3">
        <f t="shared" si="68"/>
        <v>4.3911168553568549</v>
      </c>
      <c r="AY498" s="102">
        <f t="shared" si="69"/>
        <v>0</v>
      </c>
      <c r="AZ498" s="102">
        <f t="shared" si="70"/>
        <v>1</v>
      </c>
    </row>
    <row r="499" spans="1:52" x14ac:dyDescent="0.35">
      <c r="A499" t="s">
        <v>627</v>
      </c>
      <c r="B499">
        <v>2030</v>
      </c>
      <c r="C499" t="s">
        <v>837</v>
      </c>
      <c r="D499" t="s">
        <v>1027</v>
      </c>
      <c r="E499" t="s">
        <v>1028</v>
      </c>
      <c r="F499" t="s">
        <v>989</v>
      </c>
      <c r="G499" t="s">
        <v>978</v>
      </c>
      <c r="H499" s="198">
        <v>76068.977763931078</v>
      </c>
      <c r="I499" s="198">
        <v>0</v>
      </c>
      <c r="J499" s="198">
        <v>47086.372924528303</v>
      </c>
      <c r="K499" s="198">
        <v>20560.894199999999</v>
      </c>
      <c r="L499" s="198">
        <v>0</v>
      </c>
      <c r="M499" s="198">
        <v>5748.2638190000007</v>
      </c>
      <c r="N499" s="198">
        <v>40</v>
      </c>
      <c r="O499" s="198">
        <v>0</v>
      </c>
      <c r="P499" s="198">
        <v>9885.0807574200007</v>
      </c>
      <c r="Q499" s="198">
        <v>0</v>
      </c>
      <c r="R499" s="198">
        <v>0</v>
      </c>
      <c r="S499" s="198">
        <v>7989</v>
      </c>
      <c r="T499" s="198">
        <v>0</v>
      </c>
      <c r="U499" s="198">
        <v>1800</v>
      </c>
      <c r="V499" s="198">
        <v>4500</v>
      </c>
      <c r="W499" s="198">
        <v>277.24799999999999</v>
      </c>
      <c r="X499" s="198">
        <v>1500</v>
      </c>
      <c r="Y499" s="198">
        <v>186</v>
      </c>
      <c r="Z499" s="277">
        <v>175641.83746487941</v>
      </c>
      <c r="AA499" s="272">
        <v>8.0014481489999998</v>
      </c>
      <c r="AB499" s="198">
        <v>16.78698468061522</v>
      </c>
      <c r="AC499" s="272">
        <v>0</v>
      </c>
      <c r="AD499" s="198">
        <v>0</v>
      </c>
      <c r="AE499" s="198">
        <v>16.78698468061522</v>
      </c>
      <c r="AF499" s="198">
        <v>0</v>
      </c>
      <c r="AG499" s="198">
        <v>0</v>
      </c>
      <c r="AH499" s="198">
        <v>0</v>
      </c>
      <c r="AI499" s="198">
        <v>0</v>
      </c>
      <c r="AJ499" s="198">
        <v>0</v>
      </c>
      <c r="AK499" s="198">
        <v>0</v>
      </c>
      <c r="AL499" s="198">
        <v>0</v>
      </c>
      <c r="AM499" s="198">
        <v>0.15693452419395132</v>
      </c>
      <c r="AN499" s="198">
        <v>4.0105489516232065E-2</v>
      </c>
      <c r="AO499" s="198">
        <v>0</v>
      </c>
      <c r="AP499" s="198">
        <v>5.7341451786395419E-3</v>
      </c>
      <c r="AQ499" s="198">
        <v>7.1690033148083879E-3</v>
      </c>
      <c r="AS499" s="258">
        <f t="shared" si="64"/>
        <v>235623.52495913571</v>
      </c>
      <c r="AT499" s="3">
        <f t="shared" si="65"/>
        <v>29.396568578754675</v>
      </c>
      <c r="AU499" s="3">
        <f t="shared" si="63"/>
        <v>11.346906183138056</v>
      </c>
      <c r="AV499" s="3">
        <f t="shared" si="66"/>
        <v>0</v>
      </c>
      <c r="AW499" s="3">
        <f t="shared" si="67"/>
        <v>0</v>
      </c>
      <c r="AX499" s="3">
        <f t="shared" si="68"/>
        <v>11.346906183138056</v>
      </c>
      <c r="AY499" s="102">
        <f t="shared" si="69"/>
        <v>1</v>
      </c>
      <c r="AZ499" s="102">
        <f t="shared" si="70"/>
        <v>0</v>
      </c>
    </row>
    <row r="500" spans="1:52" x14ac:dyDescent="0.35">
      <c r="A500" t="s">
        <v>1065</v>
      </c>
      <c r="B500">
        <v>2030</v>
      </c>
      <c r="C500" t="s">
        <v>837</v>
      </c>
      <c r="D500" t="s">
        <v>1027</v>
      </c>
      <c r="E500" t="s">
        <v>1028</v>
      </c>
      <c r="F500" t="s">
        <v>989</v>
      </c>
      <c r="G500" t="s">
        <v>978</v>
      </c>
      <c r="H500" s="198">
        <v>76068.977763931078</v>
      </c>
      <c r="I500" s="198">
        <v>0</v>
      </c>
      <c r="J500" s="198">
        <v>16876.634309433961</v>
      </c>
      <c r="K500" s="198">
        <v>17625.179220000002</v>
      </c>
      <c r="L500" s="198">
        <v>0</v>
      </c>
      <c r="M500" s="198">
        <v>10352.025</v>
      </c>
      <c r="N500" s="198">
        <v>40</v>
      </c>
      <c r="O500" s="198">
        <v>0</v>
      </c>
      <c r="P500" s="198">
        <v>9839.9518539300007</v>
      </c>
      <c r="Q500" s="198">
        <v>0</v>
      </c>
      <c r="R500" s="198">
        <v>0</v>
      </c>
      <c r="S500" s="198">
        <v>7967</v>
      </c>
      <c r="T500" s="198">
        <v>0</v>
      </c>
      <c r="U500" s="198">
        <v>1800</v>
      </c>
      <c r="V500" s="198">
        <v>4500</v>
      </c>
      <c r="W500" s="198">
        <v>277.24799999999999</v>
      </c>
      <c r="X500" s="198">
        <v>1500</v>
      </c>
      <c r="Y500" s="198">
        <v>186</v>
      </c>
      <c r="Z500" s="277">
        <v>147033.01614729504</v>
      </c>
      <c r="AA500" s="272">
        <v>9.4826801790000008</v>
      </c>
      <c r="AB500" s="198">
        <v>14.164791489800596</v>
      </c>
      <c r="AC500" s="272">
        <v>0</v>
      </c>
      <c r="AD500" s="198">
        <v>0</v>
      </c>
      <c r="AE500" s="198">
        <v>14.164791489800596</v>
      </c>
      <c r="AF500" s="198">
        <v>0</v>
      </c>
      <c r="AG500" s="198">
        <v>0</v>
      </c>
      <c r="AH500" s="198">
        <v>0</v>
      </c>
      <c r="AI500" s="198">
        <v>0</v>
      </c>
      <c r="AJ500" s="198">
        <v>0</v>
      </c>
      <c r="AK500" s="198">
        <v>0</v>
      </c>
      <c r="AL500" s="198">
        <v>0</v>
      </c>
      <c r="AM500" s="198">
        <v>0.13242073279100172</v>
      </c>
      <c r="AN500" s="198">
        <v>3.3840853935478268E-2</v>
      </c>
      <c r="AO500" s="198">
        <v>0</v>
      </c>
      <c r="AP500" s="198">
        <v>4.8384490945218277E-3</v>
      </c>
      <c r="AQ500" s="198">
        <v>6.0491767328061056E-3</v>
      </c>
      <c r="AS500" s="258">
        <f t="shared" si="64"/>
        <v>197244.79116159628</v>
      </c>
      <c r="AT500" s="3">
        <f t="shared" si="65"/>
        <v>24.804708669003411</v>
      </c>
      <c r="AU500" s="3">
        <f t="shared" si="63"/>
        <v>9.5744747014679064</v>
      </c>
      <c r="AV500" s="3">
        <f t="shared" si="66"/>
        <v>0</v>
      </c>
      <c r="AW500" s="3">
        <f t="shared" si="67"/>
        <v>0</v>
      </c>
      <c r="AX500" s="3">
        <f t="shared" si="68"/>
        <v>9.5744747014679064</v>
      </c>
      <c r="AY500" s="102">
        <f t="shared" si="69"/>
        <v>1</v>
      </c>
      <c r="AZ500" s="102">
        <f t="shared" si="70"/>
        <v>0</v>
      </c>
    </row>
    <row r="501" spans="1:52" x14ac:dyDescent="0.35">
      <c r="A501" t="s">
        <v>1017</v>
      </c>
      <c r="B501">
        <v>2035</v>
      </c>
      <c r="C501" t="s">
        <v>837</v>
      </c>
      <c r="D501" t="s">
        <v>1027</v>
      </c>
      <c r="E501" t="s">
        <v>1028</v>
      </c>
      <c r="F501" t="s">
        <v>983</v>
      </c>
      <c r="G501" t="s">
        <v>978</v>
      </c>
      <c r="H501" s="198">
        <v>76068.977763931078</v>
      </c>
      <c r="I501" s="198">
        <v>39393</v>
      </c>
      <c r="J501" s="198">
        <v>0</v>
      </c>
      <c r="K501" s="198">
        <v>0</v>
      </c>
      <c r="L501" s="198">
        <v>120</v>
      </c>
      <c r="M501" s="198">
        <v>0</v>
      </c>
      <c r="N501" s="198">
        <v>0</v>
      </c>
      <c r="O501" s="198">
        <v>150</v>
      </c>
      <c r="P501" s="198">
        <v>0</v>
      </c>
      <c r="Q501" s="198">
        <v>0</v>
      </c>
      <c r="R501" s="198">
        <v>156.5</v>
      </c>
      <c r="S501" s="198">
        <v>15118</v>
      </c>
      <c r="T501" s="198">
        <v>506</v>
      </c>
      <c r="U501" s="198">
        <v>1800</v>
      </c>
      <c r="V501" s="198">
        <v>1920</v>
      </c>
      <c r="W501" s="198">
        <v>0</v>
      </c>
      <c r="X501" s="198">
        <v>0</v>
      </c>
      <c r="Y501" s="198">
        <v>186</v>
      </c>
      <c r="Z501" s="277">
        <v>135418.47776393109</v>
      </c>
      <c r="AA501" s="272">
        <v>5.037324645</v>
      </c>
      <c r="AB501" s="198">
        <v>26.664985278112844</v>
      </c>
      <c r="AC501" s="272">
        <v>0</v>
      </c>
      <c r="AD501" s="198">
        <v>0</v>
      </c>
      <c r="AE501" s="198">
        <v>26.664985278112844</v>
      </c>
      <c r="AF501" s="198">
        <v>1996.0217413867617</v>
      </c>
      <c r="AG501" s="198">
        <v>0.87748634384689339</v>
      </c>
      <c r="AH501" s="198">
        <v>4.6364863081700394E-3</v>
      </c>
      <c r="AI501" s="198">
        <v>2023.5750003791791</v>
      </c>
      <c r="AJ501" s="198">
        <v>0.85146645389161979</v>
      </c>
      <c r="AK501" s="198">
        <v>19.869611322196221</v>
      </c>
      <c r="AL501" s="198">
        <v>0.93027580715203617</v>
      </c>
      <c r="AM501" s="198">
        <v>0.16721326685912236</v>
      </c>
      <c r="AN501" s="198">
        <v>6.8753707329694561E-2</v>
      </c>
      <c r="AO501" s="198">
        <v>1.3766486606445931E-2</v>
      </c>
      <c r="AP501" s="198">
        <v>1.1424068976707774E-2</v>
      </c>
      <c r="AQ501" s="198">
        <v>1.0850841122190072E-2</v>
      </c>
      <c r="AS501" s="258">
        <f t="shared" si="64"/>
        <v>181663.88792031354</v>
      </c>
      <c r="AT501" s="3">
        <f t="shared" si="65"/>
        <v>46.69445307141369</v>
      </c>
      <c r="AU501" s="3">
        <f t="shared" si="63"/>
        <v>18.023789982657878</v>
      </c>
      <c r="AV501" s="3">
        <f t="shared" si="66"/>
        <v>0</v>
      </c>
      <c r="AW501" s="3">
        <f t="shared" si="67"/>
        <v>0</v>
      </c>
      <c r="AX501" s="3">
        <f t="shared" si="68"/>
        <v>18.023789982657878</v>
      </c>
      <c r="AY501" s="102">
        <f t="shared" si="69"/>
        <v>1</v>
      </c>
      <c r="AZ501" s="102">
        <f t="shared" si="70"/>
        <v>0</v>
      </c>
    </row>
    <row r="502" spans="1:52" x14ac:dyDescent="0.35">
      <c r="A502" t="s">
        <v>1020</v>
      </c>
      <c r="B502">
        <v>2035</v>
      </c>
      <c r="C502" t="s">
        <v>837</v>
      </c>
      <c r="D502" t="s">
        <v>1027</v>
      </c>
      <c r="E502" t="s">
        <v>1028</v>
      </c>
      <c r="F502" t="s">
        <v>983</v>
      </c>
      <c r="G502" t="s">
        <v>978</v>
      </c>
      <c r="H502" s="198">
        <v>76068.977763931078</v>
      </c>
      <c r="I502" s="198">
        <v>39703</v>
      </c>
      <c r="J502" s="198">
        <v>0</v>
      </c>
      <c r="K502" s="198">
        <v>0</v>
      </c>
      <c r="L502" s="198">
        <v>150</v>
      </c>
      <c r="M502" s="198">
        <v>2050.1547731999999</v>
      </c>
      <c r="N502" s="198">
        <v>35</v>
      </c>
      <c r="O502" s="198">
        <v>150</v>
      </c>
      <c r="P502" s="198">
        <v>2119.0885767899999</v>
      </c>
      <c r="Q502" s="198">
        <v>0</v>
      </c>
      <c r="R502" s="198">
        <v>0</v>
      </c>
      <c r="S502" s="198">
        <v>15380</v>
      </c>
      <c r="T502" s="198">
        <v>392</v>
      </c>
      <c r="U502" s="198">
        <v>1800</v>
      </c>
      <c r="V502" s="198">
        <v>4720</v>
      </c>
      <c r="W502" s="198">
        <v>224</v>
      </c>
      <c r="X502" s="198">
        <v>1500</v>
      </c>
      <c r="Y502" s="198">
        <v>186</v>
      </c>
      <c r="Z502" s="277">
        <v>144478.22111392108</v>
      </c>
      <c r="AA502" s="272">
        <v>6.5349045469999991</v>
      </c>
      <c r="AB502" s="198">
        <v>20.554269237438646</v>
      </c>
      <c r="AC502" s="272">
        <v>0</v>
      </c>
      <c r="AD502" s="198">
        <v>0</v>
      </c>
      <c r="AE502" s="198">
        <v>20.554269237438646</v>
      </c>
      <c r="AF502" s="198">
        <v>1538.6008223271074</v>
      </c>
      <c r="AG502" s="198">
        <v>0.67639604430642963</v>
      </c>
      <c r="AH502" s="198">
        <v>3.5739598915904419E-3</v>
      </c>
      <c r="AI502" s="198">
        <v>1559.8398028775255</v>
      </c>
      <c r="AJ502" s="198">
        <v>0.65633903628294465</v>
      </c>
      <c r="AK502" s="198">
        <v>15.316165994470198</v>
      </c>
      <c r="AL502" s="198">
        <v>0.71708794157758338</v>
      </c>
      <c r="AM502" s="198">
        <v>0.12889362102574242</v>
      </c>
      <c r="AN502" s="198">
        <v>5.2997674545373526E-2</v>
      </c>
      <c r="AO502" s="198">
        <v>1.0611671793974027E-2</v>
      </c>
      <c r="AP502" s="198">
        <v>8.8060573476881447E-3</v>
      </c>
      <c r="AQ502" s="198">
        <v>8.3641940001832303E-3</v>
      </c>
      <c r="AS502" s="258">
        <f t="shared" si="64"/>
        <v>193817.53362432512</v>
      </c>
      <c r="AT502" s="3">
        <f t="shared" si="65"/>
        <v>35.993657986849882</v>
      </c>
      <c r="AU502" s="3">
        <f t="shared" si="63"/>
        <v>13.893344703500944</v>
      </c>
      <c r="AV502" s="3">
        <f t="shared" si="66"/>
        <v>0</v>
      </c>
      <c r="AW502" s="3">
        <f t="shared" si="67"/>
        <v>0</v>
      </c>
      <c r="AX502" s="3">
        <f t="shared" si="68"/>
        <v>13.893344703500944</v>
      </c>
      <c r="AY502" s="102">
        <f t="shared" si="69"/>
        <v>1</v>
      </c>
      <c r="AZ502" s="102">
        <f t="shared" si="70"/>
        <v>0</v>
      </c>
    </row>
    <row r="503" spans="1:52" x14ac:dyDescent="0.35">
      <c r="A503" t="s">
        <v>1021</v>
      </c>
      <c r="B503">
        <v>2035</v>
      </c>
      <c r="C503" t="s">
        <v>837</v>
      </c>
      <c r="D503" t="s">
        <v>1027</v>
      </c>
      <c r="E503" t="s">
        <v>1028</v>
      </c>
      <c r="F503" t="s">
        <v>983</v>
      </c>
      <c r="G503" t="s">
        <v>978</v>
      </c>
      <c r="H503" s="198">
        <v>76068.977763931078</v>
      </c>
      <c r="I503" s="198">
        <v>14385</v>
      </c>
      <c r="J503" s="198">
        <v>0</v>
      </c>
      <c r="K503" s="198">
        <v>0</v>
      </c>
      <c r="L503" s="198">
        <v>0</v>
      </c>
      <c r="M503" s="198">
        <v>48661.964999999997</v>
      </c>
      <c r="N503" s="198">
        <v>35</v>
      </c>
      <c r="O503" s="198">
        <v>0</v>
      </c>
      <c r="P503" s="198">
        <v>8402.5136511100009</v>
      </c>
      <c r="Q503" s="198">
        <v>0</v>
      </c>
      <c r="R503" s="198">
        <v>2874.04982453</v>
      </c>
      <c r="S503" s="198">
        <v>7945</v>
      </c>
      <c r="T503" s="198">
        <v>0</v>
      </c>
      <c r="U503" s="198">
        <v>1800</v>
      </c>
      <c r="V503" s="198">
        <v>4720</v>
      </c>
      <c r="W503" s="198">
        <v>224</v>
      </c>
      <c r="X503" s="198">
        <v>1500</v>
      </c>
      <c r="Y503" s="198">
        <v>186</v>
      </c>
      <c r="Z503" s="277">
        <v>166802.50623957106</v>
      </c>
      <c r="AA503" s="272">
        <v>42.021381815000005</v>
      </c>
      <c r="AB503" s="198">
        <v>3.1964724075792508</v>
      </c>
      <c r="AC503" s="272">
        <v>1544.8000000000002</v>
      </c>
      <c r="AD503" s="198">
        <v>5.5612800000000009</v>
      </c>
      <c r="AE503" s="198">
        <v>8.7577524075792521</v>
      </c>
      <c r="AF503" s="198">
        <v>239.2736524969354</v>
      </c>
      <c r="AG503" s="198">
        <v>0.10518891560898327</v>
      </c>
      <c r="AH503" s="198">
        <v>5.5580006505195412E-4</v>
      </c>
      <c r="AI503" s="198">
        <v>242.5766069591094</v>
      </c>
      <c r="AJ503" s="198">
        <v>0.10206977417977163</v>
      </c>
      <c r="AK503" s="198">
        <v>2.3818750949342156</v>
      </c>
      <c r="AL503" s="198">
        <v>0.11151706696949844</v>
      </c>
      <c r="AM503" s="198">
        <v>0.10226483412303783</v>
      </c>
      <c r="AN503" s="198">
        <v>2.9253672303401368E-2</v>
      </c>
      <c r="AO503" s="198">
        <v>1.6502613494009037E-3</v>
      </c>
      <c r="AP503" s="198">
        <v>4.3736588130477228E-3</v>
      </c>
      <c r="AQ503" s="198">
        <v>5.0566843520885099E-3</v>
      </c>
      <c r="AS503" s="258">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102">
        <f t="shared" si="69"/>
        <v>0.38470735958951757</v>
      </c>
      <c r="AZ503" s="102">
        <f t="shared" si="70"/>
        <v>0.61529264041048237</v>
      </c>
    </row>
    <row r="504" spans="1:52" x14ac:dyDescent="0.35">
      <c r="A504" t="s">
        <v>246</v>
      </c>
      <c r="B504">
        <v>2035</v>
      </c>
      <c r="C504" t="s">
        <v>837</v>
      </c>
      <c r="D504" t="s">
        <v>1027</v>
      </c>
      <c r="E504" t="s">
        <v>1028</v>
      </c>
      <c r="F504" t="s">
        <v>977</v>
      </c>
      <c r="G504" t="s">
        <v>978</v>
      </c>
      <c r="H504" s="198">
        <v>76068.977763931078</v>
      </c>
      <c r="I504" s="198">
        <v>0</v>
      </c>
      <c r="J504" s="198">
        <v>0</v>
      </c>
      <c r="K504" s="198">
        <v>0</v>
      </c>
      <c r="L504" s="198">
        <v>0</v>
      </c>
      <c r="M504" s="198">
        <v>93369.30750000001</v>
      </c>
      <c r="N504" s="198">
        <v>35</v>
      </c>
      <c r="O504" s="198">
        <v>0</v>
      </c>
      <c r="P504" s="198">
        <v>8233.2181882599998</v>
      </c>
      <c r="Q504" s="198">
        <v>0</v>
      </c>
      <c r="R504" s="198">
        <v>0</v>
      </c>
      <c r="S504" s="198">
        <v>7849</v>
      </c>
      <c r="T504" s="198">
        <v>0</v>
      </c>
      <c r="U504" s="198">
        <v>1800</v>
      </c>
      <c r="V504" s="198">
        <v>4500</v>
      </c>
      <c r="W504" s="198">
        <v>224</v>
      </c>
      <c r="X504" s="198">
        <v>1500</v>
      </c>
      <c r="Y504" s="198">
        <v>186</v>
      </c>
      <c r="Z504" s="277">
        <v>193765.5034521911</v>
      </c>
      <c r="AA504" s="272">
        <v>0</v>
      </c>
      <c r="AB504" s="198">
        <v>0</v>
      </c>
      <c r="AC504" s="272">
        <v>1829</v>
      </c>
      <c r="AD504" s="198">
        <v>6.5843999999999996</v>
      </c>
      <c r="AE504" s="198">
        <v>6.5843999999999996</v>
      </c>
      <c r="AF504" s="198">
        <v>0</v>
      </c>
      <c r="AG504" s="198">
        <v>0</v>
      </c>
      <c r="AH504" s="198">
        <v>0</v>
      </c>
      <c r="AI504" s="198">
        <v>0</v>
      </c>
      <c r="AJ504" s="198">
        <v>0</v>
      </c>
      <c r="AK504" s="198">
        <v>0</v>
      </c>
      <c r="AL504" s="198">
        <v>0</v>
      </c>
      <c r="AM504" s="198">
        <v>9.734629676143676E-2</v>
      </c>
      <c r="AN504" s="198">
        <v>2.4877386950144888E-2</v>
      </c>
      <c r="AO504" s="198">
        <v>0</v>
      </c>
      <c r="AP504" s="198">
        <v>3.5568833633008671E-3</v>
      </c>
      <c r="AQ504" s="198">
        <v>4.4469241408255653E-3</v>
      </c>
      <c r="AS504" s="258">
        <f t="shared" si="64"/>
        <v>259936.42288111435</v>
      </c>
      <c r="AT504" s="3">
        <f t="shared" si="65"/>
        <v>0</v>
      </c>
      <c r="AU504" s="3">
        <f t="shared" si="63"/>
        <v>0</v>
      </c>
      <c r="AV504" s="3">
        <f t="shared" si="66"/>
        <v>113.64907353324966</v>
      </c>
      <c r="AW504" s="3">
        <f t="shared" si="67"/>
        <v>4.0913666471969883</v>
      </c>
      <c r="AX504" s="3">
        <f t="shared" si="68"/>
        <v>4.0913666471969883</v>
      </c>
      <c r="AY504" s="102">
        <f t="shared" si="69"/>
        <v>0</v>
      </c>
      <c r="AZ504" s="102">
        <f t="shared" si="70"/>
        <v>1</v>
      </c>
    </row>
    <row r="505" spans="1:52" x14ac:dyDescent="0.35">
      <c r="A505" t="s">
        <v>627</v>
      </c>
      <c r="B505">
        <v>2035</v>
      </c>
      <c r="C505" t="s">
        <v>837</v>
      </c>
      <c r="D505" t="s">
        <v>1027</v>
      </c>
      <c r="E505" t="s">
        <v>1028</v>
      </c>
      <c r="F505" t="s">
        <v>989</v>
      </c>
      <c r="G505" t="s">
        <v>978</v>
      </c>
      <c r="H505" s="198">
        <v>76068.977763931078</v>
      </c>
      <c r="I505" s="198">
        <v>0</v>
      </c>
      <c r="J505" s="198">
        <v>40939.624038679241</v>
      </c>
      <c r="K505" s="198">
        <v>18473.238283500003</v>
      </c>
      <c r="L505" s="198">
        <v>0</v>
      </c>
      <c r="M505" s="198">
        <v>5338.9447235999996</v>
      </c>
      <c r="N505" s="198">
        <v>35</v>
      </c>
      <c r="O505" s="198">
        <v>0</v>
      </c>
      <c r="P505" s="198">
        <v>8426.9291685600001</v>
      </c>
      <c r="Q505" s="198">
        <v>0</v>
      </c>
      <c r="R505" s="198">
        <v>0</v>
      </c>
      <c r="S505" s="198">
        <v>7959</v>
      </c>
      <c r="T505" s="198">
        <v>0</v>
      </c>
      <c r="U505" s="198">
        <v>1800</v>
      </c>
      <c r="V505" s="198">
        <v>4500</v>
      </c>
      <c r="W505" s="198">
        <v>224</v>
      </c>
      <c r="X505" s="198">
        <v>1500</v>
      </c>
      <c r="Y505" s="198">
        <v>186</v>
      </c>
      <c r="Z505" s="277">
        <v>165451.71397827033</v>
      </c>
      <c r="AA505" s="272">
        <v>8.4354963830000003</v>
      </c>
      <c r="AB505" s="198">
        <v>15.923210846334378</v>
      </c>
      <c r="AC505" s="272">
        <v>0</v>
      </c>
      <c r="AD505" s="198">
        <v>0</v>
      </c>
      <c r="AE505" s="198">
        <v>15.923210846334378</v>
      </c>
      <c r="AF505" s="198">
        <v>0</v>
      </c>
      <c r="AG505" s="198">
        <v>0</v>
      </c>
      <c r="AH505" s="198">
        <v>0</v>
      </c>
      <c r="AI505" s="198">
        <v>0</v>
      </c>
      <c r="AJ505" s="198">
        <v>0</v>
      </c>
      <c r="AK505" s="198">
        <v>0</v>
      </c>
      <c r="AL505" s="198">
        <v>0</v>
      </c>
      <c r="AM505" s="198">
        <v>0.14885946257489938</v>
      </c>
      <c r="AN505" s="198">
        <v>3.8041862658029904E-2</v>
      </c>
      <c r="AO505" s="198">
        <v>0</v>
      </c>
      <c r="AP505" s="198">
        <v>5.4390948964410978E-3</v>
      </c>
      <c r="AQ505" s="198">
        <v>6.8001224467419043E-3</v>
      </c>
      <c r="AS505" s="258">
        <f t="shared" si="64"/>
        <v>221953.47430184964</v>
      </c>
      <c r="AT505" s="3">
        <f t="shared" si="65"/>
        <v>27.883968952373166</v>
      </c>
      <c r="AU505" s="3">
        <f t="shared" si="63"/>
        <v>10.763051438077616</v>
      </c>
      <c r="AV505" s="3">
        <f t="shared" si="66"/>
        <v>0</v>
      </c>
      <c r="AW505" s="3">
        <f t="shared" si="67"/>
        <v>0</v>
      </c>
      <c r="AX505" s="3">
        <f t="shared" si="68"/>
        <v>10.763051438077616</v>
      </c>
      <c r="AY505" s="102">
        <f t="shared" si="69"/>
        <v>1</v>
      </c>
      <c r="AZ505" s="102">
        <f t="shared" si="70"/>
        <v>0</v>
      </c>
    </row>
    <row r="506" spans="1:52" x14ac:dyDescent="0.35">
      <c r="A506" t="s">
        <v>1065</v>
      </c>
      <c r="B506">
        <v>2035</v>
      </c>
      <c r="C506" t="s">
        <v>837</v>
      </c>
      <c r="D506" t="s">
        <v>1027</v>
      </c>
      <c r="E506" t="s">
        <v>1028</v>
      </c>
      <c r="F506" t="s">
        <v>989</v>
      </c>
      <c r="G506" t="s">
        <v>978</v>
      </c>
      <c r="H506" s="198">
        <v>76068.977763931078</v>
      </c>
      <c r="I506" s="198">
        <v>0</v>
      </c>
      <c r="J506" s="198">
        <v>13237.456218396224</v>
      </c>
      <c r="K506" s="198">
        <v>15239.366034750003</v>
      </c>
      <c r="L506" s="198">
        <v>0</v>
      </c>
      <c r="M506" s="198">
        <v>9584.9325000000008</v>
      </c>
      <c r="N506" s="198">
        <v>35</v>
      </c>
      <c r="O506" s="198">
        <v>0</v>
      </c>
      <c r="P506" s="198">
        <v>8375.9111754699989</v>
      </c>
      <c r="Q506" s="198">
        <v>0</v>
      </c>
      <c r="R506" s="198">
        <v>0</v>
      </c>
      <c r="S506" s="198">
        <v>7930</v>
      </c>
      <c r="T506" s="198">
        <v>0</v>
      </c>
      <c r="U506" s="198">
        <v>1800</v>
      </c>
      <c r="V506" s="198">
        <v>4500</v>
      </c>
      <c r="W506" s="198">
        <v>224</v>
      </c>
      <c r="X506" s="198">
        <v>1500</v>
      </c>
      <c r="Y506" s="198">
        <v>186</v>
      </c>
      <c r="Z506" s="277">
        <v>138681.64369254728</v>
      </c>
      <c r="AA506" s="272">
        <v>10.25564552</v>
      </c>
      <c r="AB506" s="198">
        <v>13.097194831671601</v>
      </c>
      <c r="AC506" s="272">
        <v>0</v>
      </c>
      <c r="AD506" s="198">
        <v>0</v>
      </c>
      <c r="AE506" s="198">
        <v>13.097194831671601</v>
      </c>
      <c r="AF506" s="198">
        <v>0</v>
      </c>
      <c r="AG506" s="198">
        <v>0</v>
      </c>
      <c r="AH506" s="198">
        <v>0</v>
      </c>
      <c r="AI506" s="198">
        <v>0</v>
      </c>
      <c r="AJ506" s="198">
        <v>0</v>
      </c>
      <c r="AK506" s="198">
        <v>0</v>
      </c>
      <c r="AL506" s="198">
        <v>0</v>
      </c>
      <c r="AM506" s="198">
        <v>0.12244021653021091</v>
      </c>
      <c r="AN506" s="198">
        <v>3.1290277557720618E-2</v>
      </c>
      <c r="AO506" s="198">
        <v>0</v>
      </c>
      <c r="AP506" s="198">
        <v>4.4737764420822767E-3</v>
      </c>
      <c r="AQ506" s="198">
        <v>5.5932518525122002E-3</v>
      </c>
      <c r="AS506" s="258">
        <f t="shared" si="64"/>
        <v>186041.42501355216</v>
      </c>
      <c r="AT506" s="3">
        <f t="shared" si="65"/>
        <v>22.935184214657621</v>
      </c>
      <c r="AU506" s="3">
        <f t="shared" si="63"/>
        <v>8.852849028263476</v>
      </c>
      <c r="AV506" s="3">
        <f t="shared" si="66"/>
        <v>0</v>
      </c>
      <c r="AW506" s="3">
        <f t="shared" si="67"/>
        <v>0</v>
      </c>
      <c r="AX506" s="3">
        <f t="shared" si="68"/>
        <v>8.852849028263476</v>
      </c>
      <c r="AY506" s="102">
        <f t="shared" si="69"/>
        <v>1</v>
      </c>
      <c r="AZ506" s="102">
        <f t="shared" si="70"/>
        <v>0</v>
      </c>
    </row>
    <row r="507" spans="1:52" x14ac:dyDescent="0.35">
      <c r="A507" t="s">
        <v>1017</v>
      </c>
      <c r="B507">
        <v>2050</v>
      </c>
      <c r="C507" t="s">
        <v>837</v>
      </c>
      <c r="D507" t="s">
        <v>1027</v>
      </c>
      <c r="E507" t="s">
        <v>1028</v>
      </c>
      <c r="F507" t="s">
        <v>983</v>
      </c>
      <c r="G507" t="s">
        <v>978</v>
      </c>
      <c r="H507" s="198">
        <v>76383.702181738205</v>
      </c>
      <c r="I507" s="198">
        <v>42533</v>
      </c>
      <c r="J507" s="198">
        <v>0</v>
      </c>
      <c r="K507" s="198">
        <v>0</v>
      </c>
      <c r="L507" s="198">
        <v>120</v>
      </c>
      <c r="M507" s="198">
        <v>0</v>
      </c>
      <c r="N507" s="198">
        <v>0</v>
      </c>
      <c r="O507" s="198">
        <v>150</v>
      </c>
      <c r="P507" s="198">
        <v>0</v>
      </c>
      <c r="Q507" s="198">
        <v>0</v>
      </c>
      <c r="R507" s="198">
        <v>110</v>
      </c>
      <c r="S507" s="198">
        <v>15084</v>
      </c>
      <c r="T507" s="198">
        <v>506</v>
      </c>
      <c r="U507" s="198">
        <v>1800</v>
      </c>
      <c r="V507" s="198">
        <v>1920</v>
      </c>
      <c r="W507" s="198">
        <v>0</v>
      </c>
      <c r="X507" s="198">
        <v>0</v>
      </c>
      <c r="Y507" s="198">
        <v>186</v>
      </c>
      <c r="Z507" s="277">
        <v>138792.70218173822</v>
      </c>
      <c r="AA507" s="272">
        <v>5.4475975390000002</v>
      </c>
      <c r="AB507" s="198">
        <v>24.656775126720682</v>
      </c>
      <c r="AC507" s="272">
        <v>0</v>
      </c>
      <c r="AD507" s="198">
        <v>0</v>
      </c>
      <c r="AE507" s="198">
        <v>24.656775126720682</v>
      </c>
      <c r="AF507" s="198">
        <v>1845.6960959140617</v>
      </c>
      <c r="AG507" s="198">
        <v>0.81140054012182039</v>
      </c>
      <c r="AH507" s="198">
        <v>4.2873003336140912E-3</v>
      </c>
      <c r="AI507" s="198">
        <v>1871.1742465261295</v>
      </c>
      <c r="AJ507" s="198">
        <v>0.7873402764930304</v>
      </c>
      <c r="AK507" s="198">
        <v>18.373178650463085</v>
      </c>
      <c r="AL507" s="198">
        <v>0.86021429014641071</v>
      </c>
      <c r="AM507" s="198">
        <v>0.15461999607904933</v>
      </c>
      <c r="AN507" s="198">
        <v>6.3575684856954987E-2</v>
      </c>
      <c r="AO507" s="198">
        <v>1.2729696303967822E-2</v>
      </c>
      <c r="AP507" s="198">
        <v>1.0563692304830891E-2</v>
      </c>
      <c r="AQ507" s="198">
        <v>1.0033635747221726E-2</v>
      </c>
      <c r="AS507" s="258">
        <f t="shared" si="64"/>
        <v>186190.40997680181</v>
      </c>
      <c r="AT507" s="3">
        <f t="shared" si="65"/>
        <v>43.177771037139777</v>
      </c>
      <c r="AU507" s="3">
        <f t="shared" si="63"/>
        <v>16.666370969213162</v>
      </c>
      <c r="AV507" s="3">
        <f t="shared" si="66"/>
        <v>0</v>
      </c>
      <c r="AW507" s="3">
        <f t="shared" si="67"/>
        <v>0</v>
      </c>
      <c r="AX507" s="3">
        <f t="shared" si="68"/>
        <v>16.666370969213162</v>
      </c>
      <c r="AY507" s="102">
        <f t="shared" si="69"/>
        <v>1</v>
      </c>
      <c r="AZ507" s="102">
        <f t="shared" si="70"/>
        <v>0</v>
      </c>
    </row>
    <row r="508" spans="1:52" x14ac:dyDescent="0.35">
      <c r="A508" t="s">
        <v>1020</v>
      </c>
      <c r="B508">
        <v>2050</v>
      </c>
      <c r="C508" t="s">
        <v>837</v>
      </c>
      <c r="D508" t="s">
        <v>1027</v>
      </c>
      <c r="E508" t="s">
        <v>1028</v>
      </c>
      <c r="F508" t="s">
        <v>983</v>
      </c>
      <c r="G508" t="s">
        <v>978</v>
      </c>
      <c r="H508" s="198">
        <v>76383.702181738205</v>
      </c>
      <c r="I508" s="198">
        <v>42883</v>
      </c>
      <c r="J508" s="198">
        <v>0</v>
      </c>
      <c r="K508" s="198">
        <v>0</v>
      </c>
      <c r="L508" s="198">
        <v>150</v>
      </c>
      <c r="M508" s="198">
        <v>2299.3055271000003</v>
      </c>
      <c r="N508" s="198">
        <v>28.89</v>
      </c>
      <c r="O508" s="198">
        <v>150</v>
      </c>
      <c r="P508" s="198">
        <v>1487.0215558</v>
      </c>
      <c r="Q508" s="198">
        <v>0</v>
      </c>
      <c r="R508" s="198">
        <v>0</v>
      </c>
      <c r="S508" s="198">
        <v>15380</v>
      </c>
      <c r="T508" s="198">
        <v>392</v>
      </c>
      <c r="U508" s="198">
        <v>1800</v>
      </c>
      <c r="V508" s="198">
        <v>4720</v>
      </c>
      <c r="W508" s="198">
        <v>161.78399999999999</v>
      </c>
      <c r="X508" s="198">
        <v>1500</v>
      </c>
      <c r="Y508" s="198">
        <v>186</v>
      </c>
      <c r="Z508" s="277">
        <v>147521.70326463823</v>
      </c>
      <c r="AA508" s="272">
        <v>7.4068731200000002</v>
      </c>
      <c r="AB508" s="198">
        <v>18.134533334627989</v>
      </c>
      <c r="AC508" s="272">
        <v>0</v>
      </c>
      <c r="AD508" s="198">
        <v>0</v>
      </c>
      <c r="AE508" s="198">
        <v>18.134533334627989</v>
      </c>
      <c r="AF508" s="198">
        <v>1357.4701965251636</v>
      </c>
      <c r="AG508" s="198">
        <v>0.59676782819129759</v>
      </c>
      <c r="AH508" s="198">
        <v>3.1532181485984471E-3</v>
      </c>
      <c r="AI508" s="198">
        <v>1376.208834047899</v>
      </c>
      <c r="AJ508" s="198">
        <v>0.57907201636782091</v>
      </c>
      <c r="AK508" s="198">
        <v>13.513081860361348</v>
      </c>
      <c r="AL508" s="198">
        <v>0.6326693024295007</v>
      </c>
      <c r="AM508" s="198">
        <v>0.11371971633293197</v>
      </c>
      <c r="AN508" s="198">
        <v>4.6758563128591508E-2</v>
      </c>
      <c r="AO508" s="198">
        <v>9.3624207049617329E-3</v>
      </c>
      <c r="AP508" s="198">
        <v>7.7693708627413352E-3</v>
      </c>
      <c r="AQ508" s="198">
        <v>7.3795255458335039E-3</v>
      </c>
      <c r="AS508" s="258">
        <f t="shared" si="64"/>
        <v>197900.36492951217</v>
      </c>
      <c r="AT508" s="3">
        <f t="shared" si="65"/>
        <v>31.756331643686661</v>
      </c>
      <c r="AU508" s="3">
        <f t="shared" si="63"/>
        <v>12.257761136854288</v>
      </c>
      <c r="AV508" s="3">
        <f t="shared" si="66"/>
        <v>0</v>
      </c>
      <c r="AW508" s="3">
        <f t="shared" si="67"/>
        <v>0</v>
      </c>
      <c r="AX508" s="3">
        <f t="shared" si="68"/>
        <v>12.257761136854288</v>
      </c>
      <c r="AY508" s="102">
        <f t="shared" si="69"/>
        <v>1</v>
      </c>
      <c r="AZ508" s="102">
        <f t="shared" si="70"/>
        <v>0</v>
      </c>
    </row>
    <row r="509" spans="1:52" x14ac:dyDescent="0.35">
      <c r="A509" t="s">
        <v>1021</v>
      </c>
      <c r="B509">
        <v>2050</v>
      </c>
      <c r="C509" t="s">
        <v>837</v>
      </c>
      <c r="D509" t="s">
        <v>1027</v>
      </c>
      <c r="E509" t="s">
        <v>1028</v>
      </c>
      <c r="F509" t="s">
        <v>983</v>
      </c>
      <c r="G509" t="s">
        <v>978</v>
      </c>
      <c r="H509" s="198">
        <v>76383.702181738205</v>
      </c>
      <c r="I509" s="198">
        <v>17025</v>
      </c>
      <c r="J509" s="198">
        <v>0</v>
      </c>
      <c r="K509" s="198">
        <v>0</v>
      </c>
      <c r="L509" s="198">
        <v>0</v>
      </c>
      <c r="M509" s="198">
        <v>33538.574999999997</v>
      </c>
      <c r="N509" s="198">
        <v>28.89</v>
      </c>
      <c r="O509" s="198">
        <v>0</v>
      </c>
      <c r="P509" s="198">
        <v>5843.6381783999996</v>
      </c>
      <c r="Q509" s="198">
        <v>0</v>
      </c>
      <c r="R509" s="198">
        <v>1822.432953</v>
      </c>
      <c r="S509" s="198">
        <v>7910</v>
      </c>
      <c r="T509" s="198">
        <v>0</v>
      </c>
      <c r="U509" s="198">
        <v>1800</v>
      </c>
      <c r="V509" s="198">
        <v>4720</v>
      </c>
      <c r="W509" s="198">
        <v>161.78399999999999</v>
      </c>
      <c r="X509" s="198">
        <v>1500</v>
      </c>
      <c r="Y509" s="198">
        <v>186</v>
      </c>
      <c r="Z509" s="277">
        <v>150920.02231313824</v>
      </c>
      <c r="AA509" s="272">
        <v>49.574526870000014</v>
      </c>
      <c r="AB509" s="198">
        <v>2.7094597968071334</v>
      </c>
      <c r="AC509" s="272">
        <v>1380.8000000000002</v>
      </c>
      <c r="AD509" s="198">
        <v>4.9708800000000002</v>
      </c>
      <c r="AE509" s="198">
        <v>7.6803397968071341</v>
      </c>
      <c r="AF509" s="198">
        <v>202.81806291787106</v>
      </c>
      <c r="AG509" s="198">
        <v>8.9162395782455175E-2</v>
      </c>
      <c r="AH509" s="198">
        <v>4.7111870190098696E-4</v>
      </c>
      <c r="AI509" s="198">
        <v>205.6177812275694</v>
      </c>
      <c r="AJ509" s="198">
        <v>8.6518484862728284E-2</v>
      </c>
      <c r="AK509" s="198">
        <v>2.0189740400818481</v>
      </c>
      <c r="AL509" s="198">
        <v>9.4526393813150228E-2</v>
      </c>
      <c r="AM509" s="198">
        <v>9.048212999825489E-2</v>
      </c>
      <c r="AN509" s="198">
        <v>2.5767278203932469E-2</v>
      </c>
      <c r="AO509" s="198">
        <v>1.3988285241644403E-3</v>
      </c>
      <c r="AP509" s="198">
        <v>3.8460749683486227E-3</v>
      </c>
      <c r="AQ509" s="198">
        <v>4.4597631847791731E-3</v>
      </c>
      <c r="AS509" s="258">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102">
        <f t="shared" si="69"/>
        <v>0.37222526152663771</v>
      </c>
      <c r="AZ509" s="102">
        <f t="shared" si="70"/>
        <v>0.62777473847336218</v>
      </c>
    </row>
    <row r="510" spans="1:52" x14ac:dyDescent="0.35">
      <c r="A510" t="s">
        <v>246</v>
      </c>
      <c r="B510">
        <v>2050</v>
      </c>
      <c r="C510" t="s">
        <v>837</v>
      </c>
      <c r="D510" t="s">
        <v>1027</v>
      </c>
      <c r="E510" t="s">
        <v>1028</v>
      </c>
      <c r="F510" t="s">
        <v>977</v>
      </c>
      <c r="G510" t="s">
        <v>978</v>
      </c>
      <c r="H510" s="198">
        <v>76383.702181738205</v>
      </c>
      <c r="I510" s="198">
        <v>0</v>
      </c>
      <c r="J510" s="198">
        <v>0</v>
      </c>
      <c r="K510" s="198">
        <v>0</v>
      </c>
      <c r="L510" s="198">
        <v>0</v>
      </c>
      <c r="M510" s="198">
        <v>64296.75</v>
      </c>
      <c r="N510" s="198">
        <v>28.89</v>
      </c>
      <c r="O510" s="198">
        <v>0</v>
      </c>
      <c r="P510" s="198">
        <v>5726.6778866000004</v>
      </c>
      <c r="Q510" s="198">
        <v>0</v>
      </c>
      <c r="R510" s="198">
        <v>0</v>
      </c>
      <c r="S510" s="198">
        <v>7815</v>
      </c>
      <c r="T510" s="198">
        <v>0</v>
      </c>
      <c r="U510" s="198">
        <v>1800</v>
      </c>
      <c r="V510" s="198">
        <v>4500</v>
      </c>
      <c r="W510" s="198">
        <v>161.78399999999999</v>
      </c>
      <c r="X510" s="198">
        <v>1500</v>
      </c>
      <c r="Y510" s="198">
        <v>186</v>
      </c>
      <c r="Z510" s="277">
        <v>162398.80406833824</v>
      </c>
      <c r="AA510" s="272">
        <v>0</v>
      </c>
      <c r="AB510" s="198">
        <v>0</v>
      </c>
      <c r="AC510" s="272">
        <v>1609</v>
      </c>
      <c r="AD510" s="198">
        <v>5.7923999999999998</v>
      </c>
      <c r="AE510" s="198">
        <v>5.7923999999999998</v>
      </c>
      <c r="AF510" s="198">
        <v>0</v>
      </c>
      <c r="AG510" s="198">
        <v>0</v>
      </c>
      <c r="AH510" s="198">
        <v>0</v>
      </c>
      <c r="AI510" s="198">
        <v>0</v>
      </c>
      <c r="AJ510" s="198">
        <v>0</v>
      </c>
      <c r="AK510" s="198">
        <v>0</v>
      </c>
      <c r="AL510" s="198">
        <v>0</v>
      </c>
      <c r="AM510" s="198">
        <v>8.5637064783571221E-2</v>
      </c>
      <c r="AN510" s="198">
        <v>2.1885027666912589E-2</v>
      </c>
      <c r="AO510" s="198">
        <v>0</v>
      </c>
      <c r="AP510" s="198">
        <v>3.1290461080104403E-3</v>
      </c>
      <c r="AQ510" s="198">
        <v>3.9120289461937316E-3</v>
      </c>
      <c r="AS510" s="258">
        <f t="shared" si="64"/>
        <v>217857.99565767572</v>
      </c>
      <c r="AT510" s="3">
        <f t="shared" si="65"/>
        <v>0</v>
      </c>
      <c r="AU510" s="3">
        <f t="shared" si="63"/>
        <v>0</v>
      </c>
      <c r="AV510" s="3">
        <f t="shared" si="66"/>
        <v>99.978873326953902</v>
      </c>
      <c r="AW510" s="3">
        <f t="shared" si="67"/>
        <v>3.5992394397703409</v>
      </c>
      <c r="AX510" s="3">
        <f t="shared" si="68"/>
        <v>3.5992394397703409</v>
      </c>
      <c r="AY510" s="102">
        <f t="shared" si="69"/>
        <v>0</v>
      </c>
      <c r="AZ510" s="102">
        <f t="shared" si="70"/>
        <v>1</v>
      </c>
    </row>
    <row r="511" spans="1:52" x14ac:dyDescent="0.35">
      <c r="A511" t="s">
        <v>627</v>
      </c>
      <c r="B511">
        <v>2050</v>
      </c>
      <c r="C511" t="s">
        <v>837</v>
      </c>
      <c r="D511" t="s">
        <v>1027</v>
      </c>
      <c r="E511" t="s">
        <v>1028</v>
      </c>
      <c r="F511" t="s">
        <v>989</v>
      </c>
      <c r="G511" t="s">
        <v>978</v>
      </c>
      <c r="H511" s="198">
        <v>76383.702181738205</v>
      </c>
      <c r="I511" s="198">
        <v>0</v>
      </c>
      <c r="J511" s="198">
        <v>34873.601236000002</v>
      </c>
      <c r="K511" s="198">
        <v>15162.449642999998</v>
      </c>
      <c r="L511" s="198">
        <v>0</v>
      </c>
      <c r="M511" s="198">
        <v>5748.2638185999995</v>
      </c>
      <c r="N511" s="198">
        <v>28.89</v>
      </c>
      <c r="O511" s="198">
        <v>0</v>
      </c>
      <c r="P511" s="198">
        <v>5861.1094509000004</v>
      </c>
      <c r="Q511" s="198">
        <v>0</v>
      </c>
      <c r="R511" s="198">
        <v>0</v>
      </c>
      <c r="S511" s="198">
        <v>7924</v>
      </c>
      <c r="T511" s="198">
        <v>0</v>
      </c>
      <c r="U511" s="198">
        <v>1800</v>
      </c>
      <c r="V511" s="198">
        <v>4500</v>
      </c>
      <c r="W511" s="198">
        <v>161.78399999999999</v>
      </c>
      <c r="X511" s="198">
        <v>1500</v>
      </c>
      <c r="Y511" s="198">
        <v>186</v>
      </c>
      <c r="Z511" s="277">
        <v>154129.80033023824</v>
      </c>
      <c r="AA511" s="272">
        <v>9.6705181739999997</v>
      </c>
      <c r="AB511" s="198">
        <v>13.889657729110226</v>
      </c>
      <c r="AC511" s="272">
        <v>0</v>
      </c>
      <c r="AD511" s="198">
        <v>0</v>
      </c>
      <c r="AE511" s="198">
        <v>13.889657729110226</v>
      </c>
      <c r="AF511" s="198">
        <v>0</v>
      </c>
      <c r="AG511" s="198">
        <v>0</v>
      </c>
      <c r="AH511" s="198">
        <v>0</v>
      </c>
      <c r="AI511" s="198">
        <v>0</v>
      </c>
      <c r="AJ511" s="198">
        <v>0</v>
      </c>
      <c r="AK511" s="198">
        <v>0</v>
      </c>
      <c r="AL511" s="198">
        <v>0</v>
      </c>
      <c r="AM511" s="198">
        <v>0.12984862191789801</v>
      </c>
      <c r="AN511" s="198">
        <v>3.3183536712351767E-2</v>
      </c>
      <c r="AO511" s="198">
        <v>0</v>
      </c>
      <c r="AP511" s="198">
        <v>4.7444681350249478E-3</v>
      </c>
      <c r="AQ511" s="198">
        <v>5.9316788688399446E-3</v>
      </c>
      <c r="AS511" s="258">
        <f t="shared" si="64"/>
        <v>206765.1271430146</v>
      </c>
      <c r="AT511" s="3">
        <f t="shared" si="65"/>
        <v>24.322907522559003</v>
      </c>
      <c r="AU511" s="3">
        <f t="shared" si="63"/>
        <v>9.3885022335253687</v>
      </c>
      <c r="AV511" s="3">
        <f t="shared" si="66"/>
        <v>0</v>
      </c>
      <c r="AW511" s="3">
        <f t="shared" si="67"/>
        <v>0</v>
      </c>
      <c r="AX511" s="3">
        <f t="shared" si="68"/>
        <v>9.3885022335253687</v>
      </c>
      <c r="AY511" s="102">
        <f t="shared" si="69"/>
        <v>1</v>
      </c>
      <c r="AZ511" s="102">
        <f t="shared" si="70"/>
        <v>0</v>
      </c>
    </row>
    <row r="512" spans="1:52" x14ac:dyDescent="0.35">
      <c r="A512" t="s">
        <v>1065</v>
      </c>
      <c r="B512">
        <v>2050</v>
      </c>
      <c r="C512" t="s">
        <v>837</v>
      </c>
      <c r="D512" t="s">
        <v>1027</v>
      </c>
      <c r="E512" t="s">
        <v>1028</v>
      </c>
      <c r="F512" t="s">
        <v>989</v>
      </c>
      <c r="G512" t="s">
        <v>978</v>
      </c>
      <c r="H512" s="198">
        <v>76383.702181738205</v>
      </c>
      <c r="I512" s="198">
        <v>0</v>
      </c>
      <c r="J512" s="198">
        <v>10260.8210275</v>
      </c>
      <c r="K512" s="198">
        <v>12460.650740999998</v>
      </c>
      <c r="L512" s="198">
        <v>0</v>
      </c>
      <c r="M512" s="198">
        <v>7611.3450000000003</v>
      </c>
      <c r="N512" s="198">
        <v>28.89</v>
      </c>
      <c r="O512" s="198">
        <v>0</v>
      </c>
      <c r="P512" s="198">
        <v>5868.9087566999997</v>
      </c>
      <c r="Q512" s="198">
        <v>0</v>
      </c>
      <c r="R512" s="198">
        <v>0</v>
      </c>
      <c r="S512" s="198">
        <v>7930</v>
      </c>
      <c r="T512" s="198">
        <v>0</v>
      </c>
      <c r="U512" s="198">
        <v>1800</v>
      </c>
      <c r="V512" s="198">
        <v>4500</v>
      </c>
      <c r="W512" s="198">
        <v>161.78399999999999</v>
      </c>
      <c r="X512" s="198">
        <v>1500</v>
      </c>
      <c r="Y512" s="198">
        <v>186</v>
      </c>
      <c r="Z512" s="277">
        <v>128692.10170693821</v>
      </c>
      <c r="AA512" s="272">
        <v>11.837398200000001</v>
      </c>
      <c r="AB512" s="198">
        <v>11.347103918494522</v>
      </c>
      <c r="AC512" s="272">
        <v>0</v>
      </c>
      <c r="AD512" s="198">
        <v>0</v>
      </c>
      <c r="AE512" s="198">
        <v>11.347103918494522</v>
      </c>
      <c r="AF512" s="198">
        <v>0</v>
      </c>
      <c r="AG512" s="198">
        <v>0</v>
      </c>
      <c r="AH512" s="198">
        <v>0</v>
      </c>
      <c r="AI512" s="198">
        <v>0</v>
      </c>
      <c r="AJ512" s="198">
        <v>0</v>
      </c>
      <c r="AK512" s="198">
        <v>0</v>
      </c>
      <c r="AL512" s="198">
        <v>0</v>
      </c>
      <c r="AM512" s="198">
        <v>0.10607934589257016</v>
      </c>
      <c r="AN512" s="198">
        <v>2.7109166172545753E-2</v>
      </c>
      <c r="AO512" s="198">
        <v>0</v>
      </c>
      <c r="AP512" s="198">
        <v>3.8759754931385715E-3</v>
      </c>
      <c r="AQ512" s="198">
        <v>4.8458628605945213E-3</v>
      </c>
      <c r="AS512" s="258">
        <f t="shared" si="64"/>
        <v>172640.4544398576</v>
      </c>
      <c r="AT512" s="3">
        <f t="shared" si="65"/>
        <v>19.870508304893225</v>
      </c>
      <c r="AU512" s="3">
        <f t="shared" si="63"/>
        <v>7.6699017758772916</v>
      </c>
      <c r="AV512" s="3">
        <f t="shared" si="66"/>
        <v>0</v>
      </c>
      <c r="AW512" s="3">
        <f t="shared" si="67"/>
        <v>0</v>
      </c>
      <c r="AX512" s="3">
        <f t="shared" si="68"/>
        <v>7.6699017758772916</v>
      </c>
      <c r="AY512" s="102">
        <f t="shared" si="69"/>
        <v>1</v>
      </c>
      <c r="AZ512" s="102">
        <f t="shared" si="70"/>
        <v>0</v>
      </c>
    </row>
    <row r="513" spans="1:52" x14ac:dyDescent="0.35">
      <c r="A513" t="s">
        <v>1017</v>
      </c>
      <c r="B513">
        <v>2021</v>
      </c>
      <c r="C513" t="s">
        <v>837</v>
      </c>
      <c r="D513" t="s">
        <v>1074</v>
      </c>
      <c r="E513" t="s">
        <v>1030</v>
      </c>
      <c r="F513" t="s">
        <v>983</v>
      </c>
      <c r="G513" t="s">
        <v>978</v>
      </c>
      <c r="H513" s="198">
        <v>62000</v>
      </c>
      <c r="I513" s="198">
        <v>27705</v>
      </c>
      <c r="J513" s="198">
        <v>0</v>
      </c>
      <c r="K513" s="198">
        <v>0</v>
      </c>
      <c r="L513" s="198">
        <v>120</v>
      </c>
      <c r="M513" s="198">
        <v>0</v>
      </c>
      <c r="N513" s="198">
        <v>0</v>
      </c>
      <c r="O513" s="198">
        <v>300</v>
      </c>
      <c r="P513" s="198">
        <v>0</v>
      </c>
      <c r="Q513" s="198">
        <v>0</v>
      </c>
      <c r="R513" s="198">
        <v>262</v>
      </c>
      <c r="S513" s="198">
        <v>11740</v>
      </c>
      <c r="T513" s="198">
        <v>506</v>
      </c>
      <c r="U513" s="198">
        <v>2000</v>
      </c>
      <c r="V513" s="198">
        <v>1920</v>
      </c>
      <c r="W513" s="198">
        <v>0</v>
      </c>
      <c r="X513" s="198">
        <v>0</v>
      </c>
      <c r="Y513" s="198">
        <v>186</v>
      </c>
      <c r="Z513" s="277">
        <v>106739</v>
      </c>
      <c r="AA513" s="272">
        <v>4.7805697719999998</v>
      </c>
      <c r="AB513" s="198">
        <v>28.097108484164178</v>
      </c>
      <c r="AC513" s="272">
        <v>0</v>
      </c>
      <c r="AD513" s="198">
        <v>0</v>
      </c>
      <c r="AE513" s="198">
        <v>28.097108484164178</v>
      </c>
      <c r="AF513" s="198">
        <v>2103.2240903027136</v>
      </c>
      <c r="AG513" s="198">
        <v>0.9246143862181665</v>
      </c>
      <c r="AH513" s="198">
        <v>4.8855027455396802E-3</v>
      </c>
      <c r="AI513" s="198">
        <v>2132.2571799117177</v>
      </c>
      <c r="AJ513" s="198">
        <v>0.89719701984071631</v>
      </c>
      <c r="AK513" s="198">
        <v>20.936768538783721</v>
      </c>
      <c r="AL513" s="198">
        <v>0.98023906636838831</v>
      </c>
      <c r="AM513" s="198">
        <v>0.17619395810387489</v>
      </c>
      <c r="AN513" s="198">
        <v>7.2446331898654598E-2</v>
      </c>
      <c r="AO513" s="198">
        <v>1.4505857160348648E-2</v>
      </c>
      <c r="AP513" s="198">
        <v>1.2037632949027065E-2</v>
      </c>
      <c r="AQ513" s="198">
        <v>1.1433618169099593E-2</v>
      </c>
      <c r="AS513" s="258">
        <f t="shared" si="64"/>
        <v>143190.36849999998</v>
      </c>
      <c r="AT513" s="3">
        <f t="shared" si="65"/>
        <v>49.202319066462138</v>
      </c>
      <c r="AU513" s="3">
        <f t="shared" si="63"/>
        <v>18.991811814507425</v>
      </c>
      <c r="AV513" s="3">
        <f t="shared" si="66"/>
        <v>0</v>
      </c>
      <c r="AW513" s="3">
        <f t="shared" si="67"/>
        <v>0</v>
      </c>
      <c r="AX513" s="3">
        <f t="shared" si="68"/>
        <v>18.991811814507425</v>
      </c>
      <c r="AY513" s="102">
        <f t="shared" si="69"/>
        <v>1</v>
      </c>
      <c r="AZ513" s="102">
        <f t="shared" si="70"/>
        <v>0</v>
      </c>
    </row>
    <row r="514" spans="1:52" x14ac:dyDescent="0.35">
      <c r="A514" t="s">
        <v>1020</v>
      </c>
      <c r="B514">
        <v>2021</v>
      </c>
      <c r="C514" t="s">
        <v>837</v>
      </c>
      <c r="D514" t="s">
        <v>1074</v>
      </c>
      <c r="E514" t="s">
        <v>1030</v>
      </c>
      <c r="F514" t="s">
        <v>983</v>
      </c>
      <c r="G514" t="s">
        <v>978</v>
      </c>
      <c r="H514" s="198">
        <v>62000</v>
      </c>
      <c r="I514" s="198">
        <v>28147</v>
      </c>
      <c r="J514" s="198">
        <v>0</v>
      </c>
      <c r="K514" s="198">
        <v>0</v>
      </c>
      <c r="L514" s="198">
        <v>150</v>
      </c>
      <c r="M514" s="198">
        <v>2515.2361799999999</v>
      </c>
      <c r="N514" s="198">
        <v>75</v>
      </c>
      <c r="O514" s="198">
        <v>300</v>
      </c>
      <c r="P514" s="198">
        <v>3619.2814281000001</v>
      </c>
      <c r="Q514" s="198">
        <v>0</v>
      </c>
      <c r="R514" s="198">
        <v>0</v>
      </c>
      <c r="S514" s="198">
        <v>11815</v>
      </c>
      <c r="T514" s="198">
        <v>392</v>
      </c>
      <c r="U514" s="198">
        <v>2000</v>
      </c>
      <c r="V514" s="198">
        <v>4720</v>
      </c>
      <c r="W514" s="198">
        <v>525</v>
      </c>
      <c r="X514" s="198">
        <v>1500</v>
      </c>
      <c r="Y514" s="198">
        <v>186</v>
      </c>
      <c r="Z514" s="277">
        <v>117944.51760810001</v>
      </c>
      <c r="AA514" s="272">
        <v>5.9955919030000002</v>
      </c>
      <c r="AB514" s="198">
        <v>22.40315713162374</v>
      </c>
      <c r="AC514" s="272">
        <v>0</v>
      </c>
      <c r="AD514" s="198">
        <v>0</v>
      </c>
      <c r="AE514" s="198">
        <v>22.40315713162374</v>
      </c>
      <c r="AF514" s="198">
        <v>1677.0003149834713</v>
      </c>
      <c r="AG514" s="198">
        <v>0.73723890101645895</v>
      </c>
      <c r="AH514" s="198">
        <v>3.8954430395210307E-3</v>
      </c>
      <c r="AI514" s="198">
        <v>1700.1497742558952</v>
      </c>
      <c r="AJ514" s="198">
        <v>0.71537773450405773</v>
      </c>
      <c r="AK514" s="198">
        <v>16.693878505938407</v>
      </c>
      <c r="AL514" s="198">
        <v>0.78159109656370129</v>
      </c>
      <c r="AM514" s="198">
        <v>0.14048779899428368</v>
      </c>
      <c r="AN514" s="198">
        <v>5.7764896272158354E-2</v>
      </c>
      <c r="AO514" s="198">
        <v>1.1566207870654752E-2</v>
      </c>
      <c r="AP514" s="198">
        <v>9.5981756486387057E-3</v>
      </c>
      <c r="AQ514" s="198">
        <v>9.1165660185173383E-3</v>
      </c>
      <c r="AS514" s="258">
        <f t="shared" si="64"/>
        <v>158222.57037126616</v>
      </c>
      <c r="AT514" s="3">
        <f t="shared" si="65"/>
        <v>39.231342467410784</v>
      </c>
      <c r="AU514" s="3">
        <f t="shared" si="63"/>
        <v>15.143072267896926</v>
      </c>
      <c r="AV514" s="3">
        <f t="shared" si="66"/>
        <v>0</v>
      </c>
      <c r="AW514" s="3">
        <f t="shared" si="67"/>
        <v>0</v>
      </c>
      <c r="AX514" s="3">
        <f t="shared" si="68"/>
        <v>15.143072267896926</v>
      </c>
      <c r="AY514" s="102">
        <f t="shared" si="69"/>
        <v>1</v>
      </c>
      <c r="AZ514" s="102">
        <f t="shared" si="70"/>
        <v>0</v>
      </c>
    </row>
    <row r="515" spans="1:52" x14ac:dyDescent="0.35">
      <c r="A515" t="s">
        <v>1021</v>
      </c>
      <c r="B515">
        <v>2021</v>
      </c>
      <c r="C515" t="s">
        <v>837</v>
      </c>
      <c r="D515" t="s">
        <v>1074</v>
      </c>
      <c r="E515" t="s">
        <v>1030</v>
      </c>
      <c r="F515" t="s">
        <v>983</v>
      </c>
      <c r="G515" t="s">
        <v>978</v>
      </c>
      <c r="H515" s="198">
        <v>62000</v>
      </c>
      <c r="I515" s="198">
        <v>14050</v>
      </c>
      <c r="J515" s="198">
        <v>0</v>
      </c>
      <c r="K515" s="198">
        <v>0</v>
      </c>
      <c r="L515" s="198">
        <v>0</v>
      </c>
      <c r="M515" s="198">
        <v>38230.5</v>
      </c>
      <c r="N515" s="198">
        <v>75</v>
      </c>
      <c r="O515" s="198">
        <v>0</v>
      </c>
      <c r="P515" s="198">
        <v>10293.8036625</v>
      </c>
      <c r="Q515" s="198">
        <v>0</v>
      </c>
      <c r="R515" s="198">
        <v>5900.0182432000001</v>
      </c>
      <c r="S515" s="198">
        <v>6573</v>
      </c>
      <c r="T515" s="198">
        <v>0</v>
      </c>
      <c r="U515" s="198">
        <v>2000</v>
      </c>
      <c r="V515" s="198">
        <v>4720</v>
      </c>
      <c r="W515" s="198">
        <v>525</v>
      </c>
      <c r="X515" s="198">
        <v>1500</v>
      </c>
      <c r="Y515" s="198">
        <v>186</v>
      </c>
      <c r="Z515" s="277">
        <v>146053.3219057</v>
      </c>
      <c r="AA515" s="272">
        <v>32.007085565000004</v>
      </c>
      <c r="AB515" s="198">
        <v>4.1965766369831616</v>
      </c>
      <c r="AC515" s="272">
        <v>1908</v>
      </c>
      <c r="AD515" s="198">
        <v>6.8688000000000002</v>
      </c>
      <c r="AE515" s="198">
        <v>11.065376636983162</v>
      </c>
      <c r="AF515" s="198">
        <v>314.13698974323813</v>
      </c>
      <c r="AG515" s="198">
        <v>0.13810015837069542</v>
      </c>
      <c r="AH515" s="198">
        <v>7.2969738837732256E-4</v>
      </c>
      <c r="AI515" s="198">
        <v>318.47336427164396</v>
      </c>
      <c r="AJ515" s="198">
        <v>0.13400510783366015</v>
      </c>
      <c r="AK515" s="198">
        <v>3.1271101705467026</v>
      </c>
      <c r="AL515" s="198">
        <v>0.14640824577725711</v>
      </c>
      <c r="AM515" s="198">
        <v>0.12786725815428845</v>
      </c>
      <c r="AN515" s="198">
        <v>3.6772480795223328E-2</v>
      </c>
      <c r="AO515" s="198">
        <v>2.1665909605197912E-3</v>
      </c>
      <c r="AP515" s="198">
        <v>5.5084534821981078E-3</v>
      </c>
      <c r="AQ515" s="198">
        <v>6.3467223058904293E-3</v>
      </c>
      <c r="AS515" s="258">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102">
        <f t="shared" si="69"/>
        <v>0.39925868056848901</v>
      </c>
      <c r="AZ515" s="102">
        <f t="shared" si="70"/>
        <v>0.60074131943151099</v>
      </c>
    </row>
    <row r="516" spans="1:52" x14ac:dyDescent="0.35">
      <c r="A516" t="s">
        <v>246</v>
      </c>
      <c r="B516">
        <v>2021</v>
      </c>
      <c r="C516" t="s">
        <v>837</v>
      </c>
      <c r="D516" t="s">
        <v>1074</v>
      </c>
      <c r="E516" t="s">
        <v>1030</v>
      </c>
      <c r="F516" t="s">
        <v>977</v>
      </c>
      <c r="G516" t="s">
        <v>978</v>
      </c>
      <c r="H516" s="198">
        <v>62000</v>
      </c>
      <c r="I516" s="198">
        <v>0</v>
      </c>
      <c r="J516" s="198">
        <v>0</v>
      </c>
      <c r="K516" s="198">
        <v>0</v>
      </c>
      <c r="L516" s="198">
        <v>0</v>
      </c>
      <c r="M516" s="198">
        <v>71890.717499999999</v>
      </c>
      <c r="N516" s="198">
        <v>75</v>
      </c>
      <c r="O516" s="198">
        <v>0</v>
      </c>
      <c r="P516" s="198">
        <v>10084.3755165</v>
      </c>
      <c r="Q516" s="198">
        <v>0</v>
      </c>
      <c r="R516" s="198">
        <v>0</v>
      </c>
      <c r="S516" s="198">
        <v>6504</v>
      </c>
      <c r="T516" s="198">
        <v>0</v>
      </c>
      <c r="U516" s="198">
        <v>2000</v>
      </c>
      <c r="V516" s="198">
        <v>4500</v>
      </c>
      <c r="W516" s="198">
        <v>525</v>
      </c>
      <c r="X516" s="198">
        <v>1500</v>
      </c>
      <c r="Y516" s="198">
        <v>186</v>
      </c>
      <c r="Z516" s="277">
        <v>159265.0930165</v>
      </c>
      <c r="AA516" s="272">
        <v>0</v>
      </c>
      <c r="AB516" s="198">
        <v>0</v>
      </c>
      <c r="AC516" s="272">
        <v>2198</v>
      </c>
      <c r="AD516" s="198">
        <v>7.9127999999999998</v>
      </c>
      <c r="AE516" s="198">
        <v>7.9127999999999998</v>
      </c>
      <c r="AF516" s="198">
        <v>0</v>
      </c>
      <c r="AG516" s="198">
        <v>0</v>
      </c>
      <c r="AH516" s="198">
        <v>0</v>
      </c>
      <c r="AI516" s="198">
        <v>0</v>
      </c>
      <c r="AJ516" s="198">
        <v>0</v>
      </c>
      <c r="AK516" s="198">
        <v>0</v>
      </c>
      <c r="AL516" s="198">
        <v>0</v>
      </c>
      <c r="AM516" s="198">
        <v>0.11698587221522035</v>
      </c>
      <c r="AN516" s="198">
        <v>2.9896389566111788E-2</v>
      </c>
      <c r="AO516" s="198">
        <v>0</v>
      </c>
      <c r="AP516" s="198">
        <v>4.2744831233107201E-3</v>
      </c>
      <c r="AQ516" s="198">
        <v>5.3440892627307788E-3</v>
      </c>
      <c r="AS516" s="258">
        <f t="shared" si="64"/>
        <v>213654.12228163474</v>
      </c>
      <c r="AT516" s="3">
        <f t="shared" si="65"/>
        <v>0</v>
      </c>
      <c r="AU516" s="3">
        <f t="shared" si="71"/>
        <v>0</v>
      </c>
      <c r="AV516" s="3">
        <f t="shared" si="66"/>
        <v>136.57772751562752</v>
      </c>
      <c r="AW516" s="3">
        <f t="shared" si="67"/>
        <v>4.9167981905625906</v>
      </c>
      <c r="AX516" s="3">
        <f t="shared" si="68"/>
        <v>4.9167981905625906</v>
      </c>
      <c r="AY516" s="102">
        <f t="shared" si="69"/>
        <v>0</v>
      </c>
      <c r="AZ516" s="102">
        <f t="shared" si="70"/>
        <v>1</v>
      </c>
    </row>
    <row r="517" spans="1:52" x14ac:dyDescent="0.35">
      <c r="A517" t="s">
        <v>627</v>
      </c>
      <c r="B517">
        <v>2021</v>
      </c>
      <c r="C517" t="s">
        <v>837</v>
      </c>
      <c r="D517" t="s">
        <v>1074</v>
      </c>
      <c r="E517" t="s">
        <v>1030</v>
      </c>
      <c r="F517" t="s">
        <v>989</v>
      </c>
      <c r="G517" t="s">
        <v>978</v>
      </c>
      <c r="H517" s="198">
        <v>62000</v>
      </c>
      <c r="I517" s="198">
        <v>0</v>
      </c>
      <c r="J517" s="198">
        <v>51815.389067199998</v>
      </c>
      <c r="K517" s="198">
        <v>12596.6402</v>
      </c>
      <c r="L517" s="198">
        <v>0</v>
      </c>
      <c r="M517" s="198">
        <v>3915.22613</v>
      </c>
      <c r="N517" s="198">
        <v>75</v>
      </c>
      <c r="O517" s="198">
        <v>0</v>
      </c>
      <c r="P517" s="198">
        <v>10323.313938900001</v>
      </c>
      <c r="Q517" s="198">
        <v>0</v>
      </c>
      <c r="R517" s="198">
        <v>0</v>
      </c>
      <c r="S517" s="198">
        <v>6583</v>
      </c>
      <c r="T517" s="198">
        <v>0</v>
      </c>
      <c r="U517" s="198">
        <v>2000</v>
      </c>
      <c r="V517" s="198">
        <v>4500</v>
      </c>
      <c r="W517" s="198">
        <v>525</v>
      </c>
      <c r="X517" s="198">
        <v>1500</v>
      </c>
      <c r="Y517" s="198">
        <v>186</v>
      </c>
      <c r="Z517" s="277">
        <v>156019.56933609999</v>
      </c>
      <c r="AA517" s="272">
        <v>6.9054150290000003</v>
      </c>
      <c r="AB517" s="198">
        <v>19.45142861593526</v>
      </c>
      <c r="AC517" s="272">
        <v>0</v>
      </c>
      <c r="AD517" s="198">
        <v>0</v>
      </c>
      <c r="AE517" s="198">
        <v>19.45142861593526</v>
      </c>
      <c r="AF517" s="198">
        <v>0</v>
      </c>
      <c r="AG517" s="198">
        <v>0</v>
      </c>
      <c r="AH517" s="198">
        <v>0</v>
      </c>
      <c r="AI517" s="198">
        <v>0</v>
      </c>
      <c r="AJ517" s="198">
        <v>0</v>
      </c>
      <c r="AK517" s="198">
        <v>0</v>
      </c>
      <c r="AL517" s="198">
        <v>0</v>
      </c>
      <c r="AM517" s="198">
        <v>0.18184330020026773</v>
      </c>
      <c r="AN517" s="198">
        <v>4.6471065606735161E-2</v>
      </c>
      <c r="AO517" s="198">
        <v>0</v>
      </c>
      <c r="AP517" s="198">
        <v>6.6442733902363164E-3</v>
      </c>
      <c r="AQ517" s="198">
        <v>8.3068733830695355E-3</v>
      </c>
      <c r="AS517" s="258">
        <f t="shared" si="64"/>
        <v>209300.25226437813</v>
      </c>
      <c r="AT517" s="3">
        <f t="shared" si="65"/>
        <v>34.06241598131583</v>
      </c>
      <c r="AU517" s="3">
        <f t="shared" si="71"/>
        <v>13.147896410955411</v>
      </c>
      <c r="AV517" s="3">
        <f t="shared" si="66"/>
        <v>0</v>
      </c>
      <c r="AW517" s="3">
        <f t="shared" si="67"/>
        <v>0</v>
      </c>
      <c r="AX517" s="3">
        <f t="shared" si="68"/>
        <v>13.147896410955411</v>
      </c>
      <c r="AY517" s="102">
        <f t="shared" si="69"/>
        <v>1</v>
      </c>
      <c r="AZ517" s="102">
        <f t="shared" si="70"/>
        <v>0</v>
      </c>
    </row>
    <row r="518" spans="1:52" x14ac:dyDescent="0.35">
      <c r="A518" t="s">
        <v>1065</v>
      </c>
      <c r="B518">
        <v>2021</v>
      </c>
      <c r="C518" t="s">
        <v>837</v>
      </c>
      <c r="D518" t="s">
        <v>1074</v>
      </c>
      <c r="E518" t="s">
        <v>1030</v>
      </c>
      <c r="F518" t="s">
        <v>989</v>
      </c>
      <c r="G518" t="s">
        <v>978</v>
      </c>
      <c r="H518" s="198">
        <v>62000</v>
      </c>
      <c r="I518" s="198">
        <v>0</v>
      </c>
      <c r="J518" s="198">
        <v>28567.369899199999</v>
      </c>
      <c r="K518" s="198">
        <v>13477.4756</v>
      </c>
      <c r="L518" s="198">
        <v>0</v>
      </c>
      <c r="M518" s="198">
        <v>6620.8275000000003</v>
      </c>
      <c r="N518" s="198">
        <v>75</v>
      </c>
      <c r="O518" s="198">
        <v>0</v>
      </c>
      <c r="P518" s="198">
        <v>10880.518854599999</v>
      </c>
      <c r="Q518" s="198">
        <v>0</v>
      </c>
      <c r="R518" s="198">
        <v>0</v>
      </c>
      <c r="S518" s="198">
        <v>6767</v>
      </c>
      <c r="T518" s="198">
        <v>0</v>
      </c>
      <c r="U518" s="198">
        <v>2000</v>
      </c>
      <c r="V518" s="198">
        <v>4500</v>
      </c>
      <c r="W518" s="198">
        <v>525</v>
      </c>
      <c r="X518" s="198">
        <v>1500</v>
      </c>
      <c r="Y518" s="198">
        <v>186</v>
      </c>
      <c r="Z518" s="277">
        <v>137099.1918538</v>
      </c>
      <c r="AA518" s="272">
        <v>7.9548236689999987</v>
      </c>
      <c r="AB518" s="198">
        <v>16.885375853577582</v>
      </c>
      <c r="AC518" s="272">
        <v>0</v>
      </c>
      <c r="AD518" s="198">
        <v>0</v>
      </c>
      <c r="AE518" s="198">
        <v>16.885375853577582</v>
      </c>
      <c r="AF518" s="198">
        <v>0</v>
      </c>
      <c r="AG518" s="198">
        <v>0</v>
      </c>
      <c r="AH518" s="198">
        <v>0</v>
      </c>
      <c r="AI518" s="198">
        <v>0</v>
      </c>
      <c r="AJ518" s="198">
        <v>0</v>
      </c>
      <c r="AK518" s="198">
        <v>0</v>
      </c>
      <c r="AL518" s="198">
        <v>0</v>
      </c>
      <c r="AM518" s="198">
        <v>0.15785434226774531</v>
      </c>
      <c r="AN518" s="198">
        <v>4.0340554135090537E-2</v>
      </c>
      <c r="AO518" s="198">
        <v>0</v>
      </c>
      <c r="AP518" s="198">
        <v>5.767753910689814E-3</v>
      </c>
      <c r="AQ518" s="198">
        <v>7.2110219773934316E-3</v>
      </c>
      <c r="AS518" s="258">
        <f t="shared" si="64"/>
        <v>183918.56587187271</v>
      </c>
      <c r="AT518" s="3">
        <f t="shared" si="65"/>
        <v>29.568866517816485</v>
      </c>
      <c r="AU518" s="3">
        <f t="shared" si="71"/>
        <v>11.413412195390634</v>
      </c>
      <c r="AV518" s="3">
        <f t="shared" si="66"/>
        <v>0</v>
      </c>
      <c r="AW518" s="3">
        <f t="shared" si="67"/>
        <v>0</v>
      </c>
      <c r="AX518" s="3">
        <f t="shared" si="68"/>
        <v>11.413412195390634</v>
      </c>
      <c r="AY518" s="102">
        <f t="shared" si="69"/>
        <v>1</v>
      </c>
      <c r="AZ518" s="102">
        <f t="shared" si="70"/>
        <v>0</v>
      </c>
    </row>
    <row r="519" spans="1:52" x14ac:dyDescent="0.35">
      <c r="A519" t="s">
        <v>1017</v>
      </c>
      <c r="B519">
        <v>2025</v>
      </c>
      <c r="C519" t="s">
        <v>837</v>
      </c>
      <c r="D519" t="s">
        <v>1074</v>
      </c>
      <c r="E519" t="s">
        <v>1030</v>
      </c>
      <c r="F519" t="s">
        <v>983</v>
      </c>
      <c r="G519" t="s">
        <v>978</v>
      </c>
      <c r="H519" s="198">
        <v>62465.839864399997</v>
      </c>
      <c r="I519" s="198">
        <v>28049</v>
      </c>
      <c r="J519" s="198">
        <v>0</v>
      </c>
      <c r="K519" s="198">
        <v>0</v>
      </c>
      <c r="L519" s="198">
        <v>120</v>
      </c>
      <c r="M519" s="198">
        <v>0</v>
      </c>
      <c r="N519" s="198">
        <v>0</v>
      </c>
      <c r="O519" s="198">
        <v>300</v>
      </c>
      <c r="P519" s="198">
        <v>0</v>
      </c>
      <c r="Q519" s="198">
        <v>0</v>
      </c>
      <c r="R519" s="198">
        <v>230</v>
      </c>
      <c r="S519" s="198">
        <v>11740</v>
      </c>
      <c r="T519" s="198">
        <v>506</v>
      </c>
      <c r="U519" s="198">
        <v>2000</v>
      </c>
      <c r="V519" s="198">
        <v>1920</v>
      </c>
      <c r="W519" s="198">
        <v>0</v>
      </c>
      <c r="X519" s="198">
        <v>0</v>
      </c>
      <c r="Y519" s="198">
        <v>186</v>
      </c>
      <c r="Z519" s="277">
        <v>107516.8398644</v>
      </c>
      <c r="AA519" s="272">
        <v>5.067368461</v>
      </c>
      <c r="AB519" s="198">
        <v>26.506891798725274</v>
      </c>
      <c r="AC519" s="272">
        <v>0</v>
      </c>
      <c r="AD519" s="198">
        <v>0</v>
      </c>
      <c r="AE519" s="198">
        <v>26.506891798725274</v>
      </c>
      <c r="AF519" s="198">
        <v>1984.1875693916215</v>
      </c>
      <c r="AG519" s="198">
        <v>0.87228383322230651</v>
      </c>
      <c r="AH519" s="198">
        <v>4.6089971404489121E-3</v>
      </c>
      <c r="AI519" s="198">
        <v>2011.5774684370092</v>
      </c>
      <c r="AJ519" s="198">
        <v>0.84641821205411105</v>
      </c>
      <c r="AK519" s="198">
        <v>19.751806794826649</v>
      </c>
      <c r="AL519" s="198">
        <v>0.92476031417092941</v>
      </c>
      <c r="AM519" s="198">
        <v>0.16622187958169454</v>
      </c>
      <c r="AN519" s="198">
        <v>6.8346074897155093E-2</v>
      </c>
      <c r="AO519" s="198">
        <v>1.3684866768900331E-2</v>
      </c>
      <c r="AP519" s="198">
        <v>1.1356337050571151E-2</v>
      </c>
      <c r="AQ519" s="198">
        <v>1.0786507794817234E-2</v>
      </c>
      <c r="AS519" s="258">
        <f t="shared" si="64"/>
        <v>144233.84067809259</v>
      </c>
      <c r="AT519" s="3">
        <f t="shared" si="65"/>
        <v>46.417607294933219</v>
      </c>
      <c r="AU519" s="3">
        <f t="shared" si="71"/>
        <v>17.916929107229301</v>
      </c>
      <c r="AV519" s="3">
        <f t="shared" si="66"/>
        <v>0</v>
      </c>
      <c r="AW519" s="3">
        <f t="shared" si="67"/>
        <v>0</v>
      </c>
      <c r="AX519" s="3">
        <f t="shared" si="68"/>
        <v>17.916929107229301</v>
      </c>
      <c r="AY519" s="102">
        <f t="shared" si="69"/>
        <v>1</v>
      </c>
      <c r="AZ519" s="102">
        <f t="shared" si="70"/>
        <v>0</v>
      </c>
    </row>
    <row r="520" spans="1:52" x14ac:dyDescent="0.35">
      <c r="A520" t="s">
        <v>1020</v>
      </c>
      <c r="B520">
        <v>2025</v>
      </c>
      <c r="C520" t="s">
        <v>837</v>
      </c>
      <c r="D520" t="s">
        <v>1074</v>
      </c>
      <c r="E520" t="s">
        <v>1030</v>
      </c>
      <c r="F520" t="s">
        <v>983</v>
      </c>
      <c r="G520" t="s">
        <v>978</v>
      </c>
      <c r="H520" s="198">
        <v>62465.839864399997</v>
      </c>
      <c r="I520" s="198">
        <v>28490</v>
      </c>
      <c r="J520" s="198">
        <v>0</v>
      </c>
      <c r="K520" s="198">
        <v>0</v>
      </c>
      <c r="L520" s="198">
        <v>150</v>
      </c>
      <c r="M520" s="198">
        <v>2372.8643219999999</v>
      </c>
      <c r="N520" s="198">
        <v>50</v>
      </c>
      <c r="O520" s="198">
        <v>300</v>
      </c>
      <c r="P520" s="198">
        <v>3053.2566216999999</v>
      </c>
      <c r="Q520" s="198">
        <v>0</v>
      </c>
      <c r="R520" s="198">
        <v>0</v>
      </c>
      <c r="S520" s="198">
        <v>11814</v>
      </c>
      <c r="T520" s="198">
        <v>392</v>
      </c>
      <c r="U520" s="198">
        <v>2000</v>
      </c>
      <c r="V520" s="198">
        <v>4720</v>
      </c>
      <c r="W520" s="198">
        <v>326.62</v>
      </c>
      <c r="X520" s="198">
        <v>1500</v>
      </c>
      <c r="Y520" s="198">
        <v>186</v>
      </c>
      <c r="Z520" s="277">
        <v>117820.58080809999</v>
      </c>
      <c r="AA520" s="272">
        <v>6.4350191819999996</v>
      </c>
      <c r="AB520" s="198">
        <v>20.873315789907775</v>
      </c>
      <c r="AC520" s="272">
        <v>0</v>
      </c>
      <c r="AD520" s="198">
        <v>0</v>
      </c>
      <c r="AE520" s="198">
        <v>20.873315789907775</v>
      </c>
      <c r="AF520" s="198">
        <v>1562.4832227335157</v>
      </c>
      <c r="AG520" s="198">
        <v>0.68689516852956911</v>
      </c>
      <c r="AH520" s="198">
        <v>3.6294354508965322E-3</v>
      </c>
      <c r="AI520" s="198">
        <v>1584.0518780315149</v>
      </c>
      <c r="AJ520" s="198">
        <v>0.66652683251924028</v>
      </c>
      <c r="AK520" s="198">
        <v>15.553905896635145</v>
      </c>
      <c r="AL520" s="198">
        <v>0.72821869173632858</v>
      </c>
      <c r="AM520" s="198">
        <v>0.13089432778639057</v>
      </c>
      <c r="AN520" s="198">
        <v>5.3820312662898225E-2</v>
      </c>
      <c r="AO520" s="198">
        <v>1.0776387808087269E-2</v>
      </c>
      <c r="AP520" s="198">
        <v>8.9427463345438715E-3</v>
      </c>
      <c r="AQ520" s="198">
        <v>8.4940243156819088E-3</v>
      </c>
      <c r="AS520" s="258">
        <f t="shared" si="64"/>
        <v>158056.30915406611</v>
      </c>
      <c r="AT520" s="3">
        <f t="shared" si="65"/>
        <v>36.552357124182407</v>
      </c>
      <c r="AU520" s="3">
        <f t="shared" si="71"/>
        <v>14.108999353087967</v>
      </c>
      <c r="AV520" s="3">
        <f t="shared" si="66"/>
        <v>0</v>
      </c>
      <c r="AW520" s="3">
        <f t="shared" si="67"/>
        <v>0</v>
      </c>
      <c r="AX520" s="3">
        <f t="shared" si="68"/>
        <v>14.108999353087967</v>
      </c>
      <c r="AY520" s="102">
        <f t="shared" si="69"/>
        <v>1</v>
      </c>
      <c r="AZ520" s="102">
        <f t="shared" si="70"/>
        <v>0</v>
      </c>
    </row>
    <row r="521" spans="1:52" x14ac:dyDescent="0.35">
      <c r="A521" t="s">
        <v>1021</v>
      </c>
      <c r="B521">
        <v>2025</v>
      </c>
      <c r="C521" t="s">
        <v>837</v>
      </c>
      <c r="D521" t="s">
        <v>1074</v>
      </c>
      <c r="E521" t="s">
        <v>1030</v>
      </c>
      <c r="F521" t="s">
        <v>983</v>
      </c>
      <c r="G521" t="s">
        <v>978</v>
      </c>
      <c r="H521" s="198">
        <v>62465.839864399997</v>
      </c>
      <c r="I521" s="198">
        <v>13860</v>
      </c>
      <c r="J521" s="198">
        <v>0</v>
      </c>
      <c r="K521" s="198">
        <v>0</v>
      </c>
      <c r="L521" s="198">
        <v>0</v>
      </c>
      <c r="M521" s="198">
        <v>31982.544000000002</v>
      </c>
      <c r="N521" s="198">
        <v>50</v>
      </c>
      <c r="O521" s="198">
        <v>0</v>
      </c>
      <c r="P521" s="198">
        <v>8704.8417124000007</v>
      </c>
      <c r="Q521" s="198">
        <v>0</v>
      </c>
      <c r="R521" s="198">
        <v>4770.9931113000002</v>
      </c>
      <c r="S521" s="198">
        <v>6548</v>
      </c>
      <c r="T521" s="198">
        <v>0</v>
      </c>
      <c r="U521" s="198">
        <v>2000</v>
      </c>
      <c r="V521" s="198">
        <v>4720</v>
      </c>
      <c r="W521" s="198">
        <v>326.62</v>
      </c>
      <c r="X521" s="198">
        <v>1500</v>
      </c>
      <c r="Y521" s="198">
        <v>186</v>
      </c>
      <c r="Z521" s="277">
        <v>137114.83868809999</v>
      </c>
      <c r="AA521" s="272">
        <v>35.581838700000006</v>
      </c>
      <c r="AB521" s="198">
        <v>3.7749647687543471</v>
      </c>
      <c r="AC521" s="272">
        <v>1776</v>
      </c>
      <c r="AD521" s="198">
        <v>6.3936000000000002</v>
      </c>
      <c r="AE521" s="198">
        <v>10.168564768754347</v>
      </c>
      <c r="AF521" s="198">
        <v>282.57700774309194</v>
      </c>
      <c r="AG521" s="198">
        <v>0.12422583393676334</v>
      </c>
      <c r="AH521" s="198">
        <v>6.563878540191909E-4</v>
      </c>
      <c r="AI521" s="198">
        <v>286.47772551495268</v>
      </c>
      <c r="AJ521" s="198">
        <v>0.12054219538067355</v>
      </c>
      <c r="AK521" s="198">
        <v>2.8129429635087981</v>
      </c>
      <c r="AL521" s="198">
        <v>0.13169924380591996</v>
      </c>
      <c r="AM521" s="198">
        <v>0.11819783609653731</v>
      </c>
      <c r="AN521" s="198">
        <v>3.3889969969367072E-2</v>
      </c>
      <c r="AO521" s="198">
        <v>1.9489229559604656E-3</v>
      </c>
      <c r="AP521" s="198">
        <v>5.071120124963328E-3</v>
      </c>
      <c r="AQ521" s="198">
        <v>5.8542177440268671E-3</v>
      </c>
      <c r="AS521" s="258">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102">
        <f t="shared" si="69"/>
        <v>0.39108803224764577</v>
      </c>
      <c r="AZ521" s="102">
        <f t="shared" si="70"/>
        <v>0.60891196775235423</v>
      </c>
    </row>
    <row r="522" spans="1:52" x14ac:dyDescent="0.35">
      <c r="A522" t="s">
        <v>246</v>
      </c>
      <c r="B522">
        <v>2025</v>
      </c>
      <c r="C522" t="s">
        <v>837</v>
      </c>
      <c r="D522" t="s">
        <v>1074</v>
      </c>
      <c r="E522" t="s">
        <v>1030</v>
      </c>
      <c r="F522" t="s">
        <v>977</v>
      </c>
      <c r="G522" t="s">
        <v>978</v>
      </c>
      <c r="H522" s="198">
        <v>62465.839864399997</v>
      </c>
      <c r="I522" s="198">
        <v>0</v>
      </c>
      <c r="J522" s="198">
        <v>0</v>
      </c>
      <c r="K522" s="198">
        <v>0</v>
      </c>
      <c r="L522" s="198">
        <v>0</v>
      </c>
      <c r="M522" s="198">
        <v>60072.527999999998</v>
      </c>
      <c r="N522" s="198">
        <v>50</v>
      </c>
      <c r="O522" s="198">
        <v>0</v>
      </c>
      <c r="P522" s="198">
        <v>8526.7282288999995</v>
      </c>
      <c r="Q522" s="198">
        <v>0</v>
      </c>
      <c r="R522" s="198">
        <v>0</v>
      </c>
      <c r="S522" s="198">
        <v>6479</v>
      </c>
      <c r="T522" s="198">
        <v>0</v>
      </c>
      <c r="U522" s="198">
        <v>2000</v>
      </c>
      <c r="V522" s="198">
        <v>4500</v>
      </c>
      <c r="W522" s="198">
        <v>326.62</v>
      </c>
      <c r="X522" s="198">
        <v>1500</v>
      </c>
      <c r="Y522" s="198">
        <v>186</v>
      </c>
      <c r="Z522" s="277">
        <v>146106.7160933</v>
      </c>
      <c r="AA522" s="272">
        <v>0</v>
      </c>
      <c r="AB522" s="198">
        <v>0</v>
      </c>
      <c r="AC522" s="272">
        <v>2032</v>
      </c>
      <c r="AD522" s="198">
        <v>7.3151999999999999</v>
      </c>
      <c r="AE522" s="198">
        <v>7.3151999999999999</v>
      </c>
      <c r="AF522" s="198">
        <v>0</v>
      </c>
      <c r="AG522" s="198">
        <v>0</v>
      </c>
      <c r="AH522" s="198">
        <v>0</v>
      </c>
      <c r="AI522" s="198">
        <v>0</v>
      </c>
      <c r="AJ522" s="198">
        <v>0</v>
      </c>
      <c r="AK522" s="198">
        <v>0</v>
      </c>
      <c r="AL522" s="198">
        <v>0</v>
      </c>
      <c r="AM522" s="198">
        <v>0.10815072445010361</v>
      </c>
      <c r="AN522" s="198">
        <v>2.7638518470581963E-2</v>
      </c>
      <c r="AO522" s="198">
        <v>0</v>
      </c>
      <c r="AP522" s="198">
        <v>3.9516604670461249E-3</v>
      </c>
      <c r="AQ522" s="198">
        <v>4.9404865249631216E-3</v>
      </c>
      <c r="AS522" s="258">
        <f t="shared" si="64"/>
        <v>196002.15963916192</v>
      </c>
      <c r="AT522" s="3">
        <f t="shared" si="65"/>
        <v>0</v>
      </c>
      <c r="AU522" s="3">
        <f t="shared" si="71"/>
        <v>0</v>
      </c>
      <c r="AV522" s="3">
        <f t="shared" si="66"/>
        <v>126.26294008724074</v>
      </c>
      <c r="AW522" s="3">
        <f t="shared" si="67"/>
        <v>4.5454658431406667</v>
      </c>
      <c r="AX522" s="3">
        <f t="shared" si="68"/>
        <v>4.5454658431406667</v>
      </c>
      <c r="AY522" s="102">
        <f t="shared" si="69"/>
        <v>0</v>
      </c>
      <c r="AZ522" s="102">
        <f t="shared" si="70"/>
        <v>1</v>
      </c>
    </row>
    <row r="523" spans="1:52" x14ac:dyDescent="0.35">
      <c r="A523" t="s">
        <v>627</v>
      </c>
      <c r="B523">
        <v>2025</v>
      </c>
      <c r="C523" t="s">
        <v>837</v>
      </c>
      <c r="D523" t="s">
        <v>1074</v>
      </c>
      <c r="E523" t="s">
        <v>1030</v>
      </c>
      <c r="F523" t="s">
        <v>989</v>
      </c>
      <c r="G523" t="s">
        <v>978</v>
      </c>
      <c r="H523" s="198">
        <v>62465.839864399997</v>
      </c>
      <c r="I523" s="198">
        <v>0</v>
      </c>
      <c r="J523" s="198">
        <v>41350.754462264151</v>
      </c>
      <c r="K523" s="198">
        <v>11324.754935999999</v>
      </c>
      <c r="L523" s="198">
        <v>0</v>
      </c>
      <c r="M523" s="198">
        <v>3891.497488</v>
      </c>
      <c r="N523" s="198">
        <v>50</v>
      </c>
      <c r="O523" s="198">
        <v>0</v>
      </c>
      <c r="P523" s="198">
        <v>8728.4103345000003</v>
      </c>
      <c r="Q523" s="198">
        <v>0</v>
      </c>
      <c r="R523" s="198">
        <v>0</v>
      </c>
      <c r="S523" s="198">
        <v>6557</v>
      </c>
      <c r="T523" s="198">
        <v>0</v>
      </c>
      <c r="U523" s="198">
        <v>2000</v>
      </c>
      <c r="V523" s="198">
        <v>4500</v>
      </c>
      <c r="W523" s="198">
        <v>326.62</v>
      </c>
      <c r="X523" s="198">
        <v>1500</v>
      </c>
      <c r="Y523" s="198">
        <v>186</v>
      </c>
      <c r="Z523" s="277">
        <v>142880.87708516413</v>
      </c>
      <c r="AA523" s="272">
        <v>7.4938383650000002</v>
      </c>
      <c r="AB523" s="198">
        <v>17.924083888350587</v>
      </c>
      <c r="AC523" s="272">
        <v>0</v>
      </c>
      <c r="AD523" s="198">
        <v>0</v>
      </c>
      <c r="AE523" s="198">
        <v>17.924083888350587</v>
      </c>
      <c r="AF523" s="198">
        <v>0</v>
      </c>
      <c r="AG523" s="198">
        <v>0</v>
      </c>
      <c r="AH523" s="198">
        <v>0</v>
      </c>
      <c r="AI523" s="198">
        <v>0</v>
      </c>
      <c r="AJ523" s="198">
        <v>0</v>
      </c>
      <c r="AK523" s="198">
        <v>0</v>
      </c>
      <c r="AL523" s="198">
        <v>0</v>
      </c>
      <c r="AM523" s="198">
        <v>0.16756479082744233</v>
      </c>
      <c r="AN523" s="198">
        <v>4.2822113211457555E-2</v>
      </c>
      <c r="AO523" s="198">
        <v>0</v>
      </c>
      <c r="AP523" s="198">
        <v>6.122558706364978E-3</v>
      </c>
      <c r="AQ523" s="198">
        <v>7.6546097619825618E-3</v>
      </c>
      <c r="AS523" s="258">
        <f t="shared" si="64"/>
        <v>191674.69660974768</v>
      </c>
      <c r="AT523" s="3">
        <f t="shared" si="65"/>
        <v>31.38780258992524</v>
      </c>
      <c r="AU523" s="3">
        <f t="shared" si="71"/>
        <v>12.115511044378746</v>
      </c>
      <c r="AV523" s="3">
        <f t="shared" si="66"/>
        <v>0</v>
      </c>
      <c r="AW523" s="3">
        <f t="shared" si="67"/>
        <v>0</v>
      </c>
      <c r="AX523" s="3">
        <f t="shared" si="68"/>
        <v>12.115511044378746</v>
      </c>
      <c r="AY523" s="102">
        <f t="shared" si="69"/>
        <v>1</v>
      </c>
      <c r="AZ523" s="102">
        <f t="shared" si="70"/>
        <v>0</v>
      </c>
    </row>
    <row r="524" spans="1:52" x14ac:dyDescent="0.35">
      <c r="A524" t="s">
        <v>1065</v>
      </c>
      <c r="B524">
        <v>2025</v>
      </c>
      <c r="C524" t="s">
        <v>837</v>
      </c>
      <c r="D524" t="s">
        <v>1074</v>
      </c>
      <c r="E524" t="s">
        <v>1030</v>
      </c>
      <c r="F524" t="s">
        <v>989</v>
      </c>
      <c r="G524" t="s">
        <v>978</v>
      </c>
      <c r="H524" s="198">
        <v>62465.839864399997</v>
      </c>
      <c r="I524" s="198">
        <v>0</v>
      </c>
      <c r="J524" s="198">
        <v>20761.304759433962</v>
      </c>
      <c r="K524" s="198">
        <v>12215.579078999999</v>
      </c>
      <c r="L524" s="198">
        <v>0</v>
      </c>
      <c r="M524" s="198">
        <v>5958</v>
      </c>
      <c r="N524" s="198">
        <v>50</v>
      </c>
      <c r="O524" s="198">
        <v>0</v>
      </c>
      <c r="P524" s="198">
        <v>8709.6929023000012</v>
      </c>
      <c r="Q524" s="198">
        <v>0</v>
      </c>
      <c r="R524" s="198">
        <v>0</v>
      </c>
      <c r="S524" s="198">
        <v>6550</v>
      </c>
      <c r="T524" s="198">
        <v>0</v>
      </c>
      <c r="U524" s="198">
        <v>2000</v>
      </c>
      <c r="V524" s="198">
        <v>4500</v>
      </c>
      <c r="W524" s="198">
        <v>326.62</v>
      </c>
      <c r="X524" s="198">
        <v>1500</v>
      </c>
      <c r="Y524" s="198">
        <v>186</v>
      </c>
      <c r="Z524" s="277">
        <v>125223.03660513395</v>
      </c>
      <c r="AA524" s="272">
        <v>8.7960082929999999</v>
      </c>
      <c r="AB524" s="198">
        <v>15.270584454415999</v>
      </c>
      <c r="AC524" s="272">
        <v>0</v>
      </c>
      <c r="AD524" s="198">
        <v>0</v>
      </c>
      <c r="AE524" s="198">
        <v>15.270584454415999</v>
      </c>
      <c r="AF524" s="198">
        <v>0</v>
      </c>
      <c r="AG524" s="198">
        <v>0</v>
      </c>
      <c r="AH524" s="198">
        <v>0</v>
      </c>
      <c r="AI524" s="198">
        <v>0</v>
      </c>
      <c r="AJ524" s="198">
        <v>0</v>
      </c>
      <c r="AK524" s="198">
        <v>0</v>
      </c>
      <c r="AL524" s="198">
        <v>0</v>
      </c>
      <c r="AM524" s="198">
        <v>0.1427583304037123</v>
      </c>
      <c r="AN524" s="198">
        <v>3.6482684436504313E-2</v>
      </c>
      <c r="AO524" s="198">
        <v>0</v>
      </c>
      <c r="AP524" s="198">
        <v>5.2161689481620682E-3</v>
      </c>
      <c r="AQ524" s="198">
        <v>6.5214136222561704E-3</v>
      </c>
      <c r="AS524" s="258">
        <f t="shared" si="64"/>
        <v>167986.70360578719</v>
      </c>
      <c r="AT524" s="3">
        <f t="shared" si="65"/>
        <v>26.741120677275394</v>
      </c>
      <c r="AU524" s="3">
        <f t="shared" si="71"/>
        <v>10.321918585297389</v>
      </c>
      <c r="AV524" s="3">
        <f t="shared" si="66"/>
        <v>0</v>
      </c>
      <c r="AW524" s="3">
        <f t="shared" si="67"/>
        <v>0</v>
      </c>
      <c r="AX524" s="3">
        <f t="shared" si="68"/>
        <v>10.321918585297389</v>
      </c>
      <c r="AY524" s="102">
        <f t="shared" si="69"/>
        <v>1</v>
      </c>
      <c r="AZ524" s="102">
        <f t="shared" si="70"/>
        <v>0</v>
      </c>
    </row>
    <row r="525" spans="1:52" x14ac:dyDescent="0.35">
      <c r="A525" t="s">
        <v>1017</v>
      </c>
      <c r="B525">
        <v>2030</v>
      </c>
      <c r="C525" t="s">
        <v>837</v>
      </c>
      <c r="D525" t="s">
        <v>1074</v>
      </c>
      <c r="E525" t="s">
        <v>1030</v>
      </c>
      <c r="F525" t="s">
        <v>983</v>
      </c>
      <c r="G525" t="s">
        <v>978</v>
      </c>
      <c r="H525" s="198">
        <v>62986.7790676</v>
      </c>
      <c r="I525" s="198">
        <v>27942</v>
      </c>
      <c r="J525" s="198">
        <v>0</v>
      </c>
      <c r="K525" s="198">
        <v>0</v>
      </c>
      <c r="L525" s="198">
        <v>120</v>
      </c>
      <c r="M525" s="198">
        <v>0</v>
      </c>
      <c r="N525" s="198">
        <v>0</v>
      </c>
      <c r="O525" s="198">
        <v>300</v>
      </c>
      <c r="P525" s="198">
        <v>0</v>
      </c>
      <c r="Q525" s="198">
        <v>0</v>
      </c>
      <c r="R525" s="198">
        <v>183</v>
      </c>
      <c r="S525" s="198">
        <v>11740</v>
      </c>
      <c r="T525" s="198">
        <v>506</v>
      </c>
      <c r="U525" s="198">
        <v>2000</v>
      </c>
      <c r="V525" s="198">
        <v>1920</v>
      </c>
      <c r="W525" s="198">
        <v>0</v>
      </c>
      <c r="X525" s="198">
        <v>0</v>
      </c>
      <c r="Y525" s="198">
        <v>186</v>
      </c>
      <c r="Z525" s="277">
        <v>107883.7790676</v>
      </c>
      <c r="AA525" s="272">
        <v>5.3619609700000002</v>
      </c>
      <c r="AB525" s="198">
        <v>25.050571656809357</v>
      </c>
      <c r="AC525" s="272">
        <v>0</v>
      </c>
      <c r="AD525" s="198">
        <v>0</v>
      </c>
      <c r="AE525" s="198">
        <v>25.050571656809357</v>
      </c>
      <c r="AF525" s="198">
        <v>1875.173945893782</v>
      </c>
      <c r="AG525" s="198">
        <v>0.82435952261526813</v>
      </c>
      <c r="AH525" s="198">
        <v>4.3557733592286853E-3</v>
      </c>
      <c r="AI525" s="198">
        <v>1901.0590113295664</v>
      </c>
      <c r="AJ525" s="198">
        <v>0.79991498941832329</v>
      </c>
      <c r="AK525" s="198">
        <v>18.666619052221495</v>
      </c>
      <c r="AL525" s="198">
        <v>0.87395288332623189</v>
      </c>
      <c r="AM525" s="198">
        <v>0.15708945194362703</v>
      </c>
      <c r="AN525" s="198">
        <v>6.4591060305123321E-2</v>
      </c>
      <c r="AO525" s="198">
        <v>1.2933003922576576E-2</v>
      </c>
      <c r="AP525" s="198">
        <v>1.073240639469817E-2</v>
      </c>
      <c r="AQ525" s="198">
        <v>1.0193884235563076E-2</v>
      </c>
      <c r="AS525" s="258">
        <f t="shared" si="64"/>
        <v>144726.0896191854</v>
      </c>
      <c r="AT525" s="3">
        <f t="shared" si="65"/>
        <v>43.867368777476969</v>
      </c>
      <c r="AU525" s="3">
        <f t="shared" si="71"/>
        <v>16.932551725744219</v>
      </c>
      <c r="AV525" s="3">
        <f t="shared" si="66"/>
        <v>0</v>
      </c>
      <c r="AW525" s="3">
        <f t="shared" si="67"/>
        <v>0</v>
      </c>
      <c r="AX525" s="3">
        <f t="shared" si="68"/>
        <v>16.932551725744219</v>
      </c>
      <c r="AY525" s="102">
        <f t="shared" si="69"/>
        <v>1</v>
      </c>
      <c r="AZ525" s="102">
        <f t="shared" si="70"/>
        <v>0</v>
      </c>
    </row>
    <row r="526" spans="1:52" x14ac:dyDescent="0.35">
      <c r="A526" t="s">
        <v>1020</v>
      </c>
      <c r="B526">
        <v>2030</v>
      </c>
      <c r="C526" t="s">
        <v>837</v>
      </c>
      <c r="D526" t="s">
        <v>1074</v>
      </c>
      <c r="E526" t="s">
        <v>1030</v>
      </c>
      <c r="F526" t="s">
        <v>983</v>
      </c>
      <c r="G526" t="s">
        <v>978</v>
      </c>
      <c r="H526" s="198">
        <v>62986.7790676</v>
      </c>
      <c r="I526" s="198">
        <v>28384</v>
      </c>
      <c r="J526" s="198">
        <v>0</v>
      </c>
      <c r="K526" s="198">
        <v>0</v>
      </c>
      <c r="L526" s="198">
        <v>150</v>
      </c>
      <c r="M526" s="198">
        <v>2288.0344217000002</v>
      </c>
      <c r="N526" s="198">
        <v>40</v>
      </c>
      <c r="O526" s="198">
        <v>300</v>
      </c>
      <c r="P526" s="198">
        <v>2389.8463953599999</v>
      </c>
      <c r="Q526" s="198">
        <v>0</v>
      </c>
      <c r="R526" s="198">
        <v>0</v>
      </c>
      <c r="S526" s="198">
        <v>11814</v>
      </c>
      <c r="T526" s="198">
        <v>392</v>
      </c>
      <c r="U526" s="198">
        <v>2000</v>
      </c>
      <c r="V526" s="198">
        <v>4720</v>
      </c>
      <c r="W526" s="198">
        <v>242.59200000000001</v>
      </c>
      <c r="X526" s="198">
        <v>1500</v>
      </c>
      <c r="Y526" s="198">
        <v>186</v>
      </c>
      <c r="Z526" s="277">
        <v>117393.25188466</v>
      </c>
      <c r="AA526" s="272">
        <v>6.8197163740000004</v>
      </c>
      <c r="AB526" s="198">
        <v>19.695861254889191</v>
      </c>
      <c r="AC526" s="272">
        <v>0</v>
      </c>
      <c r="AD526" s="198">
        <v>0</v>
      </c>
      <c r="AE526" s="198">
        <v>19.695861254889191</v>
      </c>
      <c r="AF526" s="198">
        <v>1474.344233460544</v>
      </c>
      <c r="AG526" s="198">
        <v>0.6481477151106666</v>
      </c>
      <c r="AH526" s="198">
        <v>3.4247005983111286E-3</v>
      </c>
      <c r="AI526" s="198">
        <v>1494.6962104286367</v>
      </c>
      <c r="AJ526" s="198">
        <v>0.62892834794877239</v>
      </c>
      <c r="AK526" s="198">
        <v>14.676516926929615</v>
      </c>
      <c r="AL526" s="198">
        <v>0.68714019660405001</v>
      </c>
      <c r="AM526" s="198">
        <v>0.12351063650266972</v>
      </c>
      <c r="AN526" s="198">
        <v>5.0784332569515672E-2</v>
      </c>
      <c r="AO526" s="198">
        <v>1.0168496526056921E-2</v>
      </c>
      <c r="AP526" s="198">
        <v>8.4382899590876755E-3</v>
      </c>
      <c r="AQ526" s="198">
        <v>8.014880151346819E-3</v>
      </c>
      <c r="AS526" s="258">
        <f t="shared" si="64"/>
        <v>157483.04740327137</v>
      </c>
      <c r="AT526" s="3">
        <f t="shared" si="65"/>
        <v>34.490454784627104</v>
      </c>
      <c r="AU526" s="3">
        <f t="shared" si="71"/>
        <v>13.313116924053865</v>
      </c>
      <c r="AV526" s="3">
        <f t="shared" si="66"/>
        <v>0</v>
      </c>
      <c r="AW526" s="3">
        <f t="shared" si="67"/>
        <v>0</v>
      </c>
      <c r="AX526" s="3">
        <f t="shared" si="68"/>
        <v>13.313116924053865</v>
      </c>
      <c r="AY526" s="102">
        <f t="shared" si="69"/>
        <v>1</v>
      </c>
      <c r="AZ526" s="102">
        <f t="shared" si="70"/>
        <v>0</v>
      </c>
    </row>
    <row r="527" spans="1:52" x14ac:dyDescent="0.35">
      <c r="A527" t="s">
        <v>1021</v>
      </c>
      <c r="B527">
        <v>2030</v>
      </c>
      <c r="C527" t="s">
        <v>837</v>
      </c>
      <c r="D527" t="s">
        <v>1074</v>
      </c>
      <c r="E527" t="s">
        <v>1030</v>
      </c>
      <c r="F527" t="s">
        <v>983</v>
      </c>
      <c r="G527" t="s">
        <v>978</v>
      </c>
      <c r="H527" s="198">
        <v>62986.7790676</v>
      </c>
      <c r="I527" s="198">
        <v>13179</v>
      </c>
      <c r="J527" s="198">
        <v>0</v>
      </c>
      <c r="K527" s="198">
        <v>0</v>
      </c>
      <c r="L527" s="198">
        <v>0</v>
      </c>
      <c r="M527" s="198">
        <v>22963.125</v>
      </c>
      <c r="N527" s="198">
        <v>40</v>
      </c>
      <c r="O527" s="198">
        <v>0</v>
      </c>
      <c r="P527" s="198">
        <v>6873.5847528600007</v>
      </c>
      <c r="Q527" s="198">
        <v>0</v>
      </c>
      <c r="R527" s="198">
        <v>3446.7473001000003</v>
      </c>
      <c r="S527" s="198">
        <v>6523</v>
      </c>
      <c r="T527" s="198">
        <v>0</v>
      </c>
      <c r="U527" s="198">
        <v>2000</v>
      </c>
      <c r="V527" s="198">
        <v>4720</v>
      </c>
      <c r="W527" s="198">
        <v>242.59200000000001</v>
      </c>
      <c r="X527" s="198">
        <v>1500</v>
      </c>
      <c r="Y527" s="198">
        <v>186</v>
      </c>
      <c r="Z527" s="277">
        <v>124660.82812056001</v>
      </c>
      <c r="AA527" s="272">
        <v>38.987199470000007</v>
      </c>
      <c r="AB527" s="198">
        <v>3.4452381634479066</v>
      </c>
      <c r="AC527" s="272">
        <v>1677.6000000000001</v>
      </c>
      <c r="AD527" s="198">
        <v>6.0393600000000003</v>
      </c>
      <c r="AE527" s="198">
        <v>9.484598163447906</v>
      </c>
      <c r="AF527" s="198">
        <v>257.89514626666647</v>
      </c>
      <c r="AG527" s="198">
        <v>0.1133752525341595</v>
      </c>
      <c r="AH527" s="198">
        <v>5.9905525566979125E-4</v>
      </c>
      <c r="AI527" s="198">
        <v>261.45515346029345</v>
      </c>
      <c r="AJ527" s="198">
        <v>0.11001336363950463</v>
      </c>
      <c r="AK527" s="198">
        <v>2.5672447408510939</v>
      </c>
      <c r="AL527" s="198">
        <v>0.12019589284991079</v>
      </c>
      <c r="AM527" s="198">
        <v>0.11089293574737109</v>
      </c>
      <c r="AN527" s="198">
        <v>3.1701393421926072E-2</v>
      </c>
      <c r="AO527" s="198">
        <v>1.7786930890245987E-3</v>
      </c>
      <c r="AP527" s="198">
        <v>4.738495551339904E-3</v>
      </c>
      <c r="AQ527" s="198">
        <v>5.4807973386229291E-3</v>
      </c>
      <c r="AS527" s="258">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102">
        <f t="shared" si="69"/>
        <v>0.38292779536701066</v>
      </c>
      <c r="AZ527" s="102">
        <f t="shared" si="70"/>
        <v>0.6170722046329894</v>
      </c>
    </row>
    <row r="528" spans="1:52" x14ac:dyDescent="0.35">
      <c r="A528" t="s">
        <v>246</v>
      </c>
      <c r="B528">
        <v>2030</v>
      </c>
      <c r="C528" t="s">
        <v>837</v>
      </c>
      <c r="D528" t="s">
        <v>1074</v>
      </c>
      <c r="E528" t="s">
        <v>1030</v>
      </c>
      <c r="F528" t="s">
        <v>977</v>
      </c>
      <c r="G528" t="s">
        <v>978</v>
      </c>
      <c r="H528" s="198">
        <v>62986.7790676</v>
      </c>
      <c r="I528" s="198">
        <v>0</v>
      </c>
      <c r="J528" s="198">
        <v>0</v>
      </c>
      <c r="K528" s="198">
        <v>0</v>
      </c>
      <c r="L528" s="198">
        <v>0</v>
      </c>
      <c r="M528" s="198">
        <v>43344.45</v>
      </c>
      <c r="N528" s="198">
        <v>40</v>
      </c>
      <c r="O528" s="198">
        <v>0</v>
      </c>
      <c r="P528" s="198">
        <v>6733.6504942199999</v>
      </c>
      <c r="Q528" s="198">
        <v>0</v>
      </c>
      <c r="R528" s="198">
        <v>0</v>
      </c>
      <c r="S528" s="198">
        <v>6455</v>
      </c>
      <c r="T528" s="198">
        <v>0</v>
      </c>
      <c r="U528" s="198">
        <v>2000</v>
      </c>
      <c r="V528" s="198">
        <v>4500</v>
      </c>
      <c r="W528" s="198">
        <v>242.59200000000001</v>
      </c>
      <c r="X528" s="198">
        <v>1500</v>
      </c>
      <c r="Y528" s="198">
        <v>186</v>
      </c>
      <c r="Z528" s="277">
        <v>127988.47156182</v>
      </c>
      <c r="AA528" s="272">
        <v>0</v>
      </c>
      <c r="AB528" s="198">
        <v>0</v>
      </c>
      <c r="AC528" s="272">
        <v>1893</v>
      </c>
      <c r="AD528" s="198">
        <v>6.8148</v>
      </c>
      <c r="AE528" s="198">
        <v>6.8148</v>
      </c>
      <c r="AF528" s="198">
        <v>0</v>
      </c>
      <c r="AG528" s="198">
        <v>0</v>
      </c>
      <c r="AH528" s="198">
        <v>0</v>
      </c>
      <c r="AI528" s="198">
        <v>0</v>
      </c>
      <c r="AJ528" s="198">
        <v>0</v>
      </c>
      <c r="AK528" s="198">
        <v>0</v>
      </c>
      <c r="AL528" s="198">
        <v>0</v>
      </c>
      <c r="AM528" s="198">
        <v>0.1007526187913613</v>
      </c>
      <c r="AN528" s="198">
        <v>2.5747891468903376E-2</v>
      </c>
      <c r="AO528" s="198">
        <v>0</v>
      </c>
      <c r="AP528" s="198">
        <v>3.6813451102944462E-3</v>
      </c>
      <c r="AQ528" s="198">
        <v>4.6025300156275536E-3</v>
      </c>
      <c r="AS528" s="258">
        <f t="shared" si="64"/>
        <v>171696.53460018151</v>
      </c>
      <c r="AT528" s="3">
        <f t="shared" si="65"/>
        <v>0</v>
      </c>
      <c r="AU528" s="3">
        <f t="shared" si="71"/>
        <v>0</v>
      </c>
      <c r="AV528" s="3">
        <f t="shared" si="66"/>
        <v>117.62585904780842</v>
      </c>
      <c r="AW528" s="3">
        <f t="shared" si="67"/>
        <v>4.2345309257211037</v>
      </c>
      <c r="AX528" s="3">
        <f t="shared" si="68"/>
        <v>4.2345309257211037</v>
      </c>
      <c r="AY528" s="102">
        <f t="shared" si="69"/>
        <v>0</v>
      </c>
      <c r="AZ528" s="102">
        <f t="shared" si="70"/>
        <v>1</v>
      </c>
    </row>
    <row r="529" spans="1:52" x14ac:dyDescent="0.35">
      <c r="A529" t="s">
        <v>627</v>
      </c>
      <c r="B529">
        <v>2030</v>
      </c>
      <c r="C529" t="s">
        <v>837</v>
      </c>
      <c r="D529" t="s">
        <v>1074</v>
      </c>
      <c r="E529" t="s">
        <v>1030</v>
      </c>
      <c r="F529" t="s">
        <v>989</v>
      </c>
      <c r="G529" t="s">
        <v>978</v>
      </c>
      <c r="H529" s="198">
        <v>62986.7790676</v>
      </c>
      <c r="I529" s="198">
        <v>0</v>
      </c>
      <c r="J529" s="198">
        <v>32832.266932075472</v>
      </c>
      <c r="K529" s="198">
        <v>9574.6282499999998</v>
      </c>
      <c r="L529" s="198">
        <v>0</v>
      </c>
      <c r="M529" s="198">
        <v>4249.2067837000004</v>
      </c>
      <c r="N529" s="198">
        <v>40</v>
      </c>
      <c r="O529" s="198">
        <v>0</v>
      </c>
      <c r="P529" s="198">
        <v>6892.6440912299995</v>
      </c>
      <c r="Q529" s="198">
        <v>0</v>
      </c>
      <c r="R529" s="198">
        <v>0</v>
      </c>
      <c r="S529" s="198">
        <v>6532</v>
      </c>
      <c r="T529" s="198">
        <v>0</v>
      </c>
      <c r="U529" s="198">
        <v>2000</v>
      </c>
      <c r="V529" s="198">
        <v>4500</v>
      </c>
      <c r="W529" s="198">
        <v>242.59200000000001</v>
      </c>
      <c r="X529" s="198">
        <v>1500</v>
      </c>
      <c r="Y529" s="198">
        <v>186</v>
      </c>
      <c r="Z529" s="277">
        <v>131536.11712460546</v>
      </c>
      <c r="AA529" s="272">
        <v>8.1789706229999997</v>
      </c>
      <c r="AB529" s="198">
        <v>16.422627454154142</v>
      </c>
      <c r="AC529" s="272">
        <v>0</v>
      </c>
      <c r="AD529" s="198">
        <v>0</v>
      </c>
      <c r="AE529" s="198">
        <v>16.422627454154142</v>
      </c>
      <c r="AF529" s="198">
        <v>0</v>
      </c>
      <c r="AG529" s="198">
        <v>0</v>
      </c>
      <c r="AH529" s="198">
        <v>0</v>
      </c>
      <c r="AI529" s="198">
        <v>0</v>
      </c>
      <c r="AJ529" s="198">
        <v>0</v>
      </c>
      <c r="AK529" s="198">
        <v>0</v>
      </c>
      <c r="AL529" s="198">
        <v>0</v>
      </c>
      <c r="AM529" s="198">
        <v>0.1535283003211598</v>
      </c>
      <c r="AN529" s="198">
        <v>3.9235010082074237E-2</v>
      </c>
      <c r="AO529" s="198">
        <v>0</v>
      </c>
      <c r="AP529" s="198">
        <v>5.6096870181560309E-3</v>
      </c>
      <c r="AQ529" s="198">
        <v>7.0134019239707496E-3</v>
      </c>
      <c r="AS529" s="258">
        <f t="shared" si="64"/>
        <v>176455.70112265821</v>
      </c>
      <c r="AT529" s="3">
        <f t="shared" si="65"/>
        <v>28.758523545735951</v>
      </c>
      <c r="AU529" s="3">
        <f t="shared" si="71"/>
        <v>11.10062447475142</v>
      </c>
      <c r="AV529" s="3">
        <f t="shared" si="66"/>
        <v>0</v>
      </c>
      <c r="AW529" s="3">
        <f t="shared" si="67"/>
        <v>0</v>
      </c>
      <c r="AX529" s="3">
        <f t="shared" si="68"/>
        <v>11.10062447475142</v>
      </c>
      <c r="AY529" s="102">
        <f t="shared" si="69"/>
        <v>1</v>
      </c>
      <c r="AZ529" s="102">
        <f t="shared" si="70"/>
        <v>0</v>
      </c>
    </row>
    <row r="530" spans="1:52" x14ac:dyDescent="0.35">
      <c r="A530" t="s">
        <v>1065</v>
      </c>
      <c r="B530">
        <v>2030</v>
      </c>
      <c r="C530" t="s">
        <v>837</v>
      </c>
      <c r="D530" t="s">
        <v>1074</v>
      </c>
      <c r="E530" t="s">
        <v>1030</v>
      </c>
      <c r="F530" t="s">
        <v>989</v>
      </c>
      <c r="G530" t="s">
        <v>978</v>
      </c>
      <c r="H530" s="198">
        <v>62986.7790676</v>
      </c>
      <c r="I530" s="198">
        <v>0</v>
      </c>
      <c r="J530" s="198">
        <v>15161.05823773585</v>
      </c>
      <c r="K530" s="198">
        <v>10389.398579999999</v>
      </c>
      <c r="L530" s="198">
        <v>0</v>
      </c>
      <c r="M530" s="198">
        <v>5213.25</v>
      </c>
      <c r="N530" s="198">
        <v>40</v>
      </c>
      <c r="O530" s="198">
        <v>0</v>
      </c>
      <c r="P530" s="198">
        <v>7041.82485309</v>
      </c>
      <c r="Q530" s="198">
        <v>0</v>
      </c>
      <c r="R530" s="198">
        <v>0</v>
      </c>
      <c r="S530" s="198">
        <v>6605</v>
      </c>
      <c r="T530" s="198">
        <v>0</v>
      </c>
      <c r="U530" s="198">
        <v>2000</v>
      </c>
      <c r="V530" s="198">
        <v>4500</v>
      </c>
      <c r="W530" s="198">
        <v>242.59200000000001</v>
      </c>
      <c r="X530" s="198">
        <v>1500</v>
      </c>
      <c r="Y530" s="198">
        <v>186</v>
      </c>
      <c r="Z530" s="277">
        <v>115865.90273842585</v>
      </c>
      <c r="AA530" s="272">
        <v>9.5723105480000008</v>
      </c>
      <c r="AB530" s="198">
        <v>14.032159406702942</v>
      </c>
      <c r="AC530" s="272">
        <v>0</v>
      </c>
      <c r="AD530" s="198">
        <v>0</v>
      </c>
      <c r="AE530" s="198">
        <v>14.032159406702942</v>
      </c>
      <c r="AF530" s="198">
        <v>0</v>
      </c>
      <c r="AG530" s="198">
        <v>0</v>
      </c>
      <c r="AH530" s="198">
        <v>0</v>
      </c>
      <c r="AI530" s="198">
        <v>0</v>
      </c>
      <c r="AJ530" s="198">
        <v>0</v>
      </c>
      <c r="AK530" s="198">
        <v>0</v>
      </c>
      <c r="AL530" s="198">
        <v>0</v>
      </c>
      <c r="AM530" s="198">
        <v>0.13118081071745513</v>
      </c>
      <c r="AN530" s="198">
        <v>3.3523984961127483E-2</v>
      </c>
      <c r="AO530" s="198">
        <v>0</v>
      </c>
      <c r="AP530" s="198">
        <v>4.7931442566193092E-3</v>
      </c>
      <c r="AQ530" s="198">
        <v>5.9925352417064554E-3</v>
      </c>
      <c r="AS530" s="258">
        <f t="shared" si="64"/>
        <v>155434.10852359826</v>
      </c>
      <c r="AT530" s="3">
        <f t="shared" si="65"/>
        <v>24.572449677844293</v>
      </c>
      <c r="AU530" s="3">
        <f t="shared" si="71"/>
        <v>9.4848240684080505</v>
      </c>
      <c r="AV530" s="3">
        <f t="shared" si="66"/>
        <v>0</v>
      </c>
      <c r="AW530" s="3">
        <f t="shared" si="67"/>
        <v>0</v>
      </c>
      <c r="AX530" s="3">
        <f t="shared" si="68"/>
        <v>9.4848240684080505</v>
      </c>
      <c r="AY530" s="102">
        <f t="shared" si="69"/>
        <v>1</v>
      </c>
      <c r="AZ530" s="102">
        <f t="shared" si="70"/>
        <v>0</v>
      </c>
    </row>
    <row r="531" spans="1:52" x14ac:dyDescent="0.35">
      <c r="A531" t="s">
        <v>1017</v>
      </c>
      <c r="B531">
        <v>2035</v>
      </c>
      <c r="C531" t="s">
        <v>837</v>
      </c>
      <c r="D531" t="s">
        <v>1074</v>
      </c>
      <c r="E531" t="s">
        <v>1030</v>
      </c>
      <c r="F531" t="s">
        <v>983</v>
      </c>
      <c r="G531" t="s">
        <v>978</v>
      </c>
      <c r="H531" s="198">
        <v>62986.7790676</v>
      </c>
      <c r="I531" s="198">
        <v>27892</v>
      </c>
      <c r="J531" s="198">
        <v>0</v>
      </c>
      <c r="K531" s="198">
        <v>0</v>
      </c>
      <c r="L531" s="198">
        <v>120</v>
      </c>
      <c r="M531" s="198">
        <v>0</v>
      </c>
      <c r="N531" s="198">
        <v>0</v>
      </c>
      <c r="O531" s="198">
        <v>300</v>
      </c>
      <c r="P531" s="198">
        <v>0</v>
      </c>
      <c r="Q531" s="198">
        <v>0</v>
      </c>
      <c r="R531" s="198">
        <v>156.5</v>
      </c>
      <c r="S531" s="198">
        <v>11740</v>
      </c>
      <c r="T531" s="198">
        <v>506</v>
      </c>
      <c r="U531" s="198">
        <v>2000</v>
      </c>
      <c r="V531" s="198">
        <v>1920</v>
      </c>
      <c r="W531" s="198">
        <v>0</v>
      </c>
      <c r="X531" s="198">
        <v>0</v>
      </c>
      <c r="Y531" s="198">
        <v>186</v>
      </c>
      <c r="Z531" s="277">
        <v>107807.2790676</v>
      </c>
      <c r="AA531" s="272">
        <v>5.5549916269999997</v>
      </c>
      <c r="AB531" s="198">
        <v>24.180088201598291</v>
      </c>
      <c r="AC531" s="272">
        <v>0</v>
      </c>
      <c r="AD531" s="198">
        <v>0</v>
      </c>
      <c r="AE531" s="198">
        <v>24.180088201598291</v>
      </c>
      <c r="AF531" s="198">
        <v>1810.0134410595667</v>
      </c>
      <c r="AG531" s="198">
        <v>0.79571381602568525</v>
      </c>
      <c r="AH531" s="198">
        <v>4.20441439242335E-3</v>
      </c>
      <c r="AI531" s="198">
        <v>1834.9990251778147</v>
      </c>
      <c r="AJ531" s="198">
        <v>0.7721187070259129</v>
      </c>
      <c r="AK531" s="198">
        <v>18.017971856768391</v>
      </c>
      <c r="AL531" s="198">
        <v>0.84358385478700892</v>
      </c>
      <c r="AM531" s="198">
        <v>0.1516307434247765</v>
      </c>
      <c r="AN531" s="198">
        <v>6.2346582609347202E-2</v>
      </c>
      <c r="AO531" s="198">
        <v>1.248359438035072E-2</v>
      </c>
      <c r="AP531" s="198">
        <v>1.0359465516175476E-2</v>
      </c>
      <c r="AQ531" s="198">
        <v>9.8396564880704369E-3</v>
      </c>
      <c r="AS531" s="258">
        <f t="shared" si="64"/>
        <v>144623.46486918538</v>
      </c>
      <c r="AT531" s="3">
        <f t="shared" si="65"/>
        <v>42.343019582273826</v>
      </c>
      <c r="AU531" s="3">
        <f t="shared" si="71"/>
        <v>16.344161714781762</v>
      </c>
      <c r="AV531" s="3">
        <f t="shared" si="66"/>
        <v>0</v>
      </c>
      <c r="AW531" s="3">
        <f t="shared" si="67"/>
        <v>0</v>
      </c>
      <c r="AX531" s="3">
        <f t="shared" si="68"/>
        <v>16.344161714781762</v>
      </c>
      <c r="AY531" s="102">
        <f t="shared" si="69"/>
        <v>1</v>
      </c>
      <c r="AZ531" s="102">
        <f t="shared" si="70"/>
        <v>0</v>
      </c>
    </row>
    <row r="532" spans="1:52" x14ac:dyDescent="0.35">
      <c r="A532" t="s">
        <v>1020</v>
      </c>
      <c r="B532">
        <v>2035</v>
      </c>
      <c r="C532" t="s">
        <v>837</v>
      </c>
      <c r="D532" t="s">
        <v>1074</v>
      </c>
      <c r="E532" t="s">
        <v>1030</v>
      </c>
      <c r="F532" t="s">
        <v>983</v>
      </c>
      <c r="G532" t="s">
        <v>978</v>
      </c>
      <c r="H532" s="198">
        <v>62986.7790676</v>
      </c>
      <c r="I532" s="198">
        <v>28339</v>
      </c>
      <c r="J532" s="198">
        <v>0</v>
      </c>
      <c r="K532" s="198">
        <v>0</v>
      </c>
      <c r="L532" s="198">
        <v>150</v>
      </c>
      <c r="M532" s="198">
        <v>2306.4241211999997</v>
      </c>
      <c r="N532" s="198">
        <v>35</v>
      </c>
      <c r="O532" s="198">
        <v>300</v>
      </c>
      <c r="P532" s="198">
        <v>2055.2745137900001</v>
      </c>
      <c r="Q532" s="198">
        <v>0</v>
      </c>
      <c r="R532" s="198">
        <v>0</v>
      </c>
      <c r="S532" s="198">
        <v>11815</v>
      </c>
      <c r="T532" s="198">
        <v>392</v>
      </c>
      <c r="U532" s="198">
        <v>2000</v>
      </c>
      <c r="V532" s="198">
        <v>4720</v>
      </c>
      <c r="W532" s="198">
        <v>196</v>
      </c>
      <c r="X532" s="198">
        <v>1500</v>
      </c>
      <c r="Y532" s="198">
        <v>186</v>
      </c>
      <c r="Z532" s="277">
        <v>116981.47770259001</v>
      </c>
      <c r="AA532" s="272">
        <v>7.1785292920000003</v>
      </c>
      <c r="AB532" s="198">
        <v>18.711379732014333</v>
      </c>
      <c r="AC532" s="272">
        <v>0</v>
      </c>
      <c r="AD532" s="198">
        <v>0</v>
      </c>
      <c r="AE532" s="198">
        <v>18.711379732014333</v>
      </c>
      <c r="AF532" s="198">
        <v>1400.6503422711603</v>
      </c>
      <c r="AG532" s="198">
        <v>0.61575058145084183</v>
      </c>
      <c r="AH532" s="198">
        <v>3.2535197386988667E-3</v>
      </c>
      <c r="AI532" s="198">
        <v>1419.9850423088476</v>
      </c>
      <c r="AJ532" s="198">
        <v>0.59749187864413222</v>
      </c>
      <c r="AK532" s="198">
        <v>13.942923226824949</v>
      </c>
      <c r="AL532" s="198">
        <v>0.65279405563428861</v>
      </c>
      <c r="AM532" s="198">
        <v>0.11733705831069258</v>
      </c>
      <c r="AN532" s="198">
        <v>4.8245919223726633E-2</v>
      </c>
      <c r="AO532" s="198">
        <v>9.6602325402494853E-3</v>
      </c>
      <c r="AP532" s="198">
        <v>8.0165089340350076E-3</v>
      </c>
      <c r="AQ532" s="198">
        <v>7.6142629193840031E-3</v>
      </c>
      <c r="AS532" s="258">
        <f t="shared" si="64"/>
        <v>156930.65233802449</v>
      </c>
      <c r="AT532" s="3">
        <f t="shared" si="65"/>
        <v>32.76647759918734</v>
      </c>
      <c r="AU532" s="3">
        <f t="shared" si="71"/>
        <v>12.647671658473003</v>
      </c>
      <c r="AV532" s="3">
        <f t="shared" si="66"/>
        <v>0</v>
      </c>
      <c r="AW532" s="3">
        <f t="shared" si="67"/>
        <v>0</v>
      </c>
      <c r="AX532" s="3">
        <f t="shared" si="68"/>
        <v>12.647671658473003</v>
      </c>
      <c r="AY532" s="102">
        <f t="shared" si="69"/>
        <v>1</v>
      </c>
      <c r="AZ532" s="102">
        <f t="shared" si="70"/>
        <v>0</v>
      </c>
    </row>
    <row r="533" spans="1:52" x14ac:dyDescent="0.35">
      <c r="A533" t="s">
        <v>1021</v>
      </c>
      <c r="B533">
        <v>2035</v>
      </c>
      <c r="C533" t="s">
        <v>837</v>
      </c>
      <c r="D533" t="s">
        <v>1074</v>
      </c>
      <c r="E533" t="s">
        <v>1030</v>
      </c>
      <c r="F533" t="s">
        <v>983</v>
      </c>
      <c r="G533" t="s">
        <v>978</v>
      </c>
      <c r="H533" s="198">
        <v>62986.7790676</v>
      </c>
      <c r="I533" s="198">
        <v>12552</v>
      </c>
      <c r="J533" s="198">
        <v>0</v>
      </c>
      <c r="K533" s="198">
        <v>0</v>
      </c>
      <c r="L533" s="198">
        <v>0</v>
      </c>
      <c r="M533" s="198">
        <v>18399.048750000002</v>
      </c>
      <c r="N533" s="198">
        <v>35</v>
      </c>
      <c r="O533" s="198">
        <v>0</v>
      </c>
      <c r="P533" s="198">
        <v>5852.2914924299994</v>
      </c>
      <c r="Q533" s="198">
        <v>0</v>
      </c>
      <c r="R533" s="198">
        <v>2646.972391965</v>
      </c>
      <c r="S533" s="198">
        <v>6497</v>
      </c>
      <c r="T533" s="198">
        <v>0</v>
      </c>
      <c r="U533" s="198">
        <v>2000</v>
      </c>
      <c r="V533" s="198">
        <v>4720</v>
      </c>
      <c r="W533" s="198">
        <v>196</v>
      </c>
      <c r="X533" s="198">
        <v>1500</v>
      </c>
      <c r="Y533" s="198">
        <v>186</v>
      </c>
      <c r="Z533" s="277">
        <v>117571.091701995</v>
      </c>
      <c r="AA533" s="272">
        <v>41.831447680000011</v>
      </c>
      <c r="AB533" s="198">
        <v>3.210985871861654</v>
      </c>
      <c r="AC533" s="272">
        <v>1593.6000000000001</v>
      </c>
      <c r="AD533" s="198">
        <v>5.7369600000000007</v>
      </c>
      <c r="AE533" s="198">
        <v>8.9479458718616556</v>
      </c>
      <c r="AF533" s="198">
        <v>240.36006563192765</v>
      </c>
      <c r="AG533" s="198">
        <v>0.1056665219746681</v>
      </c>
      <c r="AH533" s="198">
        <v>5.5832365461060693E-4</v>
      </c>
      <c r="AI533" s="198">
        <v>243.67801703619929</v>
      </c>
      <c r="AJ533" s="198">
        <v>0.10253321819961003</v>
      </c>
      <c r="AK533" s="198">
        <v>2.392689910364346</v>
      </c>
      <c r="AL533" s="198">
        <v>0.11202340607147301</v>
      </c>
      <c r="AM533" s="198">
        <v>0.10495316705097821</v>
      </c>
      <c r="AN533" s="198">
        <v>2.9954853901318614E-2</v>
      </c>
      <c r="AO533" s="198">
        <v>1.657754299784073E-3</v>
      </c>
      <c r="AP533" s="198">
        <v>4.4747788928274513E-3</v>
      </c>
      <c r="AQ533" s="198">
        <v>5.1812398275750847E-3</v>
      </c>
      <c r="AS533" s="258">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102">
        <f t="shared" si="69"/>
        <v>0.37843738550575462</v>
      </c>
      <c r="AZ533" s="102">
        <f t="shared" si="70"/>
        <v>0.62156261449424532</v>
      </c>
    </row>
    <row r="534" spans="1:52" x14ac:dyDescent="0.35">
      <c r="A534" t="s">
        <v>246</v>
      </c>
      <c r="B534">
        <v>2035</v>
      </c>
      <c r="C534" t="s">
        <v>837</v>
      </c>
      <c r="D534" t="s">
        <v>1074</v>
      </c>
      <c r="E534" t="s">
        <v>1030</v>
      </c>
      <c r="F534" t="s">
        <v>977</v>
      </c>
      <c r="G534" t="s">
        <v>978</v>
      </c>
      <c r="H534" s="198">
        <v>62986.7790676</v>
      </c>
      <c r="I534" s="198">
        <v>0</v>
      </c>
      <c r="J534" s="198">
        <v>0</v>
      </c>
      <c r="K534" s="198">
        <v>0</v>
      </c>
      <c r="L534" s="198">
        <v>0</v>
      </c>
      <c r="M534" s="198">
        <v>34675.56</v>
      </c>
      <c r="N534" s="198">
        <v>35</v>
      </c>
      <c r="O534" s="198">
        <v>0</v>
      </c>
      <c r="P534" s="198">
        <v>5733.7506834300002</v>
      </c>
      <c r="Q534" s="198">
        <v>0</v>
      </c>
      <c r="R534" s="198">
        <v>0</v>
      </c>
      <c r="S534" s="198">
        <v>6430</v>
      </c>
      <c r="T534" s="198">
        <v>0</v>
      </c>
      <c r="U534" s="198">
        <v>2000</v>
      </c>
      <c r="V534" s="198">
        <v>4500</v>
      </c>
      <c r="W534" s="198">
        <v>196</v>
      </c>
      <c r="X534" s="198">
        <v>1500</v>
      </c>
      <c r="Y534" s="198">
        <v>186</v>
      </c>
      <c r="Z534" s="277">
        <v>118243.08975103</v>
      </c>
      <c r="AA534" s="272">
        <v>0</v>
      </c>
      <c r="AB534" s="198">
        <v>0</v>
      </c>
      <c r="AC534" s="272">
        <v>1780</v>
      </c>
      <c r="AD534" s="198">
        <v>6.4079999999999995</v>
      </c>
      <c r="AE534" s="198">
        <v>6.4079999999999995</v>
      </c>
      <c r="AF534" s="198">
        <v>0</v>
      </c>
      <c r="AG534" s="198">
        <v>0</v>
      </c>
      <c r="AH534" s="198">
        <v>0</v>
      </c>
      <c r="AI534" s="198">
        <v>0</v>
      </c>
      <c r="AJ534" s="198">
        <v>0</v>
      </c>
      <c r="AK534" s="198">
        <v>0</v>
      </c>
      <c r="AL534" s="198">
        <v>0</v>
      </c>
      <c r="AM534" s="198">
        <v>9.4738331457275796E-2</v>
      </c>
      <c r="AN534" s="198">
        <v>2.421090692797042E-2</v>
      </c>
      <c r="AO534" s="198">
        <v>0</v>
      </c>
      <c r="AP534" s="198">
        <v>3.4615923382589086E-3</v>
      </c>
      <c r="AQ534" s="198">
        <v>4.3277883929302933E-3</v>
      </c>
      <c r="AS534" s="258">
        <f t="shared" si="64"/>
        <v>158623.10490100674</v>
      </c>
      <c r="AT534" s="3">
        <f t="shared" si="65"/>
        <v>0</v>
      </c>
      <c r="AU534" s="3">
        <f t="shared" si="71"/>
        <v>0</v>
      </c>
      <c r="AV534" s="3">
        <f t="shared" si="66"/>
        <v>110.60434712366559</v>
      </c>
      <c r="AW534" s="3">
        <f t="shared" si="67"/>
        <v>3.9817564964519612</v>
      </c>
      <c r="AX534" s="3">
        <f t="shared" si="68"/>
        <v>3.9817564964519612</v>
      </c>
      <c r="AY534" s="102">
        <f t="shared" si="69"/>
        <v>0</v>
      </c>
      <c r="AZ534" s="102">
        <f t="shared" si="70"/>
        <v>1</v>
      </c>
    </row>
    <row r="535" spans="1:52" x14ac:dyDescent="0.35">
      <c r="A535" t="s">
        <v>627</v>
      </c>
      <c r="B535">
        <v>2035</v>
      </c>
      <c r="C535" t="s">
        <v>837</v>
      </c>
      <c r="D535" t="s">
        <v>1074</v>
      </c>
      <c r="E535" t="s">
        <v>1030</v>
      </c>
      <c r="F535" t="s">
        <v>989</v>
      </c>
      <c r="G535" t="s">
        <v>978</v>
      </c>
      <c r="H535" s="198">
        <v>62986.7790676</v>
      </c>
      <c r="I535" s="198">
        <v>0</v>
      </c>
      <c r="J535" s="198">
        <v>28512.229754716976</v>
      </c>
      <c r="K535" s="198">
        <v>8741.7650677500023</v>
      </c>
      <c r="L535" s="198">
        <v>0</v>
      </c>
      <c r="M535" s="198">
        <v>4004.2085435999998</v>
      </c>
      <c r="N535" s="198">
        <v>35</v>
      </c>
      <c r="O535" s="198">
        <v>0</v>
      </c>
      <c r="P535" s="198">
        <v>5868.8995364699995</v>
      </c>
      <c r="Q535" s="198">
        <v>0</v>
      </c>
      <c r="R535" s="198">
        <v>0</v>
      </c>
      <c r="S535" s="198">
        <v>6507</v>
      </c>
      <c r="T535" s="198">
        <v>0</v>
      </c>
      <c r="U535" s="198">
        <v>2000</v>
      </c>
      <c r="V535" s="198">
        <v>4500</v>
      </c>
      <c r="W535" s="198">
        <v>196</v>
      </c>
      <c r="X535" s="198">
        <v>1500</v>
      </c>
      <c r="Y535" s="198">
        <v>186</v>
      </c>
      <c r="Z535" s="277">
        <v>125037.88197013698</v>
      </c>
      <c r="AA535" s="272">
        <v>8.6231744379999995</v>
      </c>
      <c r="AB535" s="198">
        <v>15.576652016696686</v>
      </c>
      <c r="AC535" s="272">
        <v>0</v>
      </c>
      <c r="AD535" s="198">
        <v>0</v>
      </c>
      <c r="AE535" s="198">
        <v>15.576652016696686</v>
      </c>
      <c r="AF535" s="198">
        <v>0</v>
      </c>
      <c r="AG535" s="198">
        <v>0</v>
      </c>
      <c r="AH535" s="198">
        <v>0</v>
      </c>
      <c r="AI535" s="198">
        <v>0</v>
      </c>
      <c r="AJ535" s="198">
        <v>0</v>
      </c>
      <c r="AK535" s="198">
        <v>0</v>
      </c>
      <c r="AL535" s="198">
        <v>0</v>
      </c>
      <c r="AM535" s="198">
        <v>0.1456196284969421</v>
      </c>
      <c r="AN535" s="198">
        <v>3.7213905060329712E-2</v>
      </c>
      <c r="AO535" s="198">
        <v>0</v>
      </c>
      <c r="AP535" s="198">
        <v>5.3207163621247673E-3</v>
      </c>
      <c r="AQ535" s="198">
        <v>6.6521219900954115E-3</v>
      </c>
      <c r="AS535" s="258">
        <f t="shared" si="64"/>
        <v>167738.31866293875</v>
      </c>
      <c r="AT535" s="3">
        <f t="shared" si="65"/>
        <v>27.277091624738411</v>
      </c>
      <c r="AU535" s="3">
        <f t="shared" si="71"/>
        <v>10.528800284481346</v>
      </c>
      <c r="AV535" s="3">
        <f t="shared" si="66"/>
        <v>0</v>
      </c>
      <c r="AW535" s="3">
        <f t="shared" si="67"/>
        <v>0</v>
      </c>
      <c r="AX535" s="3">
        <f t="shared" si="68"/>
        <v>10.528800284481346</v>
      </c>
      <c r="AY535" s="102">
        <f t="shared" si="69"/>
        <v>1</v>
      </c>
      <c r="AZ535" s="102">
        <f t="shared" si="70"/>
        <v>0</v>
      </c>
    </row>
    <row r="536" spans="1:52" x14ac:dyDescent="0.35">
      <c r="A536" t="s">
        <v>1065</v>
      </c>
      <c r="B536">
        <v>2035</v>
      </c>
      <c r="C536" t="s">
        <v>837</v>
      </c>
      <c r="D536" t="s">
        <v>1074</v>
      </c>
      <c r="E536" t="s">
        <v>1030</v>
      </c>
      <c r="F536" t="s">
        <v>989</v>
      </c>
      <c r="G536" t="s">
        <v>978</v>
      </c>
      <c r="H536" s="198">
        <v>62986.7790676</v>
      </c>
      <c r="I536" s="198">
        <v>0</v>
      </c>
      <c r="J536" s="198">
        <v>11906.751793867923</v>
      </c>
      <c r="K536" s="198">
        <v>9543.9640725000027</v>
      </c>
      <c r="L536" s="198">
        <v>0</v>
      </c>
      <c r="M536" s="198">
        <v>4725.4387500000003</v>
      </c>
      <c r="N536" s="198">
        <v>35</v>
      </c>
      <c r="O536" s="198">
        <v>0</v>
      </c>
      <c r="P536" s="198">
        <v>5856.5603915099991</v>
      </c>
      <c r="Q536" s="198">
        <v>0</v>
      </c>
      <c r="R536" s="198">
        <v>0</v>
      </c>
      <c r="S536" s="198">
        <v>6500</v>
      </c>
      <c r="T536" s="198">
        <v>0</v>
      </c>
      <c r="U536" s="198">
        <v>2000</v>
      </c>
      <c r="V536" s="198">
        <v>4500</v>
      </c>
      <c r="W536" s="198">
        <v>196</v>
      </c>
      <c r="X536" s="198">
        <v>1500</v>
      </c>
      <c r="Y536" s="198">
        <v>186</v>
      </c>
      <c r="Z536" s="277">
        <v>109936.49407547792</v>
      </c>
      <c r="AA536" s="272">
        <v>10.31026612</v>
      </c>
      <c r="AB536" s="198">
        <v>13.027809945607885</v>
      </c>
      <c r="AC536" s="272">
        <v>0</v>
      </c>
      <c r="AD536" s="198">
        <v>0</v>
      </c>
      <c r="AE536" s="198">
        <v>13.027809945607885</v>
      </c>
      <c r="AF536" s="198">
        <v>0</v>
      </c>
      <c r="AG536" s="198">
        <v>0</v>
      </c>
      <c r="AH536" s="198">
        <v>0</v>
      </c>
      <c r="AI536" s="198">
        <v>0</v>
      </c>
      <c r="AJ536" s="198">
        <v>0</v>
      </c>
      <c r="AK536" s="198">
        <v>0</v>
      </c>
      <c r="AL536" s="198">
        <v>0</v>
      </c>
      <c r="AM536" s="198">
        <v>0.12179156614493744</v>
      </c>
      <c r="AN536" s="198">
        <v>3.1124511348150731E-2</v>
      </c>
      <c r="AO536" s="198">
        <v>0</v>
      </c>
      <c r="AP536" s="198">
        <v>4.450075758638386E-3</v>
      </c>
      <c r="AQ536" s="198">
        <v>5.5636205346994913E-3</v>
      </c>
      <c r="AS536" s="258">
        <f t="shared" si="64"/>
        <v>147479.80680225362</v>
      </c>
      <c r="AT536" s="3">
        <f t="shared" si="65"/>
        <v>22.813680704628421</v>
      </c>
      <c r="AU536" s="3">
        <f t="shared" si="71"/>
        <v>8.8059493731037328</v>
      </c>
      <c r="AV536" s="3">
        <f t="shared" si="66"/>
        <v>0</v>
      </c>
      <c r="AW536" s="3">
        <f t="shared" si="67"/>
        <v>0</v>
      </c>
      <c r="AX536" s="3">
        <f t="shared" si="68"/>
        <v>8.8059493731037328</v>
      </c>
      <c r="AY536" s="102">
        <f t="shared" si="69"/>
        <v>1</v>
      </c>
      <c r="AZ536" s="102">
        <f t="shared" si="70"/>
        <v>0</v>
      </c>
    </row>
    <row r="537" spans="1:52" x14ac:dyDescent="0.35">
      <c r="A537" t="s">
        <v>1017</v>
      </c>
      <c r="B537">
        <v>2050</v>
      </c>
      <c r="C537" t="s">
        <v>837</v>
      </c>
      <c r="D537" t="s">
        <v>1074</v>
      </c>
      <c r="E537" t="s">
        <v>1030</v>
      </c>
      <c r="F537" t="s">
        <v>983</v>
      </c>
      <c r="G537" t="s">
        <v>978</v>
      </c>
      <c r="H537" s="198">
        <v>63277.302854000001</v>
      </c>
      <c r="I537" s="198">
        <v>27705</v>
      </c>
      <c r="J537" s="198">
        <v>0</v>
      </c>
      <c r="K537" s="198">
        <v>0</v>
      </c>
      <c r="L537" s="198">
        <v>120</v>
      </c>
      <c r="M537" s="198">
        <v>0</v>
      </c>
      <c r="N537" s="198">
        <v>0</v>
      </c>
      <c r="O537" s="198">
        <v>300</v>
      </c>
      <c r="P537" s="198">
        <v>0</v>
      </c>
      <c r="Q537" s="198">
        <v>0</v>
      </c>
      <c r="R537" s="198">
        <v>110</v>
      </c>
      <c r="S537" s="198">
        <v>11740</v>
      </c>
      <c r="T537" s="198">
        <v>506</v>
      </c>
      <c r="U537" s="198">
        <v>2000</v>
      </c>
      <c r="V537" s="198">
        <v>1920</v>
      </c>
      <c r="W537" s="198">
        <v>0</v>
      </c>
      <c r="X537" s="198">
        <v>0</v>
      </c>
      <c r="Y537" s="198">
        <v>186</v>
      </c>
      <c r="Z537" s="277">
        <v>107864.30285400001</v>
      </c>
      <c r="AA537" s="272">
        <v>6.0323557609999998</v>
      </c>
      <c r="AB537" s="198">
        <v>22.266622331593616</v>
      </c>
      <c r="AC537" s="272">
        <v>0</v>
      </c>
      <c r="AD537" s="198">
        <v>0</v>
      </c>
      <c r="AE537" s="198">
        <v>22.266622331593616</v>
      </c>
      <c r="AF537" s="198">
        <v>1666.7799294676499</v>
      </c>
      <c r="AG537" s="198">
        <v>0.73274583937638227</v>
      </c>
      <c r="AH537" s="198">
        <v>3.8717024777196328E-3</v>
      </c>
      <c r="AI537" s="198">
        <v>1689.7883056429905</v>
      </c>
      <c r="AJ537" s="198">
        <v>0.71101790453220792</v>
      </c>
      <c r="AK537" s="198">
        <v>16.592138588205202</v>
      </c>
      <c r="AL537" s="198">
        <v>0.77682773292492135</v>
      </c>
      <c r="AM537" s="198">
        <v>0.13963160388617185</v>
      </c>
      <c r="AN537" s="198">
        <v>5.7412851311935006E-2</v>
      </c>
      <c r="AO537" s="198">
        <v>1.149571825754136E-2</v>
      </c>
      <c r="AP537" s="198">
        <v>9.5396800988757201E-3</v>
      </c>
      <c r="AQ537" s="198">
        <v>9.0610056119645194E-3</v>
      </c>
      <c r="AS537" s="258">
        <f t="shared" si="64"/>
        <v>144699.962278641</v>
      </c>
      <c r="AT537" s="3">
        <f t="shared" si="65"/>
        <v>38.992249224113387</v>
      </c>
      <c r="AU537" s="3">
        <f t="shared" si="71"/>
        <v>15.050783652868624</v>
      </c>
      <c r="AV537" s="3">
        <f t="shared" si="66"/>
        <v>0</v>
      </c>
      <c r="AW537" s="3">
        <f t="shared" si="67"/>
        <v>0</v>
      </c>
      <c r="AX537" s="3">
        <f t="shared" si="68"/>
        <v>15.050783652868624</v>
      </c>
      <c r="AY537" s="102">
        <f t="shared" si="69"/>
        <v>1</v>
      </c>
      <c r="AZ537" s="102">
        <f t="shared" si="70"/>
        <v>0</v>
      </c>
    </row>
    <row r="538" spans="1:52" x14ac:dyDescent="0.35">
      <c r="A538" t="s">
        <v>1020</v>
      </c>
      <c r="B538">
        <v>2050</v>
      </c>
      <c r="C538" t="s">
        <v>837</v>
      </c>
      <c r="D538" t="s">
        <v>1074</v>
      </c>
      <c r="E538" t="s">
        <v>1030</v>
      </c>
      <c r="F538" t="s">
        <v>983</v>
      </c>
      <c r="G538" t="s">
        <v>978</v>
      </c>
      <c r="H538" s="198">
        <v>63277.302854000001</v>
      </c>
      <c r="I538" s="198">
        <v>28145</v>
      </c>
      <c r="J538" s="198">
        <v>0</v>
      </c>
      <c r="K538" s="198">
        <v>0</v>
      </c>
      <c r="L538" s="198">
        <v>150</v>
      </c>
      <c r="M538" s="198">
        <v>1916.0879401</v>
      </c>
      <c r="N538" s="198">
        <v>28.89</v>
      </c>
      <c r="O538" s="198">
        <v>300</v>
      </c>
      <c r="P538" s="198">
        <v>1444.1350011</v>
      </c>
      <c r="Q538" s="198">
        <v>0</v>
      </c>
      <c r="R538" s="198">
        <v>0</v>
      </c>
      <c r="S538" s="198">
        <v>11814</v>
      </c>
      <c r="T538" s="198">
        <v>392</v>
      </c>
      <c r="U538" s="198">
        <v>2000</v>
      </c>
      <c r="V538" s="198">
        <v>4720</v>
      </c>
      <c r="W538" s="198">
        <v>141.56100000000001</v>
      </c>
      <c r="X538" s="198">
        <v>1500</v>
      </c>
      <c r="Y538" s="198">
        <v>186</v>
      </c>
      <c r="Z538" s="277">
        <v>116014.97679520001</v>
      </c>
      <c r="AA538" s="272">
        <v>7.8654482400000001</v>
      </c>
      <c r="AB538" s="198">
        <v>17.077245110699504</v>
      </c>
      <c r="AC538" s="272">
        <v>0</v>
      </c>
      <c r="AD538" s="198">
        <v>0</v>
      </c>
      <c r="AE538" s="198">
        <v>17.077245110699504</v>
      </c>
      <c r="AF538" s="198">
        <v>1278.3263207696543</v>
      </c>
      <c r="AG538" s="198">
        <v>0.56197478524261457</v>
      </c>
      <c r="AH538" s="198">
        <v>2.9693777180523412E-3</v>
      </c>
      <c r="AI538" s="198">
        <v>1295.9724492975527</v>
      </c>
      <c r="AJ538" s="198">
        <v>0.54531068309198016</v>
      </c>
      <c r="AK538" s="198">
        <v>12.72523570759269</v>
      </c>
      <c r="AL538" s="198">
        <v>0.59578311458244615</v>
      </c>
      <c r="AM538" s="198">
        <v>0.10708957511624524</v>
      </c>
      <c r="AN538" s="198">
        <v>4.403242304814755E-2</v>
      </c>
      <c r="AO538" s="198">
        <v>8.8165683813224757E-3</v>
      </c>
      <c r="AP538" s="198">
        <v>7.3163972918789443E-3</v>
      </c>
      <c r="AQ538" s="198">
        <v>6.9492809228361924E-3</v>
      </c>
      <c r="AS538" s="258">
        <f t="shared" si="64"/>
        <v>155634.09137076081</v>
      </c>
      <c r="AT538" s="3">
        <f t="shared" si="65"/>
        <v>29.904858828672189</v>
      </c>
      <c r="AU538" s="3">
        <f t="shared" si="71"/>
        <v>11.543103292476394</v>
      </c>
      <c r="AV538" s="3">
        <f t="shared" si="66"/>
        <v>0</v>
      </c>
      <c r="AW538" s="3">
        <f t="shared" si="67"/>
        <v>0</v>
      </c>
      <c r="AX538" s="3">
        <f t="shared" si="68"/>
        <v>11.543103292476394</v>
      </c>
      <c r="AY538" s="102">
        <f t="shared" si="69"/>
        <v>1</v>
      </c>
      <c r="AZ538" s="102">
        <f t="shared" si="70"/>
        <v>0</v>
      </c>
    </row>
    <row r="539" spans="1:52" x14ac:dyDescent="0.35">
      <c r="A539" t="s">
        <v>1021</v>
      </c>
      <c r="B539">
        <v>2050</v>
      </c>
      <c r="C539" t="s">
        <v>837</v>
      </c>
      <c r="D539" t="s">
        <v>1074</v>
      </c>
      <c r="E539" t="s">
        <v>1030</v>
      </c>
      <c r="F539" t="s">
        <v>983</v>
      </c>
      <c r="G539" t="s">
        <v>978</v>
      </c>
      <c r="H539" s="198">
        <v>63277.302854000001</v>
      </c>
      <c r="I539" s="198">
        <v>11951</v>
      </c>
      <c r="J539" s="198">
        <v>0</v>
      </c>
      <c r="K539" s="198">
        <v>0</v>
      </c>
      <c r="L539" s="198">
        <v>0</v>
      </c>
      <c r="M539" s="198">
        <v>12581.31</v>
      </c>
      <c r="N539" s="198">
        <v>28.89</v>
      </c>
      <c r="O539" s="198">
        <v>0</v>
      </c>
      <c r="P539" s="198">
        <v>4065.7343430000001</v>
      </c>
      <c r="Q539" s="198">
        <v>0</v>
      </c>
      <c r="R539" s="198">
        <v>1709.3325139000001</v>
      </c>
      <c r="S539" s="198">
        <v>6469</v>
      </c>
      <c r="T539" s="198">
        <v>0</v>
      </c>
      <c r="U539" s="198">
        <v>2000</v>
      </c>
      <c r="V539" s="198">
        <v>4720</v>
      </c>
      <c r="W539" s="198">
        <v>141.56100000000001</v>
      </c>
      <c r="X539" s="198">
        <v>1500</v>
      </c>
      <c r="Y539" s="198">
        <v>186</v>
      </c>
      <c r="Z539" s="277">
        <v>108630.1307109</v>
      </c>
      <c r="AA539" s="272">
        <v>48.655285965000012</v>
      </c>
      <c r="AB539" s="198">
        <v>2.7606494307036384</v>
      </c>
      <c r="AC539" s="272">
        <v>1441.6000000000001</v>
      </c>
      <c r="AD539" s="198">
        <v>5.1897600000000006</v>
      </c>
      <c r="AE539" s="198">
        <v>7.9504094307036386</v>
      </c>
      <c r="AF539" s="198">
        <v>206.64989035469026</v>
      </c>
      <c r="AG539" s="198">
        <v>9.0846934672021901E-2</v>
      </c>
      <c r="AH539" s="198">
        <v>4.8001951449120413E-4</v>
      </c>
      <c r="AI539" s="198">
        <v>209.50250354603833</v>
      </c>
      <c r="AJ539" s="198">
        <v>8.8153072528735499E-2</v>
      </c>
      <c r="AK539" s="198">
        <v>2.0571183750079935</v>
      </c>
      <c r="AL539" s="198">
        <v>9.6312274341273998E-2</v>
      </c>
      <c r="AM539" s="198">
        <v>9.4039140638438393E-2</v>
      </c>
      <c r="AN539" s="198">
        <v>2.6726246210436039E-2</v>
      </c>
      <c r="AO539" s="198">
        <v>1.4252564933560656E-3</v>
      </c>
      <c r="AP539" s="198">
        <v>3.9862447823669489E-3</v>
      </c>
      <c r="AQ539" s="198">
        <v>4.6284194761797614E-3</v>
      </c>
      <c r="AS539" s="258">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102">
        <f t="shared" si="69"/>
        <v>0.36654768927343329</v>
      </c>
      <c r="AZ539" s="102">
        <f t="shared" si="70"/>
        <v>0.63345231072656671</v>
      </c>
    </row>
    <row r="540" spans="1:52" x14ac:dyDescent="0.35">
      <c r="A540" t="s">
        <v>246</v>
      </c>
      <c r="B540">
        <v>2050</v>
      </c>
      <c r="C540" t="s">
        <v>837</v>
      </c>
      <c r="D540" t="s">
        <v>1074</v>
      </c>
      <c r="E540" t="s">
        <v>1030</v>
      </c>
      <c r="F540" t="s">
        <v>977</v>
      </c>
      <c r="G540" t="s">
        <v>978</v>
      </c>
      <c r="H540" s="198">
        <v>63277.302854000001</v>
      </c>
      <c r="I540" s="198">
        <v>0</v>
      </c>
      <c r="J540" s="198">
        <v>0</v>
      </c>
      <c r="K540" s="198">
        <v>0</v>
      </c>
      <c r="L540" s="198">
        <v>0</v>
      </c>
      <c r="M540" s="198">
        <v>23841.93</v>
      </c>
      <c r="N540" s="198">
        <v>28.89</v>
      </c>
      <c r="O540" s="198">
        <v>0</v>
      </c>
      <c r="P540" s="198">
        <v>3983.9650993999999</v>
      </c>
      <c r="Q540" s="198">
        <v>0</v>
      </c>
      <c r="R540" s="198">
        <v>0</v>
      </c>
      <c r="S540" s="198">
        <v>6403</v>
      </c>
      <c r="T540" s="198">
        <v>0</v>
      </c>
      <c r="U540" s="198">
        <v>2000</v>
      </c>
      <c r="V540" s="198">
        <v>4500</v>
      </c>
      <c r="W540" s="198">
        <v>141.56100000000001</v>
      </c>
      <c r="X540" s="198">
        <v>1500</v>
      </c>
      <c r="Y540" s="198">
        <v>186</v>
      </c>
      <c r="Z540" s="277">
        <v>105862.6489534</v>
      </c>
      <c r="AA540" s="272">
        <v>0</v>
      </c>
      <c r="AB540" s="198">
        <v>0</v>
      </c>
      <c r="AC540" s="272">
        <v>1593</v>
      </c>
      <c r="AD540" s="198">
        <v>5.7347999999999999</v>
      </c>
      <c r="AE540" s="198">
        <v>5.7347999999999999</v>
      </c>
      <c r="AF540" s="198">
        <v>0</v>
      </c>
      <c r="AG540" s="198">
        <v>0</v>
      </c>
      <c r="AH540" s="198">
        <v>0</v>
      </c>
      <c r="AI540" s="198">
        <v>0</v>
      </c>
      <c r="AJ540" s="198">
        <v>0</v>
      </c>
      <c r="AK540" s="198">
        <v>0</v>
      </c>
      <c r="AL540" s="198">
        <v>0</v>
      </c>
      <c r="AM540" s="198">
        <v>8.478548427609009E-2</v>
      </c>
      <c r="AN540" s="198">
        <v>2.1667401537222967E-2</v>
      </c>
      <c r="AO540" s="198">
        <v>0</v>
      </c>
      <c r="AP540" s="198">
        <v>3.0979306712620456E-3</v>
      </c>
      <c r="AQ540" s="198">
        <v>3.8731274774932347E-3</v>
      </c>
      <c r="AS540" s="258">
        <f t="shared" si="64"/>
        <v>142014.74357098609</v>
      </c>
      <c r="AT540" s="3">
        <f t="shared" si="65"/>
        <v>0</v>
      </c>
      <c r="AU540" s="3">
        <f t="shared" si="71"/>
        <v>0</v>
      </c>
      <c r="AV540" s="3">
        <f t="shared" si="66"/>
        <v>98.984676948314217</v>
      </c>
      <c r="AW540" s="3">
        <f t="shared" si="67"/>
        <v>3.5634483701393118</v>
      </c>
      <c r="AX540" s="3">
        <f t="shared" si="68"/>
        <v>3.5634483701393118</v>
      </c>
      <c r="AY540" s="102">
        <f t="shared" si="69"/>
        <v>0</v>
      </c>
      <c r="AZ540" s="102">
        <f t="shared" si="70"/>
        <v>1</v>
      </c>
    </row>
    <row r="541" spans="1:52" x14ac:dyDescent="0.35">
      <c r="A541" t="s">
        <v>627</v>
      </c>
      <c r="B541">
        <v>2050</v>
      </c>
      <c r="C541" t="s">
        <v>837</v>
      </c>
      <c r="D541" t="s">
        <v>1074</v>
      </c>
      <c r="E541" t="s">
        <v>1030</v>
      </c>
      <c r="F541" t="s">
        <v>989</v>
      </c>
      <c r="G541" t="s">
        <v>978</v>
      </c>
      <c r="H541" s="198">
        <v>63277.302854000001</v>
      </c>
      <c r="I541" s="198">
        <v>0</v>
      </c>
      <c r="J541" s="198">
        <v>24261.965683999999</v>
      </c>
      <c r="K541" s="198">
        <v>7380.8931240000002</v>
      </c>
      <c r="L541" s="198">
        <v>0</v>
      </c>
      <c r="M541" s="198">
        <v>4215.3934672000005</v>
      </c>
      <c r="N541" s="198">
        <v>28.89</v>
      </c>
      <c r="O541" s="198">
        <v>0</v>
      </c>
      <c r="P541" s="198">
        <v>4077.6412919000004</v>
      </c>
      <c r="Q541" s="198">
        <v>0</v>
      </c>
      <c r="R541" s="198">
        <v>0</v>
      </c>
      <c r="S541" s="198">
        <v>6479</v>
      </c>
      <c r="T541" s="198">
        <v>0</v>
      </c>
      <c r="U541" s="198">
        <v>2000</v>
      </c>
      <c r="V541" s="198">
        <v>4500</v>
      </c>
      <c r="W541" s="198">
        <v>141.56100000000001</v>
      </c>
      <c r="X541" s="198">
        <v>1500</v>
      </c>
      <c r="Y541" s="198">
        <v>186</v>
      </c>
      <c r="Z541" s="277">
        <v>118048.6474211</v>
      </c>
      <c r="AA541" s="272">
        <v>9.7775159540000001</v>
      </c>
      <c r="AB541" s="198">
        <v>13.737659762656728</v>
      </c>
      <c r="AC541" s="272">
        <v>0</v>
      </c>
      <c r="AD541" s="198">
        <v>0</v>
      </c>
      <c r="AE541" s="198">
        <v>13.737659762656728</v>
      </c>
      <c r="AF541" s="198">
        <v>0</v>
      </c>
      <c r="AG541" s="198">
        <v>0</v>
      </c>
      <c r="AH541" s="198">
        <v>0</v>
      </c>
      <c r="AI541" s="198">
        <v>0</v>
      </c>
      <c r="AJ541" s="198">
        <v>0</v>
      </c>
      <c r="AK541" s="198">
        <v>0</v>
      </c>
      <c r="AL541" s="198">
        <v>0</v>
      </c>
      <c r="AM541" s="198">
        <v>0.12842765627113878</v>
      </c>
      <c r="AN541" s="198">
        <v>3.2820401047068848E-2</v>
      </c>
      <c r="AO541" s="198">
        <v>0</v>
      </c>
      <c r="AP541" s="198">
        <v>4.6925482445213957E-3</v>
      </c>
      <c r="AQ541" s="198">
        <v>5.8667670370797379E-3</v>
      </c>
      <c r="AS541" s="258">
        <f t="shared" si="64"/>
        <v>158362.26051540565</v>
      </c>
      <c r="AT541" s="3">
        <f t="shared" si="65"/>
        <v>24.056735918206424</v>
      </c>
      <c r="AU541" s="3">
        <f t="shared" si="71"/>
        <v>9.2857615270679901</v>
      </c>
      <c r="AV541" s="3">
        <f t="shared" si="66"/>
        <v>0</v>
      </c>
      <c r="AW541" s="3">
        <f t="shared" si="67"/>
        <v>0</v>
      </c>
      <c r="AX541" s="3">
        <f t="shared" si="68"/>
        <v>9.2857615270679901</v>
      </c>
      <c r="AY541" s="102">
        <f t="shared" si="69"/>
        <v>1</v>
      </c>
      <c r="AZ541" s="102">
        <f t="shared" si="70"/>
        <v>0</v>
      </c>
    </row>
    <row r="542" spans="1:52" x14ac:dyDescent="0.35">
      <c r="A542" t="s">
        <v>1065</v>
      </c>
      <c r="B542">
        <v>2050</v>
      </c>
      <c r="C542" t="s">
        <v>837</v>
      </c>
      <c r="D542" t="s">
        <v>1074</v>
      </c>
      <c r="E542" t="s">
        <v>1030</v>
      </c>
      <c r="F542" t="s">
        <v>989</v>
      </c>
      <c r="G542" t="s">
        <v>978</v>
      </c>
      <c r="H542" s="198">
        <v>63277.302854000001</v>
      </c>
      <c r="I542" s="198">
        <v>0</v>
      </c>
      <c r="J542" s="198">
        <v>9243.8290670000006</v>
      </c>
      <c r="K542" s="198">
        <v>7985.6561069999989</v>
      </c>
      <c r="L542" s="198">
        <v>0</v>
      </c>
      <c r="M542" s="198">
        <v>3753.54</v>
      </c>
      <c r="N542" s="198">
        <v>28.89</v>
      </c>
      <c r="O542" s="198">
        <v>0</v>
      </c>
      <c r="P542" s="198">
        <v>4054.3289027999999</v>
      </c>
      <c r="Q542" s="198">
        <v>0</v>
      </c>
      <c r="R542" s="198">
        <v>0</v>
      </c>
      <c r="S542" s="198">
        <v>6460</v>
      </c>
      <c r="T542" s="198">
        <v>0</v>
      </c>
      <c r="U542" s="198">
        <v>2000</v>
      </c>
      <c r="V542" s="198">
        <v>4500</v>
      </c>
      <c r="W542" s="198">
        <v>141.56100000000001</v>
      </c>
      <c r="X542" s="198">
        <v>1500</v>
      </c>
      <c r="Y542" s="198">
        <v>186</v>
      </c>
      <c r="Z542" s="277">
        <v>103131.1079308</v>
      </c>
      <c r="AA542" s="272">
        <v>11.83561853</v>
      </c>
      <c r="AB542" s="198">
        <v>11.34881013269697</v>
      </c>
      <c r="AC542" s="272">
        <v>0</v>
      </c>
      <c r="AD542" s="198">
        <v>0</v>
      </c>
      <c r="AE542" s="198">
        <v>11.34881013269697</v>
      </c>
      <c r="AF542" s="198">
        <v>0</v>
      </c>
      <c r="AG542" s="198">
        <v>0</v>
      </c>
      <c r="AH542" s="198">
        <v>0</v>
      </c>
      <c r="AI542" s="198">
        <v>0</v>
      </c>
      <c r="AJ542" s="198">
        <v>0</v>
      </c>
      <c r="AK542" s="198">
        <v>0</v>
      </c>
      <c r="AL542" s="198">
        <v>0</v>
      </c>
      <c r="AM542" s="198">
        <v>0.10609529657812379</v>
      </c>
      <c r="AN542" s="198">
        <v>2.7113242458853902E-2</v>
      </c>
      <c r="AO542" s="198">
        <v>0</v>
      </c>
      <c r="AP542" s="198">
        <v>3.8765583065579457E-3</v>
      </c>
      <c r="AQ542" s="198">
        <v>4.8465915117195356E-3</v>
      </c>
      <c r="AS542" s="258">
        <f t="shared" si="64"/>
        <v>138350.3812891682</v>
      </c>
      <c r="AT542" s="3">
        <f t="shared" si="65"/>
        <v>19.873496145995517</v>
      </c>
      <c r="AU542" s="3">
        <f t="shared" si="71"/>
        <v>7.6710550653364677</v>
      </c>
      <c r="AV542" s="3">
        <f t="shared" si="66"/>
        <v>0</v>
      </c>
      <c r="AW542" s="3">
        <f t="shared" si="67"/>
        <v>0</v>
      </c>
      <c r="AX542" s="3">
        <f t="shared" si="68"/>
        <v>7.6710550653364677</v>
      </c>
      <c r="AY542" s="102">
        <f t="shared" si="69"/>
        <v>1</v>
      </c>
      <c r="AZ542" s="102">
        <f t="shared" si="70"/>
        <v>0</v>
      </c>
    </row>
    <row r="543" spans="1:52" x14ac:dyDescent="0.35">
      <c r="A543" t="s">
        <v>1017</v>
      </c>
      <c r="B543">
        <v>2021</v>
      </c>
      <c r="C543" t="s">
        <v>837</v>
      </c>
      <c r="D543" t="s">
        <v>1029</v>
      </c>
      <c r="E543" t="s">
        <v>1030</v>
      </c>
      <c r="F543" t="s">
        <v>983</v>
      </c>
      <c r="G543" t="s">
        <v>978</v>
      </c>
      <c r="H543" s="198">
        <v>62000</v>
      </c>
      <c r="I543" s="198">
        <v>32461</v>
      </c>
      <c r="J543" s="198">
        <v>0</v>
      </c>
      <c r="K543" s="198">
        <v>0</v>
      </c>
      <c r="L543" s="198">
        <v>120</v>
      </c>
      <c r="M543" s="198">
        <v>0</v>
      </c>
      <c r="N543" s="198">
        <v>0</v>
      </c>
      <c r="O543" s="198">
        <v>300</v>
      </c>
      <c r="P543" s="198">
        <v>0</v>
      </c>
      <c r="Q543" s="198">
        <v>0</v>
      </c>
      <c r="R543" s="198">
        <v>262</v>
      </c>
      <c r="S543" s="198">
        <v>13192</v>
      </c>
      <c r="T543" s="198">
        <v>506</v>
      </c>
      <c r="U543" s="198">
        <v>2000</v>
      </c>
      <c r="V543" s="198">
        <v>1920</v>
      </c>
      <c r="W543" s="198">
        <v>0</v>
      </c>
      <c r="X543" s="198">
        <v>0</v>
      </c>
      <c r="Y543" s="198">
        <v>186</v>
      </c>
      <c r="Z543" s="277">
        <v>112947</v>
      </c>
      <c r="AA543" s="272">
        <v>4.595434815</v>
      </c>
      <c r="AB543" s="198">
        <v>29.229048590040769</v>
      </c>
      <c r="AC543" s="272">
        <v>0</v>
      </c>
      <c r="AD543" s="198">
        <v>0</v>
      </c>
      <c r="AE543" s="198">
        <v>29.229048590040769</v>
      </c>
      <c r="AF543" s="198">
        <v>2187.9560726275586</v>
      </c>
      <c r="AG543" s="198">
        <v>0.96186405932316554</v>
      </c>
      <c r="AH543" s="198">
        <v>5.0823235855974175E-3</v>
      </c>
      <c r="AI543" s="198">
        <v>2218.1588099440646</v>
      </c>
      <c r="AJ543" s="198">
        <v>0.93334213741404415</v>
      </c>
      <c r="AK543" s="198">
        <v>21.78024209442955</v>
      </c>
      <c r="AL543" s="198">
        <v>1.0197296749196123</v>
      </c>
      <c r="AM543" s="198">
        <v>0.18329223327704167</v>
      </c>
      <c r="AN543" s="198">
        <v>7.5364956377253614E-2</v>
      </c>
      <c r="AO543" s="198">
        <v>1.509025044406217E-2</v>
      </c>
      <c r="AP543" s="198">
        <v>1.252258959581173E-2</v>
      </c>
      <c r="AQ543" s="198">
        <v>1.1894241046652189E-2</v>
      </c>
      <c r="AS543" s="258">
        <f t="shared" si="64"/>
        <v>151518.40049999999</v>
      </c>
      <c r="AT543" s="3">
        <f t="shared" si="65"/>
        <v>51.184518704010415</v>
      </c>
      <c r="AU543" s="3">
        <f t="shared" si="71"/>
        <v>19.756929459556847</v>
      </c>
      <c r="AV543" s="3">
        <f t="shared" si="66"/>
        <v>0</v>
      </c>
      <c r="AW543" s="3">
        <f t="shared" si="67"/>
        <v>0</v>
      </c>
      <c r="AX543" s="3">
        <f t="shared" si="68"/>
        <v>19.756929459556847</v>
      </c>
      <c r="AY543" s="102">
        <f t="shared" si="69"/>
        <v>1</v>
      </c>
      <c r="AZ543" s="102">
        <f t="shared" si="70"/>
        <v>0</v>
      </c>
    </row>
    <row r="544" spans="1:52" x14ac:dyDescent="0.35">
      <c r="A544" t="s">
        <v>1020</v>
      </c>
      <c r="B544">
        <v>2021</v>
      </c>
      <c r="C544" t="s">
        <v>837</v>
      </c>
      <c r="D544" t="s">
        <v>1029</v>
      </c>
      <c r="E544" t="s">
        <v>1030</v>
      </c>
      <c r="F544" t="s">
        <v>983</v>
      </c>
      <c r="G544" t="s">
        <v>978</v>
      </c>
      <c r="H544" s="198">
        <v>62000</v>
      </c>
      <c r="I544" s="198">
        <v>33154</v>
      </c>
      <c r="J544" s="198">
        <v>0</v>
      </c>
      <c r="K544" s="198">
        <v>0</v>
      </c>
      <c r="L544" s="198">
        <v>150</v>
      </c>
      <c r="M544" s="198">
        <v>2135.57789</v>
      </c>
      <c r="N544" s="198">
        <v>75</v>
      </c>
      <c r="O544" s="198">
        <v>300</v>
      </c>
      <c r="P544" s="198">
        <v>3642.6401703000001</v>
      </c>
      <c r="Q544" s="198">
        <v>0</v>
      </c>
      <c r="R544" s="198">
        <v>0</v>
      </c>
      <c r="S544" s="198">
        <v>13431</v>
      </c>
      <c r="T544" s="198">
        <v>392</v>
      </c>
      <c r="U544" s="198">
        <v>2000</v>
      </c>
      <c r="V544" s="198">
        <v>4720</v>
      </c>
      <c r="W544" s="198">
        <v>525</v>
      </c>
      <c r="X544" s="198">
        <v>1500</v>
      </c>
      <c r="Y544" s="198">
        <v>186</v>
      </c>
      <c r="Z544" s="277">
        <v>124211.2180603</v>
      </c>
      <c r="AA544" s="272">
        <v>5.7381373509999998</v>
      </c>
      <c r="AB544" s="198">
        <v>23.408325608760773</v>
      </c>
      <c r="AC544" s="272">
        <v>0</v>
      </c>
      <c r="AD544" s="198">
        <v>0</v>
      </c>
      <c r="AE544" s="198">
        <v>23.408325608760773</v>
      </c>
      <c r="AF544" s="198">
        <v>1752.2427392037084</v>
      </c>
      <c r="AG544" s="198">
        <v>0.77031679709454548</v>
      </c>
      <c r="AH544" s="198">
        <v>4.0702209301908361E-3</v>
      </c>
      <c r="AI544" s="198">
        <v>1776.4308514921645</v>
      </c>
      <c r="AJ544" s="198">
        <v>0.74747477974390719</v>
      </c>
      <c r="AK544" s="198">
        <v>17.442887243266696</v>
      </c>
      <c r="AL544" s="198">
        <v>0.8166589545294799</v>
      </c>
      <c r="AM544" s="198">
        <v>0.14679110286086611</v>
      </c>
      <c r="AN544" s="198">
        <v>6.0356649411089973E-2</v>
      </c>
      <c r="AO544" s="198">
        <v>1.2085152030323456E-2</v>
      </c>
      <c r="AP544" s="198">
        <v>1.0028819577231134E-2</v>
      </c>
      <c r="AQ544" s="198">
        <v>9.5256014382893613E-3</v>
      </c>
      <c r="AS544" s="258">
        <f t="shared" si="64"/>
        <v>166629.34902789243</v>
      </c>
      <c r="AT544" s="3">
        <f t="shared" si="65"/>
        <v>40.991545662537447</v>
      </c>
      <c r="AU544" s="3">
        <f t="shared" si="71"/>
        <v>15.822500564599446</v>
      </c>
      <c r="AV544" s="3">
        <f t="shared" si="66"/>
        <v>0</v>
      </c>
      <c r="AW544" s="3">
        <f t="shared" si="67"/>
        <v>0</v>
      </c>
      <c r="AX544" s="3">
        <f t="shared" si="68"/>
        <v>15.822500564599446</v>
      </c>
      <c r="AY544" s="102">
        <f t="shared" si="69"/>
        <v>1</v>
      </c>
      <c r="AZ544" s="102">
        <f t="shared" si="70"/>
        <v>0</v>
      </c>
    </row>
    <row r="545" spans="1:52" x14ac:dyDescent="0.35">
      <c r="A545" t="s">
        <v>1021</v>
      </c>
      <c r="B545">
        <v>2021</v>
      </c>
      <c r="C545" t="s">
        <v>837</v>
      </c>
      <c r="D545" t="s">
        <v>1029</v>
      </c>
      <c r="E545" t="s">
        <v>1030</v>
      </c>
      <c r="F545" t="s">
        <v>983</v>
      </c>
      <c r="G545" t="s">
        <v>978</v>
      </c>
      <c r="H545" s="198">
        <v>62000</v>
      </c>
      <c r="I545" s="198">
        <v>13257</v>
      </c>
      <c r="J545" s="198">
        <v>0</v>
      </c>
      <c r="K545" s="198">
        <v>0</v>
      </c>
      <c r="L545" s="198">
        <v>0</v>
      </c>
      <c r="M545" s="198">
        <v>37083.584999999999</v>
      </c>
      <c r="N545" s="198">
        <v>75</v>
      </c>
      <c r="O545" s="198">
        <v>0</v>
      </c>
      <c r="P545" s="198">
        <v>12169.493662500001</v>
      </c>
      <c r="Q545" s="198">
        <v>0</v>
      </c>
      <c r="R545" s="198">
        <v>5658.1670754799998</v>
      </c>
      <c r="S545" s="198">
        <v>7192</v>
      </c>
      <c r="T545" s="198">
        <v>0</v>
      </c>
      <c r="U545" s="198">
        <v>2000</v>
      </c>
      <c r="V545" s="198">
        <v>4720</v>
      </c>
      <c r="W545" s="198">
        <v>525</v>
      </c>
      <c r="X545" s="198">
        <v>1500</v>
      </c>
      <c r="Y545" s="198">
        <v>186</v>
      </c>
      <c r="Z545" s="277">
        <v>146366.24573798</v>
      </c>
      <c r="AA545" s="272">
        <v>31.667884635000007</v>
      </c>
      <c r="AB545" s="198">
        <v>4.2415269932980157</v>
      </c>
      <c r="AC545" s="272">
        <v>1911.2</v>
      </c>
      <c r="AD545" s="198">
        <v>6.8803200000000002</v>
      </c>
      <c r="AE545" s="198">
        <v>11.121846993298016</v>
      </c>
      <c r="AF545" s="198">
        <v>317.50177271805478</v>
      </c>
      <c r="AG545" s="198">
        <v>0.13957937628159794</v>
      </c>
      <c r="AH545" s="198">
        <v>7.3751332037306442E-4</v>
      </c>
      <c r="AI545" s="198">
        <v>321.88459500543843</v>
      </c>
      <c r="AJ545" s="198">
        <v>0.135440462854238</v>
      </c>
      <c r="AK545" s="198">
        <v>3.1606052615604407</v>
      </c>
      <c r="AL545" s="198">
        <v>0.14797645324358175</v>
      </c>
      <c r="AM545" s="198">
        <v>0.12831945312605197</v>
      </c>
      <c r="AN545" s="198">
        <v>3.6931907215562949E-2</v>
      </c>
      <c r="AO545" s="198">
        <v>2.1897977416865276E-3</v>
      </c>
      <c r="AP545" s="198">
        <v>5.5339346327236173E-3</v>
      </c>
      <c r="AQ545" s="198">
        <v>6.3727943470165164E-3</v>
      </c>
      <c r="AS545" s="258">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102">
        <f t="shared" si="69"/>
        <v>0.40141411809480065</v>
      </c>
      <c r="AZ545" s="102">
        <f t="shared" si="70"/>
        <v>0.59858588190519935</v>
      </c>
    </row>
    <row r="546" spans="1:52" x14ac:dyDescent="0.35">
      <c r="A546" t="s">
        <v>246</v>
      </c>
      <c r="B546">
        <v>2021</v>
      </c>
      <c r="C546" t="s">
        <v>837</v>
      </c>
      <c r="D546" t="s">
        <v>1029</v>
      </c>
      <c r="E546" t="s">
        <v>1030</v>
      </c>
      <c r="F546" t="s">
        <v>977</v>
      </c>
      <c r="G546" t="s">
        <v>978</v>
      </c>
      <c r="H546" s="198">
        <v>62000</v>
      </c>
      <c r="I546" s="198">
        <v>0</v>
      </c>
      <c r="J546" s="198">
        <v>0</v>
      </c>
      <c r="K546" s="198">
        <v>0</v>
      </c>
      <c r="L546" s="198">
        <v>0</v>
      </c>
      <c r="M546" s="198">
        <v>68467.350000000006</v>
      </c>
      <c r="N546" s="198">
        <v>75</v>
      </c>
      <c r="O546" s="198">
        <v>0</v>
      </c>
      <c r="P546" s="198">
        <v>11922.5670876</v>
      </c>
      <c r="Q546" s="198">
        <v>0</v>
      </c>
      <c r="R546" s="198">
        <v>0</v>
      </c>
      <c r="S546" s="198">
        <v>7111</v>
      </c>
      <c r="T546" s="198">
        <v>0</v>
      </c>
      <c r="U546" s="198">
        <v>2000</v>
      </c>
      <c r="V546" s="198">
        <v>4500</v>
      </c>
      <c r="W546" s="198">
        <v>525</v>
      </c>
      <c r="X546" s="198">
        <v>1500</v>
      </c>
      <c r="Y546" s="198">
        <v>186</v>
      </c>
      <c r="Z546" s="277">
        <v>158286.91708760001</v>
      </c>
      <c r="AA546" s="272">
        <v>0</v>
      </c>
      <c r="AB546" s="198">
        <v>0</v>
      </c>
      <c r="AC546" s="272">
        <v>2205</v>
      </c>
      <c r="AD546" s="198">
        <v>7.9379999999999997</v>
      </c>
      <c r="AE546" s="198">
        <v>7.9379999999999997</v>
      </c>
      <c r="AF546" s="198">
        <v>0</v>
      </c>
      <c r="AG546" s="198">
        <v>0</v>
      </c>
      <c r="AH546" s="198">
        <v>0</v>
      </c>
      <c r="AI546" s="198">
        <v>0</v>
      </c>
      <c r="AJ546" s="198">
        <v>0</v>
      </c>
      <c r="AK546" s="198">
        <v>0</v>
      </c>
      <c r="AL546" s="198">
        <v>0</v>
      </c>
      <c r="AM546" s="198">
        <v>0.11735843868724334</v>
      </c>
      <c r="AN546" s="198">
        <v>2.9991600997851E-2</v>
      </c>
      <c r="AO546" s="198">
        <v>0</v>
      </c>
      <c r="AP546" s="198">
        <v>4.2880961268881423E-3</v>
      </c>
      <c r="AQ546" s="198">
        <v>5.3611086552872453E-3</v>
      </c>
      <c r="AS546" s="258">
        <f t="shared" si="64"/>
        <v>212341.89927301541</v>
      </c>
      <c r="AT546" s="3">
        <f t="shared" si="65"/>
        <v>0</v>
      </c>
      <c r="AU546" s="3">
        <f t="shared" si="71"/>
        <v>0</v>
      </c>
      <c r="AV546" s="3">
        <f t="shared" si="66"/>
        <v>137.01268843128238</v>
      </c>
      <c r="AW546" s="3">
        <f t="shared" si="67"/>
        <v>4.9324567835261659</v>
      </c>
      <c r="AX546" s="3">
        <f t="shared" si="68"/>
        <v>4.9324567835261659</v>
      </c>
      <c r="AY546" s="102">
        <f t="shared" si="69"/>
        <v>0</v>
      </c>
      <c r="AZ546" s="102">
        <f t="shared" si="70"/>
        <v>1</v>
      </c>
    </row>
    <row r="547" spans="1:52" x14ac:dyDescent="0.35">
      <c r="A547" t="s">
        <v>627</v>
      </c>
      <c r="B547">
        <v>2021</v>
      </c>
      <c r="C547" t="s">
        <v>837</v>
      </c>
      <c r="D547" t="s">
        <v>1029</v>
      </c>
      <c r="E547" t="s">
        <v>1030</v>
      </c>
      <c r="F547" t="s">
        <v>989</v>
      </c>
      <c r="G547" t="s">
        <v>978</v>
      </c>
      <c r="H547" s="198">
        <v>62000</v>
      </c>
      <c r="I547" s="198">
        <v>0</v>
      </c>
      <c r="J547" s="198">
        <v>61260.3305072</v>
      </c>
      <c r="K547" s="198">
        <v>12128.814199999999</v>
      </c>
      <c r="L547" s="198">
        <v>0</v>
      </c>
      <c r="M547" s="198">
        <v>4650.8140700000004</v>
      </c>
      <c r="N547" s="198">
        <v>75</v>
      </c>
      <c r="O547" s="198">
        <v>0</v>
      </c>
      <c r="P547" s="198">
        <v>12205.054042200001</v>
      </c>
      <c r="Q547" s="198">
        <v>0</v>
      </c>
      <c r="R547" s="198">
        <v>0</v>
      </c>
      <c r="S547" s="198">
        <v>7204</v>
      </c>
      <c r="T547" s="198">
        <v>0</v>
      </c>
      <c r="U547" s="198">
        <v>2000</v>
      </c>
      <c r="V547" s="198">
        <v>4500</v>
      </c>
      <c r="W547" s="198">
        <v>525</v>
      </c>
      <c r="X547" s="198">
        <v>1500</v>
      </c>
      <c r="Y547" s="198">
        <v>186</v>
      </c>
      <c r="Z547" s="277">
        <v>168235.0128194</v>
      </c>
      <c r="AA547" s="272">
        <v>6.9031267459999999</v>
      </c>
      <c r="AB547" s="198">
        <v>19.457876472836244</v>
      </c>
      <c r="AC547" s="272">
        <v>0</v>
      </c>
      <c r="AD547" s="198">
        <v>0</v>
      </c>
      <c r="AE547" s="198">
        <v>19.457876472836244</v>
      </c>
      <c r="AF547" s="198">
        <v>0</v>
      </c>
      <c r="AG547" s="198">
        <v>0</v>
      </c>
      <c r="AH547" s="198">
        <v>0</v>
      </c>
      <c r="AI547" s="198">
        <v>0</v>
      </c>
      <c r="AJ547" s="198">
        <v>0</v>
      </c>
      <c r="AK547" s="198">
        <v>0</v>
      </c>
      <c r="AL547" s="198">
        <v>0</v>
      </c>
      <c r="AM547" s="198">
        <v>0.18190357852744074</v>
      </c>
      <c r="AN547" s="198">
        <v>4.6486470068123821E-2</v>
      </c>
      <c r="AO547" s="198">
        <v>0</v>
      </c>
      <c r="AP547" s="198">
        <v>6.6464758672305337E-3</v>
      </c>
      <c r="AQ547" s="198">
        <v>8.3096269870297484E-3</v>
      </c>
      <c r="AS547" s="258">
        <f t="shared" si="64"/>
        <v>225687.26969722507</v>
      </c>
      <c r="AT547" s="3">
        <f t="shared" si="65"/>
        <v>34.073707161428402</v>
      </c>
      <c r="AU547" s="3">
        <f t="shared" si="71"/>
        <v>13.152254741455485</v>
      </c>
      <c r="AV547" s="3">
        <f t="shared" si="66"/>
        <v>0</v>
      </c>
      <c r="AW547" s="3">
        <f t="shared" si="67"/>
        <v>0</v>
      </c>
      <c r="AX547" s="3">
        <f t="shared" si="68"/>
        <v>13.152254741455485</v>
      </c>
      <c r="AY547" s="102">
        <f t="shared" si="69"/>
        <v>1</v>
      </c>
      <c r="AZ547" s="102">
        <f t="shared" si="70"/>
        <v>0</v>
      </c>
    </row>
    <row r="548" spans="1:52" x14ac:dyDescent="0.35">
      <c r="A548" t="s">
        <v>1065</v>
      </c>
      <c r="B548">
        <v>2021</v>
      </c>
      <c r="C548" t="s">
        <v>837</v>
      </c>
      <c r="D548" t="s">
        <v>1029</v>
      </c>
      <c r="E548" t="s">
        <v>1030</v>
      </c>
      <c r="F548" t="s">
        <v>989</v>
      </c>
      <c r="G548" t="s">
        <v>978</v>
      </c>
      <c r="H548" s="198">
        <v>62000</v>
      </c>
      <c r="I548" s="198">
        <v>0</v>
      </c>
      <c r="J548" s="198">
        <v>27852.533737600002</v>
      </c>
      <c r="K548" s="198">
        <v>12694.9022</v>
      </c>
      <c r="L548" s="198">
        <v>0</v>
      </c>
      <c r="M548" s="198">
        <v>8827.77</v>
      </c>
      <c r="N548" s="198">
        <v>75</v>
      </c>
      <c r="O548" s="198">
        <v>0</v>
      </c>
      <c r="P548" s="198">
        <v>12449.851316099999</v>
      </c>
      <c r="Q548" s="198">
        <v>0</v>
      </c>
      <c r="R548" s="198">
        <v>0</v>
      </c>
      <c r="S548" s="198">
        <v>7285</v>
      </c>
      <c r="T548" s="198">
        <v>0</v>
      </c>
      <c r="U548" s="198">
        <v>2000</v>
      </c>
      <c r="V548" s="198">
        <v>4500</v>
      </c>
      <c r="W548" s="198">
        <v>525</v>
      </c>
      <c r="X548" s="198">
        <v>1500</v>
      </c>
      <c r="Y548" s="198">
        <v>186</v>
      </c>
      <c r="Z548" s="277">
        <v>139896.05725369998</v>
      </c>
      <c r="AA548" s="272">
        <v>7.8947884310000003</v>
      </c>
      <c r="AB548" s="198">
        <v>17.01377923853828</v>
      </c>
      <c r="AC548" s="272">
        <v>0</v>
      </c>
      <c r="AD548" s="198">
        <v>0</v>
      </c>
      <c r="AE548" s="198">
        <v>17.01377923853828</v>
      </c>
      <c r="AF548" s="198">
        <v>0</v>
      </c>
      <c r="AG548" s="198">
        <v>0</v>
      </c>
      <c r="AH548" s="198">
        <v>0</v>
      </c>
      <c r="AI548" s="198">
        <v>0</v>
      </c>
      <c r="AJ548" s="198">
        <v>0</v>
      </c>
      <c r="AK548" s="198">
        <v>0</v>
      </c>
      <c r="AL548" s="198">
        <v>0</v>
      </c>
      <c r="AM548" s="198">
        <v>0.159054732004621</v>
      </c>
      <c r="AN548" s="198">
        <v>4.0647320401180992E-2</v>
      </c>
      <c r="AO548" s="198">
        <v>0</v>
      </c>
      <c r="AP548" s="198">
        <v>5.8116142980554862E-3</v>
      </c>
      <c r="AQ548" s="198">
        <v>7.2658575723456827E-3</v>
      </c>
      <c r="AS548" s="258">
        <f t="shared" si="64"/>
        <v>187670.56080583853</v>
      </c>
      <c r="AT548" s="3">
        <f t="shared" si="65"/>
        <v>29.793720414067437</v>
      </c>
      <c r="AU548" s="3">
        <f t="shared" si="71"/>
        <v>11.500204504460223</v>
      </c>
      <c r="AV548" s="3">
        <f t="shared" si="66"/>
        <v>0</v>
      </c>
      <c r="AW548" s="3">
        <f t="shared" si="67"/>
        <v>0</v>
      </c>
      <c r="AX548" s="3">
        <f t="shared" si="68"/>
        <v>11.500204504460223</v>
      </c>
      <c r="AY548" s="102">
        <f t="shared" si="69"/>
        <v>1</v>
      </c>
      <c r="AZ548" s="102">
        <f t="shared" si="70"/>
        <v>0</v>
      </c>
    </row>
    <row r="549" spans="1:52" x14ac:dyDescent="0.35">
      <c r="A549" t="s">
        <v>1017</v>
      </c>
      <c r="B549">
        <v>2025</v>
      </c>
      <c r="C549" t="s">
        <v>837</v>
      </c>
      <c r="D549" t="s">
        <v>1029</v>
      </c>
      <c r="E549" t="s">
        <v>1030</v>
      </c>
      <c r="F549" t="s">
        <v>983</v>
      </c>
      <c r="G549" t="s">
        <v>978</v>
      </c>
      <c r="H549" s="198">
        <v>62465.839864399997</v>
      </c>
      <c r="I549" s="198">
        <v>33013</v>
      </c>
      <c r="J549" s="198">
        <v>0</v>
      </c>
      <c r="K549" s="198">
        <v>0</v>
      </c>
      <c r="L549" s="198">
        <v>120</v>
      </c>
      <c r="M549" s="198">
        <v>0</v>
      </c>
      <c r="N549" s="198">
        <v>0</v>
      </c>
      <c r="O549" s="198">
        <v>300</v>
      </c>
      <c r="P549" s="198">
        <v>0</v>
      </c>
      <c r="Q549" s="198">
        <v>0</v>
      </c>
      <c r="R549" s="198">
        <v>230</v>
      </c>
      <c r="S549" s="198">
        <v>13192</v>
      </c>
      <c r="T549" s="198">
        <v>506</v>
      </c>
      <c r="U549" s="198">
        <v>2000</v>
      </c>
      <c r="V549" s="198">
        <v>1920</v>
      </c>
      <c r="W549" s="198">
        <v>0</v>
      </c>
      <c r="X549" s="198">
        <v>0</v>
      </c>
      <c r="Y549" s="198">
        <v>186</v>
      </c>
      <c r="Z549" s="277">
        <v>113932.8398644</v>
      </c>
      <c r="AA549" s="272">
        <v>4.8769608350000002</v>
      </c>
      <c r="AB549" s="198">
        <v>27.541781048565671</v>
      </c>
      <c r="AC549" s="272">
        <v>0</v>
      </c>
      <c r="AD549" s="198">
        <v>0</v>
      </c>
      <c r="AE549" s="198">
        <v>27.541781048565671</v>
      </c>
      <c r="AF549" s="198">
        <v>2061.6547579561097</v>
      </c>
      <c r="AG549" s="198">
        <v>0.90633977492478679</v>
      </c>
      <c r="AH549" s="198">
        <v>4.7889428552997599E-3</v>
      </c>
      <c r="AI549" s="198">
        <v>2090.1140208594525</v>
      </c>
      <c r="AJ549" s="198">
        <v>0.87946430116841656</v>
      </c>
      <c r="AK549" s="198">
        <v>20.522962186115251</v>
      </c>
      <c r="AL549" s="198">
        <v>0.96086505685752943</v>
      </c>
      <c r="AM549" s="198">
        <v>0.17271155923080503</v>
      </c>
      <c r="AN549" s="198">
        <v>7.1014460866997628E-2</v>
      </c>
      <c r="AO549" s="198">
        <v>1.4219155044273081E-2</v>
      </c>
      <c r="AP549" s="198">
        <v>1.1799714237924572E-2</v>
      </c>
      <c r="AQ549" s="198">
        <v>1.1207637554011135E-2</v>
      </c>
      <c r="AS549" s="258">
        <f t="shared" si="64"/>
        <v>152840.9046780926</v>
      </c>
      <c r="AT549" s="3">
        <f t="shared" si="65"/>
        <v>48.229856092627024</v>
      </c>
      <c r="AU549" s="3">
        <f t="shared" si="71"/>
        <v>18.616446706803757</v>
      </c>
      <c r="AV549" s="3">
        <f t="shared" si="66"/>
        <v>0</v>
      </c>
      <c r="AW549" s="3">
        <f t="shared" si="67"/>
        <v>0</v>
      </c>
      <c r="AX549" s="3">
        <f t="shared" si="68"/>
        <v>18.616446706803757</v>
      </c>
      <c r="AY549" s="102">
        <f t="shared" si="69"/>
        <v>1</v>
      </c>
      <c r="AZ549" s="102">
        <f t="shared" si="70"/>
        <v>0</v>
      </c>
    </row>
    <row r="550" spans="1:52" x14ac:dyDescent="0.35">
      <c r="A550" t="s">
        <v>1020</v>
      </c>
      <c r="B550">
        <v>2025</v>
      </c>
      <c r="C550" t="s">
        <v>837</v>
      </c>
      <c r="D550" t="s">
        <v>1029</v>
      </c>
      <c r="E550" t="s">
        <v>1030</v>
      </c>
      <c r="F550" t="s">
        <v>983</v>
      </c>
      <c r="G550" t="s">
        <v>978</v>
      </c>
      <c r="H550" s="198">
        <v>62465.839864399997</v>
      </c>
      <c r="I550" s="198">
        <v>33712</v>
      </c>
      <c r="J550" s="198">
        <v>0</v>
      </c>
      <c r="K550" s="198">
        <v>0</v>
      </c>
      <c r="L550" s="198">
        <v>150</v>
      </c>
      <c r="M550" s="198">
        <v>2432.1859300000001</v>
      </c>
      <c r="N550" s="198">
        <v>50</v>
      </c>
      <c r="O550" s="198">
        <v>300</v>
      </c>
      <c r="P550" s="198">
        <v>3075.2408313000005</v>
      </c>
      <c r="Q550" s="198">
        <v>0</v>
      </c>
      <c r="R550" s="198">
        <v>0</v>
      </c>
      <c r="S550" s="198">
        <v>13433</v>
      </c>
      <c r="T550" s="198">
        <v>392</v>
      </c>
      <c r="U550" s="198">
        <v>2000</v>
      </c>
      <c r="V550" s="198">
        <v>4720</v>
      </c>
      <c r="W550" s="198">
        <v>326.62</v>
      </c>
      <c r="X550" s="198">
        <v>1500</v>
      </c>
      <c r="Y550" s="198">
        <v>186</v>
      </c>
      <c r="Z550" s="277">
        <v>124742.8866257</v>
      </c>
      <c r="AA550" s="272">
        <v>6.2336327980000004</v>
      </c>
      <c r="AB550" s="198">
        <v>21.547657979323919</v>
      </c>
      <c r="AC550" s="272">
        <v>0</v>
      </c>
      <c r="AD550" s="198">
        <v>0</v>
      </c>
      <c r="AE550" s="198">
        <v>21.547657979323919</v>
      </c>
      <c r="AF550" s="198">
        <v>1612.9614681617552</v>
      </c>
      <c r="AG550" s="198">
        <v>0.70908629506201781</v>
      </c>
      <c r="AH550" s="198">
        <v>3.7466895313184598E-3</v>
      </c>
      <c r="AI550" s="198">
        <v>1635.226929582117</v>
      </c>
      <c r="AJ550" s="198">
        <v>0.68805993095312445</v>
      </c>
      <c r="AK550" s="198">
        <v>16.056396974807825</v>
      </c>
      <c r="AL550" s="198">
        <v>0.75174483352912735</v>
      </c>
      <c r="AM550" s="198">
        <v>0.13512305543417072</v>
      </c>
      <c r="AN550" s="198">
        <v>5.5559054501591043E-2</v>
      </c>
      <c r="AO550" s="198">
        <v>1.1124534361401839E-2</v>
      </c>
      <c r="AP550" s="198">
        <v>9.2316544890185554E-3</v>
      </c>
      <c r="AQ550" s="198">
        <v>8.768435866373837E-3</v>
      </c>
      <c r="AS550" s="258">
        <f t="shared" si="64"/>
        <v>167342.58240837653</v>
      </c>
      <c r="AT550" s="3">
        <f t="shared" si="65"/>
        <v>37.733233070272377</v>
      </c>
      <c r="AU550" s="3">
        <f t="shared" si="71"/>
        <v>14.564810667878332</v>
      </c>
      <c r="AV550" s="3">
        <f t="shared" si="66"/>
        <v>0</v>
      </c>
      <c r="AW550" s="3">
        <f t="shared" si="67"/>
        <v>0</v>
      </c>
      <c r="AX550" s="3">
        <f t="shared" si="68"/>
        <v>14.564810667878332</v>
      </c>
      <c r="AY550" s="102">
        <f t="shared" si="69"/>
        <v>1</v>
      </c>
      <c r="AZ550" s="102">
        <f t="shared" si="70"/>
        <v>0</v>
      </c>
    </row>
    <row r="551" spans="1:52" x14ac:dyDescent="0.35">
      <c r="A551" t="s">
        <v>1021</v>
      </c>
      <c r="B551">
        <v>2025</v>
      </c>
      <c r="C551" t="s">
        <v>837</v>
      </c>
      <c r="D551" t="s">
        <v>1029</v>
      </c>
      <c r="E551" t="s">
        <v>1030</v>
      </c>
      <c r="F551" t="s">
        <v>983</v>
      </c>
      <c r="G551" t="s">
        <v>978</v>
      </c>
      <c r="H551" s="198">
        <v>62465.839864399997</v>
      </c>
      <c r="I551" s="198">
        <v>13211</v>
      </c>
      <c r="J551" s="198">
        <v>0</v>
      </c>
      <c r="K551" s="198">
        <v>0</v>
      </c>
      <c r="L551" s="198">
        <v>0</v>
      </c>
      <c r="M551" s="198">
        <v>30822.720000000001</v>
      </c>
      <c r="N551" s="198">
        <v>50</v>
      </c>
      <c r="O551" s="198">
        <v>0</v>
      </c>
      <c r="P551" s="198">
        <v>10291.231297</v>
      </c>
      <c r="Q551" s="198">
        <v>0</v>
      </c>
      <c r="R551" s="198">
        <v>4509.0357107</v>
      </c>
      <c r="S551" s="198">
        <v>7163</v>
      </c>
      <c r="T551" s="198">
        <v>0</v>
      </c>
      <c r="U551" s="198">
        <v>2000</v>
      </c>
      <c r="V551" s="198">
        <v>4720</v>
      </c>
      <c r="W551" s="198">
        <v>326.62</v>
      </c>
      <c r="X551" s="198">
        <v>1500</v>
      </c>
      <c r="Y551" s="198">
        <v>186</v>
      </c>
      <c r="Z551" s="277">
        <v>137245.4468721</v>
      </c>
      <c r="AA551" s="272">
        <v>35.526020130000006</v>
      </c>
      <c r="AB551" s="198">
        <v>3.7808960026618097</v>
      </c>
      <c r="AC551" s="272">
        <v>1752</v>
      </c>
      <c r="AD551" s="198">
        <v>6.3071999999999999</v>
      </c>
      <c r="AE551" s="198">
        <v>10.088096002661811</v>
      </c>
      <c r="AF551" s="198">
        <v>283.02099343102947</v>
      </c>
      <c r="AG551" s="198">
        <v>0.12442101787186313</v>
      </c>
      <c r="AH551" s="198">
        <v>6.5741917222603336E-4</v>
      </c>
      <c r="AI551" s="198">
        <v>286.92784002022466</v>
      </c>
      <c r="AJ551" s="198">
        <v>0.12073159157383531</v>
      </c>
      <c r="AK551" s="198">
        <v>2.817362666395304</v>
      </c>
      <c r="AL551" s="198">
        <v>0.13190616998094401</v>
      </c>
      <c r="AM551" s="198">
        <v>0.11695765946791416</v>
      </c>
      <c r="AN551" s="198">
        <v>3.3578824026110468E-2</v>
      </c>
      <c r="AO551" s="198">
        <v>1.9519851084910281E-3</v>
      </c>
      <c r="AP551" s="198">
        <v>5.026988086011216E-3</v>
      </c>
      <c r="AQ551" s="198">
        <v>5.7982791510387995E-3</v>
      </c>
      <c r="AS551" s="258">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102">
        <f t="shared" si="69"/>
        <v>0.39470784054686281</v>
      </c>
      <c r="AZ551" s="102">
        <f t="shared" si="70"/>
        <v>0.6052921594531373</v>
      </c>
    </row>
    <row r="552" spans="1:52" x14ac:dyDescent="0.35">
      <c r="A552" t="s">
        <v>246</v>
      </c>
      <c r="B552">
        <v>2025</v>
      </c>
      <c r="C552" t="s">
        <v>837</v>
      </c>
      <c r="D552" t="s">
        <v>1029</v>
      </c>
      <c r="E552" t="s">
        <v>1030</v>
      </c>
      <c r="F552" t="s">
        <v>977</v>
      </c>
      <c r="G552" t="s">
        <v>978</v>
      </c>
      <c r="H552" s="198">
        <v>62465.839864399997</v>
      </c>
      <c r="I552" s="198">
        <v>0</v>
      </c>
      <c r="J552" s="198">
        <v>0</v>
      </c>
      <c r="K552" s="198">
        <v>0</v>
      </c>
      <c r="L552" s="198">
        <v>0</v>
      </c>
      <c r="M552" s="198">
        <v>57196.800000000003</v>
      </c>
      <c r="N552" s="198">
        <v>50</v>
      </c>
      <c r="O552" s="198">
        <v>0</v>
      </c>
      <c r="P552" s="198">
        <v>10080.668689</v>
      </c>
      <c r="Q552" s="198">
        <v>0</v>
      </c>
      <c r="R552" s="198">
        <v>0</v>
      </c>
      <c r="S552" s="198">
        <v>7081</v>
      </c>
      <c r="T552" s="198">
        <v>0</v>
      </c>
      <c r="U552" s="198">
        <v>2000</v>
      </c>
      <c r="V552" s="198">
        <v>4500</v>
      </c>
      <c r="W552" s="198">
        <v>326.62</v>
      </c>
      <c r="X552" s="198">
        <v>1500</v>
      </c>
      <c r="Y552" s="198">
        <v>186</v>
      </c>
      <c r="Z552" s="277">
        <v>145386.92855339998</v>
      </c>
      <c r="AA552" s="272">
        <v>0</v>
      </c>
      <c r="AB552" s="198">
        <v>0</v>
      </c>
      <c r="AC552" s="272">
        <v>2032</v>
      </c>
      <c r="AD552" s="198">
        <v>7.3151999999999999</v>
      </c>
      <c r="AE552" s="198">
        <v>7.3151999999999999</v>
      </c>
      <c r="AF552" s="198">
        <v>0</v>
      </c>
      <c r="AG552" s="198">
        <v>0</v>
      </c>
      <c r="AH552" s="198">
        <v>0</v>
      </c>
      <c r="AI552" s="198">
        <v>0</v>
      </c>
      <c r="AJ552" s="198">
        <v>0</v>
      </c>
      <c r="AK552" s="198">
        <v>0</v>
      </c>
      <c r="AL552" s="198">
        <v>0</v>
      </c>
      <c r="AM552" s="198">
        <v>0.10815072445010361</v>
      </c>
      <c r="AN552" s="198">
        <v>2.7638518470581963E-2</v>
      </c>
      <c r="AO552" s="198">
        <v>0</v>
      </c>
      <c r="AP552" s="198">
        <v>3.9516604670461249E-3</v>
      </c>
      <c r="AQ552" s="198">
        <v>4.9404865249631216E-3</v>
      </c>
      <c r="AS552" s="258">
        <f t="shared" si="64"/>
        <v>195036.56465438605</v>
      </c>
      <c r="AT552" s="3">
        <f t="shared" si="65"/>
        <v>0</v>
      </c>
      <c r="AU552" s="3">
        <f t="shared" si="71"/>
        <v>0</v>
      </c>
      <c r="AV552" s="3">
        <f t="shared" si="66"/>
        <v>126.26294008724074</v>
      </c>
      <c r="AW552" s="3">
        <f t="shared" si="67"/>
        <v>4.5454658431406667</v>
      </c>
      <c r="AX552" s="3">
        <f t="shared" si="68"/>
        <v>4.5454658431406667</v>
      </c>
      <c r="AY552" s="102">
        <f t="shared" si="69"/>
        <v>0</v>
      </c>
      <c r="AZ552" s="102">
        <f t="shared" si="70"/>
        <v>1</v>
      </c>
    </row>
    <row r="553" spans="1:52" x14ac:dyDescent="0.35">
      <c r="A553" t="s">
        <v>627</v>
      </c>
      <c r="B553">
        <v>2025</v>
      </c>
      <c r="C553" t="s">
        <v>837</v>
      </c>
      <c r="D553" t="s">
        <v>1029</v>
      </c>
      <c r="E553" t="s">
        <v>1030</v>
      </c>
      <c r="F553" t="s">
        <v>989</v>
      </c>
      <c r="G553" t="s">
        <v>978</v>
      </c>
      <c r="H553" s="198">
        <v>62465.839864399997</v>
      </c>
      <c r="I553" s="198">
        <v>0</v>
      </c>
      <c r="J553" s="198">
        <v>48886.638693396228</v>
      </c>
      <c r="K553" s="198">
        <v>10921.508399999999</v>
      </c>
      <c r="L553" s="198">
        <v>0</v>
      </c>
      <c r="M553" s="198">
        <v>4508.4422119999999</v>
      </c>
      <c r="N553" s="198">
        <v>50</v>
      </c>
      <c r="O553" s="198">
        <v>0</v>
      </c>
      <c r="P553" s="198">
        <v>10319.101742499999</v>
      </c>
      <c r="Q553" s="198">
        <v>0</v>
      </c>
      <c r="R553" s="198">
        <v>0</v>
      </c>
      <c r="S553" s="198">
        <v>7174</v>
      </c>
      <c r="T553" s="198">
        <v>0</v>
      </c>
      <c r="U553" s="198">
        <v>2000</v>
      </c>
      <c r="V553" s="198">
        <v>4500</v>
      </c>
      <c r="W553" s="198">
        <v>326.62</v>
      </c>
      <c r="X553" s="198">
        <v>1500</v>
      </c>
      <c r="Y553" s="198">
        <v>186</v>
      </c>
      <c r="Z553" s="277">
        <v>152838.1509122962</v>
      </c>
      <c r="AA553" s="272">
        <v>7.4887918009999996</v>
      </c>
      <c r="AB553" s="198">
        <v>17.936162610644864</v>
      </c>
      <c r="AC553" s="272">
        <v>0</v>
      </c>
      <c r="AD553" s="198">
        <v>0</v>
      </c>
      <c r="AE553" s="198">
        <v>17.936162610644864</v>
      </c>
      <c r="AF553" s="198">
        <v>0</v>
      </c>
      <c r="AG553" s="198">
        <v>0</v>
      </c>
      <c r="AH553" s="198">
        <v>0</v>
      </c>
      <c r="AI553" s="198">
        <v>0</v>
      </c>
      <c r="AJ553" s="198">
        <v>0</v>
      </c>
      <c r="AK553" s="198">
        <v>0</v>
      </c>
      <c r="AL553" s="198">
        <v>0</v>
      </c>
      <c r="AM553" s="198">
        <v>0.16767770976864516</v>
      </c>
      <c r="AN553" s="198">
        <v>4.2850970274209386E-2</v>
      </c>
      <c r="AO553" s="198">
        <v>0</v>
      </c>
      <c r="AP553" s="198">
        <v>6.1266845901091762E-3</v>
      </c>
      <c r="AQ553" s="198">
        <v>7.6597680677661087E-3</v>
      </c>
      <c r="AS553" s="258">
        <f t="shared" si="64"/>
        <v>205032.37944884534</v>
      </c>
      <c r="AT553" s="3">
        <f t="shared" si="65"/>
        <v>31.408954273507671</v>
      </c>
      <c r="AU553" s="3">
        <f t="shared" si="71"/>
        <v>12.123675472433749</v>
      </c>
      <c r="AV553" s="3">
        <f t="shared" si="66"/>
        <v>0</v>
      </c>
      <c r="AW553" s="3">
        <f t="shared" si="67"/>
        <v>0</v>
      </c>
      <c r="AX553" s="3">
        <f t="shared" si="68"/>
        <v>12.123675472433749</v>
      </c>
      <c r="AY553" s="102">
        <f t="shared" si="69"/>
        <v>1</v>
      </c>
      <c r="AZ553" s="102">
        <f t="shared" si="70"/>
        <v>0</v>
      </c>
    </row>
    <row r="554" spans="1:52" x14ac:dyDescent="0.35">
      <c r="A554" t="s">
        <v>1065</v>
      </c>
      <c r="B554">
        <v>2025</v>
      </c>
      <c r="C554" t="s">
        <v>837</v>
      </c>
      <c r="D554" t="s">
        <v>1029</v>
      </c>
      <c r="E554" t="s">
        <v>1030</v>
      </c>
      <c r="F554" t="s">
        <v>989</v>
      </c>
      <c r="G554" t="s">
        <v>978</v>
      </c>
      <c r="H554" s="198">
        <v>62465.839864399997</v>
      </c>
      <c r="I554" s="198">
        <v>0</v>
      </c>
      <c r="J554" s="198">
        <v>20434.091391509435</v>
      </c>
      <c r="K554" s="198">
        <v>11304.508248</v>
      </c>
      <c r="L554" s="198">
        <v>0</v>
      </c>
      <c r="M554" s="198">
        <v>8325.3119999999999</v>
      </c>
      <c r="N554" s="198">
        <v>50</v>
      </c>
      <c r="O554" s="198">
        <v>0</v>
      </c>
      <c r="P554" s="198">
        <v>10373.0353142</v>
      </c>
      <c r="Q554" s="198">
        <v>0</v>
      </c>
      <c r="R554" s="198">
        <v>0</v>
      </c>
      <c r="S554" s="198">
        <v>7195</v>
      </c>
      <c r="T554" s="198">
        <v>0</v>
      </c>
      <c r="U554" s="198">
        <v>2000</v>
      </c>
      <c r="V554" s="198">
        <v>4500</v>
      </c>
      <c r="W554" s="198">
        <v>326.62</v>
      </c>
      <c r="X554" s="198">
        <v>1500</v>
      </c>
      <c r="Y554" s="198">
        <v>186</v>
      </c>
      <c r="Z554" s="277">
        <v>128660.40681810943</v>
      </c>
      <c r="AA554" s="272">
        <v>8.7662541950000001</v>
      </c>
      <c r="AB554" s="198">
        <v>15.322415311275376</v>
      </c>
      <c r="AC554" s="272">
        <v>0</v>
      </c>
      <c r="AD554" s="198">
        <v>0</v>
      </c>
      <c r="AE554" s="198">
        <v>15.322415311275376</v>
      </c>
      <c r="AF554" s="198">
        <v>0</v>
      </c>
      <c r="AG554" s="198">
        <v>0</v>
      </c>
      <c r="AH554" s="198">
        <v>0</v>
      </c>
      <c r="AI554" s="198">
        <v>0</v>
      </c>
      <c r="AJ554" s="198">
        <v>0</v>
      </c>
      <c r="AK554" s="198">
        <v>0</v>
      </c>
      <c r="AL554" s="198">
        <v>0</v>
      </c>
      <c r="AM554" s="198">
        <v>0.14324287548518747</v>
      </c>
      <c r="AN554" s="198">
        <v>3.6606512623992414E-2</v>
      </c>
      <c r="AO554" s="198">
        <v>0</v>
      </c>
      <c r="AP554" s="198">
        <v>5.2338734772135638E-3</v>
      </c>
      <c r="AQ554" s="198">
        <v>6.5435483648382201E-3</v>
      </c>
      <c r="AS554" s="258">
        <f t="shared" si="64"/>
        <v>172597.93574649381</v>
      </c>
      <c r="AT554" s="3">
        <f t="shared" si="65"/>
        <v>26.831884406864173</v>
      </c>
      <c r="AU554" s="3">
        <f t="shared" si="71"/>
        <v>10.356952862230646</v>
      </c>
      <c r="AV554" s="3">
        <f t="shared" si="66"/>
        <v>0</v>
      </c>
      <c r="AW554" s="3">
        <f t="shared" si="67"/>
        <v>0</v>
      </c>
      <c r="AX554" s="3">
        <f t="shared" si="68"/>
        <v>10.356952862230646</v>
      </c>
      <c r="AY554" s="102">
        <f t="shared" si="69"/>
        <v>1</v>
      </c>
      <c r="AZ554" s="102">
        <f t="shared" si="70"/>
        <v>0</v>
      </c>
    </row>
    <row r="555" spans="1:52" x14ac:dyDescent="0.35">
      <c r="A555" t="s">
        <v>1017</v>
      </c>
      <c r="B555">
        <v>2030</v>
      </c>
      <c r="C555" t="s">
        <v>837</v>
      </c>
      <c r="D555" t="s">
        <v>1029</v>
      </c>
      <c r="E555" t="s">
        <v>1030</v>
      </c>
      <c r="F555" t="s">
        <v>983</v>
      </c>
      <c r="G555" t="s">
        <v>978</v>
      </c>
      <c r="H555" s="198">
        <v>62986.7790676</v>
      </c>
      <c r="I555" s="198">
        <v>33713</v>
      </c>
      <c r="J555" s="198">
        <v>0</v>
      </c>
      <c r="K555" s="198">
        <v>0</v>
      </c>
      <c r="L555" s="198">
        <v>120</v>
      </c>
      <c r="M555" s="198">
        <v>0</v>
      </c>
      <c r="N555" s="198">
        <v>0</v>
      </c>
      <c r="O555" s="198">
        <v>300</v>
      </c>
      <c r="P555" s="198">
        <v>0</v>
      </c>
      <c r="Q555" s="198">
        <v>0</v>
      </c>
      <c r="R555" s="198">
        <v>183</v>
      </c>
      <c r="S555" s="198">
        <v>13192</v>
      </c>
      <c r="T555" s="198">
        <v>506</v>
      </c>
      <c r="U555" s="198">
        <v>2000</v>
      </c>
      <c r="V555" s="198">
        <v>1920</v>
      </c>
      <c r="W555" s="198">
        <v>0</v>
      </c>
      <c r="X555" s="198">
        <v>0</v>
      </c>
      <c r="Y555" s="198">
        <v>186</v>
      </c>
      <c r="Z555" s="277">
        <v>115106.7790676</v>
      </c>
      <c r="AA555" s="272">
        <v>5.1502711540000004</v>
      </c>
      <c r="AB555" s="198">
        <v>26.080216649501867</v>
      </c>
      <c r="AC555" s="272">
        <v>0</v>
      </c>
      <c r="AD555" s="198">
        <v>0</v>
      </c>
      <c r="AE555" s="198">
        <v>26.080216649501867</v>
      </c>
      <c r="AF555" s="198">
        <v>1952.2485727832711</v>
      </c>
      <c r="AG555" s="198">
        <v>0.85824288728525067</v>
      </c>
      <c r="AH555" s="198">
        <v>4.5348072068420653E-3</v>
      </c>
      <c r="AI555" s="198">
        <v>1979.197583121256</v>
      </c>
      <c r="AJ555" s="198">
        <v>0.83279361888506354</v>
      </c>
      <c r="AK555" s="198">
        <v>19.43386664644532</v>
      </c>
      <c r="AL555" s="198">
        <v>0.90987466676870399</v>
      </c>
      <c r="AM555" s="198">
        <v>0.16354624541782306</v>
      </c>
      <c r="AN555" s="198">
        <v>6.7245924342838492E-2</v>
      </c>
      <c r="AO555" s="198">
        <v>1.3464584714894897E-2</v>
      </c>
      <c r="AP555" s="198">
        <v>1.1173536787059426E-2</v>
      </c>
      <c r="AQ555" s="198">
        <v>1.0612879937658424E-2</v>
      </c>
      <c r="AS555" s="258">
        <f t="shared" si="64"/>
        <v>154415.7441191854</v>
      </c>
      <c r="AT555" s="3">
        <f t="shared" si="65"/>
        <v>45.670434081659252</v>
      </c>
      <c r="AU555" s="3">
        <f t="shared" si="71"/>
        <v>17.628524549708914</v>
      </c>
      <c r="AV555" s="3">
        <f t="shared" si="66"/>
        <v>0</v>
      </c>
      <c r="AW555" s="3">
        <f t="shared" si="67"/>
        <v>0</v>
      </c>
      <c r="AX555" s="3">
        <f t="shared" si="68"/>
        <v>17.628524549708914</v>
      </c>
      <c r="AY555" s="102">
        <f t="shared" si="69"/>
        <v>1</v>
      </c>
      <c r="AZ555" s="102">
        <f t="shared" si="70"/>
        <v>0</v>
      </c>
    </row>
    <row r="556" spans="1:52" x14ac:dyDescent="0.35">
      <c r="A556" t="s">
        <v>1020</v>
      </c>
      <c r="B556">
        <v>2030</v>
      </c>
      <c r="C556" t="s">
        <v>837</v>
      </c>
      <c r="D556" t="s">
        <v>1029</v>
      </c>
      <c r="E556" t="s">
        <v>1030</v>
      </c>
      <c r="F556" t="s">
        <v>983</v>
      </c>
      <c r="G556" t="s">
        <v>978</v>
      </c>
      <c r="H556" s="198">
        <v>62986.7790676</v>
      </c>
      <c r="I556" s="198">
        <v>34411</v>
      </c>
      <c r="J556" s="198">
        <v>0</v>
      </c>
      <c r="K556" s="198">
        <v>0</v>
      </c>
      <c r="L556" s="198">
        <v>150</v>
      </c>
      <c r="M556" s="198">
        <v>2434.5587946000001</v>
      </c>
      <c r="N556" s="198">
        <v>40</v>
      </c>
      <c r="O556" s="198">
        <v>300</v>
      </c>
      <c r="P556" s="198">
        <v>2403.0666319499996</v>
      </c>
      <c r="Q556" s="198">
        <v>0</v>
      </c>
      <c r="R556" s="198">
        <v>0</v>
      </c>
      <c r="S556" s="198">
        <v>13433</v>
      </c>
      <c r="T556" s="198">
        <v>392</v>
      </c>
      <c r="U556" s="198">
        <v>2000</v>
      </c>
      <c r="V556" s="198">
        <v>4720</v>
      </c>
      <c r="W556" s="198">
        <v>242.59200000000001</v>
      </c>
      <c r="X556" s="198">
        <v>1500</v>
      </c>
      <c r="Y556" s="198">
        <v>186</v>
      </c>
      <c r="Z556" s="277">
        <v>125198.99649415001</v>
      </c>
      <c r="AA556" s="272">
        <v>6.6493149479999989</v>
      </c>
      <c r="AB556" s="198">
        <v>20.20060540829116</v>
      </c>
      <c r="AC556" s="272">
        <v>0</v>
      </c>
      <c r="AD556" s="198">
        <v>0</v>
      </c>
      <c r="AE556" s="198">
        <v>20.20060540829116</v>
      </c>
      <c r="AF556" s="198">
        <v>1512.1271271512878</v>
      </c>
      <c r="AG556" s="198">
        <v>0.66475774122271303</v>
      </c>
      <c r="AH556" s="198">
        <v>3.5124651079093405E-3</v>
      </c>
      <c r="AI556" s="198">
        <v>1533.0006624941007</v>
      </c>
      <c r="AJ556" s="198">
        <v>0.64504584098082252</v>
      </c>
      <c r="AK556" s="198">
        <v>15.052630772133204</v>
      </c>
      <c r="AL556" s="198">
        <v>0.70474947970748769</v>
      </c>
      <c r="AM556" s="198">
        <v>0.12667583303055463</v>
      </c>
      <c r="AN556" s="198">
        <v>5.208577832084179E-2</v>
      </c>
      <c r="AO556" s="198">
        <v>1.0429083717649846E-2</v>
      </c>
      <c r="AP556" s="198">
        <v>8.6545372948320185E-3</v>
      </c>
      <c r="AQ556" s="198">
        <v>8.2202768001278202E-3</v>
      </c>
      <c r="AS556" s="258">
        <f t="shared" si="64"/>
        <v>167954.45379690223</v>
      </c>
      <c r="AT556" s="3">
        <f t="shared" si="65"/>
        <v>35.374338722243387</v>
      </c>
      <c r="AU556" s="3">
        <f t="shared" si="71"/>
        <v>13.654291033883911</v>
      </c>
      <c r="AV556" s="3">
        <f t="shared" si="66"/>
        <v>0</v>
      </c>
      <c r="AW556" s="3">
        <f t="shared" si="67"/>
        <v>0</v>
      </c>
      <c r="AX556" s="3">
        <f t="shared" si="68"/>
        <v>13.654291033883911</v>
      </c>
      <c r="AY556" s="102">
        <f t="shared" si="69"/>
        <v>1</v>
      </c>
      <c r="AZ556" s="102">
        <f t="shared" si="70"/>
        <v>0</v>
      </c>
    </row>
    <row r="557" spans="1:52" x14ac:dyDescent="0.35">
      <c r="A557" t="s">
        <v>1021</v>
      </c>
      <c r="B557">
        <v>2030</v>
      </c>
      <c r="C557" t="s">
        <v>837</v>
      </c>
      <c r="D557" t="s">
        <v>1029</v>
      </c>
      <c r="E557" t="s">
        <v>1030</v>
      </c>
      <c r="F557" t="s">
        <v>983</v>
      </c>
      <c r="G557" t="s">
        <v>978</v>
      </c>
      <c r="H557" s="198">
        <v>62986.7790676</v>
      </c>
      <c r="I557" s="198">
        <v>13463</v>
      </c>
      <c r="J557" s="198">
        <v>0</v>
      </c>
      <c r="K557" s="198">
        <v>0</v>
      </c>
      <c r="L557" s="198">
        <v>0</v>
      </c>
      <c r="M557" s="198">
        <v>22007.362499999999</v>
      </c>
      <c r="N557" s="198">
        <v>40</v>
      </c>
      <c r="O557" s="198">
        <v>0</v>
      </c>
      <c r="P557" s="198">
        <v>8125.9822042200003</v>
      </c>
      <c r="Q557" s="198">
        <v>0</v>
      </c>
      <c r="R557" s="198">
        <v>3315.3306465300002</v>
      </c>
      <c r="S557" s="198">
        <v>7133</v>
      </c>
      <c r="T557" s="198">
        <v>0</v>
      </c>
      <c r="U557" s="198">
        <v>2000</v>
      </c>
      <c r="V557" s="198">
        <v>4720</v>
      </c>
      <c r="W557" s="198">
        <v>242.59200000000001</v>
      </c>
      <c r="X557" s="198">
        <v>1500</v>
      </c>
      <c r="Y557" s="198">
        <v>186</v>
      </c>
      <c r="Z557" s="277">
        <v>125720.04641835</v>
      </c>
      <c r="AA557" s="272">
        <v>38.650965680000013</v>
      </c>
      <c r="AB557" s="198">
        <v>3.4752090959917239</v>
      </c>
      <c r="AC557" s="272">
        <v>1681.6000000000001</v>
      </c>
      <c r="AD557" s="198">
        <v>6.0537600000000005</v>
      </c>
      <c r="AE557" s="198">
        <v>9.5289690959917248</v>
      </c>
      <c r="AF557" s="198">
        <v>260.13863645963494</v>
      </c>
      <c r="AG557" s="198">
        <v>0.11436153037175288</v>
      </c>
      <c r="AH557" s="198">
        <v>6.0426657744376414E-4</v>
      </c>
      <c r="AI557" s="198">
        <v>263.72961298844109</v>
      </c>
      <c r="AJ557" s="198">
        <v>0.11097039561933683</v>
      </c>
      <c r="AK557" s="198">
        <v>2.5895778032697789</v>
      </c>
      <c r="AL557" s="198">
        <v>0.12124150503279785</v>
      </c>
      <c r="AM557" s="198">
        <v>0.11129377538233677</v>
      </c>
      <c r="AN557" s="198">
        <v>3.1833077804046268E-2</v>
      </c>
      <c r="AO557" s="198">
        <v>1.7941663562004041E-3</v>
      </c>
      <c r="AP557" s="198">
        <v>4.759114845168378E-3</v>
      </c>
      <c r="AQ557" s="198">
        <v>5.5027188433141609E-3</v>
      </c>
      <c r="AS557" s="258">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102">
        <f t="shared" si="69"/>
        <v>0.38441283124374559</v>
      </c>
      <c r="AZ557" s="102">
        <f t="shared" si="70"/>
        <v>0.61558716875625441</v>
      </c>
    </row>
    <row r="558" spans="1:52" x14ac:dyDescent="0.35">
      <c r="A558" t="s">
        <v>246</v>
      </c>
      <c r="B558">
        <v>2030</v>
      </c>
      <c r="C558" t="s">
        <v>837</v>
      </c>
      <c r="D558" t="s">
        <v>1029</v>
      </c>
      <c r="E558" t="s">
        <v>1030</v>
      </c>
      <c r="F558" t="s">
        <v>977</v>
      </c>
      <c r="G558" t="s">
        <v>978</v>
      </c>
      <c r="H558" s="198">
        <v>62986.7790676</v>
      </c>
      <c r="I558" s="198">
        <v>0</v>
      </c>
      <c r="J558" s="198">
        <v>0</v>
      </c>
      <c r="K558" s="198">
        <v>0</v>
      </c>
      <c r="L558" s="198">
        <v>0</v>
      </c>
      <c r="M558" s="198">
        <v>41147.4375</v>
      </c>
      <c r="N558" s="198">
        <v>40</v>
      </c>
      <c r="O558" s="198">
        <v>0</v>
      </c>
      <c r="P558" s="198">
        <v>7960.559140110001</v>
      </c>
      <c r="Q558" s="198">
        <v>0</v>
      </c>
      <c r="R558" s="198">
        <v>0</v>
      </c>
      <c r="S558" s="198">
        <v>7052</v>
      </c>
      <c r="T558" s="198">
        <v>0</v>
      </c>
      <c r="U558" s="198">
        <v>2000</v>
      </c>
      <c r="V558" s="198">
        <v>4500</v>
      </c>
      <c r="W558" s="198">
        <v>242.59200000000001</v>
      </c>
      <c r="X558" s="198">
        <v>1500</v>
      </c>
      <c r="Y558" s="198">
        <v>186</v>
      </c>
      <c r="Z558" s="277">
        <v>127615.36770771</v>
      </c>
      <c r="AA558" s="272">
        <v>0</v>
      </c>
      <c r="AB558" s="198">
        <v>0</v>
      </c>
      <c r="AC558" s="272">
        <v>1894</v>
      </c>
      <c r="AD558" s="198">
        <v>6.8183999999999996</v>
      </c>
      <c r="AE558" s="198">
        <v>6.8183999999999996</v>
      </c>
      <c r="AF558" s="198">
        <v>0</v>
      </c>
      <c r="AG558" s="198">
        <v>0</v>
      </c>
      <c r="AH558" s="198">
        <v>0</v>
      </c>
      <c r="AI558" s="198">
        <v>0</v>
      </c>
      <c r="AJ558" s="198">
        <v>0</v>
      </c>
      <c r="AK558" s="198">
        <v>0</v>
      </c>
      <c r="AL558" s="198">
        <v>0</v>
      </c>
      <c r="AM558" s="198">
        <v>0.10080584257307885</v>
      </c>
      <c r="AN558" s="198">
        <v>2.5761493102008974E-2</v>
      </c>
      <c r="AO558" s="198">
        <v>0</v>
      </c>
      <c r="AP558" s="198">
        <v>3.6832898250912208E-3</v>
      </c>
      <c r="AQ558" s="198">
        <v>4.604961357421335E-3</v>
      </c>
      <c r="AS558" s="258">
        <f t="shared" si="64"/>
        <v>171196.01577989294</v>
      </c>
      <c r="AT558" s="3">
        <f t="shared" si="65"/>
        <v>0</v>
      </c>
      <c r="AU558" s="3">
        <f t="shared" si="71"/>
        <v>0</v>
      </c>
      <c r="AV558" s="3">
        <f t="shared" si="66"/>
        <v>117.68799632147341</v>
      </c>
      <c r="AW558" s="3">
        <f t="shared" si="67"/>
        <v>4.2367678675730431</v>
      </c>
      <c r="AX558" s="3">
        <f t="shared" si="68"/>
        <v>4.2367678675730431</v>
      </c>
      <c r="AY558" s="102">
        <f t="shared" si="69"/>
        <v>0</v>
      </c>
      <c r="AZ558" s="102">
        <f t="shared" si="70"/>
        <v>1</v>
      </c>
    </row>
    <row r="559" spans="1:52" x14ac:dyDescent="0.35">
      <c r="A559" t="s">
        <v>627</v>
      </c>
      <c r="B559">
        <v>2030</v>
      </c>
      <c r="C559" t="s">
        <v>837</v>
      </c>
      <c r="D559" t="s">
        <v>1029</v>
      </c>
      <c r="E559" t="s">
        <v>1030</v>
      </c>
      <c r="F559" t="s">
        <v>989</v>
      </c>
      <c r="G559" t="s">
        <v>978</v>
      </c>
      <c r="H559" s="198">
        <v>62986.7790676</v>
      </c>
      <c r="I559" s="198">
        <v>0</v>
      </c>
      <c r="J559" s="198">
        <v>38814.473966037738</v>
      </c>
      <c r="K559" s="198">
        <v>9240.6893700000001</v>
      </c>
      <c r="L559" s="198">
        <v>0</v>
      </c>
      <c r="M559" s="198">
        <v>5071.9974878000003</v>
      </c>
      <c r="N559" s="198">
        <v>40</v>
      </c>
      <c r="O559" s="198">
        <v>0</v>
      </c>
      <c r="P559" s="198">
        <v>8148.5191135500008</v>
      </c>
      <c r="Q559" s="198">
        <v>0</v>
      </c>
      <c r="R559" s="198">
        <v>0</v>
      </c>
      <c r="S559" s="198">
        <v>7144</v>
      </c>
      <c r="T559" s="198">
        <v>0</v>
      </c>
      <c r="U559" s="198">
        <v>2000</v>
      </c>
      <c r="V559" s="198">
        <v>4500</v>
      </c>
      <c r="W559" s="198">
        <v>242.59200000000001</v>
      </c>
      <c r="X559" s="198">
        <v>1500</v>
      </c>
      <c r="Y559" s="198">
        <v>186</v>
      </c>
      <c r="Z559" s="277">
        <v>139875.05100498776</v>
      </c>
      <c r="AA559" s="272">
        <v>8.2277578879999993</v>
      </c>
      <c r="AB559" s="198">
        <v>16.325247938554803</v>
      </c>
      <c r="AC559" s="272">
        <v>0</v>
      </c>
      <c r="AD559" s="198">
        <v>0</v>
      </c>
      <c r="AE559" s="198">
        <v>16.325247938554803</v>
      </c>
      <c r="AF559" s="198">
        <v>0</v>
      </c>
      <c r="AG559" s="198">
        <v>0</v>
      </c>
      <c r="AH559" s="198">
        <v>0</v>
      </c>
      <c r="AI559" s="198">
        <v>0</v>
      </c>
      <c r="AJ559" s="198">
        <v>0</v>
      </c>
      <c r="AK559" s="198">
        <v>0</v>
      </c>
      <c r="AL559" s="198">
        <v>0</v>
      </c>
      <c r="AM559" s="198">
        <v>0.15261793981046803</v>
      </c>
      <c r="AN559" s="198">
        <v>3.9002362396008558E-2</v>
      </c>
      <c r="AO559" s="198">
        <v>0</v>
      </c>
      <c r="AP559" s="198">
        <v>5.5764238508573191E-3</v>
      </c>
      <c r="AQ559" s="198">
        <v>6.9718152969851276E-3</v>
      </c>
      <c r="AS559" s="258">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102">
        <f t="shared" ref="AY559:AY622" si="77">AU559/AX559</f>
        <v>1</v>
      </c>
      <c r="AZ559" s="102">
        <f t="shared" ref="AZ559:AZ622" si="78">AW559/AX559</f>
        <v>0</v>
      </c>
    </row>
    <row r="560" spans="1:52" x14ac:dyDescent="0.35">
      <c r="A560" t="s">
        <v>1065</v>
      </c>
      <c r="B560">
        <v>2030</v>
      </c>
      <c r="C560" t="s">
        <v>837</v>
      </c>
      <c r="D560" t="s">
        <v>1029</v>
      </c>
      <c r="E560" t="s">
        <v>1030</v>
      </c>
      <c r="F560" t="s">
        <v>989</v>
      </c>
      <c r="G560" t="s">
        <v>978</v>
      </c>
      <c r="H560" s="198">
        <v>62986.7790676</v>
      </c>
      <c r="I560" s="198">
        <v>0</v>
      </c>
      <c r="J560" s="198">
        <v>15076.688411320756</v>
      </c>
      <c r="K560" s="198">
        <v>9487.5828299999994</v>
      </c>
      <c r="L560" s="198">
        <v>0</v>
      </c>
      <c r="M560" s="198">
        <v>7199.2500000000009</v>
      </c>
      <c r="N560" s="198">
        <v>40</v>
      </c>
      <c r="O560" s="198">
        <v>0</v>
      </c>
      <c r="P560" s="198">
        <v>8521.4063258700007</v>
      </c>
      <c r="Q560" s="198">
        <v>0</v>
      </c>
      <c r="R560" s="198">
        <v>0</v>
      </c>
      <c r="S560" s="198">
        <v>7325</v>
      </c>
      <c r="T560" s="198">
        <v>0</v>
      </c>
      <c r="U560" s="198">
        <v>2000</v>
      </c>
      <c r="V560" s="198">
        <v>4500</v>
      </c>
      <c r="W560" s="198">
        <v>242.59200000000001</v>
      </c>
      <c r="X560" s="198">
        <v>1500</v>
      </c>
      <c r="Y560" s="198">
        <v>186</v>
      </c>
      <c r="Z560" s="277">
        <v>119065.29863479077</v>
      </c>
      <c r="AA560" s="272">
        <v>9.5727909069999999</v>
      </c>
      <c r="AB560" s="198">
        <v>14.031455278290872</v>
      </c>
      <c r="AC560" s="272">
        <v>0</v>
      </c>
      <c r="AD560" s="198">
        <v>0</v>
      </c>
      <c r="AE560" s="198">
        <v>14.031455278290872</v>
      </c>
      <c r="AF560" s="198">
        <v>0</v>
      </c>
      <c r="AG560" s="198">
        <v>0</v>
      </c>
      <c r="AH560" s="198">
        <v>0</v>
      </c>
      <c r="AI560" s="198">
        <v>0</v>
      </c>
      <c r="AJ560" s="198">
        <v>0</v>
      </c>
      <c r="AK560" s="198">
        <v>0</v>
      </c>
      <c r="AL560" s="198">
        <v>0</v>
      </c>
      <c r="AM560" s="198">
        <v>0.13117422811435983</v>
      </c>
      <c r="AN560" s="198">
        <v>3.3522302740336456E-2</v>
      </c>
      <c r="AO560" s="198">
        <v>0</v>
      </c>
      <c r="AP560" s="198">
        <v>4.7929037384669415E-3</v>
      </c>
      <c r="AQ560" s="198">
        <v>5.9922345385714842E-3</v>
      </c>
      <c r="AS560" s="258">
        <f t="shared" si="72"/>
        <v>159726.0981185718</v>
      </c>
      <c r="AT560" s="3">
        <f t="shared" si="73"/>
        <v>24.571216641682796</v>
      </c>
      <c r="AU560" s="3">
        <f t="shared" si="71"/>
        <v>9.4843481235504932</v>
      </c>
      <c r="AV560" s="3">
        <f t="shared" si="74"/>
        <v>0</v>
      </c>
      <c r="AW560" s="3">
        <f t="shared" si="75"/>
        <v>0</v>
      </c>
      <c r="AX560" s="3">
        <f t="shared" si="76"/>
        <v>9.4843481235504932</v>
      </c>
      <c r="AY560" s="102">
        <f t="shared" si="77"/>
        <v>1</v>
      </c>
      <c r="AZ560" s="102">
        <f t="shared" si="78"/>
        <v>0</v>
      </c>
    </row>
    <row r="561" spans="1:52" x14ac:dyDescent="0.35">
      <c r="A561" t="s">
        <v>1017</v>
      </c>
      <c r="B561">
        <v>2035</v>
      </c>
      <c r="C561" t="s">
        <v>837</v>
      </c>
      <c r="D561" t="s">
        <v>1029</v>
      </c>
      <c r="E561" t="s">
        <v>1030</v>
      </c>
      <c r="F561" t="s">
        <v>983</v>
      </c>
      <c r="G561" t="s">
        <v>978</v>
      </c>
      <c r="H561" s="198">
        <v>62986.7790676</v>
      </c>
      <c r="I561" s="198">
        <v>34561</v>
      </c>
      <c r="J561" s="198">
        <v>0</v>
      </c>
      <c r="K561" s="198">
        <v>0</v>
      </c>
      <c r="L561" s="198">
        <v>120</v>
      </c>
      <c r="M561" s="198">
        <v>0</v>
      </c>
      <c r="N561" s="198">
        <v>0</v>
      </c>
      <c r="O561" s="198">
        <v>300</v>
      </c>
      <c r="P561" s="198">
        <v>0</v>
      </c>
      <c r="Q561" s="198">
        <v>0</v>
      </c>
      <c r="R561" s="198">
        <v>156.5</v>
      </c>
      <c r="S561" s="198">
        <v>13192</v>
      </c>
      <c r="T561" s="198">
        <v>506</v>
      </c>
      <c r="U561" s="198">
        <v>2000</v>
      </c>
      <c r="V561" s="198">
        <v>1920</v>
      </c>
      <c r="W561" s="198">
        <v>0</v>
      </c>
      <c r="X561" s="198">
        <v>0</v>
      </c>
      <c r="Y561" s="198">
        <v>186</v>
      </c>
      <c r="Z561" s="277">
        <v>115928.2790676</v>
      </c>
      <c r="AA561" s="272">
        <v>5.3522850579999997</v>
      </c>
      <c r="AB561" s="198">
        <v>25.095858319286108</v>
      </c>
      <c r="AC561" s="272">
        <v>0</v>
      </c>
      <c r="AD561" s="198">
        <v>0</v>
      </c>
      <c r="AE561" s="198">
        <v>25.095858319286108</v>
      </c>
      <c r="AF561" s="198">
        <v>1878.5639032463046</v>
      </c>
      <c r="AG561" s="198">
        <v>0.82584980762638982</v>
      </c>
      <c r="AH561" s="198">
        <v>4.363647767870813E-3</v>
      </c>
      <c r="AI561" s="198">
        <v>1904.4957639503821</v>
      </c>
      <c r="AJ561" s="198">
        <v>0.80136108336907885</v>
      </c>
      <c r="AK561" s="198">
        <v>18.700364744263229</v>
      </c>
      <c r="AL561" s="198">
        <v>0.87553282368807273</v>
      </c>
      <c r="AM561" s="198">
        <v>0.15737343975381718</v>
      </c>
      <c r="AN561" s="198">
        <v>6.4707828640278603E-2</v>
      </c>
      <c r="AO561" s="198">
        <v>1.2956384330476092E-2</v>
      </c>
      <c r="AP561" s="198">
        <v>1.075180854138842E-2</v>
      </c>
      <c r="AQ561" s="198">
        <v>1.0212312836755399E-2</v>
      </c>
      <c r="AS561" s="258">
        <f t="shared" si="72"/>
        <v>155517.7863691854</v>
      </c>
      <c r="AT561" s="3">
        <f t="shared" si="73"/>
        <v>43.946672625340604</v>
      </c>
      <c r="AU561" s="3">
        <f t="shared" si="71"/>
        <v>16.963162554326466</v>
      </c>
      <c r="AV561" s="3">
        <f t="shared" si="74"/>
        <v>0</v>
      </c>
      <c r="AW561" s="3">
        <f t="shared" si="75"/>
        <v>0</v>
      </c>
      <c r="AX561" s="3">
        <f t="shared" si="76"/>
        <v>16.963162554326466</v>
      </c>
      <c r="AY561" s="102">
        <f t="shared" si="77"/>
        <v>1</v>
      </c>
      <c r="AZ561" s="102">
        <f t="shared" si="78"/>
        <v>0</v>
      </c>
    </row>
    <row r="562" spans="1:52" x14ac:dyDescent="0.35">
      <c r="A562" t="s">
        <v>1020</v>
      </c>
      <c r="B562">
        <v>2035</v>
      </c>
      <c r="C562" t="s">
        <v>837</v>
      </c>
      <c r="D562" t="s">
        <v>1029</v>
      </c>
      <c r="E562" t="s">
        <v>1030</v>
      </c>
      <c r="F562" t="s">
        <v>983</v>
      </c>
      <c r="G562" t="s">
        <v>978</v>
      </c>
      <c r="H562" s="198">
        <v>62986.7790676</v>
      </c>
      <c r="I562" s="198">
        <v>35259</v>
      </c>
      <c r="J562" s="198">
        <v>0</v>
      </c>
      <c r="K562" s="198">
        <v>0</v>
      </c>
      <c r="L562" s="198">
        <v>150</v>
      </c>
      <c r="M562" s="198">
        <v>2210.3231148</v>
      </c>
      <c r="N562" s="198">
        <v>35</v>
      </c>
      <c r="O562" s="198">
        <v>300</v>
      </c>
      <c r="P562" s="198">
        <v>2066.4368982199999</v>
      </c>
      <c r="Q562" s="198">
        <v>0</v>
      </c>
      <c r="R562" s="198">
        <v>0</v>
      </c>
      <c r="S562" s="198">
        <v>13432</v>
      </c>
      <c r="T562" s="198">
        <v>392</v>
      </c>
      <c r="U562" s="198">
        <v>2000</v>
      </c>
      <c r="V562" s="198">
        <v>4720</v>
      </c>
      <c r="W562" s="198">
        <v>196</v>
      </c>
      <c r="X562" s="198">
        <v>1500</v>
      </c>
      <c r="Y562" s="198">
        <v>186</v>
      </c>
      <c r="Z562" s="277">
        <v>125433.53908062</v>
      </c>
      <c r="AA562" s="272">
        <v>6.9297801400000001</v>
      </c>
      <c r="AB562" s="198">
        <v>19.383037381615978</v>
      </c>
      <c r="AC562" s="272">
        <v>0</v>
      </c>
      <c r="AD562" s="198">
        <v>0</v>
      </c>
      <c r="AE562" s="198">
        <v>19.383037381615978</v>
      </c>
      <c r="AF562" s="198">
        <v>1450.9276350350924</v>
      </c>
      <c r="AG562" s="198">
        <v>0.6378533656496207</v>
      </c>
      <c r="AH562" s="198">
        <v>3.3703070334854812E-3</v>
      </c>
      <c r="AI562" s="198">
        <v>1470.9563672269583</v>
      </c>
      <c r="AJ562" s="198">
        <v>0.61893925433816321</v>
      </c>
      <c r="AK562" s="198">
        <v>14.443413900266981</v>
      </c>
      <c r="AL562" s="198">
        <v>0.67622654043021613</v>
      </c>
      <c r="AM562" s="198">
        <v>0.12154895149681022</v>
      </c>
      <c r="AN562" s="198">
        <v>4.9977739173552992E-2</v>
      </c>
      <c r="AO562" s="198">
        <v>1.0006993130623695E-2</v>
      </c>
      <c r="AP562" s="198">
        <v>8.3042669521907805E-3</v>
      </c>
      <c r="AQ562" s="198">
        <v>7.8875820443832286E-3</v>
      </c>
      <c r="AS562" s="258">
        <f t="shared" si="72"/>
        <v>168269.09267665172</v>
      </c>
      <c r="AT562" s="3">
        <f t="shared" si="73"/>
        <v>33.942652506927608</v>
      </c>
      <c r="AU562" s="3">
        <f t="shared" si="71"/>
        <v>13.101668399532612</v>
      </c>
      <c r="AV562" s="3">
        <f t="shared" si="74"/>
        <v>0</v>
      </c>
      <c r="AW562" s="3">
        <f t="shared" si="75"/>
        <v>0</v>
      </c>
      <c r="AX562" s="3">
        <f t="shared" si="76"/>
        <v>13.101668399532612</v>
      </c>
      <c r="AY562" s="102">
        <f t="shared" si="77"/>
        <v>1</v>
      </c>
      <c r="AZ562" s="102">
        <f t="shared" si="78"/>
        <v>0</v>
      </c>
    </row>
    <row r="563" spans="1:52" x14ac:dyDescent="0.35">
      <c r="A563" t="s">
        <v>1021</v>
      </c>
      <c r="B563">
        <v>2035</v>
      </c>
      <c r="C563" t="s">
        <v>837</v>
      </c>
      <c r="D563" t="s">
        <v>1029</v>
      </c>
      <c r="E563" t="s">
        <v>1030</v>
      </c>
      <c r="F563" t="s">
        <v>983</v>
      </c>
      <c r="G563" t="s">
        <v>978</v>
      </c>
      <c r="H563" s="198">
        <v>62986.7790676</v>
      </c>
      <c r="I563" s="198">
        <v>13744</v>
      </c>
      <c r="J563" s="198">
        <v>0</v>
      </c>
      <c r="K563" s="198">
        <v>0</v>
      </c>
      <c r="L563" s="198">
        <v>0</v>
      </c>
      <c r="M563" s="198">
        <v>17605.89</v>
      </c>
      <c r="N563" s="198">
        <v>35</v>
      </c>
      <c r="O563" s="198">
        <v>0</v>
      </c>
      <c r="P563" s="198">
        <v>6918.3755428199993</v>
      </c>
      <c r="Q563" s="198">
        <v>0</v>
      </c>
      <c r="R563" s="198">
        <v>2540.0996452900004</v>
      </c>
      <c r="S563" s="198">
        <v>7102</v>
      </c>
      <c r="T563" s="198">
        <v>0</v>
      </c>
      <c r="U563" s="198">
        <v>2000</v>
      </c>
      <c r="V563" s="198">
        <v>4720</v>
      </c>
      <c r="W563" s="198">
        <v>196</v>
      </c>
      <c r="X563" s="198">
        <v>1500</v>
      </c>
      <c r="Y563" s="198">
        <v>186</v>
      </c>
      <c r="Z563" s="277">
        <v>119534.14425570999</v>
      </c>
      <c r="AA563" s="272">
        <v>41.614570745000016</v>
      </c>
      <c r="AB563" s="198">
        <v>3.2277201253154479</v>
      </c>
      <c r="AC563" s="272">
        <v>1592</v>
      </c>
      <c r="AD563" s="198">
        <v>5.7311999999999994</v>
      </c>
      <c r="AE563" s="198">
        <v>8.9589201253154478</v>
      </c>
      <c r="AF563" s="198">
        <v>241.61271712868532</v>
      </c>
      <c r="AG563" s="198">
        <v>0.10621720965467329</v>
      </c>
      <c r="AH563" s="198">
        <v>5.6123339321374982E-4</v>
      </c>
      <c r="AI563" s="198">
        <v>244.94796024396479</v>
      </c>
      <c r="AJ563" s="198">
        <v>0.10306757647126155</v>
      </c>
      <c r="AK563" s="198">
        <v>2.4051595632978104</v>
      </c>
      <c r="AL563" s="198">
        <v>0.11260722305004801</v>
      </c>
      <c r="AM563" s="198">
        <v>0.10497294771140026</v>
      </c>
      <c r="AN563" s="198">
        <v>2.9976239332586047E-2</v>
      </c>
      <c r="AO563" s="198">
        <v>1.6663937898733331E-3</v>
      </c>
      <c r="AP563" s="198">
        <v>4.4788367986661184E-3</v>
      </c>
      <c r="AQ563" s="198">
        <v>5.1841593872783438E-3</v>
      </c>
      <c r="AS563" s="258">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102">
        <f t="shared" si="77"/>
        <v>0.37989746115695899</v>
      </c>
      <c r="AZ563" s="102">
        <f t="shared" si="78"/>
        <v>0.62010253884304112</v>
      </c>
    </row>
    <row r="564" spans="1:52" x14ac:dyDescent="0.35">
      <c r="A564" t="s">
        <v>246</v>
      </c>
      <c r="B564">
        <v>2035</v>
      </c>
      <c r="C564" t="s">
        <v>837</v>
      </c>
      <c r="D564" t="s">
        <v>1029</v>
      </c>
      <c r="E564" t="s">
        <v>1030</v>
      </c>
      <c r="F564" t="s">
        <v>977</v>
      </c>
      <c r="G564" t="s">
        <v>978</v>
      </c>
      <c r="H564" s="198">
        <v>62986.7790676</v>
      </c>
      <c r="I564" s="198">
        <v>0</v>
      </c>
      <c r="J564" s="198">
        <v>0</v>
      </c>
      <c r="K564" s="198">
        <v>0</v>
      </c>
      <c r="L564" s="198">
        <v>0</v>
      </c>
      <c r="M564" s="198">
        <v>33011.043749999997</v>
      </c>
      <c r="N564" s="198">
        <v>35</v>
      </c>
      <c r="O564" s="198">
        <v>0</v>
      </c>
      <c r="P564" s="198">
        <v>6778.2468319</v>
      </c>
      <c r="Q564" s="198">
        <v>0</v>
      </c>
      <c r="R564" s="198">
        <v>0</v>
      </c>
      <c r="S564" s="198">
        <v>7023</v>
      </c>
      <c r="T564" s="198">
        <v>0</v>
      </c>
      <c r="U564" s="198">
        <v>2000</v>
      </c>
      <c r="V564" s="198">
        <v>4500</v>
      </c>
      <c r="W564" s="198">
        <v>196</v>
      </c>
      <c r="X564" s="198">
        <v>1500</v>
      </c>
      <c r="Y564" s="198">
        <v>186</v>
      </c>
      <c r="Z564" s="277">
        <v>118216.0696495</v>
      </c>
      <c r="AA564" s="272">
        <v>0</v>
      </c>
      <c r="AB564" s="198">
        <v>0</v>
      </c>
      <c r="AC564" s="272">
        <v>1772</v>
      </c>
      <c r="AD564" s="198">
        <v>6.3792</v>
      </c>
      <c r="AE564" s="198">
        <v>6.3792</v>
      </c>
      <c r="AF564" s="198">
        <v>0</v>
      </c>
      <c r="AG564" s="198">
        <v>0</v>
      </c>
      <c r="AH564" s="198">
        <v>0</v>
      </c>
      <c r="AI564" s="198">
        <v>0</v>
      </c>
      <c r="AJ564" s="198">
        <v>0</v>
      </c>
      <c r="AK564" s="198">
        <v>0</v>
      </c>
      <c r="AL564" s="198">
        <v>0</v>
      </c>
      <c r="AM564" s="198">
        <v>9.4312541203535244E-2</v>
      </c>
      <c r="AN564" s="198">
        <v>2.4102093863125611E-2</v>
      </c>
      <c r="AO564" s="198">
        <v>0</v>
      </c>
      <c r="AP564" s="198">
        <v>3.4460346198847114E-3</v>
      </c>
      <c r="AQ564" s="198">
        <v>4.3083376585800453E-3</v>
      </c>
      <c r="AS564" s="258">
        <f t="shared" si="72"/>
        <v>158586.85743480423</v>
      </c>
      <c r="AT564" s="3">
        <f t="shared" si="73"/>
        <v>0</v>
      </c>
      <c r="AU564" s="3">
        <f t="shared" si="71"/>
        <v>0</v>
      </c>
      <c r="AV564" s="3">
        <f t="shared" si="74"/>
        <v>110.10724893434576</v>
      </c>
      <c r="AW564" s="3">
        <f t="shared" si="75"/>
        <v>3.9638609616364477</v>
      </c>
      <c r="AX564" s="3">
        <f t="shared" si="76"/>
        <v>3.9638609616364477</v>
      </c>
      <c r="AY564" s="102">
        <f t="shared" si="77"/>
        <v>0</v>
      </c>
      <c r="AZ564" s="102">
        <f t="shared" si="78"/>
        <v>1</v>
      </c>
    </row>
    <row r="565" spans="1:52" x14ac:dyDescent="0.35">
      <c r="A565" t="s">
        <v>627</v>
      </c>
      <c r="B565">
        <v>2035</v>
      </c>
      <c r="C565" t="s">
        <v>837</v>
      </c>
      <c r="D565" t="s">
        <v>1029</v>
      </c>
      <c r="E565" t="s">
        <v>1030</v>
      </c>
      <c r="F565" t="s">
        <v>989</v>
      </c>
      <c r="G565" t="s">
        <v>978</v>
      </c>
      <c r="H565" s="198">
        <v>62986.7790676</v>
      </c>
      <c r="I565" s="198">
        <v>0</v>
      </c>
      <c r="J565" s="198">
        <v>33706.185281603772</v>
      </c>
      <c r="K565" s="198">
        <v>8445.3100875000018</v>
      </c>
      <c r="L565" s="198">
        <v>0</v>
      </c>
      <c r="M565" s="198">
        <v>4805.0502516000006</v>
      </c>
      <c r="N565" s="198">
        <v>35</v>
      </c>
      <c r="O565" s="198">
        <v>0</v>
      </c>
      <c r="P565" s="198">
        <v>6938.0128076599995</v>
      </c>
      <c r="Q565" s="198">
        <v>0</v>
      </c>
      <c r="R565" s="198">
        <v>0</v>
      </c>
      <c r="S565" s="198">
        <v>7114</v>
      </c>
      <c r="T565" s="198">
        <v>0</v>
      </c>
      <c r="U565" s="198">
        <v>2000</v>
      </c>
      <c r="V565" s="198">
        <v>4500</v>
      </c>
      <c r="W565" s="198">
        <v>196</v>
      </c>
      <c r="X565" s="198">
        <v>1500</v>
      </c>
      <c r="Y565" s="198">
        <v>186</v>
      </c>
      <c r="Z565" s="277">
        <v>132412.33749596376</v>
      </c>
      <c r="AA565" s="272">
        <v>8.7077579190000005</v>
      </c>
      <c r="AB565" s="198">
        <v>15.425347000852931</v>
      </c>
      <c r="AC565" s="272">
        <v>0</v>
      </c>
      <c r="AD565" s="198">
        <v>0</v>
      </c>
      <c r="AE565" s="198">
        <v>15.425347000852931</v>
      </c>
      <c r="AF565" s="198">
        <v>0</v>
      </c>
      <c r="AG565" s="198">
        <v>0</v>
      </c>
      <c r="AH565" s="198">
        <v>0</v>
      </c>
      <c r="AI565" s="198">
        <v>0</v>
      </c>
      <c r="AJ565" s="198">
        <v>0</v>
      </c>
      <c r="AK565" s="198">
        <v>0</v>
      </c>
      <c r="AL565" s="198">
        <v>0</v>
      </c>
      <c r="AM565" s="198">
        <v>0.14420514095666231</v>
      </c>
      <c r="AN565" s="198">
        <v>3.6852424911147097E-2</v>
      </c>
      <c r="AO565" s="198">
        <v>0</v>
      </c>
      <c r="AP565" s="198">
        <v>5.2690331716286013E-3</v>
      </c>
      <c r="AQ565" s="198">
        <v>6.5875060879087861E-3</v>
      </c>
      <c r="AS565" s="258">
        <f t="shared" si="72"/>
        <v>177631.15075083537</v>
      </c>
      <c r="AT565" s="3">
        <f t="shared" si="73"/>
        <v>27.01213348251191</v>
      </c>
      <c r="AU565" s="3">
        <f t="shared" si="71"/>
        <v>10.426527967416575</v>
      </c>
      <c r="AV565" s="3">
        <f t="shared" si="74"/>
        <v>0</v>
      </c>
      <c r="AW565" s="3">
        <f t="shared" si="75"/>
        <v>0</v>
      </c>
      <c r="AX565" s="3">
        <f t="shared" si="76"/>
        <v>10.426527967416575</v>
      </c>
      <c r="AY565" s="102">
        <f t="shared" si="77"/>
        <v>1</v>
      </c>
      <c r="AZ565" s="102">
        <f t="shared" si="78"/>
        <v>0</v>
      </c>
    </row>
    <row r="566" spans="1:52" x14ac:dyDescent="0.35">
      <c r="A566" t="s">
        <v>1065</v>
      </c>
      <c r="B566">
        <v>2035</v>
      </c>
      <c r="C566" t="s">
        <v>837</v>
      </c>
      <c r="D566" t="s">
        <v>1029</v>
      </c>
      <c r="E566" t="s">
        <v>1030</v>
      </c>
      <c r="F566" t="s">
        <v>989</v>
      </c>
      <c r="G566" t="s">
        <v>978</v>
      </c>
      <c r="H566" s="198">
        <v>62986.7790676</v>
      </c>
      <c r="I566" s="198">
        <v>0</v>
      </c>
      <c r="J566" s="198">
        <v>11836.853967452829</v>
      </c>
      <c r="K566" s="198">
        <v>8375.9565532500019</v>
      </c>
      <c r="L566" s="198">
        <v>0</v>
      </c>
      <c r="M566" s="198">
        <v>6300.585</v>
      </c>
      <c r="N566" s="198">
        <v>35</v>
      </c>
      <c r="O566" s="198">
        <v>0</v>
      </c>
      <c r="P566" s="198">
        <v>6980.3167402599993</v>
      </c>
      <c r="Q566" s="198">
        <v>0</v>
      </c>
      <c r="R566" s="198">
        <v>0</v>
      </c>
      <c r="S566" s="198">
        <v>7138</v>
      </c>
      <c r="T566" s="198">
        <v>0</v>
      </c>
      <c r="U566" s="198">
        <v>2000</v>
      </c>
      <c r="V566" s="198">
        <v>4500</v>
      </c>
      <c r="W566" s="198">
        <v>196</v>
      </c>
      <c r="X566" s="198">
        <v>1500</v>
      </c>
      <c r="Y566" s="198">
        <v>186</v>
      </c>
      <c r="Z566" s="277">
        <v>112035.49132856283</v>
      </c>
      <c r="AA566" s="272">
        <v>10.31436804</v>
      </c>
      <c r="AB566" s="198">
        <v>13.022628917166312</v>
      </c>
      <c r="AC566" s="272">
        <v>0</v>
      </c>
      <c r="AD566" s="198">
        <v>0</v>
      </c>
      <c r="AE566" s="198">
        <v>13.022628917166312</v>
      </c>
      <c r="AF566" s="198">
        <v>0</v>
      </c>
      <c r="AG566" s="198">
        <v>0</v>
      </c>
      <c r="AH566" s="198">
        <v>0</v>
      </c>
      <c r="AI566" s="198">
        <v>0</v>
      </c>
      <c r="AJ566" s="198">
        <v>0</v>
      </c>
      <c r="AK566" s="198">
        <v>0</v>
      </c>
      <c r="AL566" s="198">
        <v>0</v>
      </c>
      <c r="AM566" s="198">
        <v>0.12174313086911018</v>
      </c>
      <c r="AN566" s="198">
        <v>3.111213344432821E-2</v>
      </c>
      <c r="AO566" s="198">
        <v>0</v>
      </c>
      <c r="AP566" s="198">
        <v>4.4483060084525199E-3</v>
      </c>
      <c r="AQ566" s="198">
        <v>5.5614079390023828E-3</v>
      </c>
      <c r="AS566" s="258">
        <f t="shared" si="72"/>
        <v>150295.61161726702</v>
      </c>
      <c r="AT566" s="3">
        <f t="shared" si="73"/>
        <v>22.804607934217959</v>
      </c>
      <c r="AU566" s="3">
        <f t="shared" si="71"/>
        <v>8.8024473359733495</v>
      </c>
      <c r="AV566" s="3">
        <f t="shared" si="74"/>
        <v>0</v>
      </c>
      <c r="AW566" s="3">
        <f t="shared" si="75"/>
        <v>0</v>
      </c>
      <c r="AX566" s="3">
        <f t="shared" si="76"/>
        <v>8.8024473359733495</v>
      </c>
      <c r="AY566" s="102">
        <f t="shared" si="77"/>
        <v>1</v>
      </c>
      <c r="AZ566" s="102">
        <f t="shared" si="78"/>
        <v>0</v>
      </c>
    </row>
    <row r="567" spans="1:52" x14ac:dyDescent="0.35">
      <c r="A567" t="s">
        <v>1017</v>
      </c>
      <c r="B567">
        <v>2050</v>
      </c>
      <c r="C567" t="s">
        <v>837</v>
      </c>
      <c r="D567" t="s">
        <v>1029</v>
      </c>
      <c r="E567" t="s">
        <v>1030</v>
      </c>
      <c r="F567" t="s">
        <v>983</v>
      </c>
      <c r="G567" t="s">
        <v>978</v>
      </c>
      <c r="H567" s="198">
        <v>63277.302854000001</v>
      </c>
      <c r="I567" s="198">
        <v>37194</v>
      </c>
      <c r="J567" s="198">
        <v>0</v>
      </c>
      <c r="K567" s="198">
        <v>0</v>
      </c>
      <c r="L567" s="198">
        <v>120</v>
      </c>
      <c r="M567" s="198">
        <v>0</v>
      </c>
      <c r="N567" s="198">
        <v>0</v>
      </c>
      <c r="O567" s="198">
        <v>300</v>
      </c>
      <c r="P567" s="198">
        <v>0</v>
      </c>
      <c r="Q567" s="198">
        <v>0</v>
      </c>
      <c r="R567" s="198">
        <v>110</v>
      </c>
      <c r="S567" s="198">
        <v>13003</v>
      </c>
      <c r="T567" s="198">
        <v>506</v>
      </c>
      <c r="U567" s="198">
        <v>2000</v>
      </c>
      <c r="V567" s="198">
        <v>1920</v>
      </c>
      <c r="W567" s="198">
        <v>0</v>
      </c>
      <c r="X567" s="198">
        <v>0</v>
      </c>
      <c r="Y567" s="198">
        <v>186</v>
      </c>
      <c r="Z567" s="277">
        <v>118616.30285400001</v>
      </c>
      <c r="AA567" s="272">
        <v>5.8330799850000004</v>
      </c>
      <c r="AB567" s="198">
        <v>23.02731795987879</v>
      </c>
      <c r="AC567" s="272">
        <v>0</v>
      </c>
      <c r="AD567" s="198">
        <v>0</v>
      </c>
      <c r="AE567" s="198">
        <v>23.02731795987879</v>
      </c>
      <c r="AF567" s="198">
        <v>1723.7222077700262</v>
      </c>
      <c r="AG567" s="198">
        <v>0.75777866870976907</v>
      </c>
      <c r="AH567" s="198">
        <v>4.0039716250093562E-3</v>
      </c>
      <c r="AI567" s="198">
        <v>1747.5166201438471</v>
      </c>
      <c r="AJ567" s="198">
        <v>0.7353084414423664</v>
      </c>
      <c r="AK567" s="198">
        <v>17.158976571083322</v>
      </c>
      <c r="AL567" s="198">
        <v>0.80336653398628455</v>
      </c>
      <c r="AM567" s="198">
        <v>0.14440184470064638</v>
      </c>
      <c r="AN567" s="198">
        <v>5.9374249154409212E-2</v>
      </c>
      <c r="AO567" s="198">
        <v>1.188844700159079E-2</v>
      </c>
      <c r="AP567" s="198">
        <v>9.8655846226236871E-3</v>
      </c>
      <c r="AQ567" s="198">
        <v>9.3705571575129869E-3</v>
      </c>
      <c r="AS567" s="258">
        <f t="shared" si="72"/>
        <v>159123.77027864099</v>
      </c>
      <c r="AT567" s="3">
        <f t="shared" si="73"/>
        <v>40.324343202269347</v>
      </c>
      <c r="AU567" s="3">
        <f t="shared" si="71"/>
        <v>15.564964257205649</v>
      </c>
      <c r="AV567" s="3">
        <f t="shared" si="74"/>
        <v>0</v>
      </c>
      <c r="AW567" s="3">
        <f t="shared" si="75"/>
        <v>0</v>
      </c>
      <c r="AX567" s="3">
        <f t="shared" si="76"/>
        <v>15.564964257205649</v>
      </c>
      <c r="AY567" s="102">
        <f t="shared" si="77"/>
        <v>1</v>
      </c>
      <c r="AZ567" s="102">
        <f t="shared" si="78"/>
        <v>0</v>
      </c>
    </row>
    <row r="568" spans="1:52" x14ac:dyDescent="0.35">
      <c r="A568" t="s">
        <v>1020</v>
      </c>
      <c r="B568">
        <v>2050</v>
      </c>
      <c r="C568" t="s">
        <v>837</v>
      </c>
      <c r="D568" t="s">
        <v>1029</v>
      </c>
      <c r="E568" t="s">
        <v>1030</v>
      </c>
      <c r="F568" t="s">
        <v>983</v>
      </c>
      <c r="G568" t="s">
        <v>978</v>
      </c>
      <c r="H568" s="198">
        <v>63277.302854000001</v>
      </c>
      <c r="I568" s="198">
        <v>38440</v>
      </c>
      <c r="J568" s="198">
        <v>0</v>
      </c>
      <c r="K568" s="198">
        <v>0</v>
      </c>
      <c r="L568" s="198">
        <v>150</v>
      </c>
      <c r="M568" s="198">
        <v>2299.3055271000003</v>
      </c>
      <c r="N568" s="198">
        <v>28.89</v>
      </c>
      <c r="O568" s="198">
        <v>300</v>
      </c>
      <c r="P568" s="198">
        <v>1450.4829922000001</v>
      </c>
      <c r="Q568" s="198">
        <v>0</v>
      </c>
      <c r="R568" s="198">
        <v>0</v>
      </c>
      <c r="S568" s="198">
        <v>13433</v>
      </c>
      <c r="T568" s="198">
        <v>392</v>
      </c>
      <c r="U568" s="198">
        <v>2000</v>
      </c>
      <c r="V568" s="198">
        <v>4720</v>
      </c>
      <c r="W568" s="198">
        <v>141.56100000000001</v>
      </c>
      <c r="X568" s="198">
        <v>1500</v>
      </c>
      <c r="Y568" s="198">
        <v>186</v>
      </c>
      <c r="Z568" s="277">
        <v>128318.54237330002</v>
      </c>
      <c r="AA568" s="272">
        <v>7.8113376690000003</v>
      </c>
      <c r="AB568" s="198">
        <v>17.195542324723945</v>
      </c>
      <c r="AC568" s="272">
        <v>0</v>
      </c>
      <c r="AD568" s="198">
        <v>0</v>
      </c>
      <c r="AE568" s="198">
        <v>17.195542324723945</v>
      </c>
      <c r="AF568" s="198">
        <v>1287.1815220261155</v>
      </c>
      <c r="AG568" s="198">
        <v>0.56586768781649233</v>
      </c>
      <c r="AH568" s="198">
        <v>2.9899471429891398E-3</v>
      </c>
      <c r="AI568" s="198">
        <v>1304.949888527975</v>
      </c>
      <c r="AJ568" s="198">
        <v>0.54908815036901348</v>
      </c>
      <c r="AK568" s="198">
        <v>12.813385753004251</v>
      </c>
      <c r="AL568" s="198">
        <v>0.59991021366435549</v>
      </c>
      <c r="AM568" s="198">
        <v>0.10783140427576088</v>
      </c>
      <c r="AN568" s="198">
        <v>4.4337443731494064E-2</v>
      </c>
      <c r="AO568" s="198">
        <v>8.8776423701307141E-3</v>
      </c>
      <c r="AP568" s="198">
        <v>7.36707931996455E-3</v>
      </c>
      <c r="AQ568" s="198">
        <v>6.9974198683930297E-3</v>
      </c>
      <c r="AS568" s="258">
        <f t="shared" si="72"/>
        <v>172139.32459378196</v>
      </c>
      <c r="AT568" s="3">
        <f t="shared" si="73"/>
        <v>30.112015279393262</v>
      </c>
      <c r="AU568" s="3">
        <f t="shared" si="71"/>
        <v>11.623064489487078</v>
      </c>
      <c r="AV568" s="3">
        <f t="shared" si="74"/>
        <v>0</v>
      </c>
      <c r="AW568" s="3">
        <f t="shared" si="75"/>
        <v>0</v>
      </c>
      <c r="AX568" s="3">
        <f t="shared" si="76"/>
        <v>11.623064489487078</v>
      </c>
      <c r="AY568" s="102">
        <f t="shared" si="77"/>
        <v>1</v>
      </c>
      <c r="AZ568" s="102">
        <f t="shared" si="78"/>
        <v>0</v>
      </c>
    </row>
    <row r="569" spans="1:52" x14ac:dyDescent="0.35">
      <c r="A569" t="s">
        <v>1021</v>
      </c>
      <c r="B569">
        <v>2050</v>
      </c>
      <c r="C569" t="s">
        <v>837</v>
      </c>
      <c r="D569" t="s">
        <v>1029</v>
      </c>
      <c r="E569" t="s">
        <v>1030</v>
      </c>
      <c r="F569" t="s">
        <v>983</v>
      </c>
      <c r="G569" t="s">
        <v>978</v>
      </c>
      <c r="H569" s="198">
        <v>63277.302854000001</v>
      </c>
      <c r="I569" s="198">
        <v>16542</v>
      </c>
      <c r="J569" s="198">
        <v>0</v>
      </c>
      <c r="K569" s="198">
        <v>0</v>
      </c>
      <c r="L569" s="198">
        <v>0</v>
      </c>
      <c r="M569" s="198">
        <v>12042.6075</v>
      </c>
      <c r="N569" s="198">
        <v>28.89</v>
      </c>
      <c r="O569" s="198">
        <v>0</v>
      </c>
      <c r="P569" s="198">
        <v>4806.2681172000002</v>
      </c>
      <c r="Q569" s="198">
        <v>0</v>
      </c>
      <c r="R569" s="198">
        <v>1645.7355409000002</v>
      </c>
      <c r="S569" s="198">
        <v>7069</v>
      </c>
      <c r="T569" s="198">
        <v>0</v>
      </c>
      <c r="U569" s="198">
        <v>2000</v>
      </c>
      <c r="V569" s="198">
        <v>4720</v>
      </c>
      <c r="W569" s="198">
        <v>141.56100000000001</v>
      </c>
      <c r="X569" s="198">
        <v>1500</v>
      </c>
      <c r="Y569" s="198">
        <v>186</v>
      </c>
      <c r="Z569" s="277">
        <v>113959.36501210001</v>
      </c>
      <c r="AA569" s="272">
        <v>49.244427015000014</v>
      </c>
      <c r="AB569" s="198">
        <v>2.7276221014630879</v>
      </c>
      <c r="AC569" s="272">
        <v>1444.8000000000002</v>
      </c>
      <c r="AD569" s="198">
        <v>5.2012800000000006</v>
      </c>
      <c r="AE569" s="198">
        <v>7.9289021014630885</v>
      </c>
      <c r="AF569" s="198">
        <v>204.17761195151451</v>
      </c>
      <c r="AG569" s="198">
        <v>8.9760077504089902E-2</v>
      </c>
      <c r="AH569" s="198">
        <v>4.7427674890472056E-4</v>
      </c>
      <c r="AI569" s="198">
        <v>206.99609759518529</v>
      </c>
      <c r="AJ569" s="198">
        <v>8.709844367307866E-2</v>
      </c>
      <c r="AK569" s="198">
        <v>2.0325078159480343</v>
      </c>
      <c r="AL569" s="198">
        <v>9.5160031988732796E-2</v>
      </c>
      <c r="AM569" s="198">
        <v>9.4002345895494083E-2</v>
      </c>
      <c r="AN569" s="198">
        <v>2.6684612892133176E-2</v>
      </c>
      <c r="AO569" s="198">
        <v>1.408205282530537E-3</v>
      </c>
      <c r="AP569" s="198">
        <v>3.9783179842610306E-3</v>
      </c>
      <c r="AQ569" s="198">
        <v>4.6227598861718795E-3</v>
      </c>
      <c r="AS569" s="258">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102">
        <f t="shared" si="77"/>
        <v>0.36324460677978682</v>
      </c>
      <c r="AZ569" s="102">
        <f t="shared" si="78"/>
        <v>0.63675539322021313</v>
      </c>
    </row>
    <row r="570" spans="1:52" x14ac:dyDescent="0.35">
      <c r="A570" t="s">
        <v>246</v>
      </c>
      <c r="B570">
        <v>2050</v>
      </c>
      <c r="C570" t="s">
        <v>837</v>
      </c>
      <c r="D570" t="s">
        <v>1029</v>
      </c>
      <c r="E570" t="s">
        <v>1030</v>
      </c>
      <c r="F570" t="s">
        <v>977</v>
      </c>
      <c r="G570" t="s">
        <v>978</v>
      </c>
      <c r="H570" s="198">
        <v>63277.302854000001</v>
      </c>
      <c r="I570" s="198">
        <v>0</v>
      </c>
      <c r="J570" s="198">
        <v>0</v>
      </c>
      <c r="K570" s="198">
        <v>0</v>
      </c>
      <c r="L570" s="198">
        <v>0</v>
      </c>
      <c r="M570" s="198">
        <v>22590.75</v>
      </c>
      <c r="N570" s="198">
        <v>28.89</v>
      </c>
      <c r="O570" s="198">
        <v>0</v>
      </c>
      <c r="P570" s="198">
        <v>4709.6094067000004</v>
      </c>
      <c r="Q570" s="198">
        <v>0</v>
      </c>
      <c r="R570" s="198">
        <v>0</v>
      </c>
      <c r="S570" s="198">
        <v>6991</v>
      </c>
      <c r="T570" s="198">
        <v>0</v>
      </c>
      <c r="U570" s="198">
        <v>2000</v>
      </c>
      <c r="V570" s="198">
        <v>4500</v>
      </c>
      <c r="W570" s="198">
        <v>141.56100000000001</v>
      </c>
      <c r="X570" s="198">
        <v>1500</v>
      </c>
      <c r="Y570" s="198">
        <v>186</v>
      </c>
      <c r="Z570" s="277">
        <v>105925.1132607</v>
      </c>
      <c r="AA570" s="272">
        <v>0</v>
      </c>
      <c r="AB570" s="198">
        <v>0</v>
      </c>
      <c r="AC570" s="272">
        <v>1583</v>
      </c>
      <c r="AD570" s="198">
        <v>5.6987999999999994</v>
      </c>
      <c r="AE570" s="198">
        <v>5.6987999999999994</v>
      </c>
      <c r="AF570" s="198">
        <v>0</v>
      </c>
      <c r="AG570" s="198">
        <v>0</v>
      </c>
      <c r="AH570" s="198">
        <v>0</v>
      </c>
      <c r="AI570" s="198">
        <v>0</v>
      </c>
      <c r="AJ570" s="198">
        <v>0</v>
      </c>
      <c r="AK570" s="198">
        <v>0</v>
      </c>
      <c r="AL570" s="198">
        <v>0</v>
      </c>
      <c r="AM570" s="198">
        <v>8.4253246458914369E-2</v>
      </c>
      <c r="AN570" s="198">
        <v>2.1531385206166952E-2</v>
      </c>
      <c r="AO570" s="198">
        <v>0</v>
      </c>
      <c r="AP570" s="198">
        <v>3.0784835232942989E-3</v>
      </c>
      <c r="AQ570" s="198">
        <v>3.8488140595554238E-3</v>
      </c>
      <c r="AS570" s="258">
        <f t="shared" si="72"/>
        <v>142098.53943922903</v>
      </c>
      <c r="AT570" s="3">
        <f t="shared" si="73"/>
        <v>0</v>
      </c>
      <c r="AU570" s="3">
        <f t="shared" si="71"/>
        <v>0</v>
      </c>
      <c r="AV570" s="3">
        <f t="shared" si="74"/>
        <v>98.363304211664413</v>
      </c>
      <c r="AW570" s="3">
        <f t="shared" si="75"/>
        <v>3.541078951619919</v>
      </c>
      <c r="AX570" s="3">
        <f t="shared" si="76"/>
        <v>3.541078951619919</v>
      </c>
      <c r="AY570" s="102">
        <f t="shared" si="77"/>
        <v>0</v>
      </c>
      <c r="AZ570" s="102">
        <f t="shared" si="78"/>
        <v>1</v>
      </c>
    </row>
    <row r="571" spans="1:52" x14ac:dyDescent="0.35">
      <c r="A571" t="s">
        <v>627</v>
      </c>
      <c r="B571">
        <v>2050</v>
      </c>
      <c r="C571" t="s">
        <v>837</v>
      </c>
      <c r="D571" t="s">
        <v>1029</v>
      </c>
      <c r="E571" t="s">
        <v>1030</v>
      </c>
      <c r="F571" t="s">
        <v>989</v>
      </c>
      <c r="G571" t="s">
        <v>978</v>
      </c>
      <c r="H571" s="198">
        <v>63277.302854000001</v>
      </c>
      <c r="I571" s="198">
        <v>0</v>
      </c>
      <c r="J571" s="198">
        <v>28681.060502</v>
      </c>
      <c r="K571" s="198">
        <v>7140.7184309999993</v>
      </c>
      <c r="L571" s="198">
        <v>0</v>
      </c>
      <c r="M571" s="198">
        <v>5244.0301505999996</v>
      </c>
      <c r="N571" s="198">
        <v>28.89</v>
      </c>
      <c r="O571" s="198">
        <v>0</v>
      </c>
      <c r="P571" s="198">
        <v>4820.3463032999998</v>
      </c>
      <c r="Q571" s="198">
        <v>0</v>
      </c>
      <c r="R571" s="198">
        <v>0</v>
      </c>
      <c r="S571" s="198">
        <v>7081</v>
      </c>
      <c r="T571" s="198">
        <v>0</v>
      </c>
      <c r="U571" s="198">
        <v>2000</v>
      </c>
      <c r="V571" s="198">
        <v>4500</v>
      </c>
      <c r="W571" s="198">
        <v>141.56100000000001</v>
      </c>
      <c r="X571" s="198">
        <v>1500</v>
      </c>
      <c r="Y571" s="198">
        <v>186</v>
      </c>
      <c r="Z571" s="277">
        <v>124600.9092409</v>
      </c>
      <c r="AA571" s="272">
        <v>9.9647222749999997</v>
      </c>
      <c r="AB571" s="198">
        <v>13.479571612044753</v>
      </c>
      <c r="AC571" s="272">
        <v>0</v>
      </c>
      <c r="AD571" s="198">
        <v>0</v>
      </c>
      <c r="AE571" s="198">
        <v>13.479571612044753</v>
      </c>
      <c r="AF571" s="198">
        <v>0</v>
      </c>
      <c r="AG571" s="198">
        <v>0</v>
      </c>
      <c r="AH571" s="198">
        <v>0</v>
      </c>
      <c r="AI571" s="198">
        <v>0</v>
      </c>
      <c r="AJ571" s="198">
        <v>0</v>
      </c>
      <c r="AK571" s="198">
        <v>0</v>
      </c>
      <c r="AL571" s="198">
        <v>0</v>
      </c>
      <c r="AM571" s="198">
        <v>0.12601489770329674</v>
      </c>
      <c r="AN571" s="198">
        <v>3.2203807190842558E-2</v>
      </c>
      <c r="AO571" s="198">
        <v>0</v>
      </c>
      <c r="AP571" s="198">
        <v>4.6043897721898767E-3</v>
      </c>
      <c r="AQ571" s="198">
        <v>5.7565486242764797E-3</v>
      </c>
      <c r="AS571" s="258">
        <f t="shared" si="72"/>
        <v>167152.11974666733</v>
      </c>
      <c r="AT571" s="3">
        <f t="shared" si="73"/>
        <v>23.604784232827818</v>
      </c>
      <c r="AU571" s="3">
        <f t="shared" si="71"/>
        <v>9.1113107792004833</v>
      </c>
      <c r="AV571" s="3">
        <f t="shared" si="74"/>
        <v>0</v>
      </c>
      <c r="AW571" s="3">
        <f t="shared" si="75"/>
        <v>0</v>
      </c>
      <c r="AX571" s="3">
        <f t="shared" si="76"/>
        <v>9.1113107792004833</v>
      </c>
      <c r="AY571" s="102">
        <f t="shared" si="77"/>
        <v>1</v>
      </c>
      <c r="AZ571" s="102">
        <f t="shared" si="78"/>
        <v>0</v>
      </c>
    </row>
    <row r="572" spans="1:52" x14ac:dyDescent="0.35">
      <c r="A572" t="s">
        <v>1065</v>
      </c>
      <c r="B572">
        <v>2050</v>
      </c>
      <c r="C572" t="s">
        <v>837</v>
      </c>
      <c r="D572" t="s">
        <v>1029</v>
      </c>
      <c r="E572" t="s">
        <v>1030</v>
      </c>
      <c r="F572" t="s">
        <v>989</v>
      </c>
      <c r="G572" t="s">
        <v>978</v>
      </c>
      <c r="H572" s="198">
        <v>63277.302854000001</v>
      </c>
      <c r="I572" s="198">
        <v>0</v>
      </c>
      <c r="J572" s="198">
        <v>9252.1770359999991</v>
      </c>
      <c r="K572" s="198">
        <v>7060.6519829999997</v>
      </c>
      <c r="L572" s="198">
        <v>0</v>
      </c>
      <c r="M572" s="198">
        <v>5282.76</v>
      </c>
      <c r="N572" s="198">
        <v>28.89</v>
      </c>
      <c r="O572" s="198">
        <v>0</v>
      </c>
      <c r="P572" s="198">
        <v>5076.9821167999999</v>
      </c>
      <c r="Q572" s="198">
        <v>0</v>
      </c>
      <c r="R572" s="198">
        <v>0</v>
      </c>
      <c r="S572" s="198">
        <v>7289</v>
      </c>
      <c r="T572" s="198">
        <v>0</v>
      </c>
      <c r="U572" s="198">
        <v>2000</v>
      </c>
      <c r="V572" s="198">
        <v>4500</v>
      </c>
      <c r="W572" s="198">
        <v>141.56100000000001</v>
      </c>
      <c r="X572" s="198">
        <v>1500</v>
      </c>
      <c r="Y572" s="198">
        <v>186</v>
      </c>
      <c r="Z572" s="277">
        <v>105595.32498980001</v>
      </c>
      <c r="AA572" s="272">
        <v>11.90345589</v>
      </c>
      <c r="AB572" s="198">
        <v>11.284133678593404</v>
      </c>
      <c r="AC572" s="272">
        <v>0</v>
      </c>
      <c r="AD572" s="198">
        <v>0</v>
      </c>
      <c r="AE572" s="198">
        <v>11.284133678593404</v>
      </c>
      <c r="AF572" s="198">
        <v>0</v>
      </c>
      <c r="AG572" s="198">
        <v>0</v>
      </c>
      <c r="AH572" s="198">
        <v>0</v>
      </c>
      <c r="AI572" s="198">
        <v>0</v>
      </c>
      <c r="AJ572" s="198">
        <v>0</v>
      </c>
      <c r="AK572" s="198">
        <v>0</v>
      </c>
      <c r="AL572" s="198">
        <v>0</v>
      </c>
      <c r="AM572" s="198">
        <v>0.10549066336111634</v>
      </c>
      <c r="AN572" s="198">
        <v>2.6958725081174223E-2</v>
      </c>
      <c r="AO572" s="198">
        <v>0</v>
      </c>
      <c r="AP572" s="198">
        <v>3.8544659424719929E-3</v>
      </c>
      <c r="AQ572" s="198">
        <v>4.8189709638558125E-3</v>
      </c>
      <c r="AS572" s="258">
        <f t="shared" si="72"/>
        <v>141656.1284738167</v>
      </c>
      <c r="AT572" s="3">
        <f t="shared" si="73"/>
        <v>19.760237817912234</v>
      </c>
      <c r="AU572" s="3">
        <f t="shared" si="71"/>
        <v>7.6273380029256908</v>
      </c>
      <c r="AV572" s="3">
        <f t="shared" si="74"/>
        <v>0</v>
      </c>
      <c r="AW572" s="3">
        <f t="shared" si="75"/>
        <v>0</v>
      </c>
      <c r="AX572" s="3">
        <f t="shared" si="76"/>
        <v>7.6273380029256908</v>
      </c>
      <c r="AY572" s="102">
        <f t="shared" si="77"/>
        <v>1</v>
      </c>
      <c r="AZ572" s="102">
        <f t="shared" si="78"/>
        <v>0</v>
      </c>
    </row>
    <row r="573" spans="1:52" x14ac:dyDescent="0.35">
      <c r="A573" t="s">
        <v>1017</v>
      </c>
      <c r="B573">
        <v>2021</v>
      </c>
      <c r="C573" t="s">
        <v>837</v>
      </c>
      <c r="D573" t="s">
        <v>1073</v>
      </c>
      <c r="E573" t="s">
        <v>1032</v>
      </c>
      <c r="F573" t="s">
        <v>983</v>
      </c>
      <c r="G573" t="s">
        <v>978</v>
      </c>
      <c r="H573" s="198">
        <v>56000</v>
      </c>
      <c r="I573" s="198">
        <v>39166</v>
      </c>
      <c r="J573" s="198">
        <v>0</v>
      </c>
      <c r="K573" s="198">
        <v>0</v>
      </c>
      <c r="L573" s="198">
        <v>120</v>
      </c>
      <c r="M573" s="198">
        <v>0</v>
      </c>
      <c r="N573" s="198">
        <v>0</v>
      </c>
      <c r="O573" s="198">
        <v>150</v>
      </c>
      <c r="P573" s="198">
        <v>0</v>
      </c>
      <c r="Q573" s="198">
        <v>0</v>
      </c>
      <c r="R573" s="198">
        <v>104.8</v>
      </c>
      <c r="S573" s="198">
        <v>12208</v>
      </c>
      <c r="T573" s="198">
        <v>506</v>
      </c>
      <c r="U573" s="198">
        <v>2000</v>
      </c>
      <c r="V573" s="198">
        <v>1920</v>
      </c>
      <c r="W573" s="198">
        <v>0</v>
      </c>
      <c r="X573" s="198">
        <v>0</v>
      </c>
      <c r="Y573" s="198">
        <v>186</v>
      </c>
      <c r="Z573" s="277">
        <v>112360.8</v>
      </c>
      <c r="AA573" s="272">
        <v>4.4386775649999999</v>
      </c>
      <c r="AB573" s="198">
        <v>30.261307682978774</v>
      </c>
      <c r="AC573" s="272">
        <v>0</v>
      </c>
      <c r="AD573" s="198">
        <v>0</v>
      </c>
      <c r="AE573" s="198">
        <v>30.261307682978774</v>
      </c>
      <c r="AF573" s="198">
        <v>2265.2263793897255</v>
      </c>
      <c r="AG573" s="198">
        <v>0.99583344831466725</v>
      </c>
      <c r="AH573" s="198">
        <v>5.2618119708702027E-3</v>
      </c>
      <c r="AI573" s="198">
        <v>2296.4957627905383</v>
      </c>
      <c r="AJ573" s="198">
        <v>0.96630424034393969</v>
      </c>
      <c r="AK573" s="198">
        <v>22.549437604817342</v>
      </c>
      <c r="AL573" s="198">
        <v>1.0557426578954985</v>
      </c>
      <c r="AM573" s="198">
        <v>0.18976541949390704</v>
      </c>
      <c r="AN573" s="198">
        <v>7.802656068057684E-2</v>
      </c>
      <c r="AO573" s="198">
        <v>1.5623180833076013E-2</v>
      </c>
      <c r="AP573" s="198">
        <v>1.2964839946095524E-2</v>
      </c>
      <c r="AQ573" s="198">
        <v>1.2314300510311455E-2</v>
      </c>
      <c r="AS573" s="258">
        <f t="shared" si="72"/>
        <v>150732.01319999999</v>
      </c>
      <c r="AT573" s="3">
        <f t="shared" si="73"/>
        <v>52.992161696121791</v>
      </c>
      <c r="AU573" s="3">
        <f t="shared" si="71"/>
        <v>20.454669244700288</v>
      </c>
      <c r="AV573" s="3">
        <f t="shared" si="74"/>
        <v>0</v>
      </c>
      <c r="AW573" s="3">
        <f t="shared" si="75"/>
        <v>0</v>
      </c>
      <c r="AX573" s="3">
        <f t="shared" si="76"/>
        <v>20.454669244700288</v>
      </c>
      <c r="AY573" s="102">
        <f t="shared" si="77"/>
        <v>1</v>
      </c>
      <c r="AZ573" s="102">
        <f t="shared" si="78"/>
        <v>0</v>
      </c>
    </row>
    <row r="574" spans="1:52" x14ac:dyDescent="0.35">
      <c r="A574" t="s">
        <v>1020</v>
      </c>
      <c r="B574">
        <v>2021</v>
      </c>
      <c r="C574" t="s">
        <v>837</v>
      </c>
      <c r="D574" t="s">
        <v>1073</v>
      </c>
      <c r="E574" t="s">
        <v>1032</v>
      </c>
      <c r="F574" t="s">
        <v>983</v>
      </c>
      <c r="G574" t="s">
        <v>978</v>
      </c>
      <c r="H574" s="198">
        <v>56000</v>
      </c>
      <c r="I574" s="198">
        <v>37908</v>
      </c>
      <c r="J574" s="198">
        <v>0</v>
      </c>
      <c r="K574" s="198">
        <v>0</v>
      </c>
      <c r="L574" s="198">
        <v>150</v>
      </c>
      <c r="M574" s="198">
        <v>2277.949748</v>
      </c>
      <c r="N574" s="198">
        <v>75</v>
      </c>
      <c r="O574" s="198">
        <v>150</v>
      </c>
      <c r="P574" s="198">
        <v>4525.9197957000006</v>
      </c>
      <c r="Q574" s="198">
        <v>0</v>
      </c>
      <c r="R574" s="198">
        <v>0</v>
      </c>
      <c r="S574" s="198">
        <v>11421</v>
      </c>
      <c r="T574" s="198">
        <v>392</v>
      </c>
      <c r="U574" s="198">
        <v>2000</v>
      </c>
      <c r="V574" s="198">
        <v>4720</v>
      </c>
      <c r="W574" s="198">
        <v>525</v>
      </c>
      <c r="X574" s="198">
        <v>1500</v>
      </c>
      <c r="Y574" s="198">
        <v>186</v>
      </c>
      <c r="Z574" s="277">
        <v>121830.8695437</v>
      </c>
      <c r="AA574" s="272">
        <v>6.0600012760000004</v>
      </c>
      <c r="AB574" s="198">
        <v>22.165042775149409</v>
      </c>
      <c r="AC574" s="272">
        <v>0</v>
      </c>
      <c r="AD574" s="198">
        <v>0</v>
      </c>
      <c r="AE574" s="198">
        <v>22.165042775149409</v>
      </c>
      <c r="AF574" s="198">
        <v>1659.1761374149505</v>
      </c>
      <c r="AG574" s="198">
        <v>0.72940307834860918</v>
      </c>
      <c r="AH574" s="198">
        <v>3.8540399057087594E-3</v>
      </c>
      <c r="AI574" s="198">
        <v>1682.0795501786165</v>
      </c>
      <c r="AJ574" s="198">
        <v>0.70777426558730183</v>
      </c>
      <c r="AK574" s="198">
        <v>16.516445829188974</v>
      </c>
      <c r="AL574" s="198">
        <v>0.77328387183234293</v>
      </c>
      <c r="AM574" s="198">
        <v>0.13899460936688074</v>
      </c>
      <c r="AN574" s="198">
        <v>5.7150935881583056E-2</v>
      </c>
      <c r="AO574" s="198">
        <v>1.1443275190774482E-2</v>
      </c>
      <c r="AP574" s="198">
        <v>9.496160410140151E-3</v>
      </c>
      <c r="AQ574" s="198">
        <v>9.0196696195856546E-3</v>
      </c>
      <c r="AS574" s="258">
        <f t="shared" si="72"/>
        <v>163436.11149287355</v>
      </c>
      <c r="AT574" s="3">
        <f t="shared" si="73"/>
        <v>38.814367939652577</v>
      </c>
      <c r="AU574" s="3">
        <f t="shared" si="71"/>
        <v>14.98212250144527</v>
      </c>
      <c r="AV574" s="3">
        <f t="shared" si="74"/>
        <v>0</v>
      </c>
      <c r="AW574" s="3">
        <f t="shared" si="75"/>
        <v>0</v>
      </c>
      <c r="AX574" s="3">
        <f t="shared" si="76"/>
        <v>14.98212250144527</v>
      </c>
      <c r="AY574" s="102">
        <f t="shared" si="77"/>
        <v>1</v>
      </c>
      <c r="AZ574" s="102">
        <f t="shared" si="78"/>
        <v>0</v>
      </c>
    </row>
    <row r="575" spans="1:52" x14ac:dyDescent="0.35">
      <c r="A575" t="s">
        <v>1021</v>
      </c>
      <c r="B575">
        <v>2021</v>
      </c>
      <c r="C575" t="s">
        <v>837</v>
      </c>
      <c r="D575" t="s">
        <v>1073</v>
      </c>
      <c r="E575" t="s">
        <v>1032</v>
      </c>
      <c r="F575" t="s">
        <v>983</v>
      </c>
      <c r="G575" t="s">
        <v>978</v>
      </c>
      <c r="H575" s="198">
        <v>56000</v>
      </c>
      <c r="I575" s="198">
        <v>11522</v>
      </c>
      <c r="J575" s="198">
        <v>0</v>
      </c>
      <c r="K575" s="198">
        <v>0</v>
      </c>
      <c r="L575" s="198">
        <v>0</v>
      </c>
      <c r="M575" s="198">
        <v>45181.5</v>
      </c>
      <c r="N575" s="198">
        <v>75</v>
      </c>
      <c r="O575" s="198">
        <v>0</v>
      </c>
      <c r="P575" s="198">
        <v>12287.631274199999</v>
      </c>
      <c r="Q575" s="198">
        <v>0</v>
      </c>
      <c r="R575" s="198">
        <v>4706.2171872399995</v>
      </c>
      <c r="S575" s="198">
        <v>5731</v>
      </c>
      <c r="T575" s="198">
        <v>0</v>
      </c>
      <c r="U575" s="198">
        <v>2000</v>
      </c>
      <c r="V575" s="198">
        <v>4720</v>
      </c>
      <c r="W575" s="198">
        <v>525</v>
      </c>
      <c r="X575" s="198">
        <v>1500</v>
      </c>
      <c r="Y575" s="198">
        <v>186</v>
      </c>
      <c r="Z575" s="277">
        <v>144434.34846144001</v>
      </c>
      <c r="AA575" s="272">
        <v>33.710092665000012</v>
      </c>
      <c r="AB575" s="198">
        <v>3.9845689193094351</v>
      </c>
      <c r="AC575" s="272">
        <v>1577.6000000000001</v>
      </c>
      <c r="AD575" s="198">
        <v>5.67936</v>
      </c>
      <c r="AE575" s="198">
        <v>9.6639289193094342</v>
      </c>
      <c r="AF575" s="198">
        <v>298.26703859175961</v>
      </c>
      <c r="AG575" s="198">
        <v>0.13112344808533319</v>
      </c>
      <c r="AH575" s="198">
        <v>6.9283365603438915E-4</v>
      </c>
      <c r="AI575" s="198">
        <v>302.38434292408135</v>
      </c>
      <c r="AJ575" s="198">
        <v>0.12723527624806102</v>
      </c>
      <c r="AK575" s="198">
        <v>2.9691310491053504</v>
      </c>
      <c r="AL575" s="198">
        <v>0.13901181751658698</v>
      </c>
      <c r="AM575" s="198">
        <v>0.10895264298329771</v>
      </c>
      <c r="AN575" s="198">
        <v>3.1731854878477406E-2</v>
      </c>
      <c r="AO575" s="198">
        <v>2.057136506471614E-3</v>
      </c>
      <c r="AP575" s="198">
        <v>4.7750893316638897E-3</v>
      </c>
      <c r="AQ575" s="198">
        <v>5.4571342102552167E-3</v>
      </c>
      <c r="AS575" s="258">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102">
        <f t="shared" si="77"/>
        <v>0.43284719346582307</v>
      </c>
      <c r="AZ575" s="102">
        <f t="shared" si="78"/>
        <v>0.56715280653417688</v>
      </c>
    </row>
    <row r="576" spans="1:52" x14ac:dyDescent="0.35">
      <c r="A576" t="s">
        <v>246</v>
      </c>
      <c r="B576">
        <v>2021</v>
      </c>
      <c r="C576" t="s">
        <v>837</v>
      </c>
      <c r="D576" t="s">
        <v>1073</v>
      </c>
      <c r="E576" t="s">
        <v>1032</v>
      </c>
      <c r="F576" t="s">
        <v>977</v>
      </c>
      <c r="G576" t="s">
        <v>978</v>
      </c>
      <c r="H576" s="198">
        <v>56000</v>
      </c>
      <c r="I576" s="198">
        <v>0</v>
      </c>
      <c r="J576" s="198">
        <v>0</v>
      </c>
      <c r="K576" s="198">
        <v>0</v>
      </c>
      <c r="L576" s="198">
        <v>0</v>
      </c>
      <c r="M576" s="198">
        <v>86887.5</v>
      </c>
      <c r="N576" s="198">
        <v>75</v>
      </c>
      <c r="O576" s="198">
        <v>0</v>
      </c>
      <c r="P576" s="198">
        <v>12207.1475223</v>
      </c>
      <c r="Q576" s="198">
        <v>0</v>
      </c>
      <c r="R576" s="198">
        <v>0</v>
      </c>
      <c r="S576" s="198">
        <v>5705</v>
      </c>
      <c r="T576" s="198">
        <v>0</v>
      </c>
      <c r="U576" s="198">
        <v>2000</v>
      </c>
      <c r="V576" s="198">
        <v>4500</v>
      </c>
      <c r="W576" s="198">
        <v>525</v>
      </c>
      <c r="X576" s="198">
        <v>1500</v>
      </c>
      <c r="Y576" s="198">
        <v>186</v>
      </c>
      <c r="Z576" s="277">
        <v>169585.64752229999</v>
      </c>
      <c r="AA576" s="272">
        <v>0</v>
      </c>
      <c r="AB576" s="198">
        <v>0</v>
      </c>
      <c r="AC576" s="272">
        <v>1938</v>
      </c>
      <c r="AD576" s="198">
        <v>6.9767999999999999</v>
      </c>
      <c r="AE576" s="198">
        <v>6.9767999999999999</v>
      </c>
      <c r="AF576" s="198">
        <v>0</v>
      </c>
      <c r="AG576" s="198">
        <v>0</v>
      </c>
      <c r="AH576" s="198">
        <v>0</v>
      </c>
      <c r="AI576" s="198">
        <v>0</v>
      </c>
      <c r="AJ576" s="198">
        <v>0</v>
      </c>
      <c r="AK576" s="198">
        <v>0</v>
      </c>
      <c r="AL576" s="198">
        <v>0</v>
      </c>
      <c r="AM576" s="198">
        <v>0.10314768896865198</v>
      </c>
      <c r="AN576" s="198">
        <v>2.6359964958655436E-2</v>
      </c>
      <c r="AO576" s="198">
        <v>0</v>
      </c>
      <c r="AP576" s="198">
        <v>3.7688572761493061E-3</v>
      </c>
      <c r="AQ576" s="198">
        <v>4.7119403963477016E-3</v>
      </c>
      <c r="AS576" s="258">
        <f t="shared" si="72"/>
        <v>227499.14615116542</v>
      </c>
      <c r="AT576" s="3">
        <f t="shared" si="73"/>
        <v>0</v>
      </c>
      <c r="AU576" s="3">
        <f t="shared" si="71"/>
        <v>0</v>
      </c>
      <c r="AV576" s="3">
        <f t="shared" si="74"/>
        <v>120.42203636273254</v>
      </c>
      <c r="AW576" s="3">
        <f t="shared" si="75"/>
        <v>4.3351933090583712</v>
      </c>
      <c r="AX576" s="3">
        <f t="shared" si="76"/>
        <v>4.3351933090583712</v>
      </c>
      <c r="AY576" s="102">
        <f t="shared" si="77"/>
        <v>0</v>
      </c>
      <c r="AZ576" s="102">
        <f t="shared" si="78"/>
        <v>1</v>
      </c>
    </row>
    <row r="577" spans="1:52" x14ac:dyDescent="0.35">
      <c r="A577" t="s">
        <v>627</v>
      </c>
      <c r="B577">
        <v>2021</v>
      </c>
      <c r="C577" t="s">
        <v>837</v>
      </c>
      <c r="D577" t="s">
        <v>1073</v>
      </c>
      <c r="E577" t="s">
        <v>1032</v>
      </c>
      <c r="F577" t="s">
        <v>989</v>
      </c>
      <c r="G577" t="s">
        <v>978</v>
      </c>
      <c r="H577" s="198">
        <v>56000</v>
      </c>
      <c r="I577" s="198">
        <v>0</v>
      </c>
      <c r="J577" s="198">
        <v>56397.021557400003</v>
      </c>
      <c r="K577" s="198">
        <v>13558.7426</v>
      </c>
      <c r="L577" s="198">
        <v>0</v>
      </c>
      <c r="M577" s="198">
        <v>8482.9899499999992</v>
      </c>
      <c r="N577" s="198">
        <v>75</v>
      </c>
      <c r="O577" s="198">
        <v>0</v>
      </c>
      <c r="P577" s="198">
        <v>12207.1475223</v>
      </c>
      <c r="Q577" s="198">
        <v>0</v>
      </c>
      <c r="R577" s="198">
        <v>0</v>
      </c>
      <c r="S577" s="198">
        <v>5705</v>
      </c>
      <c r="T577" s="198">
        <v>0</v>
      </c>
      <c r="U577" s="198">
        <v>2000</v>
      </c>
      <c r="V577" s="198">
        <v>4500</v>
      </c>
      <c r="W577" s="198">
        <v>525</v>
      </c>
      <c r="X577" s="198">
        <v>1500</v>
      </c>
      <c r="Y577" s="198">
        <v>186</v>
      </c>
      <c r="Z577" s="277">
        <v>161136.90162969998</v>
      </c>
      <c r="AA577" s="272">
        <v>10.47452837</v>
      </c>
      <c r="AB577" s="198">
        <v>12.82350696425676</v>
      </c>
      <c r="AC577" s="272">
        <v>0</v>
      </c>
      <c r="AD577" s="198">
        <v>0</v>
      </c>
      <c r="AE577" s="198">
        <v>12.82350696425676</v>
      </c>
      <c r="AF577" s="198">
        <v>0</v>
      </c>
      <c r="AG577" s="198">
        <v>0</v>
      </c>
      <c r="AH577" s="198">
        <v>0</v>
      </c>
      <c r="AI577" s="198">
        <v>0</v>
      </c>
      <c r="AJ577" s="198">
        <v>0</v>
      </c>
      <c r="AK577" s="198">
        <v>0</v>
      </c>
      <c r="AL577" s="198">
        <v>0</v>
      </c>
      <c r="AM577" s="198">
        <v>0.11988162271079776</v>
      </c>
      <c r="AN577" s="198">
        <v>3.0636414692759479E-2</v>
      </c>
      <c r="AO577" s="198">
        <v>0</v>
      </c>
      <c r="AP577" s="198">
        <v>4.3802893748544633E-3</v>
      </c>
      <c r="AQ577" s="198">
        <v>5.4763714677349661E-3</v>
      </c>
      <c r="AS577" s="258">
        <f t="shared" si="72"/>
        <v>216165.15353624249</v>
      </c>
      <c r="AT577" s="3">
        <f t="shared" si="73"/>
        <v>22.455915047698529</v>
      </c>
      <c r="AU577" s="3">
        <f t="shared" si="71"/>
        <v>8.667853889821167</v>
      </c>
      <c r="AV577" s="3">
        <f t="shared" si="74"/>
        <v>0</v>
      </c>
      <c r="AW577" s="3">
        <f t="shared" si="75"/>
        <v>0</v>
      </c>
      <c r="AX577" s="3">
        <f t="shared" si="76"/>
        <v>8.667853889821167</v>
      </c>
      <c r="AY577" s="102">
        <f t="shared" si="77"/>
        <v>1</v>
      </c>
      <c r="AZ577" s="102">
        <f t="shared" si="78"/>
        <v>0</v>
      </c>
    </row>
    <row r="578" spans="1:52" x14ac:dyDescent="0.35">
      <c r="A578" t="s">
        <v>1065</v>
      </c>
      <c r="B578">
        <v>2021</v>
      </c>
      <c r="C578" t="s">
        <v>837</v>
      </c>
      <c r="D578" t="s">
        <v>1073</v>
      </c>
      <c r="E578" t="s">
        <v>1032</v>
      </c>
      <c r="F578" t="s">
        <v>989</v>
      </c>
      <c r="G578" t="s">
        <v>978</v>
      </c>
      <c r="H578" s="198">
        <v>56000</v>
      </c>
      <c r="I578" s="198">
        <v>0</v>
      </c>
      <c r="J578" s="198">
        <v>21721.534387200001</v>
      </c>
      <c r="K578" s="198">
        <v>11504.757799999999</v>
      </c>
      <c r="L578" s="198">
        <v>0</v>
      </c>
      <c r="M578" s="198">
        <v>13902</v>
      </c>
      <c r="N578" s="198">
        <v>75</v>
      </c>
      <c r="O578" s="198">
        <v>0</v>
      </c>
      <c r="P578" s="198">
        <v>12138.3724986</v>
      </c>
      <c r="Q578" s="198">
        <v>0</v>
      </c>
      <c r="R578" s="198">
        <v>0</v>
      </c>
      <c r="S578" s="198">
        <v>5682</v>
      </c>
      <c r="T578" s="198">
        <v>0</v>
      </c>
      <c r="U578" s="198">
        <v>2000</v>
      </c>
      <c r="V578" s="198">
        <v>4500</v>
      </c>
      <c r="W578" s="198">
        <v>525</v>
      </c>
      <c r="X578" s="198">
        <v>1500</v>
      </c>
      <c r="Y578" s="198">
        <v>186</v>
      </c>
      <c r="Z578" s="277">
        <v>129734.66468579999</v>
      </c>
      <c r="AA578" s="272">
        <v>10.84988403</v>
      </c>
      <c r="AB578" s="198">
        <v>12.379873105427102</v>
      </c>
      <c r="AC578" s="272">
        <v>0</v>
      </c>
      <c r="AD578" s="198">
        <v>0</v>
      </c>
      <c r="AE578" s="198">
        <v>12.379873105427102</v>
      </c>
      <c r="AF578" s="198">
        <v>0</v>
      </c>
      <c r="AG578" s="198">
        <v>0</v>
      </c>
      <c r="AH578" s="198">
        <v>0</v>
      </c>
      <c r="AI578" s="198">
        <v>0</v>
      </c>
      <c r="AJ578" s="198">
        <v>0</v>
      </c>
      <c r="AK578" s="198">
        <v>0</v>
      </c>
      <c r="AL578" s="198">
        <v>0</v>
      </c>
      <c r="AM578" s="198">
        <v>0.11573427463868363</v>
      </c>
      <c r="AN578" s="198">
        <v>2.9576536852108086E-2</v>
      </c>
      <c r="AO578" s="198">
        <v>0</v>
      </c>
      <c r="AP578" s="198">
        <v>4.2287516805580676E-3</v>
      </c>
      <c r="AQ578" s="198">
        <v>5.286914417227043E-3</v>
      </c>
      <c r="AS578" s="258">
        <f t="shared" si="72"/>
        <v>174039.05267600066</v>
      </c>
      <c r="AT578" s="3">
        <f t="shared" si="73"/>
        <v>21.679044549329451</v>
      </c>
      <c r="AU578" s="3">
        <f t="shared" si="71"/>
        <v>8.3679863512740855</v>
      </c>
      <c r="AV578" s="3">
        <f t="shared" si="74"/>
        <v>0</v>
      </c>
      <c r="AW578" s="3">
        <f t="shared" si="75"/>
        <v>0</v>
      </c>
      <c r="AX578" s="3">
        <f t="shared" si="76"/>
        <v>8.3679863512740855</v>
      </c>
      <c r="AY578" s="102">
        <f t="shared" si="77"/>
        <v>1</v>
      </c>
      <c r="AZ578" s="102">
        <f t="shared" si="78"/>
        <v>0</v>
      </c>
    </row>
    <row r="579" spans="1:52" x14ac:dyDescent="0.35">
      <c r="A579" t="s">
        <v>1017</v>
      </c>
      <c r="B579">
        <v>2025</v>
      </c>
      <c r="C579" t="s">
        <v>837</v>
      </c>
      <c r="D579" t="s">
        <v>1073</v>
      </c>
      <c r="E579" t="s">
        <v>1032</v>
      </c>
      <c r="F579" t="s">
        <v>983</v>
      </c>
      <c r="G579" t="s">
        <v>978</v>
      </c>
      <c r="H579" s="198">
        <v>56512.423850840001</v>
      </c>
      <c r="I579" s="198">
        <v>39293</v>
      </c>
      <c r="J579" s="198">
        <v>0</v>
      </c>
      <c r="K579" s="198">
        <v>0</v>
      </c>
      <c r="L579" s="198">
        <v>120</v>
      </c>
      <c r="M579" s="198">
        <v>0</v>
      </c>
      <c r="N579" s="198">
        <v>0</v>
      </c>
      <c r="O579" s="198">
        <v>150</v>
      </c>
      <c r="P579" s="198">
        <v>0</v>
      </c>
      <c r="Q579" s="198">
        <v>0</v>
      </c>
      <c r="R579" s="198">
        <v>92</v>
      </c>
      <c r="S579" s="198">
        <v>12049</v>
      </c>
      <c r="T579" s="198">
        <v>506</v>
      </c>
      <c r="U579" s="198">
        <v>2000</v>
      </c>
      <c r="V579" s="198">
        <v>1920</v>
      </c>
      <c r="W579" s="198">
        <v>0</v>
      </c>
      <c r="X579" s="198">
        <v>0</v>
      </c>
      <c r="Y579" s="198">
        <v>186</v>
      </c>
      <c r="Z579" s="277">
        <v>112828.42385084</v>
      </c>
      <c r="AA579" s="272">
        <v>4.7266843019999998</v>
      </c>
      <c r="AB579" s="198">
        <v>28.417423064020834</v>
      </c>
      <c r="AC579" s="272">
        <v>0</v>
      </c>
      <c r="AD579" s="198">
        <v>0</v>
      </c>
      <c r="AE579" s="198">
        <v>28.417423064020834</v>
      </c>
      <c r="AF579" s="198">
        <v>2127.2014095777349</v>
      </c>
      <c r="AG579" s="198">
        <v>0.93515523844920001</v>
      </c>
      <c r="AH579" s="198">
        <v>4.941198788433492E-3</v>
      </c>
      <c r="AI579" s="198">
        <v>2156.5654842026984</v>
      </c>
      <c r="AJ579" s="198">
        <v>0.90742530673439781</v>
      </c>
      <c r="AK579" s="198">
        <v>21.17545332095041</v>
      </c>
      <c r="AL579" s="198">
        <v>0.99141405488650713</v>
      </c>
      <c r="AM579" s="198">
        <v>0.1782026165284645</v>
      </c>
      <c r="AN579" s="198">
        <v>7.3272239531724834E-2</v>
      </c>
      <c r="AO579" s="198">
        <v>1.4671227826315808E-2</v>
      </c>
      <c r="AP579" s="198">
        <v>1.2174865196349222E-2</v>
      </c>
      <c r="AQ579" s="198">
        <v>1.1563964485772739E-2</v>
      </c>
      <c r="AS579" s="258">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102">
        <f t="shared" si="77"/>
        <v>1</v>
      </c>
      <c r="AZ579" s="102">
        <f t="shared" si="78"/>
        <v>0</v>
      </c>
    </row>
    <row r="580" spans="1:52" x14ac:dyDescent="0.35">
      <c r="A580" t="s">
        <v>1020</v>
      </c>
      <c r="B580">
        <v>2025</v>
      </c>
      <c r="C580" t="s">
        <v>837</v>
      </c>
      <c r="D580" t="s">
        <v>1073</v>
      </c>
      <c r="E580" t="s">
        <v>1032</v>
      </c>
      <c r="F580" t="s">
        <v>983</v>
      </c>
      <c r="G580" t="s">
        <v>978</v>
      </c>
      <c r="H580" s="198">
        <v>56512.423850840001</v>
      </c>
      <c r="I580" s="198">
        <v>37343</v>
      </c>
      <c r="J580" s="198">
        <v>0</v>
      </c>
      <c r="K580" s="198">
        <v>0</v>
      </c>
      <c r="L580" s="198">
        <v>150</v>
      </c>
      <c r="M580" s="198">
        <v>2562.6934679999999</v>
      </c>
      <c r="N580" s="198">
        <v>50</v>
      </c>
      <c r="O580" s="198">
        <v>150</v>
      </c>
      <c r="P580" s="198">
        <v>4131.5190926999994</v>
      </c>
      <c r="Q580" s="198">
        <v>0</v>
      </c>
      <c r="R580" s="198">
        <v>0</v>
      </c>
      <c r="S580" s="198">
        <v>10828</v>
      </c>
      <c r="T580" s="198">
        <v>392</v>
      </c>
      <c r="U580" s="198">
        <v>2000</v>
      </c>
      <c r="V580" s="198">
        <v>4720</v>
      </c>
      <c r="W580" s="198">
        <v>326.62</v>
      </c>
      <c r="X580" s="198">
        <v>1500</v>
      </c>
      <c r="Y580" s="198">
        <v>186</v>
      </c>
      <c r="Z580" s="277">
        <v>120852.25641153999</v>
      </c>
      <c r="AA580" s="272">
        <v>6.7256369329999997</v>
      </c>
      <c r="AB580" s="198">
        <v>19.971370568777626</v>
      </c>
      <c r="AC580" s="272">
        <v>0</v>
      </c>
      <c r="AD580" s="198">
        <v>0</v>
      </c>
      <c r="AE580" s="198">
        <v>19.971370568777626</v>
      </c>
      <c r="AF580" s="198">
        <v>1494.9676305762835</v>
      </c>
      <c r="AG580" s="198">
        <v>0.6572141240367636</v>
      </c>
      <c r="AH580" s="198">
        <v>3.4726059374025988E-3</v>
      </c>
      <c r="AI580" s="198">
        <v>1515.6042947250069</v>
      </c>
      <c r="AJ580" s="198">
        <v>0.63772591284760816</v>
      </c>
      <c r="AK580" s="198">
        <v>14.881814733229232</v>
      </c>
      <c r="AL580" s="198">
        <v>0.69675203950147857</v>
      </c>
      <c r="AM580" s="198">
        <v>0.12523832590301659</v>
      </c>
      <c r="AN580" s="198">
        <v>5.1494713112993362E-2</v>
      </c>
      <c r="AO580" s="198">
        <v>1.0310735317492124E-2</v>
      </c>
      <c r="AP580" s="198">
        <v>8.5563263042331712E-3</v>
      </c>
      <c r="AQ580" s="198">
        <v>8.1269937625679314E-3</v>
      </c>
      <c r="AS580" s="258">
        <f t="shared" si="72"/>
        <v>162123.3019760809</v>
      </c>
      <c r="AT580" s="3">
        <f t="shared" si="73"/>
        <v>34.972913581957123</v>
      </c>
      <c r="AU580" s="3">
        <f t="shared" si="79"/>
        <v>13.499343241450983</v>
      </c>
      <c r="AV580" s="3">
        <f t="shared" si="74"/>
        <v>0</v>
      </c>
      <c r="AW580" s="3">
        <f t="shared" si="75"/>
        <v>0</v>
      </c>
      <c r="AX580" s="3">
        <f t="shared" si="76"/>
        <v>13.499343241450983</v>
      </c>
      <c r="AY580" s="102">
        <f t="shared" si="77"/>
        <v>1</v>
      </c>
      <c r="AZ580" s="102">
        <f t="shared" si="78"/>
        <v>0</v>
      </c>
    </row>
    <row r="581" spans="1:52" x14ac:dyDescent="0.35">
      <c r="A581" t="s">
        <v>1021</v>
      </c>
      <c r="B581">
        <v>2025</v>
      </c>
      <c r="C581" t="s">
        <v>837</v>
      </c>
      <c r="D581" t="s">
        <v>1073</v>
      </c>
      <c r="E581" t="s">
        <v>1032</v>
      </c>
      <c r="F581" t="s">
        <v>983</v>
      </c>
      <c r="G581" t="s">
        <v>978</v>
      </c>
      <c r="H581" s="198">
        <v>56512.423850840001</v>
      </c>
      <c r="I581" s="198">
        <v>11642</v>
      </c>
      <c r="J581" s="198">
        <v>0</v>
      </c>
      <c r="K581" s="198">
        <v>0</v>
      </c>
      <c r="L581" s="198">
        <v>0</v>
      </c>
      <c r="M581" s="198">
        <v>38623.728000000003</v>
      </c>
      <c r="N581" s="198">
        <v>50</v>
      </c>
      <c r="O581" s="198">
        <v>0</v>
      </c>
      <c r="P581" s="198">
        <v>10423.0199032</v>
      </c>
      <c r="Q581" s="198">
        <v>0</v>
      </c>
      <c r="R581" s="198">
        <v>3930.8628193</v>
      </c>
      <c r="S581" s="198">
        <v>5714</v>
      </c>
      <c r="T581" s="198">
        <v>0</v>
      </c>
      <c r="U581" s="198">
        <v>2000</v>
      </c>
      <c r="V581" s="198">
        <v>4720</v>
      </c>
      <c r="W581" s="198">
        <v>326.62</v>
      </c>
      <c r="X581" s="198">
        <v>1500</v>
      </c>
      <c r="Y581" s="198">
        <v>186</v>
      </c>
      <c r="Z581" s="277">
        <v>135628.65457334</v>
      </c>
      <c r="AA581" s="272">
        <v>37.774901960000008</v>
      </c>
      <c r="AB581" s="198">
        <v>3.5558050591959756</v>
      </c>
      <c r="AC581" s="272">
        <v>1476.8000000000002</v>
      </c>
      <c r="AD581" s="198">
        <v>5.3164800000000003</v>
      </c>
      <c r="AE581" s="198">
        <v>8.8722850591959759</v>
      </c>
      <c r="AF581" s="198">
        <v>266.17169041206819</v>
      </c>
      <c r="AG581" s="198">
        <v>0.11701376724131407</v>
      </c>
      <c r="AH581" s="198">
        <v>6.1828053904894895E-4</v>
      </c>
      <c r="AI581" s="198">
        <v>269.84594774619819</v>
      </c>
      <c r="AJ581" s="198">
        <v>0.1135439863515932</v>
      </c>
      <c r="AK581" s="198">
        <v>2.6496344823305011</v>
      </c>
      <c r="AL581" s="198">
        <v>0.12405330012441461</v>
      </c>
      <c r="AM581" s="198">
        <v>0.1008989535400045</v>
      </c>
      <c r="AN581" s="198">
        <v>2.9255274119397569E-2</v>
      </c>
      <c r="AO581" s="198">
        <v>1.8357761015804497E-3</v>
      </c>
      <c r="AP581" s="198">
        <v>4.3953669510661377E-3</v>
      </c>
      <c r="AQ581" s="198">
        <v>5.0375771365656239E-3</v>
      </c>
      <c r="AS581" s="258">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102">
        <f t="shared" si="77"/>
        <v>0.42114751186916416</v>
      </c>
      <c r="AZ581" s="102">
        <f t="shared" si="78"/>
        <v>0.57885248813083579</v>
      </c>
    </row>
    <row r="582" spans="1:52" x14ac:dyDescent="0.35">
      <c r="A582" t="s">
        <v>246</v>
      </c>
      <c r="B582">
        <v>2025</v>
      </c>
      <c r="C582" t="s">
        <v>837</v>
      </c>
      <c r="D582" t="s">
        <v>1073</v>
      </c>
      <c r="E582" t="s">
        <v>1032</v>
      </c>
      <c r="F582" t="s">
        <v>977</v>
      </c>
      <c r="G582" t="s">
        <v>978</v>
      </c>
      <c r="H582" s="198">
        <v>56512.423850840001</v>
      </c>
      <c r="I582" s="198">
        <v>0</v>
      </c>
      <c r="J582" s="198">
        <v>0</v>
      </c>
      <c r="K582" s="198">
        <v>0</v>
      </c>
      <c r="L582" s="198">
        <v>0</v>
      </c>
      <c r="M582" s="198">
        <v>74355.839999999997</v>
      </c>
      <c r="N582" s="198">
        <v>50</v>
      </c>
      <c r="O582" s="198">
        <v>0</v>
      </c>
      <c r="P582" s="198">
        <v>10373.991127499999</v>
      </c>
      <c r="Q582" s="198">
        <v>0</v>
      </c>
      <c r="R582" s="198">
        <v>0</v>
      </c>
      <c r="S582" s="198">
        <v>5695</v>
      </c>
      <c r="T582" s="198">
        <v>0</v>
      </c>
      <c r="U582" s="198">
        <v>2000</v>
      </c>
      <c r="V582" s="198">
        <v>4500</v>
      </c>
      <c r="W582" s="198">
        <v>326.62</v>
      </c>
      <c r="X582" s="198">
        <v>1500</v>
      </c>
      <c r="Y582" s="198">
        <v>186</v>
      </c>
      <c r="Z582" s="277">
        <v>155499.87497834</v>
      </c>
      <c r="AA582" s="272">
        <v>0</v>
      </c>
      <c r="AB582" s="198">
        <v>0</v>
      </c>
      <c r="AC582" s="272">
        <v>1805</v>
      </c>
      <c r="AD582" s="198">
        <v>6.4980000000000002</v>
      </c>
      <c r="AE582" s="198">
        <v>6.4980000000000002</v>
      </c>
      <c r="AF582" s="198">
        <v>0</v>
      </c>
      <c r="AG582" s="198">
        <v>0</v>
      </c>
      <c r="AH582" s="198">
        <v>0</v>
      </c>
      <c r="AI582" s="198">
        <v>0</v>
      </c>
      <c r="AJ582" s="198">
        <v>0</v>
      </c>
      <c r="AK582" s="198">
        <v>0</v>
      </c>
      <c r="AL582" s="198">
        <v>0</v>
      </c>
      <c r="AM582" s="198">
        <v>9.6068926000215077E-2</v>
      </c>
      <c r="AN582" s="198">
        <v>2.4550947755610456E-2</v>
      </c>
      <c r="AO582" s="198">
        <v>0</v>
      </c>
      <c r="AP582" s="198">
        <v>3.5102102081782756E-3</v>
      </c>
      <c r="AQ582" s="198">
        <v>4.3885719377748204E-3</v>
      </c>
      <c r="AS582" s="258">
        <f t="shared" si="72"/>
        <v>208603.0822834431</v>
      </c>
      <c r="AT582" s="3">
        <f t="shared" si="73"/>
        <v>0</v>
      </c>
      <c r="AU582" s="3">
        <f t="shared" si="79"/>
        <v>0</v>
      </c>
      <c r="AV582" s="3">
        <f t="shared" si="74"/>
        <v>112.15777896529012</v>
      </c>
      <c r="AW582" s="3">
        <f t="shared" si="75"/>
        <v>4.0376800427504449</v>
      </c>
      <c r="AX582" s="3">
        <f t="shared" si="76"/>
        <v>4.0376800427504449</v>
      </c>
      <c r="AY582" s="102">
        <f t="shared" si="77"/>
        <v>0</v>
      </c>
      <c r="AZ582" s="102">
        <f t="shared" si="78"/>
        <v>1</v>
      </c>
    </row>
    <row r="583" spans="1:52" x14ac:dyDescent="0.35">
      <c r="A583" t="s">
        <v>627</v>
      </c>
      <c r="B583">
        <v>2025</v>
      </c>
      <c r="C583" t="s">
        <v>837</v>
      </c>
      <c r="D583" t="s">
        <v>1073</v>
      </c>
      <c r="E583" t="s">
        <v>1032</v>
      </c>
      <c r="F583" t="s">
        <v>989</v>
      </c>
      <c r="G583" t="s">
        <v>978</v>
      </c>
      <c r="H583" s="198">
        <v>56512.423850840001</v>
      </c>
      <c r="I583" s="198">
        <v>0</v>
      </c>
      <c r="J583" s="198">
        <v>43904.364415849057</v>
      </c>
      <c r="K583" s="198">
        <v>12631.449665999999</v>
      </c>
      <c r="L583" s="198">
        <v>0</v>
      </c>
      <c r="M583" s="198">
        <v>8067.7386939999997</v>
      </c>
      <c r="N583" s="198">
        <v>50</v>
      </c>
      <c r="O583" s="198">
        <v>0</v>
      </c>
      <c r="P583" s="198">
        <v>10373.991127499999</v>
      </c>
      <c r="Q583" s="198">
        <v>0</v>
      </c>
      <c r="R583" s="198">
        <v>0</v>
      </c>
      <c r="S583" s="198">
        <v>5695</v>
      </c>
      <c r="T583" s="198">
        <v>0</v>
      </c>
      <c r="U583" s="198">
        <v>2000</v>
      </c>
      <c r="V583" s="198">
        <v>4500</v>
      </c>
      <c r="W583" s="198">
        <v>326.62</v>
      </c>
      <c r="X583" s="198">
        <v>1500</v>
      </c>
      <c r="Y583" s="198">
        <v>186</v>
      </c>
      <c r="Z583" s="277">
        <v>145747.58775418904</v>
      </c>
      <c r="AA583" s="272">
        <v>11.05694551</v>
      </c>
      <c r="AB583" s="198">
        <v>12.148037392290632</v>
      </c>
      <c r="AC583" s="272">
        <v>0</v>
      </c>
      <c r="AD583" s="198">
        <v>0</v>
      </c>
      <c r="AE583" s="198">
        <v>12.148037392290632</v>
      </c>
      <c r="AF583" s="198">
        <v>0</v>
      </c>
      <c r="AG583" s="198">
        <v>0</v>
      </c>
      <c r="AH583" s="198">
        <v>0</v>
      </c>
      <c r="AI583" s="198">
        <v>0</v>
      </c>
      <c r="AJ583" s="198">
        <v>0</v>
      </c>
      <c r="AK583" s="198">
        <v>0</v>
      </c>
      <c r="AL583" s="198">
        <v>0</v>
      </c>
      <c r="AM583" s="198">
        <v>0.11356693916870786</v>
      </c>
      <c r="AN583" s="198">
        <v>2.9022662232003168E-2</v>
      </c>
      <c r="AO583" s="198">
        <v>0</v>
      </c>
      <c r="AP583" s="198">
        <v>4.1495605892447459E-3</v>
      </c>
      <c r="AQ583" s="198">
        <v>5.1879072978671531E-3</v>
      </c>
      <c r="AS583" s="258">
        <f t="shared" si="72"/>
        <v>195520.38897224457</v>
      </c>
      <c r="AT583" s="3">
        <f t="shared" si="73"/>
        <v>21.27306488294597</v>
      </c>
      <c r="AU583" s="3">
        <f t="shared" si="79"/>
        <v>8.2112805379961262</v>
      </c>
      <c r="AV583" s="3">
        <f t="shared" si="74"/>
        <v>0</v>
      </c>
      <c r="AW583" s="3">
        <f t="shared" si="75"/>
        <v>0</v>
      </c>
      <c r="AX583" s="3">
        <f t="shared" si="76"/>
        <v>8.2112805379961262</v>
      </c>
      <c r="AY583" s="102">
        <f t="shared" si="77"/>
        <v>1</v>
      </c>
      <c r="AZ583" s="102">
        <f t="shared" si="78"/>
        <v>0</v>
      </c>
    </row>
    <row r="584" spans="1:52" x14ac:dyDescent="0.35">
      <c r="A584" t="s">
        <v>1065</v>
      </c>
      <c r="B584">
        <v>2025</v>
      </c>
      <c r="C584" t="s">
        <v>837</v>
      </c>
      <c r="D584" t="s">
        <v>1073</v>
      </c>
      <c r="E584" t="s">
        <v>1032</v>
      </c>
      <c r="F584" t="s">
        <v>989</v>
      </c>
      <c r="G584" t="s">
        <v>978</v>
      </c>
      <c r="H584" s="198">
        <v>56512.423850840001</v>
      </c>
      <c r="I584" s="198">
        <v>0</v>
      </c>
      <c r="J584" s="198">
        <v>16181.521825849057</v>
      </c>
      <c r="K584" s="198">
        <v>10836.574748999999</v>
      </c>
      <c r="L584" s="198">
        <v>0</v>
      </c>
      <c r="M584" s="198">
        <v>13155.263999999999</v>
      </c>
      <c r="N584" s="198">
        <v>50</v>
      </c>
      <c r="O584" s="198">
        <v>0</v>
      </c>
      <c r="P584" s="198">
        <v>10467.5519903</v>
      </c>
      <c r="Q584" s="198">
        <v>0</v>
      </c>
      <c r="R584" s="198">
        <v>0</v>
      </c>
      <c r="S584" s="198">
        <v>5731</v>
      </c>
      <c r="T584" s="198">
        <v>0</v>
      </c>
      <c r="U584" s="198">
        <v>2000</v>
      </c>
      <c r="V584" s="198">
        <v>4500</v>
      </c>
      <c r="W584" s="198">
        <v>326.62</v>
      </c>
      <c r="X584" s="198">
        <v>1500</v>
      </c>
      <c r="Y584" s="198">
        <v>186</v>
      </c>
      <c r="Z584" s="277">
        <v>121446.95641598904</v>
      </c>
      <c r="AA584" s="272">
        <v>11.53987042</v>
      </c>
      <c r="AB584" s="198">
        <v>11.639661678280786</v>
      </c>
      <c r="AC584" s="272">
        <v>0</v>
      </c>
      <c r="AD584" s="198">
        <v>0</v>
      </c>
      <c r="AE584" s="198">
        <v>11.639661678280786</v>
      </c>
      <c r="AF584" s="198">
        <v>0</v>
      </c>
      <c r="AG584" s="198">
        <v>0</v>
      </c>
      <c r="AH584" s="198">
        <v>0</v>
      </c>
      <c r="AI584" s="198">
        <v>0</v>
      </c>
      <c r="AJ584" s="198">
        <v>0</v>
      </c>
      <c r="AK584" s="198">
        <v>0</v>
      </c>
      <c r="AL584" s="198">
        <v>0</v>
      </c>
      <c r="AM584" s="198">
        <v>0.10881434647217532</v>
      </c>
      <c r="AN584" s="198">
        <v>2.780811076511152E-2</v>
      </c>
      <c r="AO584" s="198">
        <v>0</v>
      </c>
      <c r="AP584" s="198">
        <v>3.9759081909797253E-3</v>
      </c>
      <c r="AQ584" s="198">
        <v>4.9708017694923513E-3</v>
      </c>
      <c r="AS584" s="258">
        <f t="shared" si="72"/>
        <v>162921.09203204929</v>
      </c>
      <c r="AT584" s="3">
        <f t="shared" si="73"/>
        <v>20.382821529241067</v>
      </c>
      <c r="AU584" s="3">
        <f t="shared" si="79"/>
        <v>7.8676517301783244</v>
      </c>
      <c r="AV584" s="3">
        <f t="shared" si="74"/>
        <v>0</v>
      </c>
      <c r="AW584" s="3">
        <f t="shared" si="75"/>
        <v>0</v>
      </c>
      <c r="AX584" s="3">
        <f t="shared" si="76"/>
        <v>7.8676517301783244</v>
      </c>
      <c r="AY584" s="102">
        <f t="shared" si="77"/>
        <v>1</v>
      </c>
      <c r="AZ584" s="102">
        <f t="shared" si="78"/>
        <v>0</v>
      </c>
    </row>
    <row r="585" spans="1:52" x14ac:dyDescent="0.35">
      <c r="A585" t="s">
        <v>1017</v>
      </c>
      <c r="B585">
        <v>2030</v>
      </c>
      <c r="C585" t="s">
        <v>837</v>
      </c>
      <c r="D585" t="s">
        <v>1073</v>
      </c>
      <c r="E585" t="s">
        <v>1032</v>
      </c>
      <c r="F585" t="s">
        <v>983</v>
      </c>
      <c r="G585" t="s">
        <v>978</v>
      </c>
      <c r="H585" s="198">
        <v>57085.45697436</v>
      </c>
      <c r="I585" s="198">
        <v>39616</v>
      </c>
      <c r="J585" s="198">
        <v>0</v>
      </c>
      <c r="K585" s="198">
        <v>0</v>
      </c>
      <c r="L585" s="198">
        <v>120</v>
      </c>
      <c r="M585" s="198">
        <v>0</v>
      </c>
      <c r="N585" s="198">
        <v>0</v>
      </c>
      <c r="O585" s="198">
        <v>150</v>
      </c>
      <c r="P585" s="198">
        <v>0</v>
      </c>
      <c r="Q585" s="198">
        <v>0</v>
      </c>
      <c r="R585" s="198">
        <v>73.2</v>
      </c>
      <c r="S585" s="198">
        <v>12035</v>
      </c>
      <c r="T585" s="198">
        <v>506</v>
      </c>
      <c r="U585" s="198">
        <v>2000</v>
      </c>
      <c r="V585" s="198">
        <v>1920</v>
      </c>
      <c r="W585" s="198">
        <v>0</v>
      </c>
      <c r="X585" s="198">
        <v>0</v>
      </c>
      <c r="Y585" s="198">
        <v>186</v>
      </c>
      <c r="Z585" s="277">
        <v>113691.65697436</v>
      </c>
      <c r="AA585" s="272">
        <v>4.9914486059999996</v>
      </c>
      <c r="AB585" s="198">
        <v>26.910061207189361</v>
      </c>
      <c r="AC585" s="272">
        <v>0</v>
      </c>
      <c r="AD585" s="198">
        <v>0</v>
      </c>
      <c r="AE585" s="198">
        <v>26.910061207189361</v>
      </c>
      <c r="AF585" s="198">
        <v>2014.3670311975466</v>
      </c>
      <c r="AG585" s="198">
        <v>0.88555125664272949</v>
      </c>
      <c r="AH585" s="198">
        <v>4.6790999146571208E-3</v>
      </c>
      <c r="AI585" s="198">
        <v>2042.173530177769</v>
      </c>
      <c r="AJ585" s="198">
        <v>0.85929221978230119</v>
      </c>
      <c r="AK585" s="198">
        <v>20.052231466343592</v>
      </c>
      <c r="AL585" s="198">
        <v>0.93882590404342015</v>
      </c>
      <c r="AM585" s="198">
        <v>0.16875011176272919</v>
      </c>
      <c r="AN585" s="198">
        <v>6.9385617624245166E-2</v>
      </c>
      <c r="AO585" s="198">
        <v>1.3893013377790654E-2</v>
      </c>
      <c r="AP585" s="198">
        <v>1.1529066758971656E-2</v>
      </c>
      <c r="AQ585" s="198">
        <v>1.0950570409176222E-2</v>
      </c>
      <c r="AS585" s="258">
        <f t="shared" si="72"/>
        <v>152517.35783110393</v>
      </c>
      <c r="AT585" s="3">
        <f t="shared" si="73"/>
        <v>47.123618373769581</v>
      </c>
      <c r="AU585" s="3">
        <f t="shared" si="79"/>
        <v>18.189445317900301</v>
      </c>
      <c r="AV585" s="3">
        <f t="shared" si="74"/>
        <v>0</v>
      </c>
      <c r="AW585" s="3">
        <f t="shared" si="75"/>
        <v>0</v>
      </c>
      <c r="AX585" s="3">
        <f t="shared" si="76"/>
        <v>18.189445317900301</v>
      </c>
      <c r="AY585" s="102">
        <f t="shared" si="77"/>
        <v>1</v>
      </c>
      <c r="AZ585" s="102">
        <f t="shared" si="78"/>
        <v>0</v>
      </c>
    </row>
    <row r="586" spans="1:52" x14ac:dyDescent="0.35">
      <c r="A586" t="s">
        <v>1020</v>
      </c>
      <c r="B586">
        <v>2030</v>
      </c>
      <c r="C586" t="s">
        <v>837</v>
      </c>
      <c r="D586" t="s">
        <v>1073</v>
      </c>
      <c r="E586" t="s">
        <v>1032</v>
      </c>
      <c r="F586" t="s">
        <v>983</v>
      </c>
      <c r="G586" t="s">
        <v>978</v>
      </c>
      <c r="H586" s="198">
        <v>57085.45697436</v>
      </c>
      <c r="I586" s="198">
        <v>37687</v>
      </c>
      <c r="J586" s="198">
        <v>0</v>
      </c>
      <c r="K586" s="198">
        <v>0</v>
      </c>
      <c r="L586" s="198">
        <v>150</v>
      </c>
      <c r="M586" s="198">
        <v>2434.5587946000001</v>
      </c>
      <c r="N586" s="198">
        <v>40</v>
      </c>
      <c r="O586" s="198">
        <v>150</v>
      </c>
      <c r="P586" s="198">
        <v>3390.9569319000002</v>
      </c>
      <c r="Q586" s="198">
        <v>0</v>
      </c>
      <c r="R586" s="198">
        <v>0</v>
      </c>
      <c r="S586" s="198">
        <v>10828</v>
      </c>
      <c r="T586" s="198">
        <v>392</v>
      </c>
      <c r="U586" s="198">
        <v>2000</v>
      </c>
      <c r="V586" s="198">
        <v>4720</v>
      </c>
      <c r="W586" s="198">
        <v>242.59200000000001</v>
      </c>
      <c r="X586" s="198">
        <v>1500</v>
      </c>
      <c r="Y586" s="198">
        <v>186</v>
      </c>
      <c r="Z586" s="277">
        <v>120806.56470086001</v>
      </c>
      <c r="AA586" s="272">
        <v>7.1717498219999989</v>
      </c>
      <c r="AB586" s="198">
        <v>18.729067638132125</v>
      </c>
      <c r="AC586" s="272">
        <v>0</v>
      </c>
      <c r="AD586" s="198">
        <v>0</v>
      </c>
      <c r="AE586" s="198">
        <v>18.729067638132125</v>
      </c>
      <c r="AF586" s="198">
        <v>1401.9743799483797</v>
      </c>
      <c r="AG586" s="198">
        <v>0.61633265175419005</v>
      </c>
      <c r="AH586" s="198">
        <v>3.2565952976643035E-3</v>
      </c>
      <c r="AI586" s="198">
        <v>1421.3273571181642</v>
      </c>
      <c r="AJ586" s="198">
        <v>0.59805668895780029</v>
      </c>
      <c r="AK586" s="198">
        <v>13.956103501105936</v>
      </c>
      <c r="AL586" s="198">
        <v>0.65341114321070914</v>
      </c>
      <c r="AM586" s="198">
        <v>0.11744797727558251</v>
      </c>
      <c r="AN586" s="198">
        <v>4.8291526191359048E-2</v>
      </c>
      <c r="AO586" s="198">
        <v>9.6693643781307747E-3</v>
      </c>
      <c r="AP586" s="198">
        <v>8.0240869565778913E-3</v>
      </c>
      <c r="AQ586" s="198">
        <v>7.6214606979339095E-3</v>
      </c>
      <c r="AS586" s="258">
        <f t="shared" si="72"/>
        <v>162062.00654620369</v>
      </c>
      <c r="AT586" s="3">
        <f t="shared" si="73"/>
        <v>32.797451818506588</v>
      </c>
      <c r="AU586" s="3">
        <f t="shared" si="79"/>
        <v>12.659627528756634</v>
      </c>
      <c r="AV586" s="3">
        <f t="shared" si="74"/>
        <v>0</v>
      </c>
      <c r="AW586" s="3">
        <f t="shared" si="75"/>
        <v>0</v>
      </c>
      <c r="AX586" s="3">
        <f t="shared" si="76"/>
        <v>12.659627528756634</v>
      </c>
      <c r="AY586" s="102">
        <f t="shared" si="77"/>
        <v>1</v>
      </c>
      <c r="AZ586" s="102">
        <f t="shared" si="78"/>
        <v>0</v>
      </c>
    </row>
    <row r="587" spans="1:52" x14ac:dyDescent="0.35">
      <c r="A587" t="s">
        <v>1021</v>
      </c>
      <c r="B587">
        <v>2030</v>
      </c>
      <c r="C587" t="s">
        <v>837</v>
      </c>
      <c r="D587" t="s">
        <v>1073</v>
      </c>
      <c r="E587" t="s">
        <v>1032</v>
      </c>
      <c r="F587" t="s">
        <v>983</v>
      </c>
      <c r="G587" t="s">
        <v>978</v>
      </c>
      <c r="H587" s="198">
        <v>57085.45697436</v>
      </c>
      <c r="I587" s="198">
        <v>11657</v>
      </c>
      <c r="J587" s="198">
        <v>0</v>
      </c>
      <c r="K587" s="198">
        <v>0</v>
      </c>
      <c r="L587" s="198">
        <v>0</v>
      </c>
      <c r="M587" s="198">
        <v>28449.45</v>
      </c>
      <c r="N587" s="198">
        <v>40</v>
      </c>
      <c r="O587" s="198">
        <v>0</v>
      </c>
      <c r="P587" s="198">
        <v>8257.9049790600002</v>
      </c>
      <c r="Q587" s="198">
        <v>0</v>
      </c>
      <c r="R587" s="198">
        <v>2926.8642214800002</v>
      </c>
      <c r="S587" s="198">
        <v>5697</v>
      </c>
      <c r="T587" s="198">
        <v>0</v>
      </c>
      <c r="U587" s="198">
        <v>2000</v>
      </c>
      <c r="V587" s="198">
        <v>4720</v>
      </c>
      <c r="W587" s="198">
        <v>242.59200000000001</v>
      </c>
      <c r="X587" s="198">
        <v>1500</v>
      </c>
      <c r="Y587" s="198">
        <v>186</v>
      </c>
      <c r="Z587" s="277">
        <v>122762.2681749</v>
      </c>
      <c r="AA587" s="272">
        <v>41.814928830000007</v>
      </c>
      <c r="AB587" s="198">
        <v>3.2122543612613388</v>
      </c>
      <c r="AC587" s="272">
        <v>1390.4</v>
      </c>
      <c r="AD587" s="198">
        <v>5.0054400000000001</v>
      </c>
      <c r="AE587" s="198">
        <v>8.2176943612613389</v>
      </c>
      <c r="AF587" s="198">
        <v>240.45501908470783</v>
      </c>
      <c r="AG587" s="198">
        <v>0.10570826518637171</v>
      </c>
      <c r="AH587" s="198">
        <v>5.5854421853263265E-4</v>
      </c>
      <c r="AI587" s="198">
        <v>243.77428123476068</v>
      </c>
      <c r="AJ587" s="198">
        <v>0.10257372360997061</v>
      </c>
      <c r="AK587" s="198">
        <v>2.3936351346378713</v>
      </c>
      <c r="AL587" s="198">
        <v>0.11206766054931531</v>
      </c>
      <c r="AM587" s="198">
        <v>9.4146049167138035E-2</v>
      </c>
      <c r="AN587" s="198">
        <v>2.7194272761070379E-2</v>
      </c>
      <c r="AO587" s="198">
        <v>1.6584091901636867E-3</v>
      </c>
      <c r="AP587" s="198">
        <v>4.0801563045289486E-3</v>
      </c>
      <c r="AQ587" s="198">
        <v>4.687707364260863E-3</v>
      </c>
      <c r="AS587" s="258">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102">
        <f t="shared" si="77"/>
        <v>0.41110798316856179</v>
      </c>
      <c r="AZ587" s="102">
        <f t="shared" si="78"/>
        <v>0.58889201683143821</v>
      </c>
    </row>
    <row r="588" spans="1:52" x14ac:dyDescent="0.35">
      <c r="A588" t="s">
        <v>246</v>
      </c>
      <c r="B588">
        <v>2030</v>
      </c>
      <c r="C588" t="s">
        <v>837</v>
      </c>
      <c r="D588" t="s">
        <v>1073</v>
      </c>
      <c r="E588" t="s">
        <v>1032</v>
      </c>
      <c r="F588" t="s">
        <v>977</v>
      </c>
      <c r="G588" t="s">
        <v>978</v>
      </c>
      <c r="H588" s="198">
        <v>57085.45697436</v>
      </c>
      <c r="I588" s="198">
        <v>0</v>
      </c>
      <c r="J588" s="198">
        <v>0</v>
      </c>
      <c r="K588" s="198">
        <v>0</v>
      </c>
      <c r="L588" s="198">
        <v>0</v>
      </c>
      <c r="M588" s="198">
        <v>55099.087499999994</v>
      </c>
      <c r="N588" s="198">
        <v>40</v>
      </c>
      <c r="O588" s="198">
        <v>0</v>
      </c>
      <c r="P588" s="198">
        <v>8234.4675157500005</v>
      </c>
      <c r="Q588" s="198">
        <v>0</v>
      </c>
      <c r="R588" s="198">
        <v>0</v>
      </c>
      <c r="S588" s="198">
        <v>5685</v>
      </c>
      <c r="T588" s="198">
        <v>0</v>
      </c>
      <c r="U588" s="198">
        <v>2000</v>
      </c>
      <c r="V588" s="198">
        <v>4500</v>
      </c>
      <c r="W588" s="198">
        <v>242.59200000000001</v>
      </c>
      <c r="X588" s="198">
        <v>1500</v>
      </c>
      <c r="Y588" s="198">
        <v>186</v>
      </c>
      <c r="Z588" s="277">
        <v>134572.60399010999</v>
      </c>
      <c r="AA588" s="272">
        <v>0</v>
      </c>
      <c r="AB588" s="198">
        <v>0</v>
      </c>
      <c r="AC588" s="272">
        <v>1681</v>
      </c>
      <c r="AD588" s="198">
        <v>6.0515999999999996</v>
      </c>
      <c r="AE588" s="198">
        <v>6.0515999999999996</v>
      </c>
      <c r="AF588" s="198">
        <v>0</v>
      </c>
      <c r="AG588" s="198">
        <v>0</v>
      </c>
      <c r="AH588" s="198">
        <v>0</v>
      </c>
      <c r="AI588" s="198">
        <v>0</v>
      </c>
      <c r="AJ588" s="198">
        <v>0</v>
      </c>
      <c r="AK588" s="198">
        <v>0</v>
      </c>
      <c r="AL588" s="198">
        <v>0</v>
      </c>
      <c r="AM588" s="198">
        <v>8.9469177067236311E-2</v>
      </c>
      <c r="AN588" s="198">
        <v>2.2864345250515887E-2</v>
      </c>
      <c r="AO588" s="198">
        <v>0</v>
      </c>
      <c r="AP588" s="198">
        <v>3.2690655733782163E-3</v>
      </c>
      <c r="AQ588" s="198">
        <v>4.0870855553459678E-3</v>
      </c>
      <c r="AS588" s="258">
        <f t="shared" si="72"/>
        <v>180529.14825273253</v>
      </c>
      <c r="AT588" s="3">
        <f t="shared" si="73"/>
        <v>0</v>
      </c>
      <c r="AU588" s="3">
        <f t="shared" si="79"/>
        <v>0</v>
      </c>
      <c r="AV588" s="3">
        <f t="shared" si="74"/>
        <v>104.45275703083253</v>
      </c>
      <c r="AW588" s="3">
        <f t="shared" si="75"/>
        <v>3.760299253109971</v>
      </c>
      <c r="AX588" s="3">
        <f t="shared" si="76"/>
        <v>3.760299253109971</v>
      </c>
      <c r="AY588" s="102">
        <f t="shared" si="77"/>
        <v>0</v>
      </c>
      <c r="AZ588" s="102">
        <f t="shared" si="78"/>
        <v>1</v>
      </c>
    </row>
    <row r="589" spans="1:52" x14ac:dyDescent="0.35">
      <c r="A589" t="s">
        <v>627</v>
      </c>
      <c r="B589">
        <v>2030</v>
      </c>
      <c r="C589" t="s">
        <v>837</v>
      </c>
      <c r="D589" t="s">
        <v>1073</v>
      </c>
      <c r="E589" t="s">
        <v>1032</v>
      </c>
      <c r="F589" t="s">
        <v>989</v>
      </c>
      <c r="G589" t="s">
        <v>978</v>
      </c>
      <c r="H589" s="198">
        <v>57085.45697436</v>
      </c>
      <c r="I589" s="198">
        <v>0</v>
      </c>
      <c r="J589" s="198">
        <v>38112.535438999999</v>
      </c>
      <c r="K589" s="198">
        <v>10953.221729999999</v>
      </c>
      <c r="L589" s="198">
        <v>0</v>
      </c>
      <c r="M589" s="198">
        <v>7777.0628145000001</v>
      </c>
      <c r="N589" s="198">
        <v>40</v>
      </c>
      <c r="O589" s="198">
        <v>0</v>
      </c>
      <c r="P589" s="198">
        <v>8234.4675157500005</v>
      </c>
      <c r="Q589" s="198">
        <v>0</v>
      </c>
      <c r="R589" s="198">
        <v>0</v>
      </c>
      <c r="S589" s="198">
        <v>5685</v>
      </c>
      <c r="T589" s="198">
        <v>0</v>
      </c>
      <c r="U589" s="198">
        <v>2000</v>
      </c>
      <c r="V589" s="198">
        <v>4500</v>
      </c>
      <c r="W589" s="198">
        <v>242.59200000000001</v>
      </c>
      <c r="X589" s="198">
        <v>1500</v>
      </c>
      <c r="Y589" s="198">
        <v>186</v>
      </c>
      <c r="Z589" s="277">
        <v>136316.33647361002</v>
      </c>
      <c r="AA589" s="272">
        <v>11.75213989</v>
      </c>
      <c r="AB589" s="198">
        <v>11.429423811938644</v>
      </c>
      <c r="AC589" s="272">
        <v>0</v>
      </c>
      <c r="AD589" s="198">
        <v>0</v>
      </c>
      <c r="AE589" s="198">
        <v>11.429423811938644</v>
      </c>
      <c r="AF589" s="198">
        <v>0</v>
      </c>
      <c r="AG589" s="198">
        <v>0</v>
      </c>
      <c r="AH589" s="198">
        <v>0</v>
      </c>
      <c r="AI589" s="198">
        <v>0</v>
      </c>
      <c r="AJ589" s="198">
        <v>0</v>
      </c>
      <c r="AK589" s="198">
        <v>0</v>
      </c>
      <c r="AL589" s="198">
        <v>0</v>
      </c>
      <c r="AM589" s="198">
        <v>0.1068489202714798</v>
      </c>
      <c r="AN589" s="198">
        <v>2.7305835180489325E-2</v>
      </c>
      <c r="AO589" s="198">
        <v>0</v>
      </c>
      <c r="AP589" s="198">
        <v>3.9040945525813204E-3</v>
      </c>
      <c r="AQ589" s="198">
        <v>4.8810181669347403E-3</v>
      </c>
      <c r="AS589" s="258">
        <f t="shared" si="72"/>
        <v>182868.36537934782</v>
      </c>
      <c r="AT589" s="3">
        <f t="shared" si="73"/>
        <v>20.014662984191904</v>
      </c>
      <c r="AU589" s="3">
        <f t="shared" si="79"/>
        <v>7.7255446519320365</v>
      </c>
      <c r="AV589" s="3">
        <f t="shared" si="74"/>
        <v>0</v>
      </c>
      <c r="AW589" s="3">
        <f t="shared" si="75"/>
        <v>0</v>
      </c>
      <c r="AX589" s="3">
        <f t="shared" si="76"/>
        <v>7.7255446519320365</v>
      </c>
      <c r="AY589" s="102">
        <f t="shared" si="77"/>
        <v>1</v>
      </c>
      <c r="AZ589" s="102">
        <f t="shared" si="78"/>
        <v>0</v>
      </c>
    </row>
    <row r="590" spans="1:52" x14ac:dyDescent="0.35">
      <c r="A590" t="s">
        <v>1065</v>
      </c>
      <c r="B590">
        <v>2030</v>
      </c>
      <c r="C590" t="s">
        <v>837</v>
      </c>
      <c r="D590" t="s">
        <v>1073</v>
      </c>
      <c r="E590" t="s">
        <v>1032</v>
      </c>
      <c r="F590" t="s">
        <v>989</v>
      </c>
      <c r="G590" t="s">
        <v>978</v>
      </c>
      <c r="H590" s="198">
        <v>57085.45697436</v>
      </c>
      <c r="I590" s="198">
        <v>0</v>
      </c>
      <c r="J590" s="198">
        <v>13410.510651999999</v>
      </c>
      <c r="K590" s="198">
        <v>9372.9556800000009</v>
      </c>
      <c r="L590" s="198">
        <v>0</v>
      </c>
      <c r="M590" s="198">
        <v>10426.5</v>
      </c>
      <c r="N590" s="198">
        <v>40</v>
      </c>
      <c r="O590" s="198">
        <v>0</v>
      </c>
      <c r="P590" s="198">
        <v>8266.2265197600009</v>
      </c>
      <c r="Q590" s="198">
        <v>0</v>
      </c>
      <c r="R590" s="198">
        <v>0</v>
      </c>
      <c r="S590" s="198">
        <v>5701</v>
      </c>
      <c r="T590" s="198">
        <v>0</v>
      </c>
      <c r="U590" s="198">
        <v>2000</v>
      </c>
      <c r="V590" s="198">
        <v>4500</v>
      </c>
      <c r="W590" s="198">
        <v>242.59200000000001</v>
      </c>
      <c r="X590" s="198">
        <v>1500</v>
      </c>
      <c r="Y590" s="198">
        <v>186</v>
      </c>
      <c r="Z590" s="277">
        <v>112731.24182612001</v>
      </c>
      <c r="AA590" s="272">
        <v>12.309319089999999</v>
      </c>
      <c r="AB590" s="198">
        <v>10.912072919542783</v>
      </c>
      <c r="AC590" s="272">
        <v>0</v>
      </c>
      <c r="AD590" s="198">
        <v>0</v>
      </c>
      <c r="AE590" s="198">
        <v>10.912072919542783</v>
      </c>
      <c r="AF590" s="198">
        <v>0</v>
      </c>
      <c r="AG590" s="198">
        <v>0</v>
      </c>
      <c r="AH590" s="198">
        <v>0</v>
      </c>
      <c r="AI590" s="198">
        <v>0</v>
      </c>
      <c r="AJ590" s="198">
        <v>0</v>
      </c>
      <c r="AK590" s="198">
        <v>0</v>
      </c>
      <c r="AL590" s="198">
        <v>0</v>
      </c>
      <c r="AM590" s="198">
        <v>0.10201242237241309</v>
      </c>
      <c r="AN590" s="198">
        <v>2.6069841272950055E-2</v>
      </c>
      <c r="AO590" s="198">
        <v>0</v>
      </c>
      <c r="AP590" s="198">
        <v>3.7273763877805725E-3</v>
      </c>
      <c r="AQ590" s="198">
        <v>4.6600797236663761E-3</v>
      </c>
      <c r="AS590" s="258">
        <f t="shared" si="72"/>
        <v>151228.96090973998</v>
      </c>
      <c r="AT590" s="3">
        <f t="shared" si="73"/>
        <v>19.108702725280327</v>
      </c>
      <c r="AU590" s="3">
        <f t="shared" si="79"/>
        <v>7.3758492092145991</v>
      </c>
      <c r="AV590" s="3">
        <f t="shared" si="74"/>
        <v>0</v>
      </c>
      <c r="AW590" s="3">
        <f t="shared" si="75"/>
        <v>0</v>
      </c>
      <c r="AX590" s="3">
        <f t="shared" si="76"/>
        <v>7.3758492092145991</v>
      </c>
      <c r="AY590" s="102">
        <f t="shared" si="77"/>
        <v>1</v>
      </c>
      <c r="AZ590" s="102">
        <f t="shared" si="78"/>
        <v>0</v>
      </c>
    </row>
    <row r="591" spans="1:52" x14ac:dyDescent="0.35">
      <c r="A591" t="s">
        <v>1017</v>
      </c>
      <c r="B591">
        <v>2035</v>
      </c>
      <c r="C591" t="s">
        <v>837</v>
      </c>
      <c r="D591" t="s">
        <v>1073</v>
      </c>
      <c r="E591" t="s">
        <v>1032</v>
      </c>
      <c r="F591" t="s">
        <v>983</v>
      </c>
      <c r="G591" t="s">
        <v>978</v>
      </c>
      <c r="H591" s="198">
        <v>57085.45697436</v>
      </c>
      <c r="I591" s="198">
        <v>39824</v>
      </c>
      <c r="J591" s="198">
        <v>0</v>
      </c>
      <c r="K591" s="198">
        <v>0</v>
      </c>
      <c r="L591" s="198">
        <v>120</v>
      </c>
      <c r="M591" s="198">
        <v>0</v>
      </c>
      <c r="N591" s="198">
        <v>0</v>
      </c>
      <c r="O591" s="198">
        <v>150</v>
      </c>
      <c r="P591" s="198">
        <v>0</v>
      </c>
      <c r="Q591" s="198">
        <v>0</v>
      </c>
      <c r="R591" s="198">
        <v>62.6</v>
      </c>
      <c r="S591" s="198">
        <v>12022</v>
      </c>
      <c r="T591" s="198">
        <v>506</v>
      </c>
      <c r="U591" s="198">
        <v>2000</v>
      </c>
      <c r="V591" s="198">
        <v>1920</v>
      </c>
      <c r="W591" s="198">
        <v>0</v>
      </c>
      <c r="X591" s="198">
        <v>0</v>
      </c>
      <c r="Y591" s="198">
        <v>186</v>
      </c>
      <c r="Z591" s="277">
        <v>113876.05697436001</v>
      </c>
      <c r="AA591" s="272">
        <v>5.1794284929999996</v>
      </c>
      <c r="AB591" s="198">
        <v>25.933399347347645</v>
      </c>
      <c r="AC591" s="272">
        <v>0</v>
      </c>
      <c r="AD591" s="198">
        <v>0</v>
      </c>
      <c r="AE591" s="198">
        <v>25.933399347347645</v>
      </c>
      <c r="AF591" s="198">
        <v>1941.2584850687986</v>
      </c>
      <c r="AG591" s="198">
        <v>0.85341145099015847</v>
      </c>
      <c r="AH591" s="198">
        <v>4.5092787317973313E-3</v>
      </c>
      <c r="AI591" s="198">
        <v>1968.0557872731158</v>
      </c>
      <c r="AJ591" s="198">
        <v>0.82810544799986141</v>
      </c>
      <c r="AK591" s="198">
        <v>19.324464646078482</v>
      </c>
      <c r="AL591" s="198">
        <v>0.9047525719000632</v>
      </c>
      <c r="AM591" s="198">
        <v>0.16262556984014698</v>
      </c>
      <c r="AN591" s="198">
        <v>6.6867366705623807E-2</v>
      </c>
      <c r="AO591" s="198">
        <v>1.3388786494771383E-2</v>
      </c>
      <c r="AP591" s="198">
        <v>1.1110635909024414E-2</v>
      </c>
      <c r="AQ591" s="198">
        <v>1.0553135249894742E-2</v>
      </c>
      <c r="AS591" s="258">
        <f t="shared" si="72"/>
        <v>152764.73043110393</v>
      </c>
      <c r="AT591" s="3">
        <f t="shared" si="73"/>
        <v>45.41333461004848</v>
      </c>
      <c r="AU591" s="3">
        <f t="shared" si="79"/>
        <v>17.52928563424549</v>
      </c>
      <c r="AV591" s="3">
        <f t="shared" si="74"/>
        <v>0</v>
      </c>
      <c r="AW591" s="3">
        <f t="shared" si="75"/>
        <v>0</v>
      </c>
      <c r="AX591" s="3">
        <f t="shared" si="76"/>
        <v>17.52928563424549</v>
      </c>
      <c r="AY591" s="102">
        <f t="shared" si="77"/>
        <v>1</v>
      </c>
      <c r="AZ591" s="102">
        <f t="shared" si="78"/>
        <v>0</v>
      </c>
    </row>
    <row r="592" spans="1:52" x14ac:dyDescent="0.35">
      <c r="A592" t="s">
        <v>1020</v>
      </c>
      <c r="B592">
        <v>2035</v>
      </c>
      <c r="C592" t="s">
        <v>837</v>
      </c>
      <c r="D592" t="s">
        <v>1073</v>
      </c>
      <c r="E592" t="s">
        <v>1032</v>
      </c>
      <c r="F592" t="s">
        <v>983</v>
      </c>
      <c r="G592" t="s">
        <v>978</v>
      </c>
      <c r="H592" s="198">
        <v>57085.45697436</v>
      </c>
      <c r="I592" s="198">
        <v>37916</v>
      </c>
      <c r="J592" s="198">
        <v>0</v>
      </c>
      <c r="K592" s="198">
        <v>0</v>
      </c>
      <c r="L592" s="198">
        <v>150</v>
      </c>
      <c r="M592" s="198">
        <v>2402.5251258000003</v>
      </c>
      <c r="N592" s="198">
        <v>35</v>
      </c>
      <c r="O592" s="198">
        <v>150</v>
      </c>
      <c r="P592" s="198">
        <v>2933.7342211099995</v>
      </c>
      <c r="Q592" s="198">
        <v>0</v>
      </c>
      <c r="R592" s="198">
        <v>0</v>
      </c>
      <c r="S592" s="198">
        <v>10828</v>
      </c>
      <c r="T592" s="198">
        <v>392</v>
      </c>
      <c r="U592" s="198">
        <v>2000</v>
      </c>
      <c r="V592" s="198">
        <v>4720</v>
      </c>
      <c r="W592" s="198">
        <v>196</v>
      </c>
      <c r="X592" s="198">
        <v>1500</v>
      </c>
      <c r="Y592" s="198">
        <v>186</v>
      </c>
      <c r="Z592" s="277">
        <v>120494.71632127001</v>
      </c>
      <c r="AA592" s="272">
        <v>7.5615297220000004</v>
      </c>
      <c r="AB592" s="198">
        <v>17.763626202407195</v>
      </c>
      <c r="AC592" s="272">
        <v>0</v>
      </c>
      <c r="AD592" s="198">
        <v>0</v>
      </c>
      <c r="AE592" s="198">
        <v>17.763626202407195</v>
      </c>
      <c r="AF592" s="198">
        <v>1329.7057446709262</v>
      </c>
      <c r="AG592" s="198">
        <v>0.58456208571799084</v>
      </c>
      <c r="AH592" s="198">
        <v>3.0887251131736012E-3</v>
      </c>
      <c r="AI592" s="198">
        <v>1348.0611192677823</v>
      </c>
      <c r="AJ592" s="198">
        <v>0.56722820781884797</v>
      </c>
      <c r="AK592" s="198">
        <v>13.236697662995716</v>
      </c>
      <c r="AL592" s="198">
        <v>0.61972926409059459</v>
      </c>
      <c r="AM592" s="198">
        <v>0.11139379743092924</v>
      </c>
      <c r="AN592" s="198">
        <v>4.5802206312743697E-2</v>
      </c>
      <c r="AO592" s="198">
        <v>9.1709303285487376E-3</v>
      </c>
      <c r="AP592" s="198">
        <v>7.6104632684468338E-3</v>
      </c>
      <c r="AQ592" s="198">
        <v>7.2285914905232049E-3</v>
      </c>
      <c r="AS592" s="258">
        <f t="shared" si="72"/>
        <v>161643.6619449837</v>
      </c>
      <c r="AT592" s="3">
        <f t="shared" si="73"/>
        <v>31.106816727451083</v>
      </c>
      <c r="AU592" s="3">
        <f t="shared" si="79"/>
        <v>12.007052119598434</v>
      </c>
      <c r="AV592" s="3">
        <f t="shared" si="74"/>
        <v>0</v>
      </c>
      <c r="AW592" s="3">
        <f t="shared" si="75"/>
        <v>0</v>
      </c>
      <c r="AX592" s="3">
        <f t="shared" si="76"/>
        <v>12.007052119598434</v>
      </c>
      <c r="AY592" s="102">
        <f t="shared" si="77"/>
        <v>1</v>
      </c>
      <c r="AZ592" s="102">
        <f t="shared" si="78"/>
        <v>0</v>
      </c>
    </row>
    <row r="593" spans="1:52" x14ac:dyDescent="0.35">
      <c r="A593" t="s">
        <v>1021</v>
      </c>
      <c r="B593">
        <v>2035</v>
      </c>
      <c r="C593" t="s">
        <v>837</v>
      </c>
      <c r="D593" t="s">
        <v>1073</v>
      </c>
      <c r="E593" t="s">
        <v>1032</v>
      </c>
      <c r="F593" t="s">
        <v>983</v>
      </c>
      <c r="G593" t="s">
        <v>978</v>
      </c>
      <c r="H593" s="198">
        <v>57085.45697436</v>
      </c>
      <c r="I593" s="198">
        <v>11636</v>
      </c>
      <c r="J593" s="198">
        <v>0</v>
      </c>
      <c r="K593" s="198">
        <v>0</v>
      </c>
      <c r="L593" s="198">
        <v>0</v>
      </c>
      <c r="M593" s="198">
        <v>23470.796250000003</v>
      </c>
      <c r="N593" s="198">
        <v>35</v>
      </c>
      <c r="O593" s="198">
        <v>0</v>
      </c>
      <c r="P593" s="198">
        <v>7054.6459253599996</v>
      </c>
      <c r="Q593" s="198">
        <v>0</v>
      </c>
      <c r="R593" s="198">
        <v>2373.1918037200003</v>
      </c>
      <c r="S593" s="198">
        <v>5680</v>
      </c>
      <c r="T593" s="198">
        <v>0</v>
      </c>
      <c r="U593" s="198">
        <v>2000</v>
      </c>
      <c r="V593" s="198">
        <v>4720</v>
      </c>
      <c r="W593" s="198">
        <v>196</v>
      </c>
      <c r="X593" s="198">
        <v>1500</v>
      </c>
      <c r="Y593" s="198">
        <v>186</v>
      </c>
      <c r="Z593" s="277">
        <v>115937.09095344</v>
      </c>
      <c r="AA593" s="272">
        <v>45.040253620000009</v>
      </c>
      <c r="AB593" s="198">
        <v>2.982225380728218</v>
      </c>
      <c r="AC593" s="272">
        <v>1324</v>
      </c>
      <c r="AD593" s="198">
        <v>4.7664</v>
      </c>
      <c r="AE593" s="198">
        <v>7.7486253807282175</v>
      </c>
      <c r="AF593" s="198">
        <v>223.23607665873865</v>
      </c>
      <c r="AG593" s="198">
        <v>9.8138514556412926E-2</v>
      </c>
      <c r="AH593" s="198">
        <v>5.1854696342071803E-4</v>
      </c>
      <c r="AI593" s="198">
        <v>226.31764701896725</v>
      </c>
      <c r="AJ593" s="198">
        <v>9.5228436961430504E-2</v>
      </c>
      <c r="AK593" s="198">
        <v>2.2222273356699196</v>
      </c>
      <c r="AL593" s="198">
        <v>0.10404251471473439</v>
      </c>
      <c r="AM593" s="198">
        <v>8.9169502960271957E-2</v>
      </c>
      <c r="AN593" s="198">
        <v>2.5698011480680967E-2</v>
      </c>
      <c r="AO593" s="198">
        <v>1.5396507942157655E-3</v>
      </c>
      <c r="AP593" s="198">
        <v>3.8524760179048986E-3</v>
      </c>
      <c r="AQ593" s="198">
        <v>4.4326600700416996E-3</v>
      </c>
      <c r="AS593" s="258">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102">
        <f t="shared" si="77"/>
        <v>0.40498029934359875</v>
      </c>
      <c r="AZ593" s="102">
        <f t="shared" si="78"/>
        <v>0.5950197006564012</v>
      </c>
    </row>
    <row r="594" spans="1:52" x14ac:dyDescent="0.35">
      <c r="A594" t="s">
        <v>246</v>
      </c>
      <c r="B594">
        <v>2035</v>
      </c>
      <c r="C594" t="s">
        <v>837</v>
      </c>
      <c r="D594" t="s">
        <v>1073</v>
      </c>
      <c r="E594" t="s">
        <v>1032</v>
      </c>
      <c r="F594" t="s">
        <v>977</v>
      </c>
      <c r="G594" t="s">
        <v>978</v>
      </c>
      <c r="H594" s="198">
        <v>57085.45697436</v>
      </c>
      <c r="I594" s="198">
        <v>0</v>
      </c>
      <c r="J594" s="198">
        <v>0</v>
      </c>
      <c r="K594" s="198">
        <v>0</v>
      </c>
      <c r="L594" s="198">
        <v>0</v>
      </c>
      <c r="M594" s="198">
        <v>45511.672500000001</v>
      </c>
      <c r="N594" s="198">
        <v>35</v>
      </c>
      <c r="O594" s="198">
        <v>0</v>
      </c>
      <c r="P594" s="198">
        <v>7047.8387648899998</v>
      </c>
      <c r="Q594" s="198">
        <v>0</v>
      </c>
      <c r="R594" s="198">
        <v>0</v>
      </c>
      <c r="S594" s="198">
        <v>5676</v>
      </c>
      <c r="T594" s="198">
        <v>0</v>
      </c>
      <c r="U594" s="198">
        <v>2000</v>
      </c>
      <c r="V594" s="198">
        <v>4500</v>
      </c>
      <c r="W594" s="198">
        <v>196</v>
      </c>
      <c r="X594" s="198">
        <v>1500</v>
      </c>
      <c r="Y594" s="198">
        <v>186</v>
      </c>
      <c r="Z594" s="277">
        <v>123737.96823925</v>
      </c>
      <c r="AA594" s="272">
        <v>0</v>
      </c>
      <c r="AB594" s="198">
        <v>0</v>
      </c>
      <c r="AC594" s="272">
        <v>1591</v>
      </c>
      <c r="AD594" s="198">
        <v>5.7275999999999998</v>
      </c>
      <c r="AE594" s="198">
        <v>5.7275999999999998</v>
      </c>
      <c r="AF594" s="198">
        <v>0</v>
      </c>
      <c r="AG594" s="198">
        <v>0</v>
      </c>
      <c r="AH594" s="198">
        <v>0</v>
      </c>
      <c r="AI594" s="198">
        <v>0</v>
      </c>
      <c r="AJ594" s="198">
        <v>0</v>
      </c>
      <c r="AK594" s="198">
        <v>0</v>
      </c>
      <c r="AL594" s="198">
        <v>0</v>
      </c>
      <c r="AM594" s="198">
        <v>8.4679036712654948E-2</v>
      </c>
      <c r="AN594" s="198">
        <v>2.1640198271011764E-2</v>
      </c>
      <c r="AO594" s="198">
        <v>0</v>
      </c>
      <c r="AP594" s="198">
        <v>3.0940412416684965E-3</v>
      </c>
      <c r="AQ594" s="198">
        <v>3.8682647939056727E-3</v>
      </c>
      <c r="AS594" s="258">
        <f t="shared" si="72"/>
        <v>165994.48439295386</v>
      </c>
      <c r="AT594" s="3">
        <f t="shared" si="73"/>
        <v>0</v>
      </c>
      <c r="AU594" s="3">
        <f t="shared" si="79"/>
        <v>0</v>
      </c>
      <c r="AV594" s="3">
        <f t="shared" si="74"/>
        <v>98.860402400984256</v>
      </c>
      <c r="AW594" s="3">
        <f t="shared" si="75"/>
        <v>3.5589744864354333</v>
      </c>
      <c r="AX594" s="3">
        <f t="shared" si="76"/>
        <v>3.5589744864354333</v>
      </c>
      <c r="AY594" s="102">
        <f t="shared" si="77"/>
        <v>0</v>
      </c>
      <c r="AZ594" s="102">
        <f t="shared" si="78"/>
        <v>1</v>
      </c>
    </row>
    <row r="595" spans="1:52" x14ac:dyDescent="0.35">
      <c r="A595" t="s">
        <v>627</v>
      </c>
      <c r="B595">
        <v>2035</v>
      </c>
      <c r="C595" t="s">
        <v>837</v>
      </c>
      <c r="D595" t="s">
        <v>1073</v>
      </c>
      <c r="E595" t="s">
        <v>1032</v>
      </c>
      <c r="F595" t="s">
        <v>989</v>
      </c>
      <c r="G595" t="s">
        <v>978</v>
      </c>
      <c r="H595" s="198">
        <v>57085.45697436</v>
      </c>
      <c r="I595" s="198">
        <v>0</v>
      </c>
      <c r="J595" s="198">
        <v>32837.541758499996</v>
      </c>
      <c r="K595" s="198">
        <v>10238.914793250002</v>
      </c>
      <c r="L595" s="198">
        <v>0</v>
      </c>
      <c r="M595" s="198">
        <v>7474.5226134000004</v>
      </c>
      <c r="N595" s="198">
        <v>35</v>
      </c>
      <c r="O595" s="198">
        <v>0</v>
      </c>
      <c r="P595" s="198">
        <v>7047.8387648899998</v>
      </c>
      <c r="Q595" s="198">
        <v>0</v>
      </c>
      <c r="R595" s="198">
        <v>0</v>
      </c>
      <c r="S595" s="198">
        <v>5676</v>
      </c>
      <c r="T595" s="198">
        <v>0</v>
      </c>
      <c r="U595" s="198">
        <v>2000</v>
      </c>
      <c r="V595" s="198">
        <v>4500</v>
      </c>
      <c r="W595" s="198">
        <v>196</v>
      </c>
      <c r="X595" s="198">
        <v>1500</v>
      </c>
      <c r="Y595" s="198">
        <v>186</v>
      </c>
      <c r="Z595" s="277">
        <v>128777.27490439999</v>
      </c>
      <c r="AA595" s="272">
        <v>12.278409929999999</v>
      </c>
      <c r="AB595" s="198">
        <v>10.939542519411553</v>
      </c>
      <c r="AC595" s="272">
        <v>0</v>
      </c>
      <c r="AD595" s="198">
        <v>0</v>
      </c>
      <c r="AE595" s="198">
        <v>10.939542519411553</v>
      </c>
      <c r="AF595" s="198">
        <v>0</v>
      </c>
      <c r="AG595" s="198">
        <v>0</v>
      </c>
      <c r="AH595" s="198">
        <v>0</v>
      </c>
      <c r="AI595" s="198">
        <v>0</v>
      </c>
      <c r="AJ595" s="198">
        <v>0</v>
      </c>
      <c r="AK595" s="198">
        <v>0</v>
      </c>
      <c r="AL595" s="198">
        <v>0</v>
      </c>
      <c r="AM595" s="198">
        <v>0.10226922421426987</v>
      </c>
      <c r="AN595" s="198">
        <v>2.6135468410313455E-2</v>
      </c>
      <c r="AO595" s="198">
        <v>0</v>
      </c>
      <c r="AP595" s="198">
        <v>3.7367595305333357E-3</v>
      </c>
      <c r="AQ595" s="198">
        <v>4.6718108151198087E-3</v>
      </c>
      <c r="AS595" s="258">
        <f t="shared" si="72"/>
        <v>172754.71428425258</v>
      </c>
      <c r="AT595" s="3">
        <f t="shared" si="73"/>
        <v>19.156806181126431</v>
      </c>
      <c r="AU595" s="3">
        <f t="shared" si="79"/>
        <v>7.3944168661541552</v>
      </c>
      <c r="AV595" s="3">
        <f t="shared" si="74"/>
        <v>0</v>
      </c>
      <c r="AW595" s="3">
        <f t="shared" si="75"/>
        <v>0</v>
      </c>
      <c r="AX595" s="3">
        <f t="shared" si="76"/>
        <v>7.3944168661541552</v>
      </c>
      <c r="AY595" s="102">
        <f t="shared" si="77"/>
        <v>1</v>
      </c>
      <c r="AZ595" s="102">
        <f t="shared" si="78"/>
        <v>0</v>
      </c>
    </row>
    <row r="596" spans="1:52" x14ac:dyDescent="0.35">
      <c r="A596" t="s">
        <v>1065</v>
      </c>
      <c r="B596">
        <v>2035</v>
      </c>
      <c r="C596" t="s">
        <v>837</v>
      </c>
      <c r="D596" t="s">
        <v>1073</v>
      </c>
      <c r="E596" t="s">
        <v>1032</v>
      </c>
      <c r="F596" t="s">
        <v>989</v>
      </c>
      <c r="G596" t="s">
        <v>978</v>
      </c>
      <c r="H596" s="198">
        <v>57085.45697436</v>
      </c>
      <c r="I596" s="198">
        <v>0</v>
      </c>
      <c r="J596" s="198">
        <v>10991.028894999999</v>
      </c>
      <c r="K596" s="198">
        <v>8729.0266635000007</v>
      </c>
      <c r="L596" s="198">
        <v>0</v>
      </c>
      <c r="M596" s="198">
        <v>9316.8225000000002</v>
      </c>
      <c r="N596" s="198">
        <v>35</v>
      </c>
      <c r="O596" s="198">
        <v>0</v>
      </c>
      <c r="P596" s="198">
        <v>7027.4514419699999</v>
      </c>
      <c r="Q596" s="198">
        <v>0</v>
      </c>
      <c r="R596" s="198">
        <v>0</v>
      </c>
      <c r="S596" s="198">
        <v>5664</v>
      </c>
      <c r="T596" s="198">
        <v>0</v>
      </c>
      <c r="U596" s="198">
        <v>2000</v>
      </c>
      <c r="V596" s="198">
        <v>4500</v>
      </c>
      <c r="W596" s="198">
        <v>196</v>
      </c>
      <c r="X596" s="198">
        <v>1500</v>
      </c>
      <c r="Y596" s="198">
        <v>186</v>
      </c>
      <c r="Z596" s="277">
        <v>107230.78647482999</v>
      </c>
      <c r="AA596" s="272">
        <v>12.927338739999998</v>
      </c>
      <c r="AB596" s="198">
        <v>10.3903974515949</v>
      </c>
      <c r="AC596" s="272">
        <v>0</v>
      </c>
      <c r="AD596" s="198">
        <v>0</v>
      </c>
      <c r="AE596" s="198">
        <v>10.3903974515949</v>
      </c>
      <c r="AF596" s="198">
        <v>0</v>
      </c>
      <c r="AG596" s="198">
        <v>0</v>
      </c>
      <c r="AH596" s="198">
        <v>0</v>
      </c>
      <c r="AI596" s="198">
        <v>0</v>
      </c>
      <c r="AJ596" s="198">
        <v>0</v>
      </c>
      <c r="AK596" s="198">
        <v>0</v>
      </c>
      <c r="AL596" s="198">
        <v>0</v>
      </c>
      <c r="AM596" s="198">
        <v>9.7135495818676726E-2</v>
      </c>
      <c r="AN596" s="198">
        <v>2.4823515598106315E-2</v>
      </c>
      <c r="AO596" s="198">
        <v>0</v>
      </c>
      <c r="AP596" s="198">
        <v>3.5491810223673807E-3</v>
      </c>
      <c r="AQ596" s="198">
        <v>4.4372944391065329E-3</v>
      </c>
      <c r="AS596" s="258">
        <f t="shared" si="72"/>
        <v>143850.10005598443</v>
      </c>
      <c r="AT596" s="3">
        <f t="shared" si="73"/>
        <v>18.195169475494705</v>
      </c>
      <c r="AU596" s="3">
        <f t="shared" si="79"/>
        <v>7.0232306356309406</v>
      </c>
      <c r="AV596" s="3">
        <f t="shared" si="74"/>
        <v>0</v>
      </c>
      <c r="AW596" s="3">
        <f t="shared" si="75"/>
        <v>0</v>
      </c>
      <c r="AX596" s="3">
        <f t="shared" si="76"/>
        <v>7.0232306356309406</v>
      </c>
      <c r="AY596" s="102">
        <f t="shared" si="77"/>
        <v>1</v>
      </c>
      <c r="AZ596" s="102">
        <f t="shared" si="78"/>
        <v>0</v>
      </c>
    </row>
    <row r="597" spans="1:52" x14ac:dyDescent="0.35">
      <c r="A597" t="s">
        <v>1017</v>
      </c>
      <c r="B597">
        <v>2050</v>
      </c>
      <c r="C597" t="s">
        <v>837</v>
      </c>
      <c r="D597" t="s">
        <v>1073</v>
      </c>
      <c r="E597" t="s">
        <v>1032</v>
      </c>
      <c r="F597" t="s">
        <v>983</v>
      </c>
      <c r="G597" t="s">
        <v>978</v>
      </c>
      <c r="H597" s="198">
        <v>57405.033139400002</v>
      </c>
      <c r="I597" s="198">
        <v>40221</v>
      </c>
      <c r="J597" s="198">
        <v>0</v>
      </c>
      <c r="K597" s="198">
        <v>0</v>
      </c>
      <c r="L597" s="198">
        <v>120</v>
      </c>
      <c r="M597" s="198">
        <v>0</v>
      </c>
      <c r="N597" s="198">
        <v>0</v>
      </c>
      <c r="O597" s="198">
        <v>150</v>
      </c>
      <c r="P597" s="198">
        <v>0</v>
      </c>
      <c r="Q597" s="198">
        <v>0</v>
      </c>
      <c r="R597" s="198">
        <v>44</v>
      </c>
      <c r="S597" s="198">
        <v>11988</v>
      </c>
      <c r="T597" s="198">
        <v>506</v>
      </c>
      <c r="U597" s="198">
        <v>2000</v>
      </c>
      <c r="V597" s="198">
        <v>1920</v>
      </c>
      <c r="W597" s="198">
        <v>0</v>
      </c>
      <c r="X597" s="198">
        <v>0</v>
      </c>
      <c r="Y597" s="198">
        <v>186</v>
      </c>
      <c r="Z597" s="277">
        <v>114540.03313940001</v>
      </c>
      <c r="AA597" s="272">
        <v>5.7351707159999998</v>
      </c>
      <c r="AB597" s="198">
        <v>23.42043404658785</v>
      </c>
      <c r="AC597" s="272">
        <v>0</v>
      </c>
      <c r="AD597" s="198">
        <v>0</v>
      </c>
      <c r="AE597" s="198">
        <v>23.42043404658785</v>
      </c>
      <c r="AF597" s="198">
        <v>1753.1491227964611</v>
      </c>
      <c r="AG597" s="198">
        <v>0.7707152592998594</v>
      </c>
      <c r="AH597" s="198">
        <v>4.072326335673458E-3</v>
      </c>
      <c r="AI597" s="198">
        <v>1777.3497468834412</v>
      </c>
      <c r="AJ597" s="198">
        <v>0.74786142644598708</v>
      </c>
      <c r="AK597" s="198">
        <v>17.451909935416484</v>
      </c>
      <c r="AL597" s="198">
        <v>0.81708138816878062</v>
      </c>
      <c r="AM597" s="198">
        <v>0.14686703357766601</v>
      </c>
      <c r="AN597" s="198">
        <v>6.0387870129267759E-2</v>
      </c>
      <c r="AO597" s="198">
        <v>1.209140332374938E-2</v>
      </c>
      <c r="AP597" s="198">
        <v>1.0034007190406015E-2</v>
      </c>
      <c r="AQ597" s="198">
        <v>9.5305287515328966E-3</v>
      </c>
      <c r="AS597" s="258">
        <f t="shared" si="72"/>
        <v>153655.4544565051</v>
      </c>
      <c r="AT597" s="3">
        <f t="shared" si="73"/>
        <v>41.012749382546566</v>
      </c>
      <c r="AU597" s="3">
        <f t="shared" si="79"/>
        <v>15.830685078415488</v>
      </c>
      <c r="AV597" s="3">
        <f t="shared" si="74"/>
        <v>0</v>
      </c>
      <c r="AW597" s="3">
        <f t="shared" si="75"/>
        <v>0</v>
      </c>
      <c r="AX597" s="3">
        <f t="shared" si="76"/>
        <v>15.830685078415488</v>
      </c>
      <c r="AY597" s="102">
        <f t="shared" si="77"/>
        <v>1</v>
      </c>
      <c r="AZ597" s="102">
        <f t="shared" si="78"/>
        <v>0</v>
      </c>
    </row>
    <row r="598" spans="1:52" x14ac:dyDescent="0.35">
      <c r="A598" t="s">
        <v>1020</v>
      </c>
      <c r="B598">
        <v>2050</v>
      </c>
      <c r="C598" t="s">
        <v>837</v>
      </c>
      <c r="D598" t="s">
        <v>1073</v>
      </c>
      <c r="E598" t="s">
        <v>1032</v>
      </c>
      <c r="F598" t="s">
        <v>983</v>
      </c>
      <c r="G598" t="s">
        <v>978</v>
      </c>
      <c r="H598" s="198">
        <v>57405.033139400002</v>
      </c>
      <c r="I598" s="198">
        <v>38368</v>
      </c>
      <c r="J598" s="198">
        <v>0</v>
      </c>
      <c r="K598" s="198">
        <v>0</v>
      </c>
      <c r="L598" s="198">
        <v>150</v>
      </c>
      <c r="M598" s="198">
        <v>2299.3055271000003</v>
      </c>
      <c r="N598" s="198">
        <v>28.89</v>
      </c>
      <c r="O598" s="198">
        <v>150</v>
      </c>
      <c r="P598" s="198">
        <v>2036.8709471</v>
      </c>
      <c r="Q598" s="198">
        <v>0</v>
      </c>
      <c r="R598" s="198">
        <v>0</v>
      </c>
      <c r="S598" s="198">
        <v>10828</v>
      </c>
      <c r="T598" s="198">
        <v>392</v>
      </c>
      <c r="U598" s="198">
        <v>2000</v>
      </c>
      <c r="V598" s="198">
        <v>4720</v>
      </c>
      <c r="W598" s="198">
        <v>141.56100000000001</v>
      </c>
      <c r="X598" s="198">
        <v>1500</v>
      </c>
      <c r="Y598" s="198">
        <v>186</v>
      </c>
      <c r="Z598" s="277">
        <v>120205.66061360002</v>
      </c>
      <c r="AA598" s="272">
        <v>8.7278989120000006</v>
      </c>
      <c r="AB598" s="198">
        <v>15.389750597973013</v>
      </c>
      <c r="AC598" s="272">
        <v>0</v>
      </c>
      <c r="AD598" s="198">
        <v>0</v>
      </c>
      <c r="AE598" s="198">
        <v>15.389750597973013</v>
      </c>
      <c r="AF598" s="198">
        <v>1152.0080160437301</v>
      </c>
      <c r="AG598" s="198">
        <v>0.50644303171678395</v>
      </c>
      <c r="AH598" s="198">
        <v>2.6759575221750693E-3</v>
      </c>
      <c r="AI598" s="198">
        <v>1167.9104356262649</v>
      </c>
      <c r="AJ598" s="198">
        <v>0.49142559919912743</v>
      </c>
      <c r="AK598" s="198">
        <v>11.467786669968945</v>
      </c>
      <c r="AL598" s="198">
        <v>0.53691057805118392</v>
      </c>
      <c r="AM598" s="198">
        <v>9.6507477757599713E-2</v>
      </c>
      <c r="AN598" s="198">
        <v>3.9681342309179524E-2</v>
      </c>
      <c r="AO598" s="198">
        <v>7.9453558017689961E-3</v>
      </c>
      <c r="AP598" s="198">
        <v>6.5934246927893386E-3</v>
      </c>
      <c r="AQ598" s="198">
        <v>6.2625850682844738E-3</v>
      </c>
      <c r="AS598" s="258">
        <f t="shared" si="72"/>
        <v>161255.89371314441</v>
      </c>
      <c r="AT598" s="3">
        <f t="shared" si="73"/>
        <v>26.949798756036294</v>
      </c>
      <c r="AU598" s="3">
        <f t="shared" si="79"/>
        <v>10.40246712196873</v>
      </c>
      <c r="AV598" s="3">
        <f t="shared" si="74"/>
        <v>0</v>
      </c>
      <c r="AW598" s="3">
        <f t="shared" si="75"/>
        <v>0</v>
      </c>
      <c r="AX598" s="3">
        <f t="shared" si="76"/>
        <v>10.40246712196873</v>
      </c>
      <c r="AY598" s="102">
        <f t="shared" si="77"/>
        <v>1</v>
      </c>
      <c r="AZ598" s="102">
        <f t="shared" si="78"/>
        <v>0</v>
      </c>
    </row>
    <row r="599" spans="1:52" x14ac:dyDescent="0.35">
      <c r="A599" t="s">
        <v>1021</v>
      </c>
      <c r="B599">
        <v>2050</v>
      </c>
      <c r="C599" t="s">
        <v>837</v>
      </c>
      <c r="D599" t="s">
        <v>1073</v>
      </c>
      <c r="E599" t="s">
        <v>1032</v>
      </c>
      <c r="F599" t="s">
        <v>983</v>
      </c>
      <c r="G599" t="s">
        <v>978</v>
      </c>
      <c r="H599" s="198">
        <v>57405.033139400002</v>
      </c>
      <c r="I599" s="198">
        <v>11755</v>
      </c>
      <c r="J599" s="198">
        <v>0</v>
      </c>
      <c r="K599" s="198">
        <v>0</v>
      </c>
      <c r="L599" s="198">
        <v>0</v>
      </c>
      <c r="M599" s="198">
        <v>16161.075000000001</v>
      </c>
      <c r="N599" s="198">
        <v>28.89</v>
      </c>
      <c r="O599" s="198">
        <v>0</v>
      </c>
      <c r="P599" s="198">
        <v>4900.5858385000001</v>
      </c>
      <c r="Q599" s="198">
        <v>0</v>
      </c>
      <c r="R599" s="198">
        <v>1546.2739842000001</v>
      </c>
      <c r="S599" s="198">
        <v>5646</v>
      </c>
      <c r="T599" s="198">
        <v>0</v>
      </c>
      <c r="U599" s="198">
        <v>2000</v>
      </c>
      <c r="V599" s="198">
        <v>4720</v>
      </c>
      <c r="W599" s="198">
        <v>141.56100000000001</v>
      </c>
      <c r="X599" s="198">
        <v>1500</v>
      </c>
      <c r="Y599" s="198">
        <v>186</v>
      </c>
      <c r="Z599" s="277">
        <v>105990.41896210001</v>
      </c>
      <c r="AA599" s="272">
        <v>53.913115200000014</v>
      </c>
      <c r="AB599" s="198">
        <v>2.4914195182696468</v>
      </c>
      <c r="AC599" s="272">
        <v>1196</v>
      </c>
      <c r="AD599" s="198">
        <v>4.3056000000000001</v>
      </c>
      <c r="AE599" s="198">
        <v>6.7970195182696465</v>
      </c>
      <c r="AF599" s="198">
        <v>186.49654119492152</v>
      </c>
      <c r="AG599" s="198">
        <v>8.1987167113483708E-2</v>
      </c>
      <c r="AH599" s="198">
        <v>4.3320603270111157E-4</v>
      </c>
      <c r="AI599" s="198">
        <v>189.07095578880444</v>
      </c>
      <c r="AJ599" s="198">
        <v>7.9556021511051761E-2</v>
      </c>
      <c r="AK599" s="198">
        <v>1.8564997112218444</v>
      </c>
      <c r="AL599" s="198">
        <v>8.6919504328961825E-2</v>
      </c>
      <c r="AM599" s="198">
        <v>7.9279067902253086E-2</v>
      </c>
      <c r="AN599" s="198">
        <v>2.2691495551964869E-2</v>
      </c>
      <c r="AO599" s="198">
        <v>1.2862596049302765E-3</v>
      </c>
      <c r="AP599" s="198">
        <v>3.3932767645869603E-3</v>
      </c>
      <c r="AQ599" s="198">
        <v>3.9217236110545596E-3</v>
      </c>
      <c r="AS599" s="258">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102">
        <f t="shared" si="77"/>
        <v>0.38629845678149516</v>
      </c>
      <c r="AZ599" s="102">
        <f t="shared" si="78"/>
        <v>0.61370154321850479</v>
      </c>
    </row>
    <row r="600" spans="1:52" x14ac:dyDescent="0.35">
      <c r="A600" t="s">
        <v>246</v>
      </c>
      <c r="B600">
        <v>2050</v>
      </c>
      <c r="C600" t="s">
        <v>837</v>
      </c>
      <c r="D600" t="s">
        <v>1073</v>
      </c>
      <c r="E600" t="s">
        <v>1032</v>
      </c>
      <c r="F600" t="s">
        <v>977</v>
      </c>
      <c r="G600" t="s">
        <v>978</v>
      </c>
      <c r="H600" s="198">
        <v>57405.033139400002</v>
      </c>
      <c r="I600" s="198">
        <v>0</v>
      </c>
      <c r="J600" s="198">
        <v>0</v>
      </c>
      <c r="K600" s="198">
        <v>0</v>
      </c>
      <c r="L600" s="198">
        <v>0</v>
      </c>
      <c r="M600" s="198">
        <v>31531.473750000001</v>
      </c>
      <c r="N600" s="198">
        <v>28.89</v>
      </c>
      <c r="O600" s="198">
        <v>0</v>
      </c>
      <c r="P600" s="198">
        <v>4914.8685442999995</v>
      </c>
      <c r="Q600" s="198">
        <v>0</v>
      </c>
      <c r="R600" s="198">
        <v>0</v>
      </c>
      <c r="S600" s="198">
        <v>5657</v>
      </c>
      <c r="T600" s="198">
        <v>0</v>
      </c>
      <c r="U600" s="198">
        <v>2000</v>
      </c>
      <c r="V600" s="198">
        <v>4500</v>
      </c>
      <c r="W600" s="198">
        <v>141.56100000000001</v>
      </c>
      <c r="X600" s="198">
        <v>1500</v>
      </c>
      <c r="Y600" s="198">
        <v>186</v>
      </c>
      <c r="Z600" s="277">
        <v>107864.8264337</v>
      </c>
      <c r="AA600" s="272">
        <v>0</v>
      </c>
      <c r="AB600" s="198">
        <v>0</v>
      </c>
      <c r="AC600" s="272">
        <v>1426</v>
      </c>
      <c r="AD600" s="198">
        <v>5.1335999999999995</v>
      </c>
      <c r="AE600" s="198">
        <v>5.1335999999999995</v>
      </c>
      <c r="AF600" s="198">
        <v>0</v>
      </c>
      <c r="AG600" s="198">
        <v>0</v>
      </c>
      <c r="AH600" s="198">
        <v>0</v>
      </c>
      <c r="AI600" s="198">
        <v>0</v>
      </c>
      <c r="AJ600" s="198">
        <v>0</v>
      </c>
      <c r="AK600" s="198">
        <v>0</v>
      </c>
      <c r="AL600" s="198">
        <v>0</v>
      </c>
      <c r="AM600" s="198">
        <v>7.5897112729255783E-2</v>
      </c>
      <c r="AN600" s="198">
        <v>1.9395928808587537E-2</v>
      </c>
      <c r="AO600" s="198">
        <v>0</v>
      </c>
      <c r="AP600" s="198">
        <v>2.7731633002006759E-3</v>
      </c>
      <c r="AQ600" s="198">
        <v>3.467093397931797E-3</v>
      </c>
      <c r="AS600" s="258">
        <f t="shared" si="72"/>
        <v>144700.66466080854</v>
      </c>
      <c r="AT600" s="3">
        <f t="shared" si="73"/>
        <v>0</v>
      </c>
      <c r="AU600" s="3">
        <f t="shared" si="79"/>
        <v>0</v>
      </c>
      <c r="AV600" s="3">
        <f t="shared" si="74"/>
        <v>88.607752246262436</v>
      </c>
      <c r="AW600" s="3">
        <f t="shared" si="75"/>
        <v>3.189879080865448</v>
      </c>
      <c r="AX600" s="3">
        <f t="shared" si="76"/>
        <v>3.189879080865448</v>
      </c>
      <c r="AY600" s="102">
        <f t="shared" si="77"/>
        <v>0</v>
      </c>
      <c r="AZ600" s="102">
        <f t="shared" si="78"/>
        <v>1</v>
      </c>
    </row>
    <row r="601" spans="1:52" x14ac:dyDescent="0.35">
      <c r="A601" t="s">
        <v>627</v>
      </c>
      <c r="B601">
        <v>2050</v>
      </c>
      <c r="C601" t="s">
        <v>837</v>
      </c>
      <c r="D601" t="s">
        <v>1073</v>
      </c>
      <c r="E601" t="s">
        <v>1032</v>
      </c>
      <c r="F601" t="s">
        <v>989</v>
      </c>
      <c r="G601" t="s">
        <v>978</v>
      </c>
      <c r="H601" s="198">
        <v>57405.033139400002</v>
      </c>
      <c r="I601" s="198">
        <v>0</v>
      </c>
      <c r="J601" s="198">
        <v>27523.263848000002</v>
      </c>
      <c r="K601" s="198">
        <v>8799.1637580000006</v>
      </c>
      <c r="L601" s="198">
        <v>0</v>
      </c>
      <c r="M601" s="198">
        <v>6897.9165830000002</v>
      </c>
      <c r="N601" s="198">
        <v>28.89</v>
      </c>
      <c r="O601" s="198">
        <v>0</v>
      </c>
      <c r="P601" s="198">
        <v>4914.8685442999995</v>
      </c>
      <c r="Q601" s="198">
        <v>0</v>
      </c>
      <c r="R601" s="198">
        <v>0</v>
      </c>
      <c r="S601" s="198">
        <v>5657</v>
      </c>
      <c r="T601" s="198">
        <v>0</v>
      </c>
      <c r="U601" s="198">
        <v>2000</v>
      </c>
      <c r="V601" s="198">
        <v>4500</v>
      </c>
      <c r="W601" s="198">
        <v>141.56100000000001</v>
      </c>
      <c r="X601" s="198">
        <v>1500</v>
      </c>
      <c r="Y601" s="198">
        <v>186</v>
      </c>
      <c r="Z601" s="277">
        <v>119553.69687270001</v>
      </c>
      <c r="AA601" s="272">
        <v>13.531905179999999</v>
      </c>
      <c r="AB601" s="198">
        <v>9.9261845034595488</v>
      </c>
      <c r="AC601" s="272">
        <v>0</v>
      </c>
      <c r="AD601" s="198">
        <v>0</v>
      </c>
      <c r="AE601" s="198">
        <v>9.9261845034595488</v>
      </c>
      <c r="AF601" s="198">
        <v>0</v>
      </c>
      <c r="AG601" s="198">
        <v>0</v>
      </c>
      <c r="AH601" s="198">
        <v>0</v>
      </c>
      <c r="AI601" s="198">
        <v>0</v>
      </c>
      <c r="AJ601" s="198">
        <v>0</v>
      </c>
      <c r="AK601" s="198">
        <v>0</v>
      </c>
      <c r="AL601" s="198">
        <v>0</v>
      </c>
      <c r="AM601" s="198">
        <v>9.2795762416500116E-2</v>
      </c>
      <c r="AN601" s="198">
        <v>2.371447261755007E-2</v>
      </c>
      <c r="AO601" s="198">
        <v>0</v>
      </c>
      <c r="AP601" s="198">
        <v>3.3906138651883929E-3</v>
      </c>
      <c r="AQ601" s="198">
        <v>4.2390489395557852E-3</v>
      </c>
      <c r="AS601" s="258">
        <f t="shared" si="72"/>
        <v>160381.28435472705</v>
      </c>
      <c r="AT601" s="3">
        <f t="shared" si="73"/>
        <v>17.382261855416591</v>
      </c>
      <c r="AU601" s="3">
        <f t="shared" si="79"/>
        <v>6.7094529756338916</v>
      </c>
      <c r="AV601" s="3">
        <f t="shared" si="74"/>
        <v>0</v>
      </c>
      <c r="AW601" s="3">
        <f t="shared" si="75"/>
        <v>0</v>
      </c>
      <c r="AX601" s="3">
        <f t="shared" si="76"/>
        <v>6.7094529756338916</v>
      </c>
      <c r="AY601" s="102">
        <f t="shared" si="77"/>
        <v>1</v>
      </c>
      <c r="AZ601" s="102">
        <f t="shared" si="78"/>
        <v>0</v>
      </c>
    </row>
    <row r="602" spans="1:52" x14ac:dyDescent="0.35">
      <c r="A602" t="s">
        <v>1065</v>
      </c>
      <c r="B602">
        <v>2050</v>
      </c>
      <c r="C602" t="s">
        <v>837</v>
      </c>
      <c r="D602" t="s">
        <v>1073</v>
      </c>
      <c r="E602" t="s">
        <v>1032</v>
      </c>
      <c r="F602" t="s">
        <v>989</v>
      </c>
      <c r="G602" t="s">
        <v>978</v>
      </c>
      <c r="H602" s="198">
        <v>57405.033139400002</v>
      </c>
      <c r="I602" s="198">
        <v>0</v>
      </c>
      <c r="J602" s="198">
        <v>8397.2199279999986</v>
      </c>
      <c r="K602" s="198">
        <v>7433.2271970000002</v>
      </c>
      <c r="L602" s="198">
        <v>0</v>
      </c>
      <c r="M602" s="198">
        <v>7402.8149999999996</v>
      </c>
      <c r="N602" s="198">
        <v>28.89</v>
      </c>
      <c r="O602" s="198">
        <v>0</v>
      </c>
      <c r="P602" s="198">
        <v>4918.6718646999998</v>
      </c>
      <c r="Q602" s="198">
        <v>0</v>
      </c>
      <c r="R602" s="198">
        <v>0</v>
      </c>
      <c r="S602" s="198">
        <v>5660</v>
      </c>
      <c r="T602" s="198">
        <v>0</v>
      </c>
      <c r="U602" s="198">
        <v>2000</v>
      </c>
      <c r="V602" s="198">
        <v>4500</v>
      </c>
      <c r="W602" s="198">
        <v>141.56100000000001</v>
      </c>
      <c r="X602" s="198">
        <v>1500</v>
      </c>
      <c r="Y602" s="198">
        <v>186</v>
      </c>
      <c r="Z602" s="277">
        <v>99573.418129099999</v>
      </c>
      <c r="AA602" s="272">
        <v>14.47308071</v>
      </c>
      <c r="AB602" s="198">
        <v>9.280690835033699</v>
      </c>
      <c r="AC602" s="272">
        <v>0</v>
      </c>
      <c r="AD602" s="198">
        <v>0</v>
      </c>
      <c r="AE602" s="198">
        <v>9.280690835033699</v>
      </c>
      <c r="AF602" s="198">
        <v>0</v>
      </c>
      <c r="AG602" s="198">
        <v>0</v>
      </c>
      <c r="AH602" s="198">
        <v>0</v>
      </c>
      <c r="AI602" s="198">
        <v>0</v>
      </c>
      <c r="AJ602" s="198">
        <v>0</v>
      </c>
      <c r="AK602" s="198">
        <v>0</v>
      </c>
      <c r="AL602" s="198">
        <v>0</v>
      </c>
      <c r="AM602" s="198">
        <v>8.6761311104848221E-2</v>
      </c>
      <c r="AN602" s="198">
        <v>2.2172335060127914E-2</v>
      </c>
      <c r="AO602" s="198">
        <v>0</v>
      </c>
      <c r="AP602" s="198">
        <v>3.1701243325494206E-3</v>
      </c>
      <c r="AQ602" s="198">
        <v>3.9633861962653592E-3</v>
      </c>
      <c r="AS602" s="258">
        <f t="shared" si="72"/>
        <v>133577.74042018765</v>
      </c>
      <c r="AT602" s="3">
        <f t="shared" si="73"/>
        <v>16.251904066209558</v>
      </c>
      <c r="AU602" s="3">
        <f t="shared" si="79"/>
        <v>6.2731413784775789</v>
      </c>
      <c r="AV602" s="3">
        <f t="shared" si="74"/>
        <v>0</v>
      </c>
      <c r="AW602" s="3">
        <f t="shared" si="75"/>
        <v>0</v>
      </c>
      <c r="AX602" s="3">
        <f t="shared" si="76"/>
        <v>6.2731413784775789</v>
      </c>
      <c r="AY602" s="102">
        <f t="shared" si="77"/>
        <v>1</v>
      </c>
      <c r="AZ602" s="102">
        <f t="shared" si="78"/>
        <v>0</v>
      </c>
    </row>
    <row r="603" spans="1:52" x14ac:dyDescent="0.35">
      <c r="A603" t="s">
        <v>1017</v>
      </c>
      <c r="B603">
        <v>2021</v>
      </c>
      <c r="C603" t="s">
        <v>837</v>
      </c>
      <c r="D603" t="s">
        <v>1031</v>
      </c>
      <c r="E603" t="s">
        <v>1032</v>
      </c>
      <c r="F603" t="s">
        <v>983</v>
      </c>
      <c r="G603" t="s">
        <v>978</v>
      </c>
      <c r="H603" s="198">
        <v>170000</v>
      </c>
      <c r="I603" s="198">
        <v>17191</v>
      </c>
      <c r="J603" s="198">
        <v>0</v>
      </c>
      <c r="K603" s="198">
        <v>0</v>
      </c>
      <c r="L603" s="198">
        <v>120</v>
      </c>
      <c r="M603" s="198">
        <v>0</v>
      </c>
      <c r="N603" s="198">
        <v>0</v>
      </c>
      <c r="O603" s="198">
        <v>150</v>
      </c>
      <c r="P603" s="198">
        <v>0</v>
      </c>
      <c r="Q603" s="198">
        <v>0</v>
      </c>
      <c r="R603" s="198">
        <v>104.8</v>
      </c>
      <c r="S603" s="198">
        <v>6966</v>
      </c>
      <c r="T603" s="198">
        <v>506</v>
      </c>
      <c r="U603" s="198">
        <v>2000</v>
      </c>
      <c r="V603" s="198">
        <v>1920</v>
      </c>
      <c r="W603" s="198">
        <v>0</v>
      </c>
      <c r="X603" s="198">
        <v>0</v>
      </c>
      <c r="Y603" s="198">
        <v>186</v>
      </c>
      <c r="Z603" s="277">
        <v>199143.8</v>
      </c>
      <c r="AA603" s="272">
        <v>7.2856657979999992</v>
      </c>
      <c r="AB603" s="198">
        <v>18.436226863009892</v>
      </c>
      <c r="AC603" s="272">
        <v>0</v>
      </c>
      <c r="AD603" s="198">
        <v>0</v>
      </c>
      <c r="AE603" s="198">
        <v>18.436226863009892</v>
      </c>
      <c r="AF603" s="198">
        <v>1380.0536270279456</v>
      </c>
      <c r="AG603" s="198">
        <v>0.60669590234626081</v>
      </c>
      <c r="AH603" s="198">
        <v>3.2056763779586698E-3</v>
      </c>
      <c r="AI603" s="198">
        <v>1399.1040082039078</v>
      </c>
      <c r="AJ603" s="198">
        <v>0.58870569574525689</v>
      </c>
      <c r="AK603" s="198">
        <v>13.73789102807129</v>
      </c>
      <c r="AL603" s="198">
        <v>0.64319464822289929</v>
      </c>
      <c r="AM603" s="198">
        <v>0.115611604138038</v>
      </c>
      <c r="AN603" s="198">
        <v>4.7536457747219263E-2</v>
      </c>
      <c r="AO603" s="198">
        <v>9.5181777726819228E-3</v>
      </c>
      <c r="AP603" s="198">
        <v>7.8986253004285824E-3</v>
      </c>
      <c r="AQ603" s="198">
        <v>7.5022943570637142E-3</v>
      </c>
      <c r="AS603" s="258">
        <f t="shared" si="72"/>
        <v>267151.40769999998</v>
      </c>
      <c r="AT603" s="3">
        <f t="shared" si="73"/>
        <v>32.284642991172809</v>
      </c>
      <c r="AU603" s="3">
        <f t="shared" si="79"/>
        <v>12.461686274557096</v>
      </c>
      <c r="AV603" s="3">
        <f t="shared" si="74"/>
        <v>0</v>
      </c>
      <c r="AW603" s="3">
        <f t="shared" si="75"/>
        <v>0</v>
      </c>
      <c r="AX603" s="3">
        <f t="shared" si="76"/>
        <v>12.461686274557096</v>
      </c>
      <c r="AY603" s="102">
        <f t="shared" si="77"/>
        <v>1</v>
      </c>
      <c r="AZ603" s="102">
        <f t="shared" si="78"/>
        <v>0</v>
      </c>
    </row>
    <row r="604" spans="1:52" x14ac:dyDescent="0.35">
      <c r="A604" t="s">
        <v>1020</v>
      </c>
      <c r="B604">
        <v>2021</v>
      </c>
      <c r="C604" t="s">
        <v>837</v>
      </c>
      <c r="D604" t="s">
        <v>1031</v>
      </c>
      <c r="E604" t="s">
        <v>1032</v>
      </c>
      <c r="F604" t="s">
        <v>983</v>
      </c>
      <c r="G604" t="s">
        <v>978</v>
      </c>
      <c r="H604" s="198">
        <v>170000</v>
      </c>
      <c r="I604" s="198">
        <v>15784</v>
      </c>
      <c r="J604" s="198">
        <v>0</v>
      </c>
      <c r="K604" s="198">
        <v>0</v>
      </c>
      <c r="L604" s="198">
        <v>150</v>
      </c>
      <c r="M604" s="198">
        <v>2183.0351759999999</v>
      </c>
      <c r="N604" s="198">
        <v>75</v>
      </c>
      <c r="O604" s="198">
        <v>150</v>
      </c>
      <c r="P604" s="198">
        <v>4267.8433953000003</v>
      </c>
      <c r="Q604" s="198">
        <v>0</v>
      </c>
      <c r="R604" s="198">
        <v>0</v>
      </c>
      <c r="S604" s="198">
        <v>6526</v>
      </c>
      <c r="T604" s="198">
        <v>392</v>
      </c>
      <c r="U604" s="198">
        <v>2000</v>
      </c>
      <c r="V604" s="198">
        <v>4720</v>
      </c>
      <c r="W604" s="198">
        <v>900</v>
      </c>
      <c r="X604" s="198">
        <v>1500</v>
      </c>
      <c r="Y604" s="198">
        <v>186</v>
      </c>
      <c r="Z604" s="277">
        <v>208833.87857130001</v>
      </c>
      <c r="AA604" s="272">
        <v>8.3319451820000001</v>
      </c>
      <c r="AB604" s="198">
        <v>16.121107924495224</v>
      </c>
      <c r="AC604" s="272">
        <v>0</v>
      </c>
      <c r="AD604" s="198">
        <v>0</v>
      </c>
      <c r="AE604" s="198">
        <v>16.121107924495224</v>
      </c>
      <c r="AF604" s="198">
        <v>1206.7541600687587</v>
      </c>
      <c r="AG604" s="198">
        <v>0.53051040170788533</v>
      </c>
      <c r="AH604" s="198">
        <v>2.8031253490248902E-3</v>
      </c>
      <c r="AI604" s="198">
        <v>1223.4123002198028</v>
      </c>
      <c r="AJ604" s="198">
        <v>0.51477930529896421</v>
      </c>
      <c r="AK604" s="198">
        <v>12.012762999941453</v>
      </c>
      <c r="AL604" s="198">
        <v>0.56242583786291389</v>
      </c>
      <c r="AM604" s="198">
        <v>0.10109374122385084</v>
      </c>
      <c r="AN604" s="198">
        <v>4.1567093493989279E-2</v>
      </c>
      <c r="AO604" s="198">
        <v>8.3229378906051112E-3</v>
      </c>
      <c r="AP604" s="198">
        <v>6.906759819648319E-3</v>
      </c>
      <c r="AQ604" s="198">
        <v>6.560197914152275E-3</v>
      </c>
      <c r="AS604" s="258">
        <f t="shared" si="72"/>
        <v>280150.64810339897</v>
      </c>
      <c r="AT604" s="3">
        <f t="shared" si="73"/>
        <v>28.230516896531849</v>
      </c>
      <c r="AU604" s="3">
        <f t="shared" si="79"/>
        <v>10.896816948830793</v>
      </c>
      <c r="AV604" s="3">
        <f t="shared" si="74"/>
        <v>0</v>
      </c>
      <c r="AW604" s="3">
        <f t="shared" si="75"/>
        <v>0</v>
      </c>
      <c r="AX604" s="3">
        <f t="shared" si="76"/>
        <v>10.896816948830793</v>
      </c>
      <c r="AY604" s="102">
        <f t="shared" si="77"/>
        <v>1</v>
      </c>
      <c r="AZ604" s="102">
        <f t="shared" si="78"/>
        <v>0</v>
      </c>
    </row>
    <row r="605" spans="1:52" x14ac:dyDescent="0.35">
      <c r="A605" t="s">
        <v>1021</v>
      </c>
      <c r="B605">
        <v>2021</v>
      </c>
      <c r="C605" t="s">
        <v>837</v>
      </c>
      <c r="D605" t="s">
        <v>1031</v>
      </c>
      <c r="E605" t="s">
        <v>1032</v>
      </c>
      <c r="F605" t="s">
        <v>983</v>
      </c>
      <c r="G605" t="s">
        <v>978</v>
      </c>
      <c r="H605" s="198">
        <v>170000</v>
      </c>
      <c r="I605" s="198">
        <v>9594</v>
      </c>
      <c r="J605" s="198">
        <v>0</v>
      </c>
      <c r="K605" s="198">
        <v>0</v>
      </c>
      <c r="L605" s="198">
        <v>0</v>
      </c>
      <c r="M605" s="198">
        <v>31800.825000000001</v>
      </c>
      <c r="N605" s="198">
        <v>75</v>
      </c>
      <c r="O605" s="198">
        <v>0</v>
      </c>
      <c r="P605" s="198">
        <v>6800.7491325000001</v>
      </c>
      <c r="Q605" s="198">
        <v>0</v>
      </c>
      <c r="R605" s="198">
        <v>3026.7991784400001</v>
      </c>
      <c r="S605" s="198">
        <v>3920</v>
      </c>
      <c r="T605" s="198">
        <v>0</v>
      </c>
      <c r="U605" s="198">
        <v>2000</v>
      </c>
      <c r="V605" s="198">
        <v>4720</v>
      </c>
      <c r="W605" s="198">
        <v>900</v>
      </c>
      <c r="X605" s="198">
        <v>1500</v>
      </c>
      <c r="Y605" s="198">
        <v>186</v>
      </c>
      <c r="Z605" s="277">
        <v>234523.37331094002</v>
      </c>
      <c r="AA605" s="272">
        <v>41.993336160000005</v>
      </c>
      <c r="AB605" s="198">
        <v>3.1986072025385841</v>
      </c>
      <c r="AC605" s="272">
        <v>1270.4000000000001</v>
      </c>
      <c r="AD605" s="198">
        <v>4.5734400000000006</v>
      </c>
      <c r="AE605" s="198">
        <v>7.7720472025385847</v>
      </c>
      <c r="AF605" s="198">
        <v>239.43345371594188</v>
      </c>
      <c r="AG605" s="198">
        <v>0.10525916704187141</v>
      </c>
      <c r="AH605" s="198">
        <v>5.5617126149164696E-4</v>
      </c>
      <c r="AI605" s="198">
        <v>242.73861408814346</v>
      </c>
      <c r="AJ605" s="198">
        <v>0.10213794246394095</v>
      </c>
      <c r="AK605" s="198">
        <v>2.3834658532133646</v>
      </c>
      <c r="AL605" s="198">
        <v>0.11159154471937097</v>
      </c>
      <c r="AM605" s="198">
        <v>8.7673615490289861E-2</v>
      </c>
      <c r="AN605" s="198">
        <v>2.5526888591333043E-2</v>
      </c>
      <c r="AO605" s="198">
        <v>1.6513634923763696E-3</v>
      </c>
      <c r="AP605" s="198">
        <v>3.8409436821632628E-3</v>
      </c>
      <c r="AQ605" s="198">
        <v>4.3903928806843361E-3</v>
      </c>
      <c r="AS605" s="258">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102">
        <f t="shared" si="77"/>
        <v>0.43207632715259969</v>
      </c>
      <c r="AZ605" s="102">
        <f t="shared" si="78"/>
        <v>0.56792367284740042</v>
      </c>
    </row>
    <row r="606" spans="1:52" x14ac:dyDescent="0.35">
      <c r="A606" t="s">
        <v>246</v>
      </c>
      <c r="B606">
        <v>2021</v>
      </c>
      <c r="C606" t="s">
        <v>837</v>
      </c>
      <c r="D606" t="s">
        <v>1031</v>
      </c>
      <c r="E606" t="s">
        <v>1032</v>
      </c>
      <c r="F606" t="s">
        <v>977</v>
      </c>
      <c r="G606" t="s">
        <v>978</v>
      </c>
      <c r="H606" s="198">
        <v>170000</v>
      </c>
      <c r="I606" s="198">
        <v>0</v>
      </c>
      <c r="J606" s="198">
        <v>0</v>
      </c>
      <c r="K606" s="198">
        <v>0</v>
      </c>
      <c r="L606" s="198">
        <v>0</v>
      </c>
      <c r="M606" s="198">
        <v>57606.412499999999</v>
      </c>
      <c r="N606" s="198">
        <v>75</v>
      </c>
      <c r="O606" s="198">
        <v>0</v>
      </c>
      <c r="P606" s="198">
        <v>6738.4555586999995</v>
      </c>
      <c r="Q606" s="198">
        <v>0</v>
      </c>
      <c r="R606" s="198">
        <v>0</v>
      </c>
      <c r="S606" s="198">
        <v>3899</v>
      </c>
      <c r="T606" s="198">
        <v>0</v>
      </c>
      <c r="U606" s="198">
        <v>2000</v>
      </c>
      <c r="V606" s="198">
        <v>4500</v>
      </c>
      <c r="W606" s="198">
        <v>900</v>
      </c>
      <c r="X606" s="198">
        <v>1500</v>
      </c>
      <c r="Y606" s="198">
        <v>186</v>
      </c>
      <c r="Z606" s="277">
        <v>247404.8680587</v>
      </c>
      <c r="AA606" s="272">
        <v>0</v>
      </c>
      <c r="AB606" s="198">
        <v>0</v>
      </c>
      <c r="AC606" s="272">
        <v>1558</v>
      </c>
      <c r="AD606" s="198">
        <v>5.6087999999999996</v>
      </c>
      <c r="AE606" s="198">
        <v>5.6087999999999996</v>
      </c>
      <c r="AF606" s="198">
        <v>0</v>
      </c>
      <c r="AG606" s="198">
        <v>0</v>
      </c>
      <c r="AH606" s="198">
        <v>0</v>
      </c>
      <c r="AI606" s="198">
        <v>0</v>
      </c>
      <c r="AJ606" s="198">
        <v>0</v>
      </c>
      <c r="AK606" s="198">
        <v>0</v>
      </c>
      <c r="AL606" s="198">
        <v>0</v>
      </c>
      <c r="AM606" s="198">
        <v>8.2922651915975115E-2</v>
      </c>
      <c r="AN606" s="198">
        <v>2.1191344378526919E-2</v>
      </c>
      <c r="AO606" s="198">
        <v>0</v>
      </c>
      <c r="AP606" s="198">
        <v>3.0298656533749324E-3</v>
      </c>
      <c r="AQ606" s="198">
        <v>3.7880305147108971E-3</v>
      </c>
      <c r="AS606" s="258">
        <f t="shared" si="72"/>
        <v>331893.63050074602</v>
      </c>
      <c r="AT606" s="3">
        <f t="shared" si="73"/>
        <v>0</v>
      </c>
      <c r="AU606" s="3">
        <f t="shared" si="79"/>
        <v>0</v>
      </c>
      <c r="AV606" s="3">
        <f t="shared" si="74"/>
        <v>96.809872370039898</v>
      </c>
      <c r="AW606" s="3">
        <f t="shared" si="75"/>
        <v>3.4851554053214362</v>
      </c>
      <c r="AX606" s="3">
        <f t="shared" si="76"/>
        <v>3.4851554053214362</v>
      </c>
      <c r="AY606" s="102">
        <f t="shared" si="77"/>
        <v>0</v>
      </c>
      <c r="AZ606" s="102">
        <f t="shared" si="78"/>
        <v>1</v>
      </c>
    </row>
    <row r="607" spans="1:52" x14ac:dyDescent="0.35">
      <c r="A607" t="s">
        <v>627</v>
      </c>
      <c r="B607">
        <v>2021</v>
      </c>
      <c r="C607" t="s">
        <v>837</v>
      </c>
      <c r="D607" t="s">
        <v>1031</v>
      </c>
      <c r="E607" t="s">
        <v>1032</v>
      </c>
      <c r="F607" t="s">
        <v>989</v>
      </c>
      <c r="G607" t="s">
        <v>978</v>
      </c>
      <c r="H607" s="198">
        <v>170000</v>
      </c>
      <c r="I607" s="198">
        <v>0</v>
      </c>
      <c r="J607" s="198">
        <v>31131.664675200002</v>
      </c>
      <c r="K607" s="198">
        <v>11024.5718</v>
      </c>
      <c r="L607" s="198">
        <v>0</v>
      </c>
      <c r="M607" s="198">
        <v>5445.723618</v>
      </c>
      <c r="N607" s="198">
        <v>75</v>
      </c>
      <c r="O607" s="198">
        <v>0</v>
      </c>
      <c r="P607" s="198">
        <v>6738.4555586999995</v>
      </c>
      <c r="Q607" s="198">
        <v>0</v>
      </c>
      <c r="R607" s="198">
        <v>0</v>
      </c>
      <c r="S607" s="198">
        <v>3899</v>
      </c>
      <c r="T607" s="198">
        <v>0</v>
      </c>
      <c r="U607" s="198">
        <v>2000</v>
      </c>
      <c r="V607" s="198">
        <v>4500</v>
      </c>
      <c r="W607" s="198">
        <v>900</v>
      </c>
      <c r="X607" s="198">
        <v>1500</v>
      </c>
      <c r="Y607" s="198">
        <v>186</v>
      </c>
      <c r="Z607" s="277">
        <v>237400.4156519</v>
      </c>
      <c r="AA607" s="272">
        <v>13.447081980000002</v>
      </c>
      <c r="AB607" s="198">
        <v>9.9887981422122625</v>
      </c>
      <c r="AC607" s="272">
        <v>0</v>
      </c>
      <c r="AD607" s="198">
        <v>0</v>
      </c>
      <c r="AE607" s="198">
        <v>9.9887981422122625</v>
      </c>
      <c r="AF607" s="198">
        <v>0</v>
      </c>
      <c r="AG607" s="198">
        <v>0</v>
      </c>
      <c r="AH607" s="198">
        <v>0</v>
      </c>
      <c r="AI607" s="198">
        <v>0</v>
      </c>
      <c r="AJ607" s="198">
        <v>0</v>
      </c>
      <c r="AK607" s="198">
        <v>0</v>
      </c>
      <c r="AL607" s="198">
        <v>0</v>
      </c>
      <c r="AM607" s="198">
        <v>9.3381111232422723E-2</v>
      </c>
      <c r="AN607" s="198">
        <v>2.3864061759396961E-2</v>
      </c>
      <c r="AO607" s="198">
        <v>0</v>
      </c>
      <c r="AP607" s="198">
        <v>3.4120016070373236E-3</v>
      </c>
      <c r="AQ607" s="198">
        <v>4.2657885471929302E-3</v>
      </c>
      <c r="AS607" s="258">
        <f t="shared" si="72"/>
        <v>318472.65759702382</v>
      </c>
      <c r="AT607" s="3">
        <f t="shared" si="73"/>
        <v>17.491907879439292</v>
      </c>
      <c r="AU607" s="3">
        <f t="shared" si="79"/>
        <v>6.7517757094797348</v>
      </c>
      <c r="AV607" s="3">
        <f t="shared" si="74"/>
        <v>0</v>
      </c>
      <c r="AW607" s="3">
        <f t="shared" si="75"/>
        <v>0</v>
      </c>
      <c r="AX607" s="3">
        <f t="shared" si="76"/>
        <v>6.7517757094797348</v>
      </c>
      <c r="AY607" s="102">
        <f t="shared" si="77"/>
        <v>1</v>
      </c>
      <c r="AZ607" s="102">
        <f t="shared" si="78"/>
        <v>0</v>
      </c>
    </row>
    <row r="608" spans="1:52" x14ac:dyDescent="0.35">
      <c r="A608" t="s">
        <v>1065</v>
      </c>
      <c r="B608">
        <v>2021</v>
      </c>
      <c r="C608" t="s">
        <v>837</v>
      </c>
      <c r="D608" t="s">
        <v>1031</v>
      </c>
      <c r="E608" t="s">
        <v>1032</v>
      </c>
      <c r="F608" t="s">
        <v>989</v>
      </c>
      <c r="G608" t="s">
        <v>978</v>
      </c>
      <c r="H608" s="198">
        <v>170000</v>
      </c>
      <c r="I608" s="198">
        <v>0</v>
      </c>
      <c r="J608" s="198">
        <v>14025.849499800001</v>
      </c>
      <c r="K608" s="198">
        <v>12950.7233</v>
      </c>
      <c r="L608" s="198">
        <v>0</v>
      </c>
      <c r="M608" s="198">
        <v>7246.4175000000005</v>
      </c>
      <c r="N608" s="198">
        <v>75</v>
      </c>
      <c r="O608" s="198">
        <v>0</v>
      </c>
      <c r="P608" s="198">
        <v>6842.5964676000003</v>
      </c>
      <c r="Q608" s="198">
        <v>0</v>
      </c>
      <c r="R608" s="198">
        <v>0</v>
      </c>
      <c r="S608" s="198">
        <v>3934</v>
      </c>
      <c r="T608" s="198">
        <v>0</v>
      </c>
      <c r="U608" s="198">
        <v>2000</v>
      </c>
      <c r="V608" s="198">
        <v>4500</v>
      </c>
      <c r="W608" s="198">
        <v>900</v>
      </c>
      <c r="X608" s="198">
        <v>1500</v>
      </c>
      <c r="Y608" s="198">
        <v>186</v>
      </c>
      <c r="Z608" s="277">
        <v>224160.58676740003</v>
      </c>
      <c r="AA608" s="272">
        <v>13.432655129999999</v>
      </c>
      <c r="AB608" s="198">
        <v>9.9995262440717489</v>
      </c>
      <c r="AC608" s="272">
        <v>0</v>
      </c>
      <c r="AD608" s="198">
        <v>0</v>
      </c>
      <c r="AE608" s="198">
        <v>9.9995262440717489</v>
      </c>
      <c r="AF608" s="198">
        <v>0</v>
      </c>
      <c r="AG608" s="198">
        <v>0</v>
      </c>
      <c r="AH608" s="198">
        <v>0</v>
      </c>
      <c r="AI608" s="198">
        <v>0</v>
      </c>
      <c r="AJ608" s="198">
        <v>0</v>
      </c>
      <c r="AK608" s="198">
        <v>0</v>
      </c>
      <c r="AL608" s="198">
        <v>0</v>
      </c>
      <c r="AM608" s="198">
        <v>9.3481403786020337E-2</v>
      </c>
      <c r="AN608" s="198">
        <v>2.3889692078649681E-2</v>
      </c>
      <c r="AO608" s="198">
        <v>0</v>
      </c>
      <c r="AP608" s="198">
        <v>3.4156661420758623E-3</v>
      </c>
      <c r="AQ608" s="198">
        <v>4.2703700607437875E-3</v>
      </c>
      <c r="AS608" s="258">
        <f t="shared" si="72"/>
        <v>300711.4271484671</v>
      </c>
      <c r="AT608" s="3">
        <f t="shared" si="73"/>
        <v>17.510694420800498</v>
      </c>
      <c r="AU608" s="3">
        <f t="shared" si="79"/>
        <v>6.7590272062576719</v>
      </c>
      <c r="AV608" s="3">
        <f t="shared" si="74"/>
        <v>0</v>
      </c>
      <c r="AW608" s="3">
        <f t="shared" si="75"/>
        <v>0</v>
      </c>
      <c r="AX608" s="3">
        <f t="shared" si="76"/>
        <v>6.7590272062576719</v>
      </c>
      <c r="AY608" s="102">
        <f t="shared" si="77"/>
        <v>1</v>
      </c>
      <c r="AZ608" s="102">
        <f t="shared" si="78"/>
        <v>0</v>
      </c>
    </row>
    <row r="609" spans="1:52" x14ac:dyDescent="0.35">
      <c r="A609" t="s">
        <v>1017</v>
      </c>
      <c r="B609">
        <v>2025</v>
      </c>
      <c r="C609" t="s">
        <v>837</v>
      </c>
      <c r="D609" t="s">
        <v>1031</v>
      </c>
      <c r="E609" t="s">
        <v>1032</v>
      </c>
      <c r="F609" t="s">
        <v>983</v>
      </c>
      <c r="G609" t="s">
        <v>978</v>
      </c>
      <c r="H609" s="198">
        <v>170512.42385083999</v>
      </c>
      <c r="I609" s="198">
        <v>17574</v>
      </c>
      <c r="J609" s="198">
        <v>0</v>
      </c>
      <c r="K609" s="198">
        <v>0</v>
      </c>
      <c r="L609" s="198">
        <v>120</v>
      </c>
      <c r="M609" s="198">
        <v>0</v>
      </c>
      <c r="N609" s="198">
        <v>0</v>
      </c>
      <c r="O609" s="198">
        <v>150</v>
      </c>
      <c r="P609" s="198">
        <v>0</v>
      </c>
      <c r="Q609" s="198">
        <v>0</v>
      </c>
      <c r="R609" s="198">
        <v>92</v>
      </c>
      <c r="S609" s="198">
        <v>6966</v>
      </c>
      <c r="T609" s="198">
        <v>506</v>
      </c>
      <c r="U609" s="198">
        <v>2000</v>
      </c>
      <c r="V609" s="198">
        <v>1920</v>
      </c>
      <c r="W609" s="198">
        <v>0</v>
      </c>
      <c r="X609" s="198">
        <v>0</v>
      </c>
      <c r="Y609" s="198">
        <v>186</v>
      </c>
      <c r="Z609" s="277">
        <v>200026.42385083999</v>
      </c>
      <c r="AA609" s="272">
        <v>7.7657518659999996</v>
      </c>
      <c r="AB609" s="198">
        <v>17.296482017160557</v>
      </c>
      <c r="AC609" s="272">
        <v>0</v>
      </c>
      <c r="AD609" s="198">
        <v>0</v>
      </c>
      <c r="AE609" s="198">
        <v>17.296482017160557</v>
      </c>
      <c r="AF609" s="198">
        <v>1294.7374167161361</v>
      </c>
      <c r="AG609" s="198">
        <v>0.569189392319286</v>
      </c>
      <c r="AH609" s="198">
        <v>3.0074984559582641E-3</v>
      </c>
      <c r="AI609" s="198">
        <v>1312.6100854502793</v>
      </c>
      <c r="AJ609" s="198">
        <v>0.55231135717297375</v>
      </c>
      <c r="AK609" s="198">
        <v>12.888601712614916</v>
      </c>
      <c r="AL609" s="198">
        <v>0.6034317514741746</v>
      </c>
      <c r="AM609" s="198">
        <v>0.10846438627638981</v>
      </c>
      <c r="AN609" s="198">
        <v>4.4597709319468437E-2</v>
      </c>
      <c r="AO609" s="198">
        <v>8.92975509059518E-3</v>
      </c>
      <c r="AP609" s="198">
        <v>7.4103248720192904E-3</v>
      </c>
      <c r="AQ609" s="198">
        <v>7.0384954795035832E-3</v>
      </c>
      <c r="AS609" s="258">
        <f t="shared" si="72"/>
        <v>268335.44759590185</v>
      </c>
      <c r="AT609" s="3">
        <f t="shared" si="73"/>
        <v>30.28877606445894</v>
      </c>
      <c r="AU609" s="3">
        <f t="shared" si="79"/>
        <v>11.691293134596616</v>
      </c>
      <c r="AV609" s="3">
        <f t="shared" si="74"/>
        <v>0</v>
      </c>
      <c r="AW609" s="3">
        <f t="shared" si="75"/>
        <v>0</v>
      </c>
      <c r="AX609" s="3">
        <f t="shared" si="76"/>
        <v>11.691293134596616</v>
      </c>
      <c r="AY609" s="102">
        <f t="shared" si="77"/>
        <v>1</v>
      </c>
      <c r="AZ609" s="102">
        <f t="shared" si="78"/>
        <v>0</v>
      </c>
    </row>
    <row r="610" spans="1:52" x14ac:dyDescent="0.35">
      <c r="A610" t="s">
        <v>1020</v>
      </c>
      <c r="B610">
        <v>2025</v>
      </c>
      <c r="C610" t="s">
        <v>837</v>
      </c>
      <c r="D610" t="s">
        <v>1031</v>
      </c>
      <c r="E610" t="s">
        <v>1032</v>
      </c>
      <c r="F610" t="s">
        <v>983</v>
      </c>
      <c r="G610" t="s">
        <v>978</v>
      </c>
      <c r="H610" s="198">
        <v>170512.42385083999</v>
      </c>
      <c r="I610" s="198">
        <v>16166</v>
      </c>
      <c r="J610" s="198">
        <v>0</v>
      </c>
      <c r="K610" s="198">
        <v>0</v>
      </c>
      <c r="L610" s="198">
        <v>150</v>
      </c>
      <c r="M610" s="198">
        <v>2076.2562819999998</v>
      </c>
      <c r="N610" s="198">
        <v>50</v>
      </c>
      <c r="O610" s="198">
        <v>150</v>
      </c>
      <c r="P610" s="198">
        <v>3476.0814433999999</v>
      </c>
      <c r="Q610" s="198">
        <v>0</v>
      </c>
      <c r="R610" s="198">
        <v>0</v>
      </c>
      <c r="S610" s="198">
        <v>6526</v>
      </c>
      <c r="T610" s="198">
        <v>392</v>
      </c>
      <c r="U610" s="198">
        <v>2000</v>
      </c>
      <c r="V610" s="198">
        <v>4720</v>
      </c>
      <c r="W610" s="198">
        <v>559.91999999999996</v>
      </c>
      <c r="X610" s="198">
        <v>1500</v>
      </c>
      <c r="Y610" s="198">
        <v>186</v>
      </c>
      <c r="Z610" s="277">
        <v>208464.68157623999</v>
      </c>
      <c r="AA610" s="272">
        <v>9.181086251</v>
      </c>
      <c r="AB610" s="198">
        <v>14.630097553584132</v>
      </c>
      <c r="AC610" s="272">
        <v>0</v>
      </c>
      <c r="AD610" s="198">
        <v>0</v>
      </c>
      <c r="AE610" s="198">
        <v>14.630097553584132</v>
      </c>
      <c r="AF610" s="198">
        <v>1095.143780916796</v>
      </c>
      <c r="AG610" s="198">
        <v>0.48144451153908457</v>
      </c>
      <c r="AH610" s="198">
        <v>2.5438696585391662E-3</v>
      </c>
      <c r="AI610" s="198">
        <v>1110.2612416156817</v>
      </c>
      <c r="AJ610" s="198">
        <v>0.46716835408357527</v>
      </c>
      <c r="AK610" s="198">
        <v>10.901725576204923</v>
      </c>
      <c r="AL610" s="198">
        <v>0.51040815017981245</v>
      </c>
      <c r="AM610" s="198">
        <v>9.1743774875078107E-2</v>
      </c>
      <c r="AN610" s="198">
        <v>3.7722632692756254E-2</v>
      </c>
      <c r="AO610" s="198">
        <v>7.553165318554691E-3</v>
      </c>
      <c r="AP610" s="198">
        <v>6.2679668428430287E-3</v>
      </c>
      <c r="AQ610" s="198">
        <v>5.9534577836946089E-3</v>
      </c>
      <c r="AS610" s="258">
        <f t="shared" si="72"/>
        <v>279655.37033452594</v>
      </c>
      <c r="AT610" s="3">
        <f t="shared" si="73"/>
        <v>25.619530501176655</v>
      </c>
      <c r="AU610" s="3">
        <f t="shared" si="79"/>
        <v>9.8889912363101544</v>
      </c>
      <c r="AV610" s="3">
        <f t="shared" si="74"/>
        <v>0</v>
      </c>
      <c r="AW610" s="3">
        <f t="shared" si="75"/>
        <v>0</v>
      </c>
      <c r="AX610" s="3">
        <f t="shared" si="76"/>
        <v>9.8889912363101544</v>
      </c>
      <c r="AY610" s="102">
        <f t="shared" si="77"/>
        <v>1</v>
      </c>
      <c r="AZ610" s="102">
        <f t="shared" si="78"/>
        <v>0</v>
      </c>
    </row>
    <row r="611" spans="1:52" x14ac:dyDescent="0.35">
      <c r="A611" t="s">
        <v>1021</v>
      </c>
      <c r="B611">
        <v>2025</v>
      </c>
      <c r="C611" t="s">
        <v>837</v>
      </c>
      <c r="D611" t="s">
        <v>1031</v>
      </c>
      <c r="E611" t="s">
        <v>1032</v>
      </c>
      <c r="F611" t="s">
        <v>983</v>
      </c>
      <c r="G611" t="s">
        <v>978</v>
      </c>
      <c r="H611" s="198">
        <v>170512.42385083999</v>
      </c>
      <c r="I611" s="198">
        <v>9738</v>
      </c>
      <c r="J611" s="198">
        <v>0</v>
      </c>
      <c r="K611" s="198">
        <v>0</v>
      </c>
      <c r="L611" s="198">
        <v>0</v>
      </c>
      <c r="M611" s="198">
        <v>27740.448</v>
      </c>
      <c r="N611" s="198">
        <v>50</v>
      </c>
      <c r="O611" s="198">
        <v>0</v>
      </c>
      <c r="P611" s="198">
        <v>5766.0477462999997</v>
      </c>
      <c r="Q611" s="198">
        <v>0</v>
      </c>
      <c r="R611" s="198">
        <v>2474.5286575</v>
      </c>
      <c r="S611" s="198">
        <v>3909</v>
      </c>
      <c r="T611" s="198">
        <v>0</v>
      </c>
      <c r="U611" s="198">
        <v>2000</v>
      </c>
      <c r="V611" s="198">
        <v>4720</v>
      </c>
      <c r="W611" s="198">
        <v>559.91999999999996</v>
      </c>
      <c r="X611" s="198">
        <v>1500</v>
      </c>
      <c r="Y611" s="198">
        <v>186</v>
      </c>
      <c r="Z611" s="277">
        <v>229156.36825463999</v>
      </c>
      <c r="AA611" s="272">
        <v>47.085484085000004</v>
      </c>
      <c r="AB611" s="198">
        <v>2.852687831721588</v>
      </c>
      <c r="AC611" s="272">
        <v>1189.6000000000001</v>
      </c>
      <c r="AD611" s="198">
        <v>4.2825600000000001</v>
      </c>
      <c r="AE611" s="198">
        <v>7.1352478317215882</v>
      </c>
      <c r="AF611" s="198">
        <v>213.53947411249919</v>
      </c>
      <c r="AG611" s="198">
        <v>9.387571714313192E-2</v>
      </c>
      <c r="AH611" s="198">
        <v>4.9602307802948441E-4</v>
      </c>
      <c r="AI611" s="198">
        <v>216.48719172164633</v>
      </c>
      <c r="AJ611" s="198">
        <v>9.1092043247048032E-2</v>
      </c>
      <c r="AK611" s="198">
        <v>2.125701471374605</v>
      </c>
      <c r="AL611" s="198">
        <v>9.9523267968419746E-2</v>
      </c>
      <c r="AM611" s="198">
        <v>8.1203910601081397E-2</v>
      </c>
      <c r="AN611" s="198">
        <v>2.3535948929230645E-2</v>
      </c>
      <c r="AO611" s="198">
        <v>1.4727736924723283E-3</v>
      </c>
      <c r="AP611" s="198">
        <v>3.5356086289124924E-3</v>
      </c>
      <c r="AQ611" s="198">
        <v>4.0531747331576497E-3</v>
      </c>
      <c r="AS611" s="258">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102">
        <f t="shared" si="77"/>
        <v>0.42015822529781305</v>
      </c>
      <c r="AZ611" s="102">
        <f t="shared" si="78"/>
        <v>0.57984177470218701</v>
      </c>
    </row>
    <row r="612" spans="1:52" x14ac:dyDescent="0.35">
      <c r="A612" t="s">
        <v>246</v>
      </c>
      <c r="B612">
        <v>2025</v>
      </c>
      <c r="C612" t="s">
        <v>837</v>
      </c>
      <c r="D612" t="s">
        <v>1031</v>
      </c>
      <c r="E612" t="s">
        <v>1032</v>
      </c>
      <c r="F612" t="s">
        <v>977</v>
      </c>
      <c r="G612" t="s">
        <v>978</v>
      </c>
      <c r="H612" s="198">
        <v>170512.42385083999</v>
      </c>
      <c r="I612" s="198">
        <v>0</v>
      </c>
      <c r="J612" s="198">
        <v>0</v>
      </c>
      <c r="K612" s="198">
        <v>0</v>
      </c>
      <c r="L612" s="198">
        <v>0</v>
      </c>
      <c r="M612" s="198">
        <v>49824.767999999996</v>
      </c>
      <c r="N612" s="198">
        <v>50</v>
      </c>
      <c r="O612" s="198">
        <v>0</v>
      </c>
      <c r="P612" s="198">
        <v>5724.9475237000006</v>
      </c>
      <c r="Q612" s="198">
        <v>0</v>
      </c>
      <c r="R612" s="198">
        <v>0</v>
      </c>
      <c r="S612" s="198">
        <v>3893</v>
      </c>
      <c r="T612" s="198">
        <v>0</v>
      </c>
      <c r="U612" s="198">
        <v>2000</v>
      </c>
      <c r="V612" s="198">
        <v>4500</v>
      </c>
      <c r="W612" s="198">
        <v>559.91999999999996</v>
      </c>
      <c r="X612" s="198">
        <v>1500</v>
      </c>
      <c r="Y612" s="198">
        <v>186</v>
      </c>
      <c r="Z612" s="277">
        <v>238751.05937454003</v>
      </c>
      <c r="AA612" s="272">
        <v>0</v>
      </c>
      <c r="AB612" s="198">
        <v>0</v>
      </c>
      <c r="AC612" s="272">
        <v>1453</v>
      </c>
      <c r="AD612" s="198">
        <v>5.2307999999999995</v>
      </c>
      <c r="AE612" s="198">
        <v>5.2307999999999995</v>
      </c>
      <c r="AF612" s="198">
        <v>0</v>
      </c>
      <c r="AG612" s="198">
        <v>0</v>
      </c>
      <c r="AH612" s="198">
        <v>0</v>
      </c>
      <c r="AI612" s="198">
        <v>0</v>
      </c>
      <c r="AJ612" s="198">
        <v>0</v>
      </c>
      <c r="AK612" s="198">
        <v>0</v>
      </c>
      <c r="AL612" s="198">
        <v>0</v>
      </c>
      <c r="AM612" s="198">
        <v>7.7334154835630192E-2</v>
      </c>
      <c r="AN612" s="198">
        <v>1.9763172902438775E-2</v>
      </c>
      <c r="AO612" s="198">
        <v>0</v>
      </c>
      <c r="AP612" s="198">
        <v>2.8256705997135919E-3</v>
      </c>
      <c r="AQ612" s="198">
        <v>3.5327396263638853E-3</v>
      </c>
      <c r="AS612" s="258">
        <f t="shared" si="72"/>
        <v>320284.54615094542</v>
      </c>
      <c r="AT612" s="3">
        <f t="shared" si="73"/>
        <v>0</v>
      </c>
      <c r="AU612" s="3">
        <f t="shared" si="79"/>
        <v>0</v>
      </c>
      <c r="AV612" s="3">
        <f t="shared" si="74"/>
        <v>90.285458635216926</v>
      </c>
      <c r="AW612" s="3">
        <f t="shared" si="75"/>
        <v>3.2502765108678098</v>
      </c>
      <c r="AX612" s="3">
        <f t="shared" si="76"/>
        <v>3.2502765108678098</v>
      </c>
      <c r="AY612" s="102">
        <f t="shared" si="77"/>
        <v>0</v>
      </c>
      <c r="AZ612" s="102">
        <f t="shared" si="78"/>
        <v>1</v>
      </c>
    </row>
    <row r="613" spans="1:52" x14ac:dyDescent="0.35">
      <c r="A613" t="s">
        <v>627</v>
      </c>
      <c r="B613">
        <v>2025</v>
      </c>
      <c r="C613" t="s">
        <v>837</v>
      </c>
      <c r="D613" t="s">
        <v>1031</v>
      </c>
      <c r="E613" t="s">
        <v>1032</v>
      </c>
      <c r="F613" t="s">
        <v>989</v>
      </c>
      <c r="G613" t="s">
        <v>978</v>
      </c>
      <c r="H613" s="198">
        <v>170512.42385083999</v>
      </c>
      <c r="I613" s="198">
        <v>0</v>
      </c>
      <c r="J613" s="198">
        <v>24228.879639433962</v>
      </c>
      <c r="K613" s="198">
        <v>10530.192948</v>
      </c>
      <c r="L613" s="198">
        <v>0</v>
      </c>
      <c r="M613" s="198">
        <v>4983.0150759999997</v>
      </c>
      <c r="N613" s="198">
        <v>50</v>
      </c>
      <c r="O613" s="198">
        <v>0</v>
      </c>
      <c r="P613" s="198">
        <v>5724.9475237000006</v>
      </c>
      <c r="Q613" s="198">
        <v>0</v>
      </c>
      <c r="R613" s="198">
        <v>0</v>
      </c>
      <c r="S613" s="198">
        <v>3893</v>
      </c>
      <c r="T613" s="198">
        <v>0</v>
      </c>
      <c r="U613" s="198">
        <v>2000</v>
      </c>
      <c r="V613" s="198">
        <v>4500</v>
      </c>
      <c r="W613" s="198">
        <v>559.91999999999996</v>
      </c>
      <c r="X613" s="198">
        <v>1500</v>
      </c>
      <c r="Y613" s="198">
        <v>186</v>
      </c>
      <c r="Z613" s="277">
        <v>228668.37903797397</v>
      </c>
      <c r="AA613" s="272">
        <v>14.26286726</v>
      </c>
      <c r="AB613" s="198">
        <v>9.4174744146079927</v>
      </c>
      <c r="AC613" s="272">
        <v>0</v>
      </c>
      <c r="AD613" s="198">
        <v>0</v>
      </c>
      <c r="AE613" s="198">
        <v>9.4174744146079927</v>
      </c>
      <c r="AF613" s="198">
        <v>0</v>
      </c>
      <c r="AG613" s="198">
        <v>0</v>
      </c>
      <c r="AH613" s="198">
        <v>0</v>
      </c>
      <c r="AI613" s="198">
        <v>0</v>
      </c>
      <c r="AJ613" s="198">
        <v>0</v>
      </c>
      <c r="AK613" s="198">
        <v>0</v>
      </c>
      <c r="AL613" s="198">
        <v>0</v>
      </c>
      <c r="AM613" s="198">
        <v>8.8040043788915376E-2</v>
      </c>
      <c r="AN613" s="198">
        <v>2.2499122301611742E-2</v>
      </c>
      <c r="AO613" s="198">
        <v>0</v>
      </c>
      <c r="AP613" s="198">
        <v>3.2168472502297298E-3</v>
      </c>
      <c r="AQ613" s="198">
        <v>4.0218006139845714E-3</v>
      </c>
      <c r="AS613" s="258">
        <f t="shared" si="72"/>
        <v>306758.63047944207</v>
      </c>
      <c r="AT613" s="3">
        <f t="shared" si="73"/>
        <v>16.491432960403792</v>
      </c>
      <c r="AU613" s="3">
        <f t="shared" si="79"/>
        <v>6.3655981522432441</v>
      </c>
      <c r="AV613" s="3">
        <f t="shared" si="74"/>
        <v>0</v>
      </c>
      <c r="AW613" s="3">
        <f t="shared" si="75"/>
        <v>0</v>
      </c>
      <c r="AX613" s="3">
        <f t="shared" si="76"/>
        <v>6.3655981522432441</v>
      </c>
      <c r="AY613" s="102">
        <f t="shared" si="77"/>
        <v>1</v>
      </c>
      <c r="AZ613" s="102">
        <f t="shared" si="78"/>
        <v>0</v>
      </c>
    </row>
    <row r="614" spans="1:52" x14ac:dyDescent="0.35">
      <c r="A614" t="s">
        <v>1065</v>
      </c>
      <c r="B614">
        <v>2025</v>
      </c>
      <c r="C614" t="s">
        <v>837</v>
      </c>
      <c r="D614" t="s">
        <v>1031</v>
      </c>
      <c r="E614" t="s">
        <v>1032</v>
      </c>
      <c r="F614" t="s">
        <v>989</v>
      </c>
      <c r="G614" t="s">
        <v>978</v>
      </c>
      <c r="H614" s="198">
        <v>170512.42385083999</v>
      </c>
      <c r="I614" s="198">
        <v>0</v>
      </c>
      <c r="J614" s="198">
        <v>10198.80318226415</v>
      </c>
      <c r="K614" s="198">
        <v>12168.065645999999</v>
      </c>
      <c r="L614" s="198">
        <v>0</v>
      </c>
      <c r="M614" s="198">
        <v>6768.2879999999996</v>
      </c>
      <c r="N614" s="198">
        <v>50</v>
      </c>
      <c r="O614" s="198">
        <v>0</v>
      </c>
      <c r="P614" s="198">
        <v>5772.7227165999993</v>
      </c>
      <c r="Q614" s="198">
        <v>0</v>
      </c>
      <c r="R614" s="198">
        <v>0</v>
      </c>
      <c r="S614" s="198">
        <v>3912</v>
      </c>
      <c r="T614" s="198">
        <v>0</v>
      </c>
      <c r="U614" s="198">
        <v>2000</v>
      </c>
      <c r="V614" s="198">
        <v>4500</v>
      </c>
      <c r="W614" s="198">
        <v>559.91999999999996</v>
      </c>
      <c r="X614" s="198">
        <v>1500</v>
      </c>
      <c r="Y614" s="198">
        <v>186</v>
      </c>
      <c r="Z614" s="277">
        <v>218128.22339570415</v>
      </c>
      <c r="AA614" s="272">
        <v>14.372893600000001</v>
      </c>
      <c r="AB614" s="198">
        <v>9.3453824426836363</v>
      </c>
      <c r="AC614" s="272">
        <v>0</v>
      </c>
      <c r="AD614" s="198">
        <v>0</v>
      </c>
      <c r="AE614" s="198">
        <v>9.3453824426836363</v>
      </c>
      <c r="AF614" s="198">
        <v>0</v>
      </c>
      <c r="AG614" s="198">
        <v>0</v>
      </c>
      <c r="AH614" s="198">
        <v>0</v>
      </c>
      <c r="AI614" s="198">
        <v>0</v>
      </c>
      <c r="AJ614" s="198">
        <v>0</v>
      </c>
      <c r="AK614" s="198">
        <v>0</v>
      </c>
      <c r="AL614" s="198">
        <v>0</v>
      </c>
      <c r="AM614" s="198">
        <v>8.7366085986045797E-2</v>
      </c>
      <c r="AN614" s="198">
        <v>2.2326888640878409E-2</v>
      </c>
      <c r="AO614" s="198">
        <v>0</v>
      </c>
      <c r="AP614" s="198">
        <v>3.1922218728261259E-3</v>
      </c>
      <c r="AQ614" s="198">
        <v>3.9910132155607445E-3</v>
      </c>
      <c r="AS614" s="258">
        <f t="shared" si="72"/>
        <v>292619.01168533711</v>
      </c>
      <c r="AT614" s="3">
        <f t="shared" si="73"/>
        <v>16.365188930462001</v>
      </c>
      <c r="AU614" s="3">
        <f t="shared" si="79"/>
        <v>6.3168686836968346</v>
      </c>
      <c r="AV614" s="3">
        <f t="shared" si="74"/>
        <v>0</v>
      </c>
      <c r="AW614" s="3">
        <f t="shared" si="75"/>
        <v>0</v>
      </c>
      <c r="AX614" s="3">
        <f t="shared" si="76"/>
        <v>6.3168686836968346</v>
      </c>
      <c r="AY614" s="102">
        <f t="shared" si="77"/>
        <v>1</v>
      </c>
      <c r="AZ614" s="102">
        <f t="shared" si="78"/>
        <v>0</v>
      </c>
    </row>
    <row r="615" spans="1:52" x14ac:dyDescent="0.35">
      <c r="A615" t="s">
        <v>1017</v>
      </c>
      <c r="B615">
        <v>2030</v>
      </c>
      <c r="C615" t="s">
        <v>837</v>
      </c>
      <c r="D615" t="s">
        <v>1031</v>
      </c>
      <c r="E615" t="s">
        <v>1032</v>
      </c>
      <c r="F615" t="s">
        <v>983</v>
      </c>
      <c r="G615" t="s">
        <v>978</v>
      </c>
      <c r="H615" s="198">
        <v>171085.45697435999</v>
      </c>
      <c r="I615" s="198">
        <v>17918</v>
      </c>
      <c r="J615" s="198">
        <v>0</v>
      </c>
      <c r="K615" s="198">
        <v>0</v>
      </c>
      <c r="L615" s="198">
        <v>120</v>
      </c>
      <c r="M615" s="198">
        <v>0</v>
      </c>
      <c r="N615" s="198">
        <v>0</v>
      </c>
      <c r="O615" s="198">
        <v>150</v>
      </c>
      <c r="P615" s="198">
        <v>0</v>
      </c>
      <c r="Q615" s="198">
        <v>0</v>
      </c>
      <c r="R615" s="198">
        <v>73.2</v>
      </c>
      <c r="S615" s="198">
        <v>6966</v>
      </c>
      <c r="T615" s="198">
        <v>506</v>
      </c>
      <c r="U615" s="198">
        <v>2000</v>
      </c>
      <c r="V615" s="198">
        <v>1920</v>
      </c>
      <c r="W615" s="198">
        <v>0</v>
      </c>
      <c r="X615" s="198">
        <v>0</v>
      </c>
      <c r="Y615" s="198">
        <v>186</v>
      </c>
      <c r="Z615" s="277">
        <v>200924.65697436</v>
      </c>
      <c r="AA615" s="272">
        <v>8.2269839109999996</v>
      </c>
      <c r="AB615" s="198">
        <v>16.326783782864261</v>
      </c>
      <c r="AC615" s="272">
        <v>0</v>
      </c>
      <c r="AD615" s="198">
        <v>0</v>
      </c>
      <c r="AE615" s="198">
        <v>16.326783782864261</v>
      </c>
      <c r="AF615" s="198">
        <v>1222.1501365038164</v>
      </c>
      <c r="AG615" s="198">
        <v>0.53727874435257295</v>
      </c>
      <c r="AH615" s="198">
        <v>2.8388881027374114E-3</v>
      </c>
      <c r="AI615" s="198">
        <v>1239.0208040624334</v>
      </c>
      <c r="AJ615" s="198">
        <v>0.521346947919054</v>
      </c>
      <c r="AK615" s="198">
        <v>12.166023889513603</v>
      </c>
      <c r="AL615" s="198">
        <v>0.5696013631129877</v>
      </c>
      <c r="AM615" s="198">
        <v>0.10238351250379864</v>
      </c>
      <c r="AN615" s="198">
        <v>4.2097413598185841E-2</v>
      </c>
      <c r="AO615" s="198">
        <v>8.4291233589252734E-3</v>
      </c>
      <c r="AP615" s="198">
        <v>6.9948774453790228E-3</v>
      </c>
      <c r="AQ615" s="198">
        <v>6.6438940436852759E-3</v>
      </c>
      <c r="AS615" s="258">
        <f t="shared" si="72"/>
        <v>269540.42733110394</v>
      </c>
      <c r="AT615" s="3">
        <f t="shared" si="73"/>
        <v>28.59068667035201</v>
      </c>
      <c r="AU615" s="3">
        <f t="shared" si="79"/>
        <v>11.035840407388232</v>
      </c>
      <c r="AV615" s="3">
        <f t="shared" si="74"/>
        <v>0</v>
      </c>
      <c r="AW615" s="3">
        <f t="shared" si="75"/>
        <v>0</v>
      </c>
      <c r="AX615" s="3">
        <f t="shared" si="76"/>
        <v>11.035840407388232</v>
      </c>
      <c r="AY615" s="102">
        <f t="shared" si="77"/>
        <v>1</v>
      </c>
      <c r="AZ615" s="102">
        <f t="shared" si="78"/>
        <v>0</v>
      </c>
    </row>
    <row r="616" spans="1:52" x14ac:dyDescent="0.35">
      <c r="A616" t="s">
        <v>1020</v>
      </c>
      <c r="B616">
        <v>2030</v>
      </c>
      <c r="C616" t="s">
        <v>837</v>
      </c>
      <c r="D616" t="s">
        <v>1031</v>
      </c>
      <c r="E616" t="s">
        <v>1032</v>
      </c>
      <c r="F616" t="s">
        <v>983</v>
      </c>
      <c r="G616" t="s">
        <v>978</v>
      </c>
      <c r="H616" s="198">
        <v>171085.45697435999</v>
      </c>
      <c r="I616" s="198">
        <v>16508</v>
      </c>
      <c r="J616" s="198">
        <v>0</v>
      </c>
      <c r="K616" s="198">
        <v>0</v>
      </c>
      <c r="L616" s="198">
        <v>150</v>
      </c>
      <c r="M616" s="198">
        <v>2028.7989955</v>
      </c>
      <c r="N616" s="198">
        <v>40</v>
      </c>
      <c r="O616" s="198">
        <v>150</v>
      </c>
      <c r="P616" s="198">
        <v>2794.0500536400004</v>
      </c>
      <c r="Q616" s="198">
        <v>0</v>
      </c>
      <c r="R616" s="198">
        <v>0</v>
      </c>
      <c r="S616" s="198">
        <v>6525</v>
      </c>
      <c r="T616" s="198">
        <v>392</v>
      </c>
      <c r="U616" s="198">
        <v>2000</v>
      </c>
      <c r="V616" s="198">
        <v>4720</v>
      </c>
      <c r="W616" s="198">
        <v>415.87200000000007</v>
      </c>
      <c r="X616" s="198">
        <v>1500</v>
      </c>
      <c r="Y616" s="198">
        <v>186</v>
      </c>
      <c r="Z616" s="277">
        <v>208495.17802349999</v>
      </c>
      <c r="AA616" s="272">
        <v>9.9565750879999992</v>
      </c>
      <c r="AB616" s="198">
        <v>13.490601568594329</v>
      </c>
      <c r="AC616" s="272">
        <v>0</v>
      </c>
      <c r="AD616" s="198">
        <v>0</v>
      </c>
      <c r="AE616" s="198">
        <v>13.490601568594329</v>
      </c>
      <c r="AF616" s="198">
        <v>1009.8461992177919</v>
      </c>
      <c r="AG616" s="198">
        <v>0.44394619097868848</v>
      </c>
      <c r="AH616" s="198">
        <v>2.3457350082659273E-3</v>
      </c>
      <c r="AI616" s="198">
        <v>1023.7862046258616</v>
      </c>
      <c r="AJ616" s="198">
        <v>0.43078196213760256</v>
      </c>
      <c r="AK616" s="198">
        <v>10.052621701261664</v>
      </c>
      <c r="AL616" s="198">
        <v>0.47065393557490132</v>
      </c>
      <c r="AM616" s="198">
        <v>8.4598117593227037E-2</v>
      </c>
      <c r="AN616" s="198">
        <v>3.4784525934465342E-2</v>
      </c>
      <c r="AO616" s="198">
        <v>6.9648711173072924E-3</v>
      </c>
      <c r="AP616" s="198">
        <v>5.7797730337922409E-3</v>
      </c>
      <c r="AQ616" s="198">
        <v>5.4897601756315412E-3</v>
      </c>
      <c r="AS616" s="258">
        <f t="shared" si="72"/>
        <v>279696.2813185252</v>
      </c>
      <c r="AT616" s="3">
        <f t="shared" si="73"/>
        <v>23.624099367755218</v>
      </c>
      <c r="AU616" s="3">
        <f t="shared" si="79"/>
        <v>9.1187663100509191</v>
      </c>
      <c r="AV616" s="3">
        <f t="shared" si="74"/>
        <v>0</v>
      </c>
      <c r="AW616" s="3">
        <f t="shared" si="75"/>
        <v>0</v>
      </c>
      <c r="AX616" s="3">
        <f t="shared" si="76"/>
        <v>9.1187663100509191</v>
      </c>
      <c r="AY616" s="102">
        <f t="shared" si="77"/>
        <v>1</v>
      </c>
      <c r="AZ616" s="102">
        <f t="shared" si="78"/>
        <v>0</v>
      </c>
    </row>
    <row r="617" spans="1:52" x14ac:dyDescent="0.35">
      <c r="A617" t="s">
        <v>1021</v>
      </c>
      <c r="B617">
        <v>2030</v>
      </c>
      <c r="C617" t="s">
        <v>837</v>
      </c>
      <c r="D617" t="s">
        <v>1031</v>
      </c>
      <c r="E617" t="s">
        <v>1032</v>
      </c>
      <c r="F617" t="s">
        <v>983</v>
      </c>
      <c r="G617" t="s">
        <v>978</v>
      </c>
      <c r="H617" s="198">
        <v>171085.45697435999</v>
      </c>
      <c r="I617" s="198">
        <v>9915</v>
      </c>
      <c r="J617" s="198">
        <v>0</v>
      </c>
      <c r="K617" s="198">
        <v>0</v>
      </c>
      <c r="L617" s="198">
        <v>0</v>
      </c>
      <c r="M617" s="198">
        <v>21001.95</v>
      </c>
      <c r="N617" s="198">
        <v>40</v>
      </c>
      <c r="O617" s="198">
        <v>0</v>
      </c>
      <c r="P617" s="198">
        <v>4566.12984177</v>
      </c>
      <c r="Q617" s="198">
        <v>0</v>
      </c>
      <c r="R617" s="198">
        <v>1866.9784513200002</v>
      </c>
      <c r="S617" s="198">
        <v>3899</v>
      </c>
      <c r="T617" s="198">
        <v>0</v>
      </c>
      <c r="U617" s="198">
        <v>2000</v>
      </c>
      <c r="V617" s="198">
        <v>4720</v>
      </c>
      <c r="W617" s="198">
        <v>415.87200000000007</v>
      </c>
      <c r="X617" s="198">
        <v>1500</v>
      </c>
      <c r="Y617" s="198">
        <v>186</v>
      </c>
      <c r="Z617" s="277">
        <v>221196.38726744999</v>
      </c>
      <c r="AA617" s="272">
        <v>52.258204350000014</v>
      </c>
      <c r="AB617" s="198">
        <v>2.57031769787551</v>
      </c>
      <c r="AC617" s="272">
        <v>1117.6000000000001</v>
      </c>
      <c r="AD617" s="198">
        <v>4.0233600000000003</v>
      </c>
      <c r="AE617" s="198">
        <v>6.5936776978755098</v>
      </c>
      <c r="AF617" s="198">
        <v>192.40250664761595</v>
      </c>
      <c r="AG617" s="198">
        <v>8.4583533638214234E-2</v>
      </c>
      <c r="AH617" s="198">
        <v>4.469247850524354E-4</v>
      </c>
      <c r="AI617" s="198">
        <v>195.05844770603795</v>
      </c>
      <c r="AJ617" s="198">
        <v>8.2075398608276354E-2</v>
      </c>
      <c r="AK617" s="198">
        <v>1.9152912742565373</v>
      </c>
      <c r="AL617" s="198">
        <v>8.9672067923134022E-2</v>
      </c>
      <c r="AM617" s="198">
        <v>7.5601085449908872E-2</v>
      </c>
      <c r="AN617" s="198">
        <v>2.1828560681473059E-2</v>
      </c>
      <c r="AO617" s="198">
        <v>1.3269928257248372E-3</v>
      </c>
      <c r="AP617" s="198">
        <v>3.2746134400490944E-3</v>
      </c>
      <c r="AQ617" s="198">
        <v>3.7632126242251335E-3</v>
      </c>
      <c r="AS617" s="258">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102">
        <f t="shared" si="77"/>
        <v>0.41001038431794579</v>
      </c>
      <c r="AZ617" s="102">
        <f t="shared" si="78"/>
        <v>0.58998961568205421</v>
      </c>
    </row>
    <row r="618" spans="1:52" x14ac:dyDescent="0.35">
      <c r="A618" t="s">
        <v>246</v>
      </c>
      <c r="B618">
        <v>2030</v>
      </c>
      <c r="C618" t="s">
        <v>837</v>
      </c>
      <c r="D618" t="s">
        <v>1031</v>
      </c>
      <c r="E618" t="s">
        <v>1032</v>
      </c>
      <c r="F618" t="s">
        <v>977</v>
      </c>
      <c r="G618" t="s">
        <v>978</v>
      </c>
      <c r="H618" s="198">
        <v>171085.45697435999</v>
      </c>
      <c r="I618" s="198">
        <v>0</v>
      </c>
      <c r="J618" s="198">
        <v>0</v>
      </c>
      <c r="K618" s="198">
        <v>0</v>
      </c>
      <c r="L618" s="198">
        <v>0</v>
      </c>
      <c r="M618" s="198">
        <v>37535.4</v>
      </c>
      <c r="N618" s="198">
        <v>40</v>
      </c>
      <c r="O618" s="198">
        <v>0</v>
      </c>
      <c r="P618" s="198">
        <v>4542.96672657</v>
      </c>
      <c r="Q618" s="198">
        <v>0</v>
      </c>
      <c r="R618" s="198">
        <v>0</v>
      </c>
      <c r="S618" s="198">
        <v>3888</v>
      </c>
      <c r="T618" s="198">
        <v>0</v>
      </c>
      <c r="U618" s="198">
        <v>2000</v>
      </c>
      <c r="V618" s="198">
        <v>4500</v>
      </c>
      <c r="W618" s="198">
        <v>415.87200000000007</v>
      </c>
      <c r="X618" s="198">
        <v>1500</v>
      </c>
      <c r="Y618" s="198">
        <v>186</v>
      </c>
      <c r="Z618" s="277">
        <v>225693.69570092999</v>
      </c>
      <c r="AA618" s="272">
        <v>0</v>
      </c>
      <c r="AB618" s="198">
        <v>0</v>
      </c>
      <c r="AC618" s="272">
        <v>1354</v>
      </c>
      <c r="AD618" s="198">
        <v>4.8743999999999996</v>
      </c>
      <c r="AE618" s="198">
        <v>4.8743999999999996</v>
      </c>
      <c r="AF618" s="198">
        <v>0</v>
      </c>
      <c r="AG618" s="198">
        <v>0</v>
      </c>
      <c r="AH618" s="198">
        <v>0</v>
      </c>
      <c r="AI618" s="198">
        <v>0</v>
      </c>
      <c r="AJ618" s="198">
        <v>0</v>
      </c>
      <c r="AK618" s="198">
        <v>0</v>
      </c>
      <c r="AL618" s="198">
        <v>0</v>
      </c>
      <c r="AM618" s="198">
        <v>7.2065000445590693E-2</v>
      </c>
      <c r="AN618" s="198">
        <v>1.8416611224984242E-2</v>
      </c>
      <c r="AO618" s="198">
        <v>0</v>
      </c>
      <c r="AP618" s="198">
        <v>2.6331438348329E-3</v>
      </c>
      <c r="AQ618" s="198">
        <v>3.2920367887795603E-3</v>
      </c>
      <c r="AS618" s="258">
        <f t="shared" si="72"/>
        <v>302768.09278279758</v>
      </c>
      <c r="AT618" s="3">
        <f t="shared" si="73"/>
        <v>0</v>
      </c>
      <c r="AU618" s="3">
        <f t="shared" si="79"/>
        <v>0</v>
      </c>
      <c r="AV618" s="3">
        <f t="shared" si="74"/>
        <v>84.133868542383837</v>
      </c>
      <c r="AW618" s="3">
        <f t="shared" si="75"/>
        <v>3.0288192675258183</v>
      </c>
      <c r="AX618" s="3">
        <f t="shared" si="76"/>
        <v>3.0288192675258183</v>
      </c>
      <c r="AY618" s="102">
        <f t="shared" si="77"/>
        <v>0</v>
      </c>
      <c r="AZ618" s="102">
        <f t="shared" si="78"/>
        <v>1</v>
      </c>
    </row>
    <row r="619" spans="1:52" x14ac:dyDescent="0.35">
      <c r="A619" t="s">
        <v>627</v>
      </c>
      <c r="B619">
        <v>2030</v>
      </c>
      <c r="C619" t="s">
        <v>837</v>
      </c>
      <c r="D619" t="s">
        <v>1031</v>
      </c>
      <c r="E619" t="s">
        <v>1032</v>
      </c>
      <c r="F619" t="s">
        <v>989</v>
      </c>
      <c r="G619" t="s">
        <v>978</v>
      </c>
      <c r="H619" s="198">
        <v>171085.45697435999</v>
      </c>
      <c r="I619" s="198">
        <v>0</v>
      </c>
      <c r="J619" s="198">
        <v>21026.736709000001</v>
      </c>
      <c r="K619" s="198">
        <v>9275.3377199999995</v>
      </c>
      <c r="L619" s="198">
        <v>0</v>
      </c>
      <c r="M619" s="198">
        <v>4891.6597990999999</v>
      </c>
      <c r="N619" s="198">
        <v>40</v>
      </c>
      <c r="O619" s="198">
        <v>0</v>
      </c>
      <c r="P619" s="198">
        <v>4542.96672657</v>
      </c>
      <c r="Q619" s="198">
        <v>0</v>
      </c>
      <c r="R619" s="198">
        <v>0</v>
      </c>
      <c r="S619" s="198">
        <v>3888</v>
      </c>
      <c r="T619" s="198">
        <v>0</v>
      </c>
      <c r="U619" s="198">
        <v>2000</v>
      </c>
      <c r="V619" s="198">
        <v>4500</v>
      </c>
      <c r="W619" s="198">
        <v>415.87200000000007</v>
      </c>
      <c r="X619" s="198">
        <v>1500</v>
      </c>
      <c r="Y619" s="198">
        <v>186</v>
      </c>
      <c r="Z619" s="277">
        <v>223352.02992902999</v>
      </c>
      <c r="AA619" s="272">
        <v>15.25467534</v>
      </c>
      <c r="AB619" s="198">
        <v>8.80518165783527</v>
      </c>
      <c r="AC619" s="272">
        <v>0</v>
      </c>
      <c r="AD619" s="198">
        <v>0</v>
      </c>
      <c r="AE619" s="198">
        <v>8.80518165783527</v>
      </c>
      <c r="AF619" s="198">
        <v>0</v>
      </c>
      <c r="AG619" s="198">
        <v>0</v>
      </c>
      <c r="AH619" s="198">
        <v>0</v>
      </c>
      <c r="AI619" s="198">
        <v>0</v>
      </c>
      <c r="AJ619" s="198">
        <v>0</v>
      </c>
      <c r="AK619" s="198">
        <v>0</v>
      </c>
      <c r="AL619" s="198">
        <v>0</v>
      </c>
      <c r="AM619" s="198">
        <v>8.2315973964601427E-2</v>
      </c>
      <c r="AN619" s="198">
        <v>2.1036304457620399E-2</v>
      </c>
      <c r="AO619" s="198">
        <v>0</v>
      </c>
      <c r="AP619" s="198">
        <v>3.0076985778526993E-3</v>
      </c>
      <c r="AQ619" s="198">
        <v>3.760316560329264E-3</v>
      </c>
      <c r="AS619" s="258">
        <f t="shared" si="72"/>
        <v>299626.74814979371</v>
      </c>
      <c r="AT619" s="3">
        <f t="shared" si="73"/>
        <v>15.419215027451914</v>
      </c>
      <c r="AU619" s="3">
        <f t="shared" si="79"/>
        <v>5.9517282047869955</v>
      </c>
      <c r="AV619" s="3">
        <f t="shared" si="74"/>
        <v>0</v>
      </c>
      <c r="AW619" s="3">
        <f t="shared" si="75"/>
        <v>0</v>
      </c>
      <c r="AX619" s="3">
        <f t="shared" si="76"/>
        <v>5.9517282047869955</v>
      </c>
      <c r="AY619" s="102">
        <f t="shared" si="77"/>
        <v>1</v>
      </c>
      <c r="AZ619" s="102">
        <f t="shared" si="78"/>
        <v>0</v>
      </c>
    </row>
    <row r="620" spans="1:52" x14ac:dyDescent="0.35">
      <c r="A620" t="s">
        <v>1065</v>
      </c>
      <c r="B620">
        <v>2030</v>
      </c>
      <c r="C620" t="s">
        <v>837</v>
      </c>
      <c r="D620" t="s">
        <v>1031</v>
      </c>
      <c r="E620" t="s">
        <v>1032</v>
      </c>
      <c r="F620" t="s">
        <v>989</v>
      </c>
      <c r="G620" t="s">
        <v>978</v>
      </c>
      <c r="H620" s="198">
        <v>171085.45697435999</v>
      </c>
      <c r="I620" s="198">
        <v>0</v>
      </c>
      <c r="J620" s="198">
        <v>8397.4427020000003</v>
      </c>
      <c r="K620" s="198">
        <v>10660.45002</v>
      </c>
      <c r="L620" s="198">
        <v>0</v>
      </c>
      <c r="M620" s="198">
        <v>5436.6750000000002</v>
      </c>
      <c r="N620" s="198">
        <v>40</v>
      </c>
      <c r="O620" s="198">
        <v>0</v>
      </c>
      <c r="P620" s="198">
        <v>4542.2427675899999</v>
      </c>
      <c r="Q620" s="198">
        <v>0</v>
      </c>
      <c r="R620" s="198">
        <v>0</v>
      </c>
      <c r="S620" s="198">
        <v>3887</v>
      </c>
      <c r="T620" s="198">
        <v>0</v>
      </c>
      <c r="U620" s="198">
        <v>2000</v>
      </c>
      <c r="V620" s="198">
        <v>4500</v>
      </c>
      <c r="W620" s="198">
        <v>415.87200000000007</v>
      </c>
      <c r="X620" s="198">
        <v>1500</v>
      </c>
      <c r="Y620" s="198">
        <v>186</v>
      </c>
      <c r="Z620" s="277">
        <v>212651.13946394998</v>
      </c>
      <c r="AA620" s="272">
        <v>15.441484929999998</v>
      </c>
      <c r="AB620" s="198">
        <v>8.6986574224503705</v>
      </c>
      <c r="AC620" s="272">
        <v>0</v>
      </c>
      <c r="AD620" s="198">
        <v>0</v>
      </c>
      <c r="AE620" s="198">
        <v>8.6986574224503705</v>
      </c>
      <c r="AF620" s="198">
        <v>0</v>
      </c>
      <c r="AG620" s="198">
        <v>0</v>
      </c>
      <c r="AH620" s="198">
        <v>0</v>
      </c>
      <c r="AI620" s="198">
        <v>0</v>
      </c>
      <c r="AJ620" s="198">
        <v>0</v>
      </c>
      <c r="AK620" s="198">
        <v>0</v>
      </c>
      <c r="AL620" s="198">
        <v>0</v>
      </c>
      <c r="AM620" s="198">
        <v>8.1320123279483569E-2</v>
      </c>
      <c r="AN620" s="198">
        <v>2.0781809282534727E-2</v>
      </c>
      <c r="AO620" s="198">
        <v>0</v>
      </c>
      <c r="AP620" s="198">
        <v>2.9713117315928145E-3</v>
      </c>
      <c r="AQ620" s="198">
        <v>3.7148246145682347E-3</v>
      </c>
      <c r="AS620" s="258">
        <f t="shared" si="72"/>
        <v>285271.50359088887</v>
      </c>
      <c r="AT620" s="3">
        <f t="shared" si="73"/>
        <v>15.232674856577292</v>
      </c>
      <c r="AU620" s="3">
        <f t="shared" si="79"/>
        <v>5.8797247730724997</v>
      </c>
      <c r="AV620" s="3">
        <f t="shared" si="74"/>
        <v>0</v>
      </c>
      <c r="AW620" s="3">
        <f t="shared" si="75"/>
        <v>0</v>
      </c>
      <c r="AX620" s="3">
        <f t="shared" si="76"/>
        <v>5.8797247730724997</v>
      </c>
      <c r="AY620" s="102">
        <f t="shared" si="77"/>
        <v>1</v>
      </c>
      <c r="AZ620" s="102">
        <f t="shared" si="78"/>
        <v>0</v>
      </c>
    </row>
    <row r="621" spans="1:52" x14ac:dyDescent="0.35">
      <c r="A621" t="s">
        <v>1017</v>
      </c>
      <c r="B621">
        <v>2035</v>
      </c>
      <c r="C621" t="s">
        <v>837</v>
      </c>
      <c r="D621" t="s">
        <v>1031</v>
      </c>
      <c r="E621" t="s">
        <v>1032</v>
      </c>
      <c r="F621" t="s">
        <v>983</v>
      </c>
      <c r="G621" t="s">
        <v>978</v>
      </c>
      <c r="H621" s="198">
        <v>171085.45697435999</v>
      </c>
      <c r="I621" s="198">
        <v>18147</v>
      </c>
      <c r="J621" s="198">
        <v>0</v>
      </c>
      <c r="K621" s="198">
        <v>0</v>
      </c>
      <c r="L621" s="198">
        <v>120</v>
      </c>
      <c r="M621" s="198">
        <v>0</v>
      </c>
      <c r="N621" s="198">
        <v>0</v>
      </c>
      <c r="O621" s="198">
        <v>150</v>
      </c>
      <c r="P621" s="198">
        <v>0</v>
      </c>
      <c r="Q621" s="198">
        <v>0</v>
      </c>
      <c r="R621" s="198">
        <v>62.6</v>
      </c>
      <c r="S621" s="198">
        <v>6966</v>
      </c>
      <c r="T621" s="198">
        <v>506</v>
      </c>
      <c r="U621" s="198">
        <v>2000</v>
      </c>
      <c r="V621" s="198">
        <v>1920</v>
      </c>
      <c r="W621" s="198">
        <v>0</v>
      </c>
      <c r="X621" s="198">
        <v>0</v>
      </c>
      <c r="Y621" s="198">
        <v>186</v>
      </c>
      <c r="Z621" s="277">
        <v>201143.05697435999</v>
      </c>
      <c r="AA621" s="272">
        <v>8.5475773749999995</v>
      </c>
      <c r="AB621" s="198">
        <v>15.714416097929737</v>
      </c>
      <c r="AC621" s="272">
        <v>0</v>
      </c>
      <c r="AD621" s="198">
        <v>0</v>
      </c>
      <c r="AE621" s="198">
        <v>15.714416097929737</v>
      </c>
      <c r="AF621" s="198">
        <v>1176.3110257710127</v>
      </c>
      <c r="AG621" s="198">
        <v>0.51712706321197821</v>
      </c>
      <c r="AH621" s="198">
        <v>2.7324100995751444E-3</v>
      </c>
      <c r="AI621" s="198">
        <v>1192.5489262290444</v>
      </c>
      <c r="AJ621" s="198">
        <v>0.50179281969693923</v>
      </c>
      <c r="AK621" s="198">
        <v>11.709713572481121</v>
      </c>
      <c r="AL621" s="198">
        <v>0.54823735947920782</v>
      </c>
      <c r="AM621" s="198">
        <v>9.8543420336153292E-2</v>
      </c>
      <c r="AN621" s="198">
        <v>4.0518468470370245E-2</v>
      </c>
      <c r="AO621" s="198">
        <v>8.1129727424915539E-3</v>
      </c>
      <c r="AP621" s="198">
        <v>6.7325210030695984E-3</v>
      </c>
      <c r="AQ621" s="198">
        <v>6.3947019144459634E-3</v>
      </c>
      <c r="AS621" s="258">
        <f t="shared" si="72"/>
        <v>269833.41093110392</v>
      </c>
      <c r="AT621" s="3">
        <f t="shared" si="73"/>
        <v>27.518337526769468</v>
      </c>
      <c r="AU621" s="3">
        <f t="shared" si="79"/>
        <v>10.62191981338416</v>
      </c>
      <c r="AV621" s="3">
        <f t="shared" si="74"/>
        <v>0</v>
      </c>
      <c r="AW621" s="3">
        <f t="shared" si="75"/>
        <v>0</v>
      </c>
      <c r="AX621" s="3">
        <f t="shared" si="76"/>
        <v>10.62191981338416</v>
      </c>
      <c r="AY621" s="102">
        <f t="shared" si="77"/>
        <v>1</v>
      </c>
      <c r="AZ621" s="102">
        <f t="shared" si="78"/>
        <v>0</v>
      </c>
    </row>
    <row r="622" spans="1:52" x14ac:dyDescent="0.35">
      <c r="A622" t="s">
        <v>1020</v>
      </c>
      <c r="B622">
        <v>2035</v>
      </c>
      <c r="C622" t="s">
        <v>837</v>
      </c>
      <c r="D622" t="s">
        <v>1031</v>
      </c>
      <c r="E622" t="s">
        <v>1032</v>
      </c>
      <c r="F622" t="s">
        <v>983</v>
      </c>
      <c r="G622" t="s">
        <v>978</v>
      </c>
      <c r="H622" s="198">
        <v>171085.45697435999</v>
      </c>
      <c r="I622" s="198">
        <v>16737</v>
      </c>
      <c r="J622" s="198">
        <v>0</v>
      </c>
      <c r="K622" s="198">
        <v>0</v>
      </c>
      <c r="L622" s="198">
        <v>150</v>
      </c>
      <c r="M622" s="198">
        <v>1964.7316584</v>
      </c>
      <c r="N622" s="198">
        <v>35</v>
      </c>
      <c r="O622" s="198">
        <v>150</v>
      </c>
      <c r="P622" s="198">
        <v>2399.720037</v>
      </c>
      <c r="Q622" s="198">
        <v>0</v>
      </c>
      <c r="R622" s="198">
        <v>0</v>
      </c>
      <c r="S622" s="198">
        <v>6525</v>
      </c>
      <c r="T622" s="198">
        <v>392</v>
      </c>
      <c r="U622" s="198">
        <v>2000</v>
      </c>
      <c r="V622" s="198">
        <v>4720</v>
      </c>
      <c r="W622" s="198">
        <v>336</v>
      </c>
      <c r="X622" s="198">
        <v>1500</v>
      </c>
      <c r="Y622" s="198">
        <v>186</v>
      </c>
      <c r="Z622" s="277">
        <v>208180.90866975999</v>
      </c>
      <c r="AA622" s="272">
        <v>10.630142920000001</v>
      </c>
      <c r="AB622" s="198">
        <v>12.635783781164818</v>
      </c>
      <c r="AC622" s="272">
        <v>0</v>
      </c>
      <c r="AD622" s="198">
        <v>0</v>
      </c>
      <c r="AE622" s="198">
        <v>12.635783781164818</v>
      </c>
      <c r="AF622" s="198">
        <v>945.85835632804003</v>
      </c>
      <c r="AG622" s="198">
        <v>0.41581600725184797</v>
      </c>
      <c r="AH622" s="198">
        <v>2.1970999752419138E-3</v>
      </c>
      <c r="AI622" s="198">
        <v>958.91506794679333</v>
      </c>
      <c r="AJ622" s="198">
        <v>0.40348591593338734</v>
      </c>
      <c r="AK622" s="198">
        <v>9.4156478942119506</v>
      </c>
      <c r="AL622" s="198">
        <v>0.44083144368619831</v>
      </c>
      <c r="AM622" s="198">
        <v>7.9237646799241612E-2</v>
      </c>
      <c r="AN622" s="198">
        <v>3.2580441013203947E-2</v>
      </c>
      <c r="AO622" s="198">
        <v>6.5235493802478913E-3</v>
      </c>
      <c r="AP622" s="198">
        <v>5.4135437910509312E-3</v>
      </c>
      <c r="AQ622" s="198">
        <v>5.1419072927937183E-3</v>
      </c>
      <c r="AS622" s="258">
        <f t="shared" si="72"/>
        <v>279274.68898048298</v>
      </c>
      <c r="AT622" s="3">
        <f t="shared" si="73"/>
        <v>22.127183144347427</v>
      </c>
      <c r="AU622" s="3">
        <f t="shared" si="79"/>
        <v>8.5409652682211217</v>
      </c>
      <c r="AV622" s="3">
        <f t="shared" si="74"/>
        <v>0</v>
      </c>
      <c r="AW622" s="3">
        <f t="shared" si="75"/>
        <v>0</v>
      </c>
      <c r="AX622" s="3">
        <f t="shared" si="76"/>
        <v>8.5409652682211217</v>
      </c>
      <c r="AY622" s="102">
        <f t="shared" si="77"/>
        <v>1</v>
      </c>
      <c r="AZ622" s="102">
        <f t="shared" si="78"/>
        <v>0</v>
      </c>
    </row>
    <row r="623" spans="1:52" x14ac:dyDescent="0.35">
      <c r="A623" t="s">
        <v>1021</v>
      </c>
      <c r="B623">
        <v>2035</v>
      </c>
      <c r="C623" t="s">
        <v>837</v>
      </c>
      <c r="D623" t="s">
        <v>1031</v>
      </c>
      <c r="E623" t="s">
        <v>1032</v>
      </c>
      <c r="F623" t="s">
        <v>983</v>
      </c>
      <c r="G623" t="s">
        <v>978</v>
      </c>
      <c r="H623" s="198">
        <v>171085.45697435999</v>
      </c>
      <c r="I623" s="198">
        <v>9970</v>
      </c>
      <c r="J623" s="198">
        <v>0</v>
      </c>
      <c r="K623" s="198">
        <v>0</v>
      </c>
      <c r="L623" s="198">
        <v>0</v>
      </c>
      <c r="M623" s="198">
        <v>17695.260000000002</v>
      </c>
      <c r="N623" s="198">
        <v>35</v>
      </c>
      <c r="O623" s="198">
        <v>0</v>
      </c>
      <c r="P623" s="198">
        <v>3898.9360673299998</v>
      </c>
      <c r="Q623" s="198">
        <v>0</v>
      </c>
      <c r="R623" s="198">
        <v>1505.79145829</v>
      </c>
      <c r="S623" s="198">
        <v>3888</v>
      </c>
      <c r="T623" s="198">
        <v>0</v>
      </c>
      <c r="U623" s="198">
        <v>2000</v>
      </c>
      <c r="V623" s="198">
        <v>4720</v>
      </c>
      <c r="W623" s="198">
        <v>336</v>
      </c>
      <c r="X623" s="198">
        <v>1500</v>
      </c>
      <c r="Y623" s="198">
        <v>186</v>
      </c>
      <c r="Z623" s="277">
        <v>216820.44449998002</v>
      </c>
      <c r="AA623" s="272">
        <v>56.623933000000008</v>
      </c>
      <c r="AB623" s="198">
        <v>2.3721451404656047</v>
      </c>
      <c r="AC623" s="272">
        <v>1058.4000000000001</v>
      </c>
      <c r="AD623" s="198">
        <v>3.8102400000000003</v>
      </c>
      <c r="AE623" s="198">
        <v>6.1823851404656054</v>
      </c>
      <c r="AF623" s="198">
        <v>177.56819382085928</v>
      </c>
      <c r="AG623" s="198">
        <v>7.8062108216871817E-2</v>
      </c>
      <c r="AH623" s="198">
        <v>4.1246669930804697E-4</v>
      </c>
      <c r="AI623" s="198">
        <v>180.0193607253654</v>
      </c>
      <c r="AJ623" s="198">
        <v>7.5747351434931443E-2</v>
      </c>
      <c r="AK623" s="198">
        <v>1.7676215249807894</v>
      </c>
      <c r="AL623" s="198">
        <v>8.2758314404162259E-2</v>
      </c>
      <c r="AM623" s="198">
        <v>7.1207518688992069E-2</v>
      </c>
      <c r="AN623" s="198">
        <v>2.0512370608205734E-2</v>
      </c>
      <c r="AO623" s="198">
        <v>1.2246811301099925E-3</v>
      </c>
      <c r="AP623" s="198">
        <v>3.0745833345779314E-3</v>
      </c>
      <c r="AQ623" s="198">
        <v>3.5386343952668558E-3</v>
      </c>
      <c r="AS623" s="258">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102">
        <f t="shared" ref="AY623:AY686" si="85">AU623/AX623</f>
        <v>0.40378179507262923</v>
      </c>
      <c r="AZ623" s="102">
        <f t="shared" ref="AZ623:AZ686" si="86">AW623/AX623</f>
        <v>0.59621820492737077</v>
      </c>
    </row>
    <row r="624" spans="1:52" x14ac:dyDescent="0.35">
      <c r="A624" t="s">
        <v>246</v>
      </c>
      <c r="B624">
        <v>2035</v>
      </c>
      <c r="C624" t="s">
        <v>837</v>
      </c>
      <c r="D624" t="s">
        <v>1031</v>
      </c>
      <c r="E624" t="s">
        <v>1032</v>
      </c>
      <c r="F624" t="s">
        <v>977</v>
      </c>
      <c r="G624" t="s">
        <v>978</v>
      </c>
      <c r="H624" s="198">
        <v>171085.45697435999</v>
      </c>
      <c r="I624" s="198">
        <v>0</v>
      </c>
      <c r="J624" s="198">
        <v>0</v>
      </c>
      <c r="K624" s="198">
        <v>0</v>
      </c>
      <c r="L624" s="198">
        <v>0</v>
      </c>
      <c r="M624" s="198">
        <v>31502.925000000003</v>
      </c>
      <c r="N624" s="198">
        <v>35</v>
      </c>
      <c r="O624" s="198">
        <v>0</v>
      </c>
      <c r="P624" s="198">
        <v>3887.2103025299998</v>
      </c>
      <c r="Q624" s="198">
        <v>0</v>
      </c>
      <c r="R624" s="198">
        <v>0</v>
      </c>
      <c r="S624" s="198">
        <v>3882</v>
      </c>
      <c r="T624" s="198">
        <v>0</v>
      </c>
      <c r="U624" s="198">
        <v>2000</v>
      </c>
      <c r="V624" s="198">
        <v>4500</v>
      </c>
      <c r="W624" s="198">
        <v>336</v>
      </c>
      <c r="X624" s="198">
        <v>1500</v>
      </c>
      <c r="Y624" s="198">
        <v>186</v>
      </c>
      <c r="Z624" s="277">
        <v>218914.59227688998</v>
      </c>
      <c r="AA624" s="272">
        <v>0</v>
      </c>
      <c r="AB624" s="198">
        <v>0</v>
      </c>
      <c r="AC624" s="272">
        <v>1280</v>
      </c>
      <c r="AD624" s="198">
        <v>4.6079999999999997</v>
      </c>
      <c r="AE624" s="198">
        <v>4.6079999999999997</v>
      </c>
      <c r="AF624" s="198">
        <v>0</v>
      </c>
      <c r="AG624" s="198">
        <v>0</v>
      </c>
      <c r="AH624" s="198">
        <v>0</v>
      </c>
      <c r="AI624" s="198">
        <v>0</v>
      </c>
      <c r="AJ624" s="198">
        <v>0</v>
      </c>
      <c r="AK624" s="198">
        <v>0</v>
      </c>
      <c r="AL624" s="198">
        <v>0</v>
      </c>
      <c r="AM624" s="198">
        <v>6.8126440598490462E-2</v>
      </c>
      <c r="AN624" s="198">
        <v>1.7410090375169739E-2</v>
      </c>
      <c r="AO624" s="198">
        <v>0</v>
      </c>
      <c r="AP624" s="198">
        <v>2.4892349398715746E-3</v>
      </c>
      <c r="AQ624" s="198">
        <v>3.1121174960397615E-3</v>
      </c>
      <c r="AS624" s="258">
        <f t="shared" si="80"/>
        <v>293673.92553944787</v>
      </c>
      <c r="AT624" s="3">
        <f t="shared" si="81"/>
        <v>0</v>
      </c>
      <c r="AU624" s="3">
        <f t="shared" si="79"/>
        <v>0</v>
      </c>
      <c r="AV624" s="3">
        <f t="shared" si="82"/>
        <v>79.535710291175263</v>
      </c>
      <c r="AW624" s="3">
        <f t="shared" si="83"/>
        <v>2.8632855704823097</v>
      </c>
      <c r="AX624" s="3">
        <f t="shared" si="84"/>
        <v>2.8632855704823097</v>
      </c>
      <c r="AY624" s="102">
        <f t="shared" si="85"/>
        <v>0</v>
      </c>
      <c r="AZ624" s="102">
        <f t="shared" si="86"/>
        <v>1</v>
      </c>
    </row>
    <row r="625" spans="1:52" x14ac:dyDescent="0.35">
      <c r="A625" t="s">
        <v>627</v>
      </c>
      <c r="B625">
        <v>2035</v>
      </c>
      <c r="C625" t="s">
        <v>837</v>
      </c>
      <c r="D625" t="s">
        <v>1031</v>
      </c>
      <c r="E625" t="s">
        <v>1032</v>
      </c>
      <c r="F625" t="s">
        <v>989</v>
      </c>
      <c r="G625" t="s">
        <v>978</v>
      </c>
      <c r="H625" s="198">
        <v>171085.45697435999</v>
      </c>
      <c r="I625" s="198">
        <v>0</v>
      </c>
      <c r="J625" s="198">
        <v>18111.428890499999</v>
      </c>
      <c r="K625" s="198">
        <v>8850.7758982500018</v>
      </c>
      <c r="L625" s="198">
        <v>0</v>
      </c>
      <c r="M625" s="198">
        <v>4538.1030155999997</v>
      </c>
      <c r="N625" s="198">
        <v>35</v>
      </c>
      <c r="O625" s="198">
        <v>0</v>
      </c>
      <c r="P625" s="198">
        <v>3887.2103025299998</v>
      </c>
      <c r="Q625" s="198">
        <v>0</v>
      </c>
      <c r="R625" s="198">
        <v>0</v>
      </c>
      <c r="S625" s="198">
        <v>3882</v>
      </c>
      <c r="T625" s="198">
        <v>0</v>
      </c>
      <c r="U625" s="198">
        <v>2000</v>
      </c>
      <c r="V625" s="198">
        <v>4500</v>
      </c>
      <c r="W625" s="198">
        <v>336</v>
      </c>
      <c r="X625" s="198">
        <v>1500</v>
      </c>
      <c r="Y625" s="198">
        <v>186</v>
      </c>
      <c r="Z625" s="277">
        <v>218911.97508123997</v>
      </c>
      <c r="AA625" s="272">
        <v>16.01218304</v>
      </c>
      <c r="AB625" s="198">
        <v>8.3886242846746786</v>
      </c>
      <c r="AC625" s="272">
        <v>0</v>
      </c>
      <c r="AD625" s="198">
        <v>0</v>
      </c>
      <c r="AE625" s="198">
        <v>8.3886242846746786</v>
      </c>
      <c r="AF625" s="198">
        <v>0</v>
      </c>
      <c r="AG625" s="198">
        <v>0</v>
      </c>
      <c r="AH625" s="198">
        <v>0</v>
      </c>
      <c r="AI625" s="198">
        <v>0</v>
      </c>
      <c r="AJ625" s="198">
        <v>0</v>
      </c>
      <c r="AK625" s="198">
        <v>0</v>
      </c>
      <c r="AL625" s="198">
        <v>0</v>
      </c>
      <c r="AM625" s="198">
        <v>7.8421752673512257E-2</v>
      </c>
      <c r="AN625" s="198">
        <v>2.0041114572119833E-2</v>
      </c>
      <c r="AO625" s="198">
        <v>0</v>
      </c>
      <c r="AP625" s="198">
        <v>2.8654097452612336E-3</v>
      </c>
      <c r="AQ625" s="198">
        <v>3.5824227190103647E-3</v>
      </c>
      <c r="AS625" s="258">
        <f t="shared" si="80"/>
        <v>293670.41457148339</v>
      </c>
      <c r="AT625" s="3">
        <f t="shared" si="81"/>
        <v>14.6897595820531</v>
      </c>
      <c r="AU625" s="3">
        <f t="shared" si="79"/>
        <v>5.6701626036337549</v>
      </c>
      <c r="AV625" s="3">
        <f t="shared" si="82"/>
        <v>0</v>
      </c>
      <c r="AW625" s="3">
        <f t="shared" si="83"/>
        <v>0</v>
      </c>
      <c r="AX625" s="3">
        <f t="shared" si="84"/>
        <v>5.6701626036337549</v>
      </c>
      <c r="AY625" s="102">
        <f t="shared" si="85"/>
        <v>1</v>
      </c>
      <c r="AZ625" s="102">
        <f t="shared" si="86"/>
        <v>0</v>
      </c>
    </row>
    <row r="626" spans="1:52" x14ac:dyDescent="0.35">
      <c r="A626" t="s">
        <v>1065</v>
      </c>
      <c r="B626">
        <v>2035</v>
      </c>
      <c r="C626" t="s">
        <v>837</v>
      </c>
      <c r="D626" t="s">
        <v>1031</v>
      </c>
      <c r="E626" t="s">
        <v>1032</v>
      </c>
      <c r="F626" t="s">
        <v>989</v>
      </c>
      <c r="G626" t="s">
        <v>978</v>
      </c>
      <c r="H626" s="198">
        <v>171085.45697435999</v>
      </c>
      <c r="I626" s="198">
        <v>0</v>
      </c>
      <c r="J626" s="198">
        <v>6858.0113160000001</v>
      </c>
      <c r="K626" s="198">
        <v>10132.334140500003</v>
      </c>
      <c r="L626" s="198">
        <v>0</v>
      </c>
      <c r="M626" s="198">
        <v>4993.5487499999999</v>
      </c>
      <c r="N626" s="198">
        <v>35</v>
      </c>
      <c r="O626" s="198">
        <v>0</v>
      </c>
      <c r="P626" s="198">
        <v>3924.01270707</v>
      </c>
      <c r="Q626" s="198">
        <v>0</v>
      </c>
      <c r="R626" s="198">
        <v>0</v>
      </c>
      <c r="S626" s="198">
        <v>3903</v>
      </c>
      <c r="T626" s="198">
        <v>0</v>
      </c>
      <c r="U626" s="198">
        <v>2000</v>
      </c>
      <c r="V626" s="198">
        <v>4500</v>
      </c>
      <c r="W626" s="198">
        <v>336</v>
      </c>
      <c r="X626" s="198">
        <v>1500</v>
      </c>
      <c r="Y626" s="198">
        <v>186</v>
      </c>
      <c r="Z626" s="277">
        <v>209453.36388792997</v>
      </c>
      <c r="AA626" s="272">
        <v>16.313391660000001</v>
      </c>
      <c r="AB626" s="198">
        <v>8.233737673898279</v>
      </c>
      <c r="AC626" s="272">
        <v>0</v>
      </c>
      <c r="AD626" s="198">
        <v>0</v>
      </c>
      <c r="AE626" s="198">
        <v>8.233737673898279</v>
      </c>
      <c r="AF626" s="198">
        <v>0</v>
      </c>
      <c r="AG626" s="198">
        <v>0</v>
      </c>
      <c r="AH626" s="198">
        <v>0</v>
      </c>
      <c r="AI626" s="198">
        <v>0</v>
      </c>
      <c r="AJ626" s="198">
        <v>0</v>
      </c>
      <c r="AK626" s="198">
        <v>0</v>
      </c>
      <c r="AL626" s="198">
        <v>0</v>
      </c>
      <c r="AM626" s="198">
        <v>7.697378229475349E-2</v>
      </c>
      <c r="AN626" s="198">
        <v>1.9671077697548146E-2</v>
      </c>
      <c r="AO626" s="198">
        <v>0</v>
      </c>
      <c r="AP626" s="198">
        <v>2.8125031435506302E-3</v>
      </c>
      <c r="AQ626" s="198">
        <v>3.5162772707835813E-3</v>
      </c>
      <c r="AS626" s="258">
        <f t="shared" si="80"/>
        <v>280981.68765565805</v>
      </c>
      <c r="AT626" s="3">
        <f t="shared" si="81"/>
        <v>14.418529521250282</v>
      </c>
      <c r="AU626" s="3">
        <f t="shared" si="79"/>
        <v>5.5654693621171027</v>
      </c>
      <c r="AV626" s="3">
        <f t="shared" si="82"/>
        <v>0</v>
      </c>
      <c r="AW626" s="3">
        <f t="shared" si="83"/>
        <v>0</v>
      </c>
      <c r="AX626" s="3">
        <f t="shared" si="84"/>
        <v>5.5654693621171027</v>
      </c>
      <c r="AY626" s="102">
        <f t="shared" si="85"/>
        <v>1</v>
      </c>
      <c r="AZ626" s="102">
        <f t="shared" si="86"/>
        <v>0</v>
      </c>
    </row>
    <row r="627" spans="1:52" x14ac:dyDescent="0.35">
      <c r="A627" t="s">
        <v>1017</v>
      </c>
      <c r="B627">
        <v>2050</v>
      </c>
      <c r="C627" t="s">
        <v>837</v>
      </c>
      <c r="D627" t="s">
        <v>1031</v>
      </c>
      <c r="E627" t="s">
        <v>1032</v>
      </c>
      <c r="F627" t="s">
        <v>983</v>
      </c>
      <c r="G627" t="s">
        <v>978</v>
      </c>
      <c r="H627" s="198">
        <v>171405.03313940001</v>
      </c>
      <c r="I627" s="198">
        <v>18599</v>
      </c>
      <c r="J627" s="198">
        <v>0</v>
      </c>
      <c r="K627" s="198">
        <v>0</v>
      </c>
      <c r="L627" s="198">
        <v>120</v>
      </c>
      <c r="M627" s="198">
        <v>0</v>
      </c>
      <c r="N627" s="198">
        <v>0</v>
      </c>
      <c r="O627" s="198">
        <v>150</v>
      </c>
      <c r="P627" s="198">
        <v>0</v>
      </c>
      <c r="Q627" s="198">
        <v>0</v>
      </c>
      <c r="R627" s="198">
        <v>44</v>
      </c>
      <c r="S627" s="198">
        <v>6966</v>
      </c>
      <c r="T627" s="198">
        <v>506</v>
      </c>
      <c r="U627" s="198">
        <v>2000</v>
      </c>
      <c r="V627" s="198">
        <v>1920</v>
      </c>
      <c r="W627" s="198">
        <v>0</v>
      </c>
      <c r="X627" s="198">
        <v>0</v>
      </c>
      <c r="Y627" s="198">
        <v>186</v>
      </c>
      <c r="Z627" s="277">
        <v>201896.03313940001</v>
      </c>
      <c r="AA627" s="272">
        <v>9.4782294670000002</v>
      </c>
      <c r="AB627" s="198">
        <v>14.171442880514512</v>
      </c>
      <c r="AC627" s="272">
        <v>0</v>
      </c>
      <c r="AD627" s="198">
        <v>0</v>
      </c>
      <c r="AE627" s="198">
        <v>14.171442880514512</v>
      </c>
      <c r="AF627" s="198">
        <v>1060.810939938742</v>
      </c>
      <c r="AG627" s="198">
        <v>0.4663511894178643</v>
      </c>
      <c r="AH627" s="198">
        <v>2.464119150909559E-3</v>
      </c>
      <c r="AI627" s="198">
        <v>1075.4544670928174</v>
      </c>
      <c r="AJ627" s="198">
        <v>0.45252259058638089</v>
      </c>
      <c r="AK627" s="198">
        <v>10.559955648715681</v>
      </c>
      <c r="AL627" s="198">
        <v>0.49440681578027246</v>
      </c>
      <c r="AM627" s="198">
        <v>8.8867600542174005E-2</v>
      </c>
      <c r="AN627" s="198">
        <v>3.6540025283499242E-2</v>
      </c>
      <c r="AO627" s="198">
        <v>7.3163730102919341E-3</v>
      </c>
      <c r="AP627" s="198">
        <v>6.0714656047216806E-3</v>
      </c>
      <c r="AQ627" s="198">
        <v>5.7668164285421073E-3</v>
      </c>
      <c r="AS627" s="258">
        <f t="shared" si="80"/>
        <v>270843.5284565051</v>
      </c>
      <c r="AT627" s="3">
        <f t="shared" si="81"/>
        <v>24.816356267841783</v>
      </c>
      <c r="AU627" s="3">
        <f t="shared" si="79"/>
        <v>9.578970607543603</v>
      </c>
      <c r="AV627" s="3">
        <f t="shared" si="82"/>
        <v>0</v>
      </c>
      <c r="AW627" s="3">
        <f t="shared" si="83"/>
        <v>0</v>
      </c>
      <c r="AX627" s="3">
        <f t="shared" si="84"/>
        <v>9.578970607543603</v>
      </c>
      <c r="AY627" s="102">
        <f t="shared" si="85"/>
        <v>1</v>
      </c>
      <c r="AZ627" s="102">
        <f t="shared" si="86"/>
        <v>0</v>
      </c>
    </row>
    <row r="628" spans="1:52" x14ac:dyDescent="0.35">
      <c r="A628" t="s">
        <v>1020</v>
      </c>
      <c r="B628">
        <v>2050</v>
      </c>
      <c r="C628" t="s">
        <v>837</v>
      </c>
      <c r="D628" t="s">
        <v>1031</v>
      </c>
      <c r="E628" t="s">
        <v>1032</v>
      </c>
      <c r="F628" t="s">
        <v>983</v>
      </c>
      <c r="G628" t="s">
        <v>978</v>
      </c>
      <c r="H628" s="198">
        <v>171405.03313940001</v>
      </c>
      <c r="I628" s="198">
        <v>17191</v>
      </c>
      <c r="J628" s="198">
        <v>0</v>
      </c>
      <c r="K628" s="198">
        <v>0</v>
      </c>
      <c r="L628" s="198">
        <v>150</v>
      </c>
      <c r="M628" s="198">
        <v>1916.0879401</v>
      </c>
      <c r="N628" s="198">
        <v>28.89</v>
      </c>
      <c r="O628" s="198">
        <v>150</v>
      </c>
      <c r="P628" s="198">
        <v>1668.2135668000001</v>
      </c>
      <c r="Q628" s="198">
        <v>0</v>
      </c>
      <c r="R628" s="198">
        <v>0</v>
      </c>
      <c r="S628" s="198">
        <v>6526</v>
      </c>
      <c r="T628" s="198">
        <v>392</v>
      </c>
      <c r="U628" s="198">
        <v>2000</v>
      </c>
      <c r="V628" s="198">
        <v>4720</v>
      </c>
      <c r="W628" s="198">
        <v>242.67599999999999</v>
      </c>
      <c r="X628" s="198">
        <v>1500</v>
      </c>
      <c r="Y628" s="198">
        <v>186</v>
      </c>
      <c r="Z628" s="277">
        <v>208075.90064630003</v>
      </c>
      <c r="AA628" s="272">
        <v>12.515220790000001</v>
      </c>
      <c r="AB628" s="198">
        <v>10.732546373239014</v>
      </c>
      <c r="AC628" s="272">
        <v>0</v>
      </c>
      <c r="AD628" s="198">
        <v>0</v>
      </c>
      <c r="AE628" s="198">
        <v>10.732546373239014</v>
      </c>
      <c r="AF628" s="198">
        <v>803.39050173827184</v>
      </c>
      <c r="AG628" s="198">
        <v>0.35318462691786839</v>
      </c>
      <c r="AH628" s="198">
        <v>1.8661665773417012E-3</v>
      </c>
      <c r="AI628" s="198">
        <v>814.48057461045585</v>
      </c>
      <c r="AJ628" s="198">
        <v>0.34271172874601857</v>
      </c>
      <c r="AK628" s="198">
        <v>7.9974364399423479</v>
      </c>
      <c r="AL628" s="198">
        <v>0.37443216772959698</v>
      </c>
      <c r="AM628" s="198">
        <v>6.7302648850865288E-2</v>
      </c>
      <c r="AN628" s="198">
        <v>2.7673083054493005E-2</v>
      </c>
      <c r="AO628" s="198">
        <v>5.5409539648810704E-3</v>
      </c>
      <c r="AP628" s="198">
        <v>4.598140549668242E-3</v>
      </c>
      <c r="AQ628" s="198">
        <v>4.3674187072641731E-3</v>
      </c>
      <c r="AS628" s="258">
        <f t="shared" si="80"/>
        <v>279133.82071701146</v>
      </c>
      <c r="AT628" s="3">
        <f t="shared" si="81"/>
        <v>18.794324382145248</v>
      </c>
      <c r="AU628" s="3">
        <f t="shared" si="79"/>
        <v>7.2545009791989976</v>
      </c>
      <c r="AV628" s="3">
        <f t="shared" si="82"/>
        <v>0</v>
      </c>
      <c r="AW628" s="3">
        <f t="shared" si="83"/>
        <v>0</v>
      </c>
      <c r="AX628" s="3">
        <f t="shared" si="84"/>
        <v>7.2545009791989976</v>
      </c>
      <c r="AY628" s="102">
        <f t="shared" si="85"/>
        <v>1</v>
      </c>
      <c r="AZ628" s="102">
        <f t="shared" si="86"/>
        <v>0</v>
      </c>
    </row>
    <row r="629" spans="1:52" x14ac:dyDescent="0.35">
      <c r="A629" t="s">
        <v>1021</v>
      </c>
      <c r="B629">
        <v>2050</v>
      </c>
      <c r="C629" t="s">
        <v>837</v>
      </c>
      <c r="D629" t="s">
        <v>1031</v>
      </c>
      <c r="E629" t="s">
        <v>1032</v>
      </c>
      <c r="F629" t="s">
        <v>983</v>
      </c>
      <c r="G629" t="s">
        <v>978</v>
      </c>
      <c r="H629" s="198">
        <v>171405.03313940001</v>
      </c>
      <c r="I629" s="198">
        <v>10166</v>
      </c>
      <c r="J629" s="198">
        <v>0</v>
      </c>
      <c r="K629" s="198">
        <v>0</v>
      </c>
      <c r="L629" s="198">
        <v>0</v>
      </c>
      <c r="M629" s="198">
        <v>12372.779999999999</v>
      </c>
      <c r="N629" s="198">
        <v>28.89</v>
      </c>
      <c r="O629" s="198">
        <v>0</v>
      </c>
      <c r="P629" s="198">
        <v>2707.5257682000001</v>
      </c>
      <c r="Q629" s="198">
        <v>0</v>
      </c>
      <c r="R629" s="198">
        <v>965.24401599999999</v>
      </c>
      <c r="S629" s="198">
        <v>3869</v>
      </c>
      <c r="T629" s="198">
        <v>0</v>
      </c>
      <c r="U629" s="198">
        <v>2000</v>
      </c>
      <c r="V629" s="198">
        <v>4720</v>
      </c>
      <c r="W629" s="198">
        <v>242.67599999999999</v>
      </c>
      <c r="X629" s="198">
        <v>1500</v>
      </c>
      <c r="Y629" s="198">
        <v>186</v>
      </c>
      <c r="Z629" s="277">
        <v>210163.14892360003</v>
      </c>
      <c r="AA629" s="272">
        <v>68.355423950000002</v>
      </c>
      <c r="AB629" s="198">
        <v>1.9650260321441544</v>
      </c>
      <c r="AC629" s="272">
        <v>951.2</v>
      </c>
      <c r="AD629" s="198">
        <v>3.4243200000000003</v>
      </c>
      <c r="AE629" s="198">
        <v>5.3893460321441546</v>
      </c>
      <c r="AF629" s="198">
        <v>147.09307511863292</v>
      </c>
      <c r="AG629" s="198">
        <v>6.4664708812926616E-2</v>
      </c>
      <c r="AH629" s="198">
        <v>3.4167715444839984E-4</v>
      </c>
      <c r="AI629" s="198">
        <v>149.12356081460487</v>
      </c>
      <c r="AJ629" s="198">
        <v>6.2747221869567701E-2</v>
      </c>
      <c r="AK629" s="198">
        <v>1.4642537053545706</v>
      </c>
      <c r="AL629" s="198">
        <v>6.8554929210035559E-2</v>
      </c>
      <c r="AM629" s="198">
        <v>6.2948928963041176E-2</v>
      </c>
      <c r="AN629" s="198">
        <v>1.800454880102096E-2</v>
      </c>
      <c r="AO629" s="198">
        <v>1.0144953867660491E-3</v>
      </c>
      <c r="AP629" s="198">
        <v>2.6916880316331711E-3</v>
      </c>
      <c r="AQ629" s="198">
        <v>3.1123246805622399E-3</v>
      </c>
      <c r="AS629" s="258">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102">
        <f t="shared" si="85"/>
        <v>0.38432468659136904</v>
      </c>
      <c r="AZ629" s="102">
        <f t="shared" si="86"/>
        <v>0.61567531340863091</v>
      </c>
    </row>
    <row r="630" spans="1:52" x14ac:dyDescent="0.35">
      <c r="A630" t="s">
        <v>246</v>
      </c>
      <c r="B630">
        <v>2050</v>
      </c>
      <c r="C630" t="s">
        <v>837</v>
      </c>
      <c r="D630" t="s">
        <v>1031</v>
      </c>
      <c r="E630" t="s">
        <v>1032</v>
      </c>
      <c r="F630" t="s">
        <v>977</v>
      </c>
      <c r="G630" t="s">
        <v>978</v>
      </c>
      <c r="H630" s="198">
        <v>171405.03313940001</v>
      </c>
      <c r="I630" s="198">
        <v>0</v>
      </c>
      <c r="J630" s="198">
        <v>0</v>
      </c>
      <c r="K630" s="198">
        <v>0</v>
      </c>
      <c r="L630" s="198">
        <v>0</v>
      </c>
      <c r="M630" s="198">
        <v>21913.0275</v>
      </c>
      <c r="N630" s="198">
        <v>28.89</v>
      </c>
      <c r="O630" s="198">
        <v>0</v>
      </c>
      <c r="P630" s="198">
        <v>2710.2207263999999</v>
      </c>
      <c r="Q630" s="198">
        <v>0</v>
      </c>
      <c r="R630" s="198">
        <v>0</v>
      </c>
      <c r="S630" s="198">
        <v>3871</v>
      </c>
      <c r="T630" s="198">
        <v>0</v>
      </c>
      <c r="U630" s="198">
        <v>2000</v>
      </c>
      <c r="V630" s="198">
        <v>4500</v>
      </c>
      <c r="W630" s="198">
        <v>242.67599999999999</v>
      </c>
      <c r="X630" s="198">
        <v>1500</v>
      </c>
      <c r="Y630" s="198">
        <v>186</v>
      </c>
      <c r="Z630" s="277">
        <v>208356.84736580003</v>
      </c>
      <c r="AA630" s="272">
        <v>0</v>
      </c>
      <c r="AB630" s="198">
        <v>0</v>
      </c>
      <c r="AC630" s="272">
        <v>1140</v>
      </c>
      <c r="AD630" s="198">
        <v>4.1040000000000001</v>
      </c>
      <c r="AE630" s="198">
        <v>4.1040000000000001</v>
      </c>
      <c r="AF630" s="198">
        <v>0</v>
      </c>
      <c r="AG630" s="198">
        <v>0</v>
      </c>
      <c r="AH630" s="198">
        <v>0</v>
      </c>
      <c r="AI630" s="198">
        <v>0</v>
      </c>
      <c r="AJ630" s="198">
        <v>0</v>
      </c>
      <c r="AK630" s="198">
        <v>0</v>
      </c>
      <c r="AL630" s="198">
        <v>0</v>
      </c>
      <c r="AM630" s="198">
        <v>6.0675111158030572E-2</v>
      </c>
      <c r="AN630" s="198">
        <v>1.5505861740385551E-2</v>
      </c>
      <c r="AO630" s="198">
        <v>0</v>
      </c>
      <c r="AP630" s="198">
        <v>2.2169748683231213E-3</v>
      </c>
      <c r="AQ630" s="198">
        <v>2.771729644910413E-3</v>
      </c>
      <c r="AS630" s="258">
        <f t="shared" si="80"/>
        <v>279510.71074122074</v>
      </c>
      <c r="AT630" s="3">
        <f t="shared" si="81"/>
        <v>0</v>
      </c>
      <c r="AU630" s="3">
        <f t="shared" si="79"/>
        <v>0</v>
      </c>
      <c r="AV630" s="3">
        <f t="shared" si="82"/>
        <v>70.836491978077973</v>
      </c>
      <c r="AW630" s="3">
        <f t="shared" si="83"/>
        <v>2.5501137112108072</v>
      </c>
      <c r="AX630" s="3">
        <f t="shared" si="84"/>
        <v>2.5501137112108072</v>
      </c>
      <c r="AY630" s="102">
        <f t="shared" si="85"/>
        <v>0</v>
      </c>
      <c r="AZ630" s="102">
        <f t="shared" si="86"/>
        <v>1</v>
      </c>
    </row>
    <row r="631" spans="1:52" x14ac:dyDescent="0.35">
      <c r="A631" t="s">
        <v>627</v>
      </c>
      <c r="B631">
        <v>2050</v>
      </c>
      <c r="C631" t="s">
        <v>837</v>
      </c>
      <c r="D631" t="s">
        <v>1031</v>
      </c>
      <c r="E631" t="s">
        <v>1032</v>
      </c>
      <c r="F631" t="s">
        <v>989</v>
      </c>
      <c r="G631" t="s">
        <v>978</v>
      </c>
      <c r="H631" s="198">
        <v>171405.03313940001</v>
      </c>
      <c r="I631" s="198">
        <v>0</v>
      </c>
      <c r="J631" s="198">
        <v>15177.236064000001</v>
      </c>
      <c r="K631" s="198">
        <v>7790.4941400000007</v>
      </c>
      <c r="L631" s="198">
        <v>0</v>
      </c>
      <c r="M631" s="198">
        <v>4023.7846737</v>
      </c>
      <c r="N631" s="198">
        <v>28.89</v>
      </c>
      <c r="O631" s="198">
        <v>0</v>
      </c>
      <c r="P631" s="198">
        <v>2710.2207263999999</v>
      </c>
      <c r="Q631" s="198">
        <v>0</v>
      </c>
      <c r="R631" s="198">
        <v>0</v>
      </c>
      <c r="S631" s="198">
        <v>3871</v>
      </c>
      <c r="T631" s="198">
        <v>0</v>
      </c>
      <c r="U631" s="198">
        <v>2000</v>
      </c>
      <c r="V631" s="198">
        <v>4500</v>
      </c>
      <c r="W631" s="198">
        <v>242.67599999999999</v>
      </c>
      <c r="X631" s="198">
        <v>1500</v>
      </c>
      <c r="Y631" s="198">
        <v>186</v>
      </c>
      <c r="Z631" s="277">
        <v>213435.33474350002</v>
      </c>
      <c r="AA631" s="272">
        <v>17.73963826</v>
      </c>
      <c r="AB631" s="198">
        <v>7.5717545945043421</v>
      </c>
      <c r="AC631" s="272">
        <v>0</v>
      </c>
      <c r="AD631" s="198">
        <v>0</v>
      </c>
      <c r="AE631" s="198">
        <v>7.5717545945043421</v>
      </c>
      <c r="AF631" s="198">
        <v>0</v>
      </c>
      <c r="AG631" s="198">
        <v>0</v>
      </c>
      <c r="AH631" s="198">
        <v>0</v>
      </c>
      <c r="AI631" s="198">
        <v>0</v>
      </c>
      <c r="AJ631" s="198">
        <v>0</v>
      </c>
      <c r="AK631" s="198">
        <v>0</v>
      </c>
      <c r="AL631" s="198">
        <v>0</v>
      </c>
      <c r="AM631" s="198">
        <v>7.0785178351539135E-2</v>
      </c>
      <c r="AN631" s="198">
        <v>1.8089545578726701E-2</v>
      </c>
      <c r="AO631" s="198">
        <v>0</v>
      </c>
      <c r="AP631" s="198">
        <v>2.5863811117940259E-3</v>
      </c>
      <c r="AQ631" s="198">
        <v>3.2335726051861695E-3</v>
      </c>
      <c r="AS631" s="258">
        <f t="shared" si="80"/>
        <v>286323.50155840523</v>
      </c>
      <c r="AT631" s="3">
        <f t="shared" si="81"/>
        <v>13.259296260386549</v>
      </c>
      <c r="AU631" s="3">
        <f t="shared" si="79"/>
        <v>5.1180119991886839</v>
      </c>
      <c r="AV631" s="3">
        <f t="shared" si="82"/>
        <v>0</v>
      </c>
      <c r="AW631" s="3">
        <f t="shared" si="83"/>
        <v>0</v>
      </c>
      <c r="AX631" s="3">
        <f t="shared" si="84"/>
        <v>5.1180119991886839</v>
      </c>
      <c r="AY631" s="102">
        <f t="shared" si="85"/>
        <v>1</v>
      </c>
      <c r="AZ631" s="102">
        <f t="shared" si="86"/>
        <v>0</v>
      </c>
    </row>
    <row r="632" spans="1:52" x14ac:dyDescent="0.35">
      <c r="A632" t="s">
        <v>1065</v>
      </c>
      <c r="B632">
        <v>2050</v>
      </c>
      <c r="C632" t="s">
        <v>837</v>
      </c>
      <c r="D632" t="s">
        <v>1031</v>
      </c>
      <c r="E632" t="s">
        <v>1032</v>
      </c>
      <c r="F632" t="s">
        <v>989</v>
      </c>
      <c r="G632" t="s">
        <v>978</v>
      </c>
      <c r="H632" s="198">
        <v>171405.03313940001</v>
      </c>
      <c r="I632" s="198">
        <v>0</v>
      </c>
      <c r="J632" s="198">
        <v>5270.1563200000001</v>
      </c>
      <c r="K632" s="198">
        <v>8661.3400169999986</v>
      </c>
      <c r="L632" s="198">
        <v>0</v>
      </c>
      <c r="M632" s="198">
        <v>3909.9375</v>
      </c>
      <c r="N632" s="198">
        <v>28.89</v>
      </c>
      <c r="O632" s="198">
        <v>0</v>
      </c>
      <c r="P632" s="198">
        <v>2707.4821345</v>
      </c>
      <c r="Q632" s="198">
        <v>0</v>
      </c>
      <c r="R632" s="198">
        <v>0</v>
      </c>
      <c r="S632" s="198">
        <v>3869</v>
      </c>
      <c r="T632" s="198">
        <v>0</v>
      </c>
      <c r="U632" s="198">
        <v>2000</v>
      </c>
      <c r="V632" s="198">
        <v>4500</v>
      </c>
      <c r="W632" s="198">
        <v>242.67599999999999</v>
      </c>
      <c r="X632" s="198">
        <v>1500</v>
      </c>
      <c r="Y632" s="198">
        <v>186</v>
      </c>
      <c r="Z632" s="277">
        <v>204280.51511090004</v>
      </c>
      <c r="AA632" s="272">
        <v>18.41093077</v>
      </c>
      <c r="AB632" s="198">
        <v>7.2956760947072974</v>
      </c>
      <c r="AC632" s="272">
        <v>0</v>
      </c>
      <c r="AD632" s="198">
        <v>0</v>
      </c>
      <c r="AE632" s="198">
        <v>7.2956760947072974</v>
      </c>
      <c r="AF632" s="198">
        <v>0</v>
      </c>
      <c r="AG632" s="198">
        <v>0</v>
      </c>
      <c r="AH632" s="198">
        <v>0</v>
      </c>
      <c r="AI632" s="198">
        <v>0</v>
      </c>
      <c r="AJ632" s="198">
        <v>0</v>
      </c>
      <c r="AK632" s="198">
        <v>0</v>
      </c>
      <c r="AL632" s="198">
        <v>0</v>
      </c>
      <c r="AM632" s="198">
        <v>6.8204235506225175E-2</v>
      </c>
      <c r="AN632" s="198">
        <v>1.7429971296035351E-2</v>
      </c>
      <c r="AO632" s="198">
        <v>0</v>
      </c>
      <c r="AP632" s="198">
        <v>2.4920774456707517E-3</v>
      </c>
      <c r="AQ632" s="198">
        <v>3.1156712835463257E-3</v>
      </c>
      <c r="AS632" s="258">
        <f t="shared" si="80"/>
        <v>274042.31102127238</v>
      </c>
      <c r="AT632" s="3">
        <f t="shared" si="81"/>
        <v>12.775840731784369</v>
      </c>
      <c r="AU632" s="3">
        <f t="shared" si="79"/>
        <v>4.9314009492604631</v>
      </c>
      <c r="AV632" s="3">
        <f t="shared" si="82"/>
        <v>0</v>
      </c>
      <c r="AW632" s="3">
        <f t="shared" si="83"/>
        <v>0</v>
      </c>
      <c r="AX632" s="3">
        <f t="shared" si="84"/>
        <v>4.9314009492604631</v>
      </c>
      <c r="AY632" s="102">
        <f t="shared" si="85"/>
        <v>1</v>
      </c>
      <c r="AZ632" s="102">
        <f t="shared" si="86"/>
        <v>0</v>
      </c>
    </row>
    <row r="633" spans="1:52" x14ac:dyDescent="0.35">
      <c r="A633" t="s">
        <v>1017</v>
      </c>
      <c r="B633">
        <v>2021</v>
      </c>
      <c r="C633" t="s">
        <v>837</v>
      </c>
      <c r="D633" t="s">
        <v>1075</v>
      </c>
      <c r="E633" t="s">
        <v>1032</v>
      </c>
      <c r="F633" t="s">
        <v>983</v>
      </c>
      <c r="G633" t="s">
        <v>978</v>
      </c>
      <c r="H633" s="198">
        <v>200000</v>
      </c>
      <c r="I633" s="198">
        <v>32239</v>
      </c>
      <c r="J633" s="198">
        <v>0</v>
      </c>
      <c r="K633" s="198">
        <v>0</v>
      </c>
      <c r="L633" s="198">
        <v>120</v>
      </c>
      <c r="M633" s="198">
        <v>0</v>
      </c>
      <c r="N633" s="198">
        <v>0</v>
      </c>
      <c r="O633" s="198">
        <v>150</v>
      </c>
      <c r="P633" s="198">
        <v>0</v>
      </c>
      <c r="Q633" s="198">
        <v>0</v>
      </c>
      <c r="R633" s="198">
        <v>104.8</v>
      </c>
      <c r="S633" s="198">
        <v>9321</v>
      </c>
      <c r="T633" s="198">
        <v>506</v>
      </c>
      <c r="U633" s="198">
        <v>2000</v>
      </c>
      <c r="V633" s="198">
        <v>1920</v>
      </c>
      <c r="W633" s="198">
        <v>0</v>
      </c>
      <c r="X633" s="198">
        <v>0</v>
      </c>
      <c r="Y633" s="198">
        <v>186</v>
      </c>
      <c r="Z633" s="277">
        <v>246546.8</v>
      </c>
      <c r="AA633" s="272">
        <v>4.3274557900000001</v>
      </c>
      <c r="AB633" s="198">
        <v>31.039066374840999</v>
      </c>
      <c r="AC633" s="272">
        <v>0</v>
      </c>
      <c r="AD633" s="198">
        <v>0</v>
      </c>
      <c r="AE633" s="198">
        <v>31.039066374840999</v>
      </c>
      <c r="AF633" s="198">
        <v>2323.4459224465813</v>
      </c>
      <c r="AG633" s="198">
        <v>1.0214277857500422</v>
      </c>
      <c r="AH633" s="198">
        <v>5.3970480300042532E-3</v>
      </c>
      <c r="AI633" s="198">
        <v>2355.5189735204485</v>
      </c>
      <c r="AJ633" s="198">
        <v>0.99113963509238112</v>
      </c>
      <c r="AK633" s="198">
        <v>23.128990255928194</v>
      </c>
      <c r="AL633" s="198">
        <v>1.0828767473125862</v>
      </c>
      <c r="AM633" s="198">
        <v>0.19464266095261917</v>
      </c>
      <c r="AN633" s="198">
        <v>8.0031954380055614E-2</v>
      </c>
      <c r="AO633" s="198">
        <v>1.6024718823924138E-2</v>
      </c>
      <c r="AP633" s="198">
        <v>1.329805479134658E-2</v>
      </c>
      <c r="AQ633" s="198">
        <v>1.2630795565860073E-2</v>
      </c>
      <c r="AS633" s="258">
        <f t="shared" si="80"/>
        <v>330742.53219999996</v>
      </c>
      <c r="AT633" s="3">
        <f t="shared" si="81"/>
        <v>54.354135699079698</v>
      </c>
      <c r="AU633" s="3">
        <f t="shared" si="79"/>
        <v>20.980383366538486</v>
      </c>
      <c r="AV633" s="3">
        <f t="shared" si="82"/>
        <v>0</v>
      </c>
      <c r="AW633" s="3">
        <f t="shared" si="83"/>
        <v>0</v>
      </c>
      <c r="AX633" s="3">
        <f t="shared" si="84"/>
        <v>20.980383366538486</v>
      </c>
      <c r="AY633" s="102">
        <f t="shared" si="85"/>
        <v>1</v>
      </c>
      <c r="AZ633" s="102">
        <f t="shared" si="86"/>
        <v>0</v>
      </c>
    </row>
    <row r="634" spans="1:52" x14ac:dyDescent="0.35">
      <c r="A634" t="s">
        <v>1020</v>
      </c>
      <c r="B634">
        <v>2021</v>
      </c>
      <c r="C634" t="s">
        <v>837</v>
      </c>
      <c r="D634" t="s">
        <v>1075</v>
      </c>
      <c r="E634" t="s">
        <v>1032</v>
      </c>
      <c r="F634" t="s">
        <v>983</v>
      </c>
      <c r="G634" t="s">
        <v>978</v>
      </c>
      <c r="H634" s="198">
        <v>200000</v>
      </c>
      <c r="I634" s="198">
        <v>36961</v>
      </c>
      <c r="J634" s="198">
        <v>0</v>
      </c>
      <c r="K634" s="198">
        <v>0</v>
      </c>
      <c r="L634" s="198">
        <v>150</v>
      </c>
      <c r="M634" s="198">
        <v>2325.4070360000001</v>
      </c>
      <c r="N634" s="198">
        <v>75</v>
      </c>
      <c r="O634" s="198">
        <v>150</v>
      </c>
      <c r="P634" s="198">
        <v>4484.0401686000005</v>
      </c>
      <c r="Q634" s="198">
        <v>0</v>
      </c>
      <c r="R634" s="198">
        <v>0</v>
      </c>
      <c r="S634" s="198">
        <v>10828</v>
      </c>
      <c r="T634" s="198">
        <v>392</v>
      </c>
      <c r="U634" s="198">
        <v>2000</v>
      </c>
      <c r="V634" s="198">
        <v>4720</v>
      </c>
      <c r="W634" s="198">
        <v>600</v>
      </c>
      <c r="X634" s="198">
        <v>1500</v>
      </c>
      <c r="Y634" s="198">
        <v>186</v>
      </c>
      <c r="Z634" s="277">
        <v>264371.44720459997</v>
      </c>
      <c r="AA634" s="272">
        <v>5.5457697709999998</v>
      </c>
      <c r="AB634" s="198">
        <v>24.220296378401539</v>
      </c>
      <c r="AC634" s="272">
        <v>0</v>
      </c>
      <c r="AD634" s="198">
        <v>0</v>
      </c>
      <c r="AE634" s="198">
        <v>24.220296378401539</v>
      </c>
      <c r="AF634" s="198">
        <v>1813.0232456495089</v>
      </c>
      <c r="AG634" s="198">
        <v>0.79703697918095573</v>
      </c>
      <c r="AH634" s="198">
        <v>4.2114057580393566E-3</v>
      </c>
      <c r="AI634" s="198">
        <v>1838.0503773740097</v>
      </c>
      <c r="AJ634" s="198">
        <v>0.77340263474471838</v>
      </c>
      <c r="AK634" s="198">
        <v>18.047933277587568</v>
      </c>
      <c r="AL634" s="198">
        <v>0.84498661926407981</v>
      </c>
      <c r="AM634" s="198">
        <v>0.15188288459521393</v>
      </c>
      <c r="AN634" s="198">
        <v>6.2450256441954198E-2</v>
      </c>
      <c r="AO634" s="198">
        <v>1.2504352888996357E-2</v>
      </c>
      <c r="AP634" s="198">
        <v>1.037669188928002E-2</v>
      </c>
      <c r="AQ634" s="198">
        <v>9.8560184899149708E-3</v>
      </c>
      <c r="AS634" s="258">
        <f t="shared" si="80"/>
        <v>354654.29642497085</v>
      </c>
      <c r="AT634" s="3">
        <f t="shared" si="81"/>
        <v>42.413430227741806</v>
      </c>
      <c r="AU634" s="3">
        <f t="shared" si="79"/>
        <v>16.371339818453251</v>
      </c>
      <c r="AV634" s="3">
        <f t="shared" si="82"/>
        <v>0</v>
      </c>
      <c r="AW634" s="3">
        <f t="shared" si="83"/>
        <v>0</v>
      </c>
      <c r="AX634" s="3">
        <f t="shared" si="84"/>
        <v>16.371339818453251</v>
      </c>
      <c r="AY634" s="102">
        <f t="shared" si="85"/>
        <v>1</v>
      </c>
      <c r="AZ634" s="102">
        <f t="shared" si="86"/>
        <v>0</v>
      </c>
    </row>
    <row r="635" spans="1:52" x14ac:dyDescent="0.35">
      <c r="A635" t="s">
        <v>1021</v>
      </c>
      <c r="B635">
        <v>2021</v>
      </c>
      <c r="C635" t="s">
        <v>837</v>
      </c>
      <c r="D635" t="s">
        <v>1075</v>
      </c>
      <c r="E635" t="s">
        <v>1032</v>
      </c>
      <c r="F635" t="s">
        <v>983</v>
      </c>
      <c r="G635" t="s">
        <v>978</v>
      </c>
      <c r="H635" s="198">
        <v>200000</v>
      </c>
      <c r="I635" s="198">
        <v>13429</v>
      </c>
      <c r="J635" s="198">
        <v>0</v>
      </c>
      <c r="K635" s="198">
        <v>0</v>
      </c>
      <c r="L635" s="198">
        <v>0</v>
      </c>
      <c r="M635" s="198">
        <v>3336.48</v>
      </c>
      <c r="N635" s="198">
        <v>75</v>
      </c>
      <c r="O635" s="198">
        <v>0</v>
      </c>
      <c r="P635" s="198">
        <v>8100</v>
      </c>
      <c r="Q635" s="198">
        <v>0</v>
      </c>
      <c r="R635" s="198">
        <v>7860</v>
      </c>
      <c r="S635" s="198">
        <v>4349</v>
      </c>
      <c r="T635" s="198">
        <v>0</v>
      </c>
      <c r="U635" s="198">
        <v>2000</v>
      </c>
      <c r="V635" s="198">
        <v>4720</v>
      </c>
      <c r="W635" s="198">
        <v>600</v>
      </c>
      <c r="X635" s="198">
        <v>1500</v>
      </c>
      <c r="Y635" s="198">
        <v>186</v>
      </c>
      <c r="Z635" s="277">
        <v>246155.48</v>
      </c>
      <c r="AA635" s="272">
        <v>32.841890425000003</v>
      </c>
      <c r="AB635" s="198">
        <v>4.0899042583051912</v>
      </c>
      <c r="AC635" s="272">
        <v>1656</v>
      </c>
      <c r="AD635" s="198">
        <v>5.9615999999999998</v>
      </c>
      <c r="AE635" s="198">
        <v>10.05150425830519</v>
      </c>
      <c r="AF635" s="198">
        <v>306.15197175706885</v>
      </c>
      <c r="AG635" s="198">
        <v>0.13458980370223006</v>
      </c>
      <c r="AH635" s="198">
        <v>7.1114928051070007E-4</v>
      </c>
      <c r="AI635" s="198">
        <v>310.37812039761474</v>
      </c>
      <c r="AJ635" s="198">
        <v>0.13059884486168435</v>
      </c>
      <c r="AK635" s="198">
        <v>3.04762245731383</v>
      </c>
      <c r="AL635" s="198">
        <v>0.14268670863255334</v>
      </c>
      <c r="AM635" s="198">
        <v>0.11378593409938284</v>
      </c>
      <c r="AN635" s="198">
        <v>3.3069822353943228E-2</v>
      </c>
      <c r="AO635" s="198">
        <v>2.1115185928799194E-3</v>
      </c>
      <c r="AP635" s="198">
        <v>4.9726837488828397E-3</v>
      </c>
      <c r="AQ635" s="198">
        <v>5.6906157481229416E-3</v>
      </c>
      <c r="AS635" s="258">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102">
        <f t="shared" si="85"/>
        <v>0.42735475640876514</v>
      </c>
      <c r="AZ635" s="102">
        <f t="shared" si="86"/>
        <v>0.57264524359123481</v>
      </c>
    </row>
    <row r="636" spans="1:52" x14ac:dyDescent="0.35">
      <c r="A636" t="s">
        <v>246</v>
      </c>
      <c r="B636">
        <v>2021</v>
      </c>
      <c r="C636" t="s">
        <v>837</v>
      </c>
      <c r="D636" t="s">
        <v>1075</v>
      </c>
      <c r="E636" t="s">
        <v>1032</v>
      </c>
      <c r="F636" t="s">
        <v>977</v>
      </c>
      <c r="G636" t="s">
        <v>978</v>
      </c>
      <c r="H636" s="198">
        <v>200000</v>
      </c>
      <c r="I636" s="198">
        <v>0</v>
      </c>
      <c r="J636" s="198">
        <v>0</v>
      </c>
      <c r="K636" s="198">
        <v>0</v>
      </c>
      <c r="L636" s="198">
        <v>0</v>
      </c>
      <c r="M636" s="198">
        <v>30497.512499999997</v>
      </c>
      <c r="N636" s="198">
        <v>75</v>
      </c>
      <c r="O636" s="198">
        <v>0</v>
      </c>
      <c r="P636" s="198">
        <v>9362.8603647</v>
      </c>
      <c r="Q636" s="198">
        <v>0</v>
      </c>
      <c r="R636" s="198">
        <v>0</v>
      </c>
      <c r="S636" s="198">
        <v>4766</v>
      </c>
      <c r="T636" s="198">
        <v>0</v>
      </c>
      <c r="U636" s="198">
        <v>2000</v>
      </c>
      <c r="V636" s="198">
        <v>4500</v>
      </c>
      <c r="W636" s="198">
        <v>600</v>
      </c>
      <c r="X636" s="198">
        <v>1500</v>
      </c>
      <c r="Y636" s="198">
        <v>186</v>
      </c>
      <c r="Z636" s="277">
        <v>253487.37286470001</v>
      </c>
      <c r="AA636" s="272">
        <v>0</v>
      </c>
      <c r="AB636" s="198">
        <v>0</v>
      </c>
      <c r="AC636" s="272">
        <v>1983</v>
      </c>
      <c r="AD636" s="198">
        <v>7.1387999999999998</v>
      </c>
      <c r="AE636" s="198">
        <v>7.1387999999999998</v>
      </c>
      <c r="AF636" s="198">
        <v>0</v>
      </c>
      <c r="AG636" s="198">
        <v>0</v>
      </c>
      <c r="AH636" s="198">
        <v>0</v>
      </c>
      <c r="AI636" s="198">
        <v>0</v>
      </c>
      <c r="AJ636" s="198">
        <v>0</v>
      </c>
      <c r="AK636" s="198">
        <v>0</v>
      </c>
      <c r="AL636" s="198">
        <v>0</v>
      </c>
      <c r="AM636" s="198">
        <v>0.10554275914594265</v>
      </c>
      <c r="AN636" s="198">
        <v>2.6972038448407499E-2</v>
      </c>
      <c r="AO636" s="198">
        <v>0</v>
      </c>
      <c r="AP636" s="198">
        <v>3.856369442004166E-3</v>
      </c>
      <c r="AQ636" s="198">
        <v>4.8213507770678496E-3</v>
      </c>
      <c r="AS636" s="258">
        <f t="shared" si="80"/>
        <v>340053.31069799507</v>
      </c>
      <c r="AT636" s="3">
        <f t="shared" si="81"/>
        <v>0</v>
      </c>
      <c r="AU636" s="3">
        <f t="shared" si="79"/>
        <v>0</v>
      </c>
      <c r="AV636" s="3">
        <f t="shared" si="82"/>
        <v>123.21821367765668</v>
      </c>
      <c r="AW636" s="3">
        <f t="shared" si="83"/>
        <v>4.4358556923956405</v>
      </c>
      <c r="AX636" s="3">
        <f t="shared" si="84"/>
        <v>4.4358556923956405</v>
      </c>
      <c r="AY636" s="102">
        <f t="shared" si="85"/>
        <v>0</v>
      </c>
      <c r="AZ636" s="102">
        <f t="shared" si="86"/>
        <v>1</v>
      </c>
    </row>
    <row r="637" spans="1:52" x14ac:dyDescent="0.35">
      <c r="A637" t="s">
        <v>627</v>
      </c>
      <c r="B637">
        <v>2021</v>
      </c>
      <c r="C637" t="s">
        <v>837</v>
      </c>
      <c r="D637" t="s">
        <v>1075</v>
      </c>
      <c r="E637" t="s">
        <v>1032</v>
      </c>
      <c r="F637" t="s">
        <v>989</v>
      </c>
      <c r="G637" t="s">
        <v>978</v>
      </c>
      <c r="H637" s="198">
        <v>200000</v>
      </c>
      <c r="I637" s="198">
        <v>0</v>
      </c>
      <c r="J637" s="198">
        <v>43256.414885399994</v>
      </c>
      <c r="K637" s="198">
        <v>7137.8462</v>
      </c>
      <c r="L637" s="198">
        <v>0</v>
      </c>
      <c r="M637" s="198">
        <v>5659.2814080000007</v>
      </c>
      <c r="N637" s="198">
        <v>75</v>
      </c>
      <c r="O637" s="198">
        <v>0</v>
      </c>
      <c r="P637" s="198">
        <v>9362.8603647</v>
      </c>
      <c r="Q637" s="198">
        <v>0</v>
      </c>
      <c r="R637" s="198">
        <v>0</v>
      </c>
      <c r="S637" s="198">
        <v>4766</v>
      </c>
      <c r="T637" s="198">
        <v>0</v>
      </c>
      <c r="U637" s="198">
        <v>2000</v>
      </c>
      <c r="V637" s="198">
        <v>4500</v>
      </c>
      <c r="W637" s="198">
        <v>600</v>
      </c>
      <c r="X637" s="198">
        <v>1500</v>
      </c>
      <c r="Y637" s="198">
        <v>186</v>
      </c>
      <c r="Z637" s="277">
        <v>279043.40285810002</v>
      </c>
      <c r="AA637" s="272">
        <v>9.4768864700000002</v>
      </c>
      <c r="AB637" s="198">
        <v>14.173451156685642</v>
      </c>
      <c r="AC637" s="272">
        <v>0</v>
      </c>
      <c r="AD637" s="198">
        <v>0</v>
      </c>
      <c r="AE637" s="198">
        <v>14.173451156685642</v>
      </c>
      <c r="AF637" s="198">
        <v>0</v>
      </c>
      <c r="AG637" s="198">
        <v>0</v>
      </c>
      <c r="AH637" s="198">
        <v>0</v>
      </c>
      <c r="AI637" s="198">
        <v>0</v>
      </c>
      <c r="AJ637" s="198">
        <v>0</v>
      </c>
      <c r="AK637" s="198">
        <v>0</v>
      </c>
      <c r="AL637" s="198">
        <v>0</v>
      </c>
      <c r="AM637" s="198">
        <v>0.13250168840799539</v>
      </c>
      <c r="AN637" s="198">
        <v>3.3861542593154437E-2</v>
      </c>
      <c r="AO637" s="198">
        <v>0</v>
      </c>
      <c r="AP637" s="198">
        <v>4.8414070877566022E-3</v>
      </c>
      <c r="AQ637" s="198">
        <v>6.0528749062294558E-3</v>
      </c>
      <c r="AS637" s="258">
        <f t="shared" si="80"/>
        <v>374336.72493414115</v>
      </c>
      <c r="AT637" s="3">
        <f t="shared" si="81"/>
        <v>24.819873065486679</v>
      </c>
      <c r="AU637" s="3">
        <f t="shared" si="79"/>
        <v>9.5803280711820804</v>
      </c>
      <c r="AV637" s="3">
        <f t="shared" si="82"/>
        <v>0</v>
      </c>
      <c r="AW637" s="3">
        <f t="shared" si="83"/>
        <v>0</v>
      </c>
      <c r="AX637" s="3">
        <f t="shared" si="84"/>
        <v>9.5803280711820804</v>
      </c>
      <c r="AY637" s="102">
        <f t="shared" si="85"/>
        <v>1</v>
      </c>
      <c r="AZ637" s="102">
        <f t="shared" si="86"/>
        <v>0</v>
      </c>
    </row>
    <row r="638" spans="1:52" x14ac:dyDescent="0.35">
      <c r="A638" t="s">
        <v>1065</v>
      </c>
      <c r="B638">
        <v>2021</v>
      </c>
      <c r="C638" t="s">
        <v>837</v>
      </c>
      <c r="D638" t="s">
        <v>1075</v>
      </c>
      <c r="E638" t="s">
        <v>1032</v>
      </c>
      <c r="F638" t="s">
        <v>989</v>
      </c>
      <c r="G638" t="s">
        <v>978</v>
      </c>
      <c r="H638" s="198">
        <v>200000</v>
      </c>
      <c r="I638" s="198">
        <v>0</v>
      </c>
      <c r="J638" s="198">
        <v>18538.4525202</v>
      </c>
      <c r="K638" s="198">
        <v>6225.8326999999999</v>
      </c>
      <c r="L638" s="198">
        <v>0</v>
      </c>
      <c r="M638" s="198">
        <v>11382.262499999999</v>
      </c>
      <c r="N638" s="198">
        <v>75</v>
      </c>
      <c r="O638" s="198">
        <v>0</v>
      </c>
      <c r="P638" s="198">
        <v>9040.9643586000002</v>
      </c>
      <c r="Q638" s="198">
        <v>0</v>
      </c>
      <c r="R638" s="198">
        <v>0</v>
      </c>
      <c r="S638" s="198">
        <v>4659</v>
      </c>
      <c r="T638" s="198">
        <v>0</v>
      </c>
      <c r="U638" s="198">
        <v>2000</v>
      </c>
      <c r="V638" s="198">
        <v>4500</v>
      </c>
      <c r="W638" s="198">
        <v>600</v>
      </c>
      <c r="X638" s="198">
        <v>1500</v>
      </c>
      <c r="Y638" s="198">
        <v>186</v>
      </c>
      <c r="Z638" s="277">
        <v>258707.51207880001</v>
      </c>
      <c r="AA638" s="272">
        <v>10.44664828</v>
      </c>
      <c r="AB638" s="198">
        <v>12.857730431793575</v>
      </c>
      <c r="AC638" s="272">
        <v>0</v>
      </c>
      <c r="AD638" s="198">
        <v>0</v>
      </c>
      <c r="AE638" s="198">
        <v>12.857730431793575</v>
      </c>
      <c r="AF638" s="198">
        <v>0</v>
      </c>
      <c r="AG638" s="198">
        <v>0</v>
      </c>
      <c r="AH638" s="198">
        <v>0</v>
      </c>
      <c r="AI638" s="198">
        <v>0</v>
      </c>
      <c r="AJ638" s="198">
        <v>0</v>
      </c>
      <c r="AK638" s="198">
        <v>0</v>
      </c>
      <c r="AL638" s="198">
        <v>0</v>
      </c>
      <c r="AM638" s="198">
        <v>0.12020156364696595</v>
      </c>
      <c r="AN638" s="198">
        <v>3.0718177376446908E-2</v>
      </c>
      <c r="AO638" s="198">
        <v>0</v>
      </c>
      <c r="AP638" s="198">
        <v>4.3919795226151368E-3</v>
      </c>
      <c r="AQ638" s="198">
        <v>5.4909868472616408E-3</v>
      </c>
      <c r="AS638" s="258">
        <f t="shared" si="80"/>
        <v>347056.12745371019</v>
      </c>
      <c r="AT638" s="3">
        <f t="shared" si="81"/>
        <v>22.515845555147582</v>
      </c>
      <c r="AU638" s="3">
        <f t="shared" si="79"/>
        <v>8.6909867205701179</v>
      </c>
      <c r="AV638" s="3">
        <f t="shared" si="82"/>
        <v>0</v>
      </c>
      <c r="AW638" s="3">
        <f t="shared" si="83"/>
        <v>0</v>
      </c>
      <c r="AX638" s="3">
        <f t="shared" si="84"/>
        <v>8.6909867205701179</v>
      </c>
      <c r="AY638" s="102">
        <f t="shared" si="85"/>
        <v>1</v>
      </c>
      <c r="AZ638" s="102">
        <f t="shared" si="86"/>
        <v>0</v>
      </c>
    </row>
    <row r="639" spans="1:52" x14ac:dyDescent="0.35">
      <c r="A639" t="s">
        <v>1017</v>
      </c>
      <c r="B639">
        <v>2025</v>
      </c>
      <c r="C639" t="s">
        <v>837</v>
      </c>
      <c r="D639" t="s">
        <v>1075</v>
      </c>
      <c r="E639" t="s">
        <v>1032</v>
      </c>
      <c r="F639" t="s">
        <v>983</v>
      </c>
      <c r="G639" t="s">
        <v>978</v>
      </c>
      <c r="H639" s="198">
        <v>200419.25587796001</v>
      </c>
      <c r="I639" s="198">
        <v>32621</v>
      </c>
      <c r="J639" s="198">
        <v>0</v>
      </c>
      <c r="K639" s="198">
        <v>0</v>
      </c>
      <c r="L639" s="198">
        <v>120</v>
      </c>
      <c r="M639" s="198">
        <v>0</v>
      </c>
      <c r="N639" s="198">
        <v>0</v>
      </c>
      <c r="O639" s="198">
        <v>150</v>
      </c>
      <c r="P639" s="198">
        <v>0</v>
      </c>
      <c r="Q639" s="198">
        <v>0</v>
      </c>
      <c r="R639" s="198">
        <v>92</v>
      </c>
      <c r="S639" s="198">
        <v>9321</v>
      </c>
      <c r="T639" s="198">
        <v>506</v>
      </c>
      <c r="U639" s="198">
        <v>2000</v>
      </c>
      <c r="V639" s="198">
        <v>1920</v>
      </c>
      <c r="W639" s="198">
        <v>0</v>
      </c>
      <c r="X639" s="198">
        <v>0</v>
      </c>
      <c r="Y639" s="198">
        <v>186</v>
      </c>
      <c r="Z639" s="277">
        <v>247335.25587796001</v>
      </c>
      <c r="AA639" s="272">
        <v>4.5895331260000001</v>
      </c>
      <c r="AB639" s="198">
        <v>29.266634276821652</v>
      </c>
      <c r="AC639" s="272">
        <v>0</v>
      </c>
      <c r="AD639" s="198">
        <v>0</v>
      </c>
      <c r="AE639" s="198">
        <v>29.266634276821652</v>
      </c>
      <c r="AF639" s="198">
        <v>2190.7695693235864</v>
      </c>
      <c r="AG639" s="198">
        <v>0.96310092206771025</v>
      </c>
      <c r="AH639" s="198">
        <v>5.0888589547463279E-3</v>
      </c>
      <c r="AI639" s="198">
        <v>2221.0111443949786</v>
      </c>
      <c r="AJ639" s="198">
        <v>0.93454232376729396</v>
      </c>
      <c r="AK639" s="198">
        <v>21.808249347380368</v>
      </c>
      <c r="AL639" s="198">
        <v>1.0210409471645721</v>
      </c>
      <c r="AM639" s="198">
        <v>0.18352792909341753</v>
      </c>
      <c r="AN639" s="198">
        <v>7.5461868311828717E-2</v>
      </c>
      <c r="AO639" s="198">
        <v>1.510965502457352E-2</v>
      </c>
      <c r="AP639" s="198">
        <v>1.253869241656499E-2</v>
      </c>
      <c r="AQ639" s="198">
        <v>1.1909535872862444E-2</v>
      </c>
      <c r="AS639" s="258">
        <f t="shared" si="80"/>
        <v>331800.24576028332</v>
      </c>
      <c r="AT639" s="3">
        <f t="shared" si="81"/>
        <v>51.250336969771361</v>
      </c>
      <c r="AU639" s="3">
        <f t="shared" si="79"/>
        <v>19.782334931107904</v>
      </c>
      <c r="AV639" s="3">
        <f t="shared" si="82"/>
        <v>0</v>
      </c>
      <c r="AW639" s="3">
        <f t="shared" si="83"/>
        <v>0</v>
      </c>
      <c r="AX639" s="3">
        <f t="shared" si="84"/>
        <v>19.782334931107904</v>
      </c>
      <c r="AY639" s="102">
        <f t="shared" si="85"/>
        <v>1</v>
      </c>
      <c r="AZ639" s="102">
        <f t="shared" si="86"/>
        <v>0</v>
      </c>
    </row>
    <row r="640" spans="1:52" x14ac:dyDescent="0.35">
      <c r="A640" t="s">
        <v>1020</v>
      </c>
      <c r="B640">
        <v>2025</v>
      </c>
      <c r="C640" t="s">
        <v>837</v>
      </c>
      <c r="D640" t="s">
        <v>1075</v>
      </c>
      <c r="E640" t="s">
        <v>1032</v>
      </c>
      <c r="F640" t="s">
        <v>983</v>
      </c>
      <c r="G640" t="s">
        <v>978</v>
      </c>
      <c r="H640" s="198">
        <v>200419.25587796001</v>
      </c>
      <c r="I640" s="198">
        <v>37343</v>
      </c>
      <c r="J640" s="198">
        <v>0</v>
      </c>
      <c r="K640" s="198">
        <v>0</v>
      </c>
      <c r="L640" s="198">
        <v>150</v>
      </c>
      <c r="M640" s="198">
        <v>2194.8994980000002</v>
      </c>
      <c r="N640" s="198">
        <v>50</v>
      </c>
      <c r="O640" s="198">
        <v>150</v>
      </c>
      <c r="P640" s="198">
        <v>3666.0196501</v>
      </c>
      <c r="Q640" s="198">
        <v>0</v>
      </c>
      <c r="R640" s="198">
        <v>0</v>
      </c>
      <c r="S640" s="198">
        <v>10828</v>
      </c>
      <c r="T640" s="198">
        <v>392</v>
      </c>
      <c r="U640" s="198">
        <v>2000</v>
      </c>
      <c r="V640" s="198">
        <v>4720</v>
      </c>
      <c r="W640" s="198">
        <v>373.28</v>
      </c>
      <c r="X640" s="198">
        <v>1500</v>
      </c>
      <c r="Y640" s="198">
        <v>186</v>
      </c>
      <c r="Z640" s="277">
        <v>263972.45502606005</v>
      </c>
      <c r="AA640" s="272">
        <v>5.9842118529999988</v>
      </c>
      <c r="AB640" s="198">
        <v>22.445760745028227</v>
      </c>
      <c r="AC640" s="272">
        <v>0</v>
      </c>
      <c r="AD640" s="198">
        <v>0</v>
      </c>
      <c r="AE640" s="198">
        <v>22.445760745028227</v>
      </c>
      <c r="AF640" s="198">
        <v>1680.1894312619941</v>
      </c>
      <c r="AG640" s="198">
        <v>0.73864089275097744</v>
      </c>
      <c r="AH640" s="198">
        <v>3.9028509217369123E-3</v>
      </c>
      <c r="AI640" s="198">
        <v>1703.3829133749293</v>
      </c>
      <c r="AJ640" s="198">
        <v>0.71673815331734936</v>
      </c>
      <c r="AK640" s="198">
        <v>16.725624904087113</v>
      </c>
      <c r="AL640" s="198">
        <v>0.78307743193700396</v>
      </c>
      <c r="AM640" s="198">
        <v>0.14075496169109622</v>
      </c>
      <c r="AN640" s="198">
        <v>5.7874746562216604E-2</v>
      </c>
      <c r="AO640" s="198">
        <v>1.1588203085248045E-2</v>
      </c>
      <c r="AP640" s="198">
        <v>9.6164282976881465E-3</v>
      </c>
      <c r="AQ640" s="198">
        <v>9.133902800647976E-3</v>
      </c>
      <c r="AS640" s="258">
        <f t="shared" si="80"/>
        <v>354119.04841745953</v>
      </c>
      <c r="AT640" s="3">
        <f t="shared" si="81"/>
        <v>39.305947887441576</v>
      </c>
      <c r="AU640" s="3">
        <f t="shared" si="79"/>
        <v>15.171869530392891</v>
      </c>
      <c r="AV640" s="3">
        <f t="shared" si="82"/>
        <v>0</v>
      </c>
      <c r="AW640" s="3">
        <f t="shared" si="83"/>
        <v>0</v>
      </c>
      <c r="AX640" s="3">
        <f t="shared" si="84"/>
        <v>15.171869530392891</v>
      </c>
      <c r="AY640" s="102">
        <f t="shared" si="85"/>
        <v>1</v>
      </c>
      <c r="AZ640" s="102">
        <f t="shared" si="86"/>
        <v>0</v>
      </c>
    </row>
    <row r="641" spans="1:52" x14ac:dyDescent="0.35">
      <c r="A641" t="s">
        <v>1021</v>
      </c>
      <c r="B641">
        <v>2025</v>
      </c>
      <c r="C641" t="s">
        <v>837</v>
      </c>
      <c r="D641" t="s">
        <v>1075</v>
      </c>
      <c r="E641" t="s">
        <v>1032</v>
      </c>
      <c r="F641" t="s">
        <v>983</v>
      </c>
      <c r="G641" t="s">
        <v>978</v>
      </c>
      <c r="H641" s="198">
        <v>200419.25587796001</v>
      </c>
      <c r="I641" s="198">
        <v>12525</v>
      </c>
      <c r="J641" s="198">
        <v>0</v>
      </c>
      <c r="K641" s="198">
        <v>0</v>
      </c>
      <c r="L641" s="198">
        <v>0</v>
      </c>
      <c r="M641" s="198">
        <v>12201.984</v>
      </c>
      <c r="N641" s="198">
        <v>50</v>
      </c>
      <c r="O641" s="198">
        <v>0</v>
      </c>
      <c r="P641" s="198">
        <v>7719.7077157000003</v>
      </c>
      <c r="Q641" s="198">
        <v>0</v>
      </c>
      <c r="R641" s="198">
        <v>4606.0629540999998</v>
      </c>
      <c r="S641" s="198">
        <v>4666</v>
      </c>
      <c r="T641" s="198">
        <v>0</v>
      </c>
      <c r="U641" s="198">
        <v>2000</v>
      </c>
      <c r="V641" s="198">
        <v>4720</v>
      </c>
      <c r="W641" s="198">
        <v>373.28</v>
      </c>
      <c r="X641" s="198">
        <v>1500</v>
      </c>
      <c r="Y641" s="198">
        <v>186</v>
      </c>
      <c r="Z641" s="277">
        <v>250967.29054776</v>
      </c>
      <c r="AA641" s="272">
        <v>36.403851610000011</v>
      </c>
      <c r="AB641" s="198">
        <v>3.6897246186747648</v>
      </c>
      <c r="AC641" s="272">
        <v>1564</v>
      </c>
      <c r="AD641" s="198">
        <v>5.6303999999999998</v>
      </c>
      <c r="AE641" s="198">
        <v>9.3201246186747646</v>
      </c>
      <c r="AF641" s="198">
        <v>276.19631069700836</v>
      </c>
      <c r="AG641" s="198">
        <v>0.12142076703490054</v>
      </c>
      <c r="AH641" s="198">
        <v>6.4156636491547315E-4</v>
      </c>
      <c r="AI641" s="198">
        <v>280.00894876782297</v>
      </c>
      <c r="AJ641" s="198">
        <v>0.11782030644803552</v>
      </c>
      <c r="AK641" s="198">
        <v>2.7494256341923933</v>
      </c>
      <c r="AL641" s="198">
        <v>0.12872542444731214</v>
      </c>
      <c r="AM641" s="198">
        <v>0.10637986252048333</v>
      </c>
      <c r="AN641" s="198">
        <v>3.0786638280626395E-2</v>
      </c>
      <c r="AO641" s="198">
        <v>1.9049155292860092E-3</v>
      </c>
      <c r="AP641" s="198">
        <v>4.6223211846445622E-3</v>
      </c>
      <c r="AQ641" s="198">
        <v>5.3040863219450674E-3</v>
      </c>
      <c r="AS641" s="258">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102">
        <f t="shared" si="85"/>
        <v>0.41618282137909196</v>
      </c>
      <c r="AZ641" s="102">
        <f t="shared" si="86"/>
        <v>0.58381717862090809</v>
      </c>
    </row>
    <row r="642" spans="1:52" x14ac:dyDescent="0.35">
      <c r="A642" t="s">
        <v>246</v>
      </c>
      <c r="B642">
        <v>2025</v>
      </c>
      <c r="C642" t="s">
        <v>837</v>
      </c>
      <c r="D642" t="s">
        <v>1075</v>
      </c>
      <c r="E642" t="s">
        <v>1032</v>
      </c>
      <c r="F642" t="s">
        <v>977</v>
      </c>
      <c r="G642" t="s">
        <v>978</v>
      </c>
      <c r="H642" s="198">
        <v>200419.25587796001</v>
      </c>
      <c r="I642" s="198">
        <v>0</v>
      </c>
      <c r="J642" s="198">
        <v>0</v>
      </c>
      <c r="K642" s="198">
        <v>0</v>
      </c>
      <c r="L642" s="198">
        <v>0</v>
      </c>
      <c r="M642" s="198">
        <v>27168.48</v>
      </c>
      <c r="N642" s="198">
        <v>50</v>
      </c>
      <c r="O642" s="198">
        <v>0</v>
      </c>
      <c r="P642" s="198">
        <v>7952.2245988000004</v>
      </c>
      <c r="Q642" s="198">
        <v>0</v>
      </c>
      <c r="R642" s="198">
        <v>0</v>
      </c>
      <c r="S642" s="198">
        <v>4757</v>
      </c>
      <c r="T642" s="198">
        <v>0</v>
      </c>
      <c r="U642" s="198">
        <v>2000</v>
      </c>
      <c r="V642" s="198">
        <v>4500</v>
      </c>
      <c r="W642" s="198">
        <v>373.28</v>
      </c>
      <c r="X642" s="198">
        <v>1500</v>
      </c>
      <c r="Y642" s="198">
        <v>186</v>
      </c>
      <c r="Z642" s="277">
        <v>248906.24047676002</v>
      </c>
      <c r="AA642" s="272">
        <v>0</v>
      </c>
      <c r="AB642" s="198">
        <v>0</v>
      </c>
      <c r="AC642" s="272">
        <v>1868</v>
      </c>
      <c r="AD642" s="198">
        <v>6.7248000000000001</v>
      </c>
      <c r="AE642" s="198">
        <v>6.7248000000000001</v>
      </c>
      <c r="AF642" s="198">
        <v>0</v>
      </c>
      <c r="AG642" s="198">
        <v>0</v>
      </c>
      <c r="AH642" s="198">
        <v>0</v>
      </c>
      <c r="AI642" s="198">
        <v>0</v>
      </c>
      <c r="AJ642" s="198">
        <v>0</v>
      </c>
      <c r="AK642" s="198">
        <v>0</v>
      </c>
      <c r="AL642" s="198">
        <v>0</v>
      </c>
      <c r="AM642" s="198">
        <v>9.9422024248422031E-2</v>
      </c>
      <c r="AN642" s="198">
        <v>2.5407850641263344E-2</v>
      </c>
      <c r="AO642" s="198">
        <v>0</v>
      </c>
      <c r="AP642" s="198">
        <v>3.6327272403750793E-3</v>
      </c>
      <c r="AQ642" s="198">
        <v>4.5417464707830273E-3</v>
      </c>
      <c r="AS642" s="258">
        <f t="shared" si="80"/>
        <v>333907.72159957356</v>
      </c>
      <c r="AT642" s="3">
        <f t="shared" si="81"/>
        <v>0</v>
      </c>
      <c r="AU642" s="3">
        <f t="shared" si="79"/>
        <v>0</v>
      </c>
      <c r="AV642" s="3">
        <f t="shared" si="82"/>
        <v>116.0724272061839</v>
      </c>
      <c r="AW642" s="3">
        <f t="shared" si="83"/>
        <v>4.1786073794226208</v>
      </c>
      <c r="AX642" s="3">
        <f t="shared" si="84"/>
        <v>4.1786073794226208</v>
      </c>
      <c r="AY642" s="102">
        <f t="shared" si="85"/>
        <v>0</v>
      </c>
      <c r="AZ642" s="102">
        <f t="shared" si="86"/>
        <v>1</v>
      </c>
    </row>
    <row r="643" spans="1:52" x14ac:dyDescent="0.35">
      <c r="A643" t="s">
        <v>627</v>
      </c>
      <c r="B643">
        <v>2025</v>
      </c>
      <c r="C643" t="s">
        <v>837</v>
      </c>
      <c r="D643" t="s">
        <v>1075</v>
      </c>
      <c r="E643" t="s">
        <v>1032</v>
      </c>
      <c r="F643" t="s">
        <v>989</v>
      </c>
      <c r="G643" t="s">
        <v>978</v>
      </c>
      <c r="H643" s="198">
        <v>200419.25587796001</v>
      </c>
      <c r="I643" s="198">
        <v>0</v>
      </c>
      <c r="J643" s="198">
        <v>33655.067024905657</v>
      </c>
      <c r="K643" s="198">
        <v>6785.3390220000001</v>
      </c>
      <c r="L643" s="198">
        <v>0</v>
      </c>
      <c r="M643" s="198">
        <v>5694.8743720000002</v>
      </c>
      <c r="N643" s="198">
        <v>50</v>
      </c>
      <c r="O643" s="198">
        <v>0</v>
      </c>
      <c r="P643" s="198">
        <v>7952.2245988000004</v>
      </c>
      <c r="Q643" s="198">
        <v>0</v>
      </c>
      <c r="R643" s="198">
        <v>0</v>
      </c>
      <c r="S643" s="198">
        <v>4757</v>
      </c>
      <c r="T643" s="198">
        <v>0</v>
      </c>
      <c r="U643" s="198">
        <v>2000</v>
      </c>
      <c r="V643" s="198">
        <v>4500</v>
      </c>
      <c r="W643" s="198">
        <v>373.28</v>
      </c>
      <c r="X643" s="198">
        <v>1500</v>
      </c>
      <c r="Y643" s="198">
        <v>186</v>
      </c>
      <c r="Z643" s="277">
        <v>267873.04089566565</v>
      </c>
      <c r="AA643" s="272">
        <v>9.9352946739999997</v>
      </c>
      <c r="AB643" s="198">
        <v>13.519497096699801</v>
      </c>
      <c r="AC643" s="272">
        <v>0</v>
      </c>
      <c r="AD643" s="198">
        <v>0</v>
      </c>
      <c r="AE643" s="198">
        <v>13.519497096699801</v>
      </c>
      <c r="AF643" s="198">
        <v>0</v>
      </c>
      <c r="AG643" s="198">
        <v>0</v>
      </c>
      <c r="AH643" s="198">
        <v>0</v>
      </c>
      <c r="AI643" s="198">
        <v>0</v>
      </c>
      <c r="AJ643" s="198">
        <v>0</v>
      </c>
      <c r="AK643" s="198">
        <v>0</v>
      </c>
      <c r="AL643" s="198">
        <v>0</v>
      </c>
      <c r="AM643" s="198">
        <v>0.1263881444213204</v>
      </c>
      <c r="AN643" s="198">
        <v>3.2299192463226378E-2</v>
      </c>
      <c r="AO643" s="198">
        <v>0</v>
      </c>
      <c r="AP643" s="198">
        <v>4.6180276309057402E-3</v>
      </c>
      <c r="AQ643" s="198">
        <v>5.7735990914856324E-3</v>
      </c>
      <c r="AS643" s="258">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102">
        <f t="shared" si="85"/>
        <v>1</v>
      </c>
      <c r="AZ643" s="102">
        <f t="shared" si="86"/>
        <v>0</v>
      </c>
    </row>
    <row r="644" spans="1:52" x14ac:dyDescent="0.35">
      <c r="A644" t="s">
        <v>1065</v>
      </c>
      <c r="B644">
        <v>2025</v>
      </c>
      <c r="C644" t="s">
        <v>837</v>
      </c>
      <c r="D644" t="s">
        <v>1075</v>
      </c>
      <c r="E644" t="s">
        <v>1032</v>
      </c>
      <c r="F644" t="s">
        <v>989</v>
      </c>
      <c r="G644" t="s">
        <v>978</v>
      </c>
      <c r="H644" s="198">
        <v>200419.25587796001</v>
      </c>
      <c r="I644" s="198">
        <v>0</v>
      </c>
      <c r="J644" s="198">
        <v>13427.705688301887</v>
      </c>
      <c r="K644" s="198">
        <v>5875.20219</v>
      </c>
      <c r="L644" s="198">
        <v>0</v>
      </c>
      <c r="M644" s="198">
        <v>10962.72</v>
      </c>
      <c r="N644" s="198">
        <v>50</v>
      </c>
      <c r="O644" s="198">
        <v>0</v>
      </c>
      <c r="P644" s="198">
        <v>7751.0082960999998</v>
      </c>
      <c r="Q644" s="198">
        <v>0</v>
      </c>
      <c r="R644" s="198">
        <v>0</v>
      </c>
      <c r="S644" s="198">
        <v>4679</v>
      </c>
      <c r="T644" s="198">
        <v>0</v>
      </c>
      <c r="U644" s="198">
        <v>2000</v>
      </c>
      <c r="V644" s="198">
        <v>4500</v>
      </c>
      <c r="W644" s="198">
        <v>373.28</v>
      </c>
      <c r="X644" s="198">
        <v>1500</v>
      </c>
      <c r="Y644" s="198">
        <v>186</v>
      </c>
      <c r="Z644" s="277">
        <v>251724.17205236189</v>
      </c>
      <c r="AA644" s="272">
        <v>11.0785771</v>
      </c>
      <c r="AB644" s="198">
        <v>12.124317616564678</v>
      </c>
      <c r="AC644" s="272">
        <v>0</v>
      </c>
      <c r="AD644" s="198">
        <v>0</v>
      </c>
      <c r="AE644" s="198">
        <v>12.124317616564678</v>
      </c>
      <c r="AF644" s="198">
        <v>0</v>
      </c>
      <c r="AG644" s="198">
        <v>0</v>
      </c>
      <c r="AH644" s="198">
        <v>0</v>
      </c>
      <c r="AI644" s="198">
        <v>0</v>
      </c>
      <c r="AJ644" s="198">
        <v>0</v>
      </c>
      <c r="AK644" s="198">
        <v>0</v>
      </c>
      <c r="AL644" s="198">
        <v>0</v>
      </c>
      <c r="AM644" s="198">
        <v>0.11334519287011033</v>
      </c>
      <c r="AN644" s="198">
        <v>2.8965993733472688E-2</v>
      </c>
      <c r="AO644" s="198">
        <v>0</v>
      </c>
      <c r="AP644" s="198">
        <v>4.1414583219105501E-3</v>
      </c>
      <c r="AQ644" s="198">
        <v>5.1777775959557524E-3</v>
      </c>
      <c r="AS644" s="258">
        <f t="shared" si="80"/>
        <v>337687.97680824343</v>
      </c>
      <c r="AT644" s="3">
        <f t="shared" si="81"/>
        <v>21.231527940661994</v>
      </c>
      <c r="AU644" s="3">
        <f t="shared" si="87"/>
        <v>8.195247517476469</v>
      </c>
      <c r="AV644" s="3">
        <f t="shared" si="82"/>
        <v>0</v>
      </c>
      <c r="AW644" s="3">
        <f t="shared" si="83"/>
        <v>0</v>
      </c>
      <c r="AX644" s="3">
        <f t="shared" si="84"/>
        <v>8.195247517476469</v>
      </c>
      <c r="AY644" s="102">
        <f t="shared" si="85"/>
        <v>1</v>
      </c>
      <c r="AZ644" s="102">
        <f t="shared" si="86"/>
        <v>0</v>
      </c>
    </row>
    <row r="645" spans="1:52" x14ac:dyDescent="0.35">
      <c r="A645" t="s">
        <v>1017</v>
      </c>
      <c r="B645">
        <v>2030</v>
      </c>
      <c r="C645" t="s">
        <v>837</v>
      </c>
      <c r="D645" t="s">
        <v>1075</v>
      </c>
      <c r="E645" t="s">
        <v>1032</v>
      </c>
      <c r="F645" t="s">
        <v>983</v>
      </c>
      <c r="G645" t="s">
        <v>978</v>
      </c>
      <c r="H645" s="198">
        <v>200888.10116083999</v>
      </c>
      <c r="I645" s="198">
        <v>32965</v>
      </c>
      <c r="J645" s="198">
        <v>0</v>
      </c>
      <c r="K645" s="198">
        <v>0</v>
      </c>
      <c r="L645" s="198">
        <v>120</v>
      </c>
      <c r="M645" s="198">
        <v>0</v>
      </c>
      <c r="N645" s="198">
        <v>0</v>
      </c>
      <c r="O645" s="198">
        <v>150</v>
      </c>
      <c r="P645" s="198">
        <v>0</v>
      </c>
      <c r="Q645" s="198">
        <v>0</v>
      </c>
      <c r="R645" s="198">
        <v>73.2</v>
      </c>
      <c r="S645" s="198">
        <v>9321</v>
      </c>
      <c r="T645" s="198">
        <v>506</v>
      </c>
      <c r="U645" s="198">
        <v>2000</v>
      </c>
      <c r="V645" s="198">
        <v>1920</v>
      </c>
      <c r="W645" s="198">
        <v>0</v>
      </c>
      <c r="X645" s="198">
        <v>0</v>
      </c>
      <c r="Y645" s="198">
        <v>186</v>
      </c>
      <c r="Z645" s="277">
        <v>248129.30116084</v>
      </c>
      <c r="AA645" s="272">
        <v>4.8370530110000001</v>
      </c>
      <c r="AB645" s="198">
        <v>27.769012908177949</v>
      </c>
      <c r="AC645" s="272">
        <v>0</v>
      </c>
      <c r="AD645" s="198">
        <v>0</v>
      </c>
      <c r="AE645" s="198">
        <v>27.769012908177949</v>
      </c>
      <c r="AF645" s="198">
        <v>2078.6643203988142</v>
      </c>
      <c r="AG645" s="198">
        <v>0.91381747842310346</v>
      </c>
      <c r="AH645" s="198">
        <v>4.8284537492636554E-3</v>
      </c>
      <c r="AI645" s="198">
        <v>2107.3583847923478</v>
      </c>
      <c r="AJ645" s="198">
        <v>0.88672027013660792</v>
      </c>
      <c r="AK645" s="198">
        <v>20.692285689707127</v>
      </c>
      <c r="AL645" s="198">
        <v>0.96879261801710681</v>
      </c>
      <c r="AM645" s="198">
        <v>0.17413650588590146</v>
      </c>
      <c r="AN645" s="198">
        <v>7.1600361538189383E-2</v>
      </c>
      <c r="AO645" s="198">
        <v>1.4336469354379898E-2</v>
      </c>
      <c r="AP645" s="198">
        <v>1.1897067092645515E-2</v>
      </c>
      <c r="AQ645" s="198">
        <v>1.130010551455325E-2</v>
      </c>
      <c r="AS645" s="258">
        <f t="shared" si="80"/>
        <v>332865.45750726684</v>
      </c>
      <c r="AT645" s="3">
        <f t="shared" si="81"/>
        <v>48.627773709844121</v>
      </c>
      <c r="AU645" s="3">
        <f t="shared" si="87"/>
        <v>18.77004061553103</v>
      </c>
      <c r="AV645" s="3">
        <f t="shared" si="82"/>
        <v>0</v>
      </c>
      <c r="AW645" s="3">
        <f t="shared" si="83"/>
        <v>0</v>
      </c>
      <c r="AX645" s="3">
        <f t="shared" si="84"/>
        <v>18.77004061553103</v>
      </c>
      <c r="AY645" s="102">
        <f t="shared" si="85"/>
        <v>1</v>
      </c>
      <c r="AZ645" s="102">
        <f t="shared" si="86"/>
        <v>0</v>
      </c>
    </row>
    <row r="646" spans="1:52" x14ac:dyDescent="0.35">
      <c r="A646" t="s">
        <v>1020</v>
      </c>
      <c r="B646">
        <v>2030</v>
      </c>
      <c r="C646" t="s">
        <v>837</v>
      </c>
      <c r="D646" t="s">
        <v>1075</v>
      </c>
      <c r="E646" t="s">
        <v>1032</v>
      </c>
      <c r="F646" t="s">
        <v>983</v>
      </c>
      <c r="G646" t="s">
        <v>978</v>
      </c>
      <c r="H646" s="198">
        <v>200888.10116083999</v>
      </c>
      <c r="I646" s="198">
        <v>37687</v>
      </c>
      <c r="J646" s="198">
        <v>0</v>
      </c>
      <c r="K646" s="198">
        <v>0</v>
      </c>
      <c r="L646" s="198">
        <v>150</v>
      </c>
      <c r="M646" s="198">
        <v>2209.1366842000002</v>
      </c>
      <c r="N646" s="198">
        <v>40</v>
      </c>
      <c r="O646" s="198">
        <v>150</v>
      </c>
      <c r="P646" s="198">
        <v>2983.68210357</v>
      </c>
      <c r="Q646" s="198">
        <v>0</v>
      </c>
      <c r="R646" s="198">
        <v>0</v>
      </c>
      <c r="S646" s="198">
        <v>10828</v>
      </c>
      <c r="T646" s="198">
        <v>392</v>
      </c>
      <c r="U646" s="198">
        <v>2000</v>
      </c>
      <c r="V646" s="198">
        <v>4720</v>
      </c>
      <c r="W646" s="198">
        <v>277.24799999999999</v>
      </c>
      <c r="X646" s="198">
        <v>1500</v>
      </c>
      <c r="Y646" s="198">
        <v>186</v>
      </c>
      <c r="Z646" s="277">
        <v>264011.16794860997</v>
      </c>
      <c r="AA646" s="272">
        <v>6.3281594800000001</v>
      </c>
      <c r="AB646" s="198">
        <v>21.225790520058133</v>
      </c>
      <c r="AC646" s="272">
        <v>0</v>
      </c>
      <c r="AD646" s="198">
        <v>0</v>
      </c>
      <c r="AE646" s="198">
        <v>21.225790520058133</v>
      </c>
      <c r="AF646" s="198">
        <v>1588.8679072676202</v>
      </c>
      <c r="AG646" s="198">
        <v>0.69849434096608765</v>
      </c>
      <c r="AH646" s="198">
        <v>3.6907234749952922E-3</v>
      </c>
      <c r="AI646" s="198">
        <v>1610.8007790625281</v>
      </c>
      <c r="AJ646" s="198">
        <v>0.67778205750576503</v>
      </c>
      <c r="AK646" s="198">
        <v>15.816555053045228</v>
      </c>
      <c r="AL646" s="198">
        <v>0.74051566886462528</v>
      </c>
      <c r="AM646" s="198">
        <v>0.13310465906911986</v>
      </c>
      <c r="AN646" s="198">
        <v>5.4729142882945732E-2</v>
      </c>
      <c r="AO646" s="198">
        <v>1.0958361981375429E-2</v>
      </c>
      <c r="AP646" s="198">
        <v>9.0937569421922979E-3</v>
      </c>
      <c r="AQ646" s="198">
        <v>8.6374576330664008E-3</v>
      </c>
      <c r="AS646" s="258">
        <f t="shared" si="80"/>
        <v>354170.98180306028</v>
      </c>
      <c r="AT646" s="3">
        <f t="shared" si="81"/>
        <v>37.169594095221527</v>
      </c>
      <c r="AU646" s="3">
        <f t="shared" si="87"/>
        <v>14.347249269379452</v>
      </c>
      <c r="AV646" s="3">
        <f t="shared" si="82"/>
        <v>0</v>
      </c>
      <c r="AW646" s="3">
        <f t="shared" si="83"/>
        <v>0</v>
      </c>
      <c r="AX646" s="3">
        <f t="shared" si="84"/>
        <v>14.347249269379452</v>
      </c>
      <c r="AY646" s="102">
        <f t="shared" si="85"/>
        <v>1</v>
      </c>
      <c r="AZ646" s="102">
        <f t="shared" si="86"/>
        <v>0</v>
      </c>
    </row>
    <row r="647" spans="1:52" x14ac:dyDescent="0.35">
      <c r="A647" t="s">
        <v>1021</v>
      </c>
      <c r="B647">
        <v>2030</v>
      </c>
      <c r="C647" t="s">
        <v>837</v>
      </c>
      <c r="D647" t="s">
        <v>1075</v>
      </c>
      <c r="E647" t="s">
        <v>1032</v>
      </c>
      <c r="F647" t="s">
        <v>983</v>
      </c>
      <c r="G647" t="s">
        <v>978</v>
      </c>
      <c r="H647" s="198">
        <v>200888.10116083999</v>
      </c>
      <c r="I647" s="198">
        <v>12600</v>
      </c>
      <c r="J647" s="198">
        <v>0</v>
      </c>
      <c r="K647" s="198">
        <v>0</v>
      </c>
      <c r="L647" s="198">
        <v>0</v>
      </c>
      <c r="M647" s="198">
        <v>9433.5</v>
      </c>
      <c r="N647" s="198">
        <v>40</v>
      </c>
      <c r="O647" s="198">
        <v>0</v>
      </c>
      <c r="P647" s="198">
        <v>6117.9523195199999</v>
      </c>
      <c r="Q647" s="198">
        <v>0</v>
      </c>
      <c r="R647" s="198">
        <v>3500.8672845599999</v>
      </c>
      <c r="S647" s="198">
        <v>4655</v>
      </c>
      <c r="T647" s="198">
        <v>0</v>
      </c>
      <c r="U647" s="198">
        <v>2000</v>
      </c>
      <c r="V647" s="198">
        <v>4720</v>
      </c>
      <c r="W647" s="198">
        <v>277.24799999999999</v>
      </c>
      <c r="X647" s="198">
        <v>1500</v>
      </c>
      <c r="Y647" s="198">
        <v>186</v>
      </c>
      <c r="Z647" s="277">
        <v>245918.66876491997</v>
      </c>
      <c r="AA647" s="272">
        <v>39.483830125000004</v>
      </c>
      <c r="AB647" s="198">
        <v>3.4019036925942099</v>
      </c>
      <c r="AC647" s="272">
        <v>1502.4</v>
      </c>
      <c r="AD647" s="198">
        <v>5.4086400000000001</v>
      </c>
      <c r="AE647" s="198">
        <v>8.8105436925942104</v>
      </c>
      <c r="AF647" s="198">
        <v>254.65132126270262</v>
      </c>
      <c r="AG647" s="198">
        <v>0.11194920987951899</v>
      </c>
      <c r="AH647" s="198">
        <v>5.9152029254532716E-4</v>
      </c>
      <c r="AI647" s="198">
        <v>258.16655041177881</v>
      </c>
      <c r="AJ647" s="198">
        <v>0.10862960708219824</v>
      </c>
      <c r="AK647" s="198">
        <v>2.5349537388597012</v>
      </c>
      <c r="AL647" s="198">
        <v>0.11868405965628744</v>
      </c>
      <c r="AM647" s="198">
        <v>0.101296383364851</v>
      </c>
      <c r="AN647" s="198">
        <v>2.9206652549478618E-2</v>
      </c>
      <c r="AO647" s="198">
        <v>1.7563205504170299E-3</v>
      </c>
      <c r="AP647" s="198">
        <v>4.3792157489309213E-3</v>
      </c>
      <c r="AQ647" s="198">
        <v>5.0371920647921554E-3</v>
      </c>
      <c r="AS647" s="258">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102">
        <f t="shared" si="85"/>
        <v>0.40624820234546694</v>
      </c>
      <c r="AZ647" s="102">
        <f t="shared" si="86"/>
        <v>0.59375179765453301</v>
      </c>
    </row>
    <row r="648" spans="1:52" x14ac:dyDescent="0.35">
      <c r="A648" t="s">
        <v>246</v>
      </c>
      <c r="B648">
        <v>2030</v>
      </c>
      <c r="C648" t="s">
        <v>837</v>
      </c>
      <c r="D648" t="s">
        <v>1075</v>
      </c>
      <c r="E648" t="s">
        <v>1032</v>
      </c>
      <c r="F648" t="s">
        <v>977</v>
      </c>
      <c r="G648" t="s">
        <v>978</v>
      </c>
      <c r="H648" s="198">
        <v>200888.10116083999</v>
      </c>
      <c r="I648" s="198">
        <v>0</v>
      </c>
      <c r="J648" s="198">
        <v>0</v>
      </c>
      <c r="K648" s="198">
        <v>0</v>
      </c>
      <c r="L648" s="198">
        <v>0</v>
      </c>
      <c r="M648" s="198">
        <v>20331.675000000003</v>
      </c>
      <c r="N648" s="198">
        <v>40</v>
      </c>
      <c r="O648" s="198">
        <v>0</v>
      </c>
      <c r="P648" s="198">
        <v>6308.5046673000006</v>
      </c>
      <c r="Q648" s="198">
        <v>0</v>
      </c>
      <c r="R648" s="198">
        <v>0</v>
      </c>
      <c r="S648" s="198">
        <v>4747</v>
      </c>
      <c r="T648" s="198">
        <v>0</v>
      </c>
      <c r="U648" s="198">
        <v>2000</v>
      </c>
      <c r="V648" s="198">
        <v>4500</v>
      </c>
      <c r="W648" s="198">
        <v>277.24799999999999</v>
      </c>
      <c r="X648" s="198">
        <v>1500</v>
      </c>
      <c r="Y648" s="198">
        <v>186</v>
      </c>
      <c r="Z648" s="277">
        <v>240778.52882814</v>
      </c>
      <c r="AA648" s="272">
        <v>0</v>
      </c>
      <c r="AB648" s="198">
        <v>0</v>
      </c>
      <c r="AC648" s="272">
        <v>1782</v>
      </c>
      <c r="AD648" s="198">
        <v>6.4151999999999996</v>
      </c>
      <c r="AE648" s="198">
        <v>6.4151999999999996</v>
      </c>
      <c r="AF648" s="198">
        <v>0</v>
      </c>
      <c r="AG648" s="198">
        <v>0</v>
      </c>
      <c r="AH648" s="198">
        <v>0</v>
      </c>
      <c r="AI648" s="198">
        <v>0</v>
      </c>
      <c r="AJ648" s="198">
        <v>0</v>
      </c>
      <c r="AK648" s="198">
        <v>0</v>
      </c>
      <c r="AL648" s="198">
        <v>0</v>
      </c>
      <c r="AM648" s="198">
        <v>9.4844779020710937E-2</v>
      </c>
      <c r="AN648" s="198">
        <v>2.4238110194181622E-2</v>
      </c>
      <c r="AO648" s="198">
        <v>0</v>
      </c>
      <c r="AP648" s="198">
        <v>3.4654817678524577E-3</v>
      </c>
      <c r="AQ648" s="198">
        <v>4.3326510765178553E-3</v>
      </c>
      <c r="AS648" s="258">
        <f t="shared" si="80"/>
        <v>323004.39642294979</v>
      </c>
      <c r="AT648" s="3">
        <f t="shared" si="81"/>
        <v>0</v>
      </c>
      <c r="AU648" s="3">
        <f t="shared" si="87"/>
        <v>0</v>
      </c>
      <c r="AV648" s="3">
        <f t="shared" si="82"/>
        <v>110.72862167099557</v>
      </c>
      <c r="AW648" s="3">
        <f t="shared" si="83"/>
        <v>3.9862303801558401</v>
      </c>
      <c r="AX648" s="3">
        <f t="shared" si="84"/>
        <v>3.9862303801558401</v>
      </c>
      <c r="AY648" s="102">
        <f t="shared" si="85"/>
        <v>0</v>
      </c>
      <c r="AZ648" s="102">
        <f t="shared" si="86"/>
        <v>1</v>
      </c>
    </row>
    <row r="649" spans="1:52" x14ac:dyDescent="0.35">
      <c r="A649" t="s">
        <v>627</v>
      </c>
      <c r="B649">
        <v>2030</v>
      </c>
      <c r="C649" t="s">
        <v>837</v>
      </c>
      <c r="D649" t="s">
        <v>1075</v>
      </c>
      <c r="E649" t="s">
        <v>1032</v>
      </c>
      <c r="F649" t="s">
        <v>989</v>
      </c>
      <c r="G649" t="s">
        <v>978</v>
      </c>
      <c r="H649" s="198">
        <v>200888.10116083999</v>
      </c>
      <c r="I649" s="198">
        <v>0</v>
      </c>
      <c r="J649" s="198">
        <v>29198.379528999998</v>
      </c>
      <c r="K649" s="198">
        <v>6003.1365900000001</v>
      </c>
      <c r="L649" s="198">
        <v>0</v>
      </c>
      <c r="M649" s="198">
        <v>5410.1306534000005</v>
      </c>
      <c r="N649" s="198">
        <v>40</v>
      </c>
      <c r="O649" s="198">
        <v>0</v>
      </c>
      <c r="P649" s="198">
        <v>6308.5046673000006</v>
      </c>
      <c r="Q649" s="198">
        <v>0</v>
      </c>
      <c r="R649" s="198">
        <v>0</v>
      </c>
      <c r="S649" s="198">
        <v>4747</v>
      </c>
      <c r="T649" s="198">
        <v>0</v>
      </c>
      <c r="U649" s="198">
        <v>2000</v>
      </c>
      <c r="V649" s="198">
        <v>4500</v>
      </c>
      <c r="W649" s="198">
        <v>277.24799999999999</v>
      </c>
      <c r="X649" s="198">
        <v>1500</v>
      </c>
      <c r="Y649" s="198">
        <v>186</v>
      </c>
      <c r="Z649" s="277">
        <v>261058.50060053999</v>
      </c>
      <c r="AA649" s="272">
        <v>10.439823459999999</v>
      </c>
      <c r="AB649" s="198">
        <v>12.866135908777142</v>
      </c>
      <c r="AC649" s="272">
        <v>0</v>
      </c>
      <c r="AD649" s="198">
        <v>0</v>
      </c>
      <c r="AE649" s="198">
        <v>12.866135908777142</v>
      </c>
      <c r="AF649" s="198">
        <v>0</v>
      </c>
      <c r="AG649" s="198">
        <v>0</v>
      </c>
      <c r="AH649" s="198">
        <v>0</v>
      </c>
      <c r="AI649" s="198">
        <v>0</v>
      </c>
      <c r="AJ649" s="198">
        <v>0</v>
      </c>
      <c r="AK649" s="198">
        <v>0</v>
      </c>
      <c r="AL649" s="198">
        <v>0</v>
      </c>
      <c r="AM649" s="198">
        <v>0.12028014294849844</v>
      </c>
      <c r="AN649" s="198">
        <v>3.0738258753505211E-2</v>
      </c>
      <c r="AO649" s="198">
        <v>0</v>
      </c>
      <c r="AP649" s="198">
        <v>4.3948506889524208E-3</v>
      </c>
      <c r="AQ649" s="198">
        <v>5.4945764670476958E-3</v>
      </c>
      <c r="AS649" s="258">
        <f t="shared" si="80"/>
        <v>350209.97855562437</v>
      </c>
      <c r="AT649" s="3">
        <f t="shared" si="81"/>
        <v>22.530564826373812</v>
      </c>
      <c r="AU649" s="3">
        <f t="shared" si="87"/>
        <v>8.6966682744984531</v>
      </c>
      <c r="AV649" s="3">
        <f t="shared" si="82"/>
        <v>0</v>
      </c>
      <c r="AW649" s="3">
        <f t="shared" si="83"/>
        <v>0</v>
      </c>
      <c r="AX649" s="3">
        <f t="shared" si="84"/>
        <v>8.6966682744984531</v>
      </c>
      <c r="AY649" s="102">
        <f t="shared" si="85"/>
        <v>1</v>
      </c>
      <c r="AZ649" s="102">
        <f t="shared" si="86"/>
        <v>0</v>
      </c>
    </row>
    <row r="650" spans="1:52" x14ac:dyDescent="0.35">
      <c r="A650" t="s">
        <v>1065</v>
      </c>
      <c r="B650">
        <v>2030</v>
      </c>
      <c r="C650" t="s">
        <v>837</v>
      </c>
      <c r="D650" t="s">
        <v>1075</v>
      </c>
      <c r="E650" t="s">
        <v>1032</v>
      </c>
      <c r="F650" t="s">
        <v>989</v>
      </c>
      <c r="G650" t="s">
        <v>978</v>
      </c>
      <c r="H650" s="198">
        <v>200888.10116083999</v>
      </c>
      <c r="I650" s="198">
        <v>0</v>
      </c>
      <c r="J650" s="198">
        <v>11133.079397</v>
      </c>
      <c r="K650" s="198">
        <v>5213.2089900000001</v>
      </c>
      <c r="L650" s="198">
        <v>0</v>
      </c>
      <c r="M650" s="198">
        <v>8750.8125</v>
      </c>
      <c r="N650" s="198">
        <v>40</v>
      </c>
      <c r="O650" s="198">
        <v>0</v>
      </c>
      <c r="P650" s="198">
        <v>6121.1577822899999</v>
      </c>
      <c r="Q650" s="198">
        <v>0</v>
      </c>
      <c r="R650" s="198">
        <v>0</v>
      </c>
      <c r="S650" s="198">
        <v>4656</v>
      </c>
      <c r="T650" s="198">
        <v>0</v>
      </c>
      <c r="U650" s="198">
        <v>2000</v>
      </c>
      <c r="V650" s="198">
        <v>4500</v>
      </c>
      <c r="W650" s="198">
        <v>277.24799999999999</v>
      </c>
      <c r="X650" s="198">
        <v>1500</v>
      </c>
      <c r="Y650" s="198">
        <v>186</v>
      </c>
      <c r="Z650" s="277">
        <v>245265.60783013</v>
      </c>
      <c r="AA650" s="272">
        <v>11.733180470000001</v>
      </c>
      <c r="AB650" s="198">
        <v>11.447892397414048</v>
      </c>
      <c r="AC650" s="272">
        <v>0</v>
      </c>
      <c r="AD650" s="198">
        <v>0</v>
      </c>
      <c r="AE650" s="198">
        <v>11.447892397414048</v>
      </c>
      <c r="AF650" s="198">
        <v>0</v>
      </c>
      <c r="AG650" s="198">
        <v>0</v>
      </c>
      <c r="AH650" s="198">
        <v>0</v>
      </c>
      <c r="AI650" s="198">
        <v>0</v>
      </c>
      <c r="AJ650" s="198">
        <v>0</v>
      </c>
      <c r="AK650" s="198">
        <v>0</v>
      </c>
      <c r="AL650" s="198">
        <v>0</v>
      </c>
      <c r="AM650" s="198">
        <v>0.10702157538073624</v>
      </c>
      <c r="AN650" s="198">
        <v>2.7349958152854861E-2</v>
      </c>
      <c r="AO650" s="198">
        <v>0</v>
      </c>
      <c r="AP650" s="198">
        <v>3.910403103662705E-3</v>
      </c>
      <c r="AQ650" s="198">
        <v>4.8889053100406657E-3</v>
      </c>
      <c r="AS650" s="258">
        <f t="shared" si="80"/>
        <v>329023.81290411938</v>
      </c>
      <c r="AT650" s="3">
        <f t="shared" si="81"/>
        <v>20.047004292044964</v>
      </c>
      <c r="AU650" s="3">
        <f t="shared" si="87"/>
        <v>7.738028210516962</v>
      </c>
      <c r="AV650" s="3">
        <f t="shared" si="82"/>
        <v>0</v>
      </c>
      <c r="AW650" s="3">
        <f t="shared" si="83"/>
        <v>0</v>
      </c>
      <c r="AX650" s="3">
        <f t="shared" si="84"/>
        <v>7.738028210516962</v>
      </c>
      <c r="AY650" s="102">
        <f t="shared" si="85"/>
        <v>1</v>
      </c>
      <c r="AZ650" s="102">
        <f t="shared" si="86"/>
        <v>0</v>
      </c>
    </row>
    <row r="651" spans="1:52" x14ac:dyDescent="0.35">
      <c r="A651" t="s">
        <v>1017</v>
      </c>
      <c r="B651">
        <v>2035</v>
      </c>
      <c r="C651" t="s">
        <v>837</v>
      </c>
      <c r="D651" t="s">
        <v>1075</v>
      </c>
      <c r="E651" t="s">
        <v>1032</v>
      </c>
      <c r="F651" t="s">
        <v>983</v>
      </c>
      <c r="G651" t="s">
        <v>978</v>
      </c>
      <c r="H651" s="198">
        <v>200888.10116083999</v>
      </c>
      <c r="I651" s="198">
        <v>33195</v>
      </c>
      <c r="J651" s="198">
        <v>0</v>
      </c>
      <c r="K651" s="198">
        <v>0</v>
      </c>
      <c r="L651" s="198">
        <v>120</v>
      </c>
      <c r="M651" s="198">
        <v>0</v>
      </c>
      <c r="N651" s="198">
        <v>0</v>
      </c>
      <c r="O651" s="198">
        <v>150</v>
      </c>
      <c r="P651" s="198">
        <v>0</v>
      </c>
      <c r="Q651" s="198">
        <v>0</v>
      </c>
      <c r="R651" s="198">
        <v>62.6</v>
      </c>
      <c r="S651" s="198">
        <v>9321</v>
      </c>
      <c r="T651" s="198">
        <v>506</v>
      </c>
      <c r="U651" s="198">
        <v>2000</v>
      </c>
      <c r="V651" s="198">
        <v>1920</v>
      </c>
      <c r="W651" s="198">
        <v>0</v>
      </c>
      <c r="X651" s="198">
        <v>0</v>
      </c>
      <c r="Y651" s="198">
        <v>186</v>
      </c>
      <c r="Z651" s="277">
        <v>248348.70116083999</v>
      </c>
      <c r="AA651" s="272">
        <v>5.0097722649999996</v>
      </c>
      <c r="AB651" s="198">
        <v>26.811635418720975</v>
      </c>
      <c r="AC651" s="272">
        <v>0</v>
      </c>
      <c r="AD651" s="198">
        <v>0</v>
      </c>
      <c r="AE651" s="198">
        <v>26.811635418720975</v>
      </c>
      <c r="AF651" s="198">
        <v>2006.9993161342536</v>
      </c>
      <c r="AG651" s="198">
        <v>0.88231227922111943</v>
      </c>
      <c r="AH651" s="198">
        <v>4.6619857172988683E-3</v>
      </c>
      <c r="AI651" s="198">
        <v>2034.7041105302465</v>
      </c>
      <c r="AJ651" s="198">
        <v>0.8561492869734294</v>
      </c>
      <c r="AK651" s="198">
        <v>19.978888760898606</v>
      </c>
      <c r="AL651" s="198">
        <v>0.93539207016513337</v>
      </c>
      <c r="AM651" s="198">
        <v>0.16813289418464589</v>
      </c>
      <c r="AN651" s="198">
        <v>6.9131833953132299E-2</v>
      </c>
      <c r="AO651" s="198">
        <v>1.3842198525108507E-2</v>
      </c>
      <c r="AP651" s="198">
        <v>1.148689823778846E-2</v>
      </c>
      <c r="AQ651" s="198">
        <v>1.0910517786538048E-2</v>
      </c>
      <c r="AS651" s="258">
        <f t="shared" si="80"/>
        <v>333159.78260726685</v>
      </c>
      <c r="AT651" s="3">
        <f t="shared" si="81"/>
        <v>46.951259817681184</v>
      </c>
      <c r="AU651" s="3">
        <f t="shared" si="87"/>
        <v>18.122915907824538</v>
      </c>
      <c r="AV651" s="3">
        <f t="shared" si="82"/>
        <v>0</v>
      </c>
      <c r="AW651" s="3">
        <f t="shared" si="83"/>
        <v>0</v>
      </c>
      <c r="AX651" s="3">
        <f t="shared" si="84"/>
        <v>18.122915907824538</v>
      </c>
      <c r="AY651" s="102">
        <f t="shared" si="85"/>
        <v>1</v>
      </c>
      <c r="AZ651" s="102">
        <f t="shared" si="86"/>
        <v>0</v>
      </c>
    </row>
    <row r="652" spans="1:52" x14ac:dyDescent="0.35">
      <c r="A652" t="s">
        <v>1020</v>
      </c>
      <c r="B652">
        <v>2035</v>
      </c>
      <c r="C652" t="s">
        <v>837</v>
      </c>
      <c r="D652" t="s">
        <v>1075</v>
      </c>
      <c r="E652" t="s">
        <v>1032</v>
      </c>
      <c r="F652" t="s">
        <v>983</v>
      </c>
      <c r="G652" t="s">
        <v>978</v>
      </c>
      <c r="H652" s="198">
        <v>200888.10116083999</v>
      </c>
      <c r="I652" s="198">
        <v>37916</v>
      </c>
      <c r="J652" s="198">
        <v>0</v>
      </c>
      <c r="K652" s="198">
        <v>0</v>
      </c>
      <c r="L652" s="198">
        <v>150</v>
      </c>
      <c r="M652" s="198">
        <v>2135.5778897999999</v>
      </c>
      <c r="N652" s="198">
        <v>35</v>
      </c>
      <c r="O652" s="198">
        <v>150</v>
      </c>
      <c r="P652" s="198">
        <v>2571.3480755399996</v>
      </c>
      <c r="Q652" s="198">
        <v>0</v>
      </c>
      <c r="R652" s="198">
        <v>0</v>
      </c>
      <c r="S652" s="198">
        <v>10828</v>
      </c>
      <c r="T652" s="198">
        <v>392</v>
      </c>
      <c r="U652" s="198">
        <v>2000</v>
      </c>
      <c r="V652" s="198">
        <v>4720</v>
      </c>
      <c r="W652" s="198">
        <v>224</v>
      </c>
      <c r="X652" s="198">
        <v>1500</v>
      </c>
      <c r="Y652" s="198">
        <v>186</v>
      </c>
      <c r="Z652" s="277">
        <v>263696.02712618001</v>
      </c>
      <c r="AA652" s="272">
        <v>6.6922813650000004</v>
      </c>
      <c r="AB652" s="198">
        <v>20.070911573216559</v>
      </c>
      <c r="AC652" s="272">
        <v>0</v>
      </c>
      <c r="AD652" s="198">
        <v>0</v>
      </c>
      <c r="AE652" s="198">
        <v>20.070911573216559</v>
      </c>
      <c r="AF652" s="198">
        <v>1502.418825727802</v>
      </c>
      <c r="AG652" s="198">
        <v>0.660489800776764</v>
      </c>
      <c r="AH652" s="198">
        <v>3.4899140476216369E-3</v>
      </c>
      <c r="AI652" s="198">
        <v>1523.158346827207</v>
      </c>
      <c r="AJ652" s="198">
        <v>0.64090445673887364</v>
      </c>
      <c r="AK652" s="198">
        <v>14.955988450116527</v>
      </c>
      <c r="AL652" s="198">
        <v>0.70022478052433457</v>
      </c>
      <c r="AM652" s="198">
        <v>0.12586253688101154</v>
      </c>
      <c r="AN652" s="198">
        <v>5.1751372286629425E-2</v>
      </c>
      <c r="AO652" s="198">
        <v>1.0362125929191638E-2</v>
      </c>
      <c r="AP652" s="198">
        <v>8.5989726169485407E-3</v>
      </c>
      <c r="AQ652" s="198">
        <v>8.1675002024944755E-3</v>
      </c>
      <c r="AS652" s="258">
        <f t="shared" si="80"/>
        <v>353748.22038977046</v>
      </c>
      <c r="AT652" s="3">
        <f t="shared" si="81"/>
        <v>35.14722505117328</v>
      </c>
      <c r="AU652" s="3">
        <f t="shared" si="87"/>
        <v>13.566626464747669</v>
      </c>
      <c r="AV652" s="3">
        <f t="shared" si="82"/>
        <v>0</v>
      </c>
      <c r="AW652" s="3">
        <f t="shared" si="83"/>
        <v>0</v>
      </c>
      <c r="AX652" s="3">
        <f t="shared" si="84"/>
        <v>13.566626464747669</v>
      </c>
      <c r="AY652" s="102">
        <f t="shared" si="85"/>
        <v>1</v>
      </c>
      <c r="AZ652" s="102">
        <f t="shared" si="86"/>
        <v>0</v>
      </c>
    </row>
    <row r="653" spans="1:52" x14ac:dyDescent="0.35">
      <c r="A653" t="s">
        <v>1021</v>
      </c>
      <c r="B653">
        <v>2035</v>
      </c>
      <c r="C653" t="s">
        <v>837</v>
      </c>
      <c r="D653" t="s">
        <v>1075</v>
      </c>
      <c r="E653" t="s">
        <v>1032</v>
      </c>
      <c r="F653" t="s">
        <v>983</v>
      </c>
      <c r="G653" t="s">
        <v>978</v>
      </c>
      <c r="H653" s="198">
        <v>200888.10116083999</v>
      </c>
      <c r="I653" s="198">
        <v>12542</v>
      </c>
      <c r="J653" s="198">
        <v>0</v>
      </c>
      <c r="K653" s="198">
        <v>0</v>
      </c>
      <c r="L653" s="198">
        <v>0</v>
      </c>
      <c r="M653" s="198">
        <v>8132.67</v>
      </c>
      <c r="N653" s="198">
        <v>35</v>
      </c>
      <c r="O653" s="198">
        <v>0</v>
      </c>
      <c r="P653" s="198">
        <v>5228.0577450199999</v>
      </c>
      <c r="Q653" s="198">
        <v>0</v>
      </c>
      <c r="R653" s="198">
        <v>2844.6164641949999</v>
      </c>
      <c r="S653" s="198">
        <v>4643</v>
      </c>
      <c r="T653" s="198">
        <v>0</v>
      </c>
      <c r="U653" s="198">
        <v>2000</v>
      </c>
      <c r="V653" s="198">
        <v>4720</v>
      </c>
      <c r="W653" s="198">
        <v>224</v>
      </c>
      <c r="X653" s="198">
        <v>1500</v>
      </c>
      <c r="Y653" s="198">
        <v>186</v>
      </c>
      <c r="Z653" s="277">
        <v>242943.44537005498</v>
      </c>
      <c r="AA653" s="272">
        <v>42.261661830000008</v>
      </c>
      <c r="AB653" s="198">
        <v>3.178298762606893</v>
      </c>
      <c r="AC653" s="272">
        <v>1441.6000000000001</v>
      </c>
      <c r="AD653" s="198">
        <v>5.1897600000000006</v>
      </c>
      <c r="AE653" s="198">
        <v>8.3680587626068927</v>
      </c>
      <c r="AF653" s="198">
        <v>237.91325457783941</v>
      </c>
      <c r="AG653" s="198">
        <v>0.10459086070233926</v>
      </c>
      <c r="AH653" s="198">
        <v>5.5264004620307649E-4</v>
      </c>
      <c r="AI653" s="198">
        <v>241.19742998795181</v>
      </c>
      <c r="AJ653" s="198">
        <v>0.10148945325037662</v>
      </c>
      <c r="AK653" s="198">
        <v>2.3683328687472494</v>
      </c>
      <c r="AL653" s="198">
        <v>0.11088303315814539</v>
      </c>
      <c r="AM653" s="198">
        <v>9.6658174868560251E-2</v>
      </c>
      <c r="AN653" s="198">
        <v>2.7803124357287622E-2</v>
      </c>
      <c r="AO653" s="198">
        <v>1.6408787363038839E-3</v>
      </c>
      <c r="AP653" s="198">
        <v>4.1651781185745281E-3</v>
      </c>
      <c r="AQ653" s="198">
        <v>4.7983744376396825E-3</v>
      </c>
      <c r="AS653" s="258">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102">
        <f t="shared" si="85"/>
        <v>0.39982940673770945</v>
      </c>
      <c r="AZ653" s="102">
        <f t="shared" si="86"/>
        <v>0.60017059326229061</v>
      </c>
    </row>
    <row r="654" spans="1:52" x14ac:dyDescent="0.35">
      <c r="A654" t="s">
        <v>246</v>
      </c>
      <c r="B654">
        <v>2035</v>
      </c>
      <c r="C654" t="s">
        <v>837</v>
      </c>
      <c r="D654" t="s">
        <v>1075</v>
      </c>
      <c r="E654" t="s">
        <v>1032</v>
      </c>
      <c r="F654" t="s">
        <v>977</v>
      </c>
      <c r="G654" t="s">
        <v>978</v>
      </c>
      <c r="H654" s="198">
        <v>200888.10116083999</v>
      </c>
      <c r="I654" s="198">
        <v>0</v>
      </c>
      <c r="J654" s="198">
        <v>0</v>
      </c>
      <c r="K654" s="198">
        <v>0</v>
      </c>
      <c r="L654" s="198">
        <v>0</v>
      </c>
      <c r="M654" s="198">
        <v>16533.45</v>
      </c>
      <c r="N654" s="198">
        <v>35</v>
      </c>
      <c r="O654" s="198">
        <v>0</v>
      </c>
      <c r="P654" s="198">
        <v>5396.3037397999997</v>
      </c>
      <c r="Q654" s="198">
        <v>0</v>
      </c>
      <c r="R654" s="198">
        <v>0</v>
      </c>
      <c r="S654" s="198">
        <v>4738</v>
      </c>
      <c r="T654" s="198">
        <v>0</v>
      </c>
      <c r="U654" s="198">
        <v>2000</v>
      </c>
      <c r="V654" s="198">
        <v>4500</v>
      </c>
      <c r="W654" s="198">
        <v>224</v>
      </c>
      <c r="X654" s="198">
        <v>1500</v>
      </c>
      <c r="Y654" s="198">
        <v>186</v>
      </c>
      <c r="Z654" s="277">
        <v>236000.85490064</v>
      </c>
      <c r="AA654" s="272">
        <v>0</v>
      </c>
      <c r="AB654" s="198">
        <v>0</v>
      </c>
      <c r="AC654" s="272">
        <v>1703</v>
      </c>
      <c r="AD654" s="198">
        <v>6.1307999999999998</v>
      </c>
      <c r="AE654" s="198">
        <v>6.1307999999999998</v>
      </c>
      <c r="AF654" s="198">
        <v>0</v>
      </c>
      <c r="AG654" s="198">
        <v>0</v>
      </c>
      <c r="AH654" s="198">
        <v>0</v>
      </c>
      <c r="AI654" s="198">
        <v>0</v>
      </c>
      <c r="AJ654" s="198">
        <v>0</v>
      </c>
      <c r="AK654" s="198">
        <v>0</v>
      </c>
      <c r="AL654" s="198">
        <v>0</v>
      </c>
      <c r="AM654" s="198">
        <v>9.0640100265022866E-2</v>
      </c>
      <c r="AN654" s="198">
        <v>2.3163581178839116E-2</v>
      </c>
      <c r="AO654" s="198">
        <v>0</v>
      </c>
      <c r="AP654" s="198">
        <v>3.3118492989072591E-3</v>
      </c>
      <c r="AQ654" s="198">
        <v>4.1405750748091516E-3</v>
      </c>
      <c r="AS654" s="258">
        <f t="shared" si="80"/>
        <v>316595.14684920851</v>
      </c>
      <c r="AT654" s="3">
        <f t="shared" si="81"/>
        <v>0</v>
      </c>
      <c r="AU654" s="3">
        <f t="shared" si="87"/>
        <v>0</v>
      </c>
      <c r="AV654" s="3">
        <f t="shared" si="82"/>
        <v>105.8197770514621</v>
      </c>
      <c r="AW654" s="3">
        <f t="shared" si="83"/>
        <v>3.809511973852636</v>
      </c>
      <c r="AX654" s="3">
        <f t="shared" si="84"/>
        <v>3.809511973852636</v>
      </c>
      <c r="AY654" s="102">
        <f t="shared" si="85"/>
        <v>0</v>
      </c>
      <c r="AZ654" s="102">
        <f t="shared" si="86"/>
        <v>1</v>
      </c>
    </row>
    <row r="655" spans="1:52" x14ac:dyDescent="0.35">
      <c r="A655" t="s">
        <v>627</v>
      </c>
      <c r="B655">
        <v>2035</v>
      </c>
      <c r="C655" t="s">
        <v>837</v>
      </c>
      <c r="D655" t="s">
        <v>1075</v>
      </c>
      <c r="E655" t="s">
        <v>1032</v>
      </c>
      <c r="F655" t="s">
        <v>989</v>
      </c>
      <c r="G655" t="s">
        <v>978</v>
      </c>
      <c r="H655" s="198">
        <v>200888.10116083999</v>
      </c>
      <c r="I655" s="198">
        <v>0</v>
      </c>
      <c r="J655" s="198">
        <v>25142.650865999996</v>
      </c>
      <c r="K655" s="198">
        <v>5720.8938930000013</v>
      </c>
      <c r="L655" s="198">
        <v>0</v>
      </c>
      <c r="M655" s="198">
        <v>5125.3869348000007</v>
      </c>
      <c r="N655" s="198">
        <v>35</v>
      </c>
      <c r="O655" s="198">
        <v>0</v>
      </c>
      <c r="P655" s="198">
        <v>5396.3037397999997</v>
      </c>
      <c r="Q655" s="198">
        <v>0</v>
      </c>
      <c r="R655" s="198">
        <v>0</v>
      </c>
      <c r="S655" s="198">
        <v>4738</v>
      </c>
      <c r="T655" s="198">
        <v>0</v>
      </c>
      <c r="U655" s="198">
        <v>2000</v>
      </c>
      <c r="V655" s="198">
        <v>4500</v>
      </c>
      <c r="W655" s="198">
        <v>224</v>
      </c>
      <c r="X655" s="198">
        <v>1500</v>
      </c>
      <c r="Y655" s="198">
        <v>186</v>
      </c>
      <c r="Z655" s="277">
        <v>255456.33659443998</v>
      </c>
      <c r="AA655" s="272">
        <v>10.79527558</v>
      </c>
      <c r="AB655" s="198">
        <v>12.442497322518559</v>
      </c>
      <c r="AC655" s="272">
        <v>0</v>
      </c>
      <c r="AD655" s="198">
        <v>0</v>
      </c>
      <c r="AE655" s="198">
        <v>12.442497322518559</v>
      </c>
      <c r="AF655" s="198">
        <v>0</v>
      </c>
      <c r="AG655" s="198">
        <v>0</v>
      </c>
      <c r="AH655" s="198">
        <v>0</v>
      </c>
      <c r="AI655" s="198">
        <v>0</v>
      </c>
      <c r="AJ655" s="198">
        <v>0</v>
      </c>
      <c r="AK655" s="198">
        <v>0</v>
      </c>
      <c r="AL655" s="198">
        <v>0</v>
      </c>
      <c r="AM655" s="198">
        <v>0.11631972234708687</v>
      </c>
      <c r="AN655" s="198">
        <v>2.9726151266477804E-2</v>
      </c>
      <c r="AO655" s="198">
        <v>0</v>
      </c>
      <c r="AP655" s="198">
        <v>4.250143035785533E-3</v>
      </c>
      <c r="AQ655" s="198">
        <v>5.3136585424203159E-3</v>
      </c>
      <c r="AS655" s="258">
        <f t="shared" si="80"/>
        <v>342694.67554144119</v>
      </c>
      <c r="AT655" s="3">
        <f t="shared" si="81"/>
        <v>21.788709097635479</v>
      </c>
      <c r="AU655" s="3">
        <f t="shared" si="87"/>
        <v>8.410316235386615</v>
      </c>
      <c r="AV655" s="3">
        <f t="shared" si="82"/>
        <v>0</v>
      </c>
      <c r="AW655" s="3">
        <f t="shared" si="83"/>
        <v>0</v>
      </c>
      <c r="AX655" s="3">
        <f t="shared" si="84"/>
        <v>8.410316235386615</v>
      </c>
      <c r="AY655" s="102">
        <f t="shared" si="85"/>
        <v>1</v>
      </c>
      <c r="AZ655" s="102">
        <f t="shared" si="86"/>
        <v>0</v>
      </c>
    </row>
    <row r="656" spans="1:52" x14ac:dyDescent="0.35">
      <c r="A656" t="s">
        <v>1065</v>
      </c>
      <c r="B656">
        <v>2035</v>
      </c>
      <c r="C656" t="s">
        <v>837</v>
      </c>
      <c r="D656" t="s">
        <v>1075</v>
      </c>
      <c r="E656" t="s">
        <v>1032</v>
      </c>
      <c r="F656" t="s">
        <v>989</v>
      </c>
      <c r="G656" t="s">
        <v>978</v>
      </c>
      <c r="H656" s="198">
        <v>200888.10116083999</v>
      </c>
      <c r="I656" s="198">
        <v>0</v>
      </c>
      <c r="J656" s="198">
        <v>9094.3029845000001</v>
      </c>
      <c r="K656" s="198">
        <v>4966.4705805000012</v>
      </c>
      <c r="L656" s="198">
        <v>0</v>
      </c>
      <c r="M656" s="198">
        <v>7875.7312500000007</v>
      </c>
      <c r="N656" s="198">
        <v>35</v>
      </c>
      <c r="O656" s="198">
        <v>0</v>
      </c>
      <c r="P656" s="198">
        <v>5211.4409702100002</v>
      </c>
      <c r="Q656" s="198">
        <v>0</v>
      </c>
      <c r="R656" s="198">
        <v>0</v>
      </c>
      <c r="S656" s="198">
        <v>4633</v>
      </c>
      <c r="T656" s="198">
        <v>0</v>
      </c>
      <c r="U656" s="198">
        <v>2000</v>
      </c>
      <c r="V656" s="198">
        <v>4500</v>
      </c>
      <c r="W656" s="198">
        <v>224</v>
      </c>
      <c r="X656" s="198">
        <v>1500</v>
      </c>
      <c r="Y656" s="198">
        <v>186</v>
      </c>
      <c r="Z656" s="277">
        <v>241114.04694605002</v>
      </c>
      <c r="AA656" s="272">
        <v>12.264082119999999</v>
      </c>
      <c r="AB656" s="198">
        <v>10.952322904047875</v>
      </c>
      <c r="AC656" s="272">
        <v>0</v>
      </c>
      <c r="AD656" s="198">
        <v>0</v>
      </c>
      <c r="AE656" s="198">
        <v>10.952322904047875</v>
      </c>
      <c r="AF656" s="198">
        <v>0</v>
      </c>
      <c r="AG656" s="198">
        <v>0</v>
      </c>
      <c r="AH656" s="198">
        <v>0</v>
      </c>
      <c r="AI656" s="198">
        <v>0</v>
      </c>
      <c r="AJ656" s="198">
        <v>0</v>
      </c>
      <c r="AK656" s="198">
        <v>0</v>
      </c>
      <c r="AL656" s="198">
        <v>0</v>
      </c>
      <c r="AM656" s="198">
        <v>0.10238870270430704</v>
      </c>
      <c r="AN656" s="198">
        <v>2.6166001802211843E-2</v>
      </c>
      <c r="AO656" s="198">
        <v>0</v>
      </c>
      <c r="AP656" s="198">
        <v>3.7411250900628058E-3</v>
      </c>
      <c r="AQ656" s="198">
        <v>4.6772687708852723E-3</v>
      </c>
      <c r="AS656" s="258">
        <f t="shared" si="80"/>
        <v>323454.49397812609</v>
      </c>
      <c r="AT656" s="3">
        <f t="shared" si="81"/>
        <v>19.179186582405904</v>
      </c>
      <c r="AU656" s="3">
        <f t="shared" si="87"/>
        <v>7.403055572164309</v>
      </c>
      <c r="AV656" s="3">
        <f t="shared" si="82"/>
        <v>0</v>
      </c>
      <c r="AW656" s="3">
        <f t="shared" si="83"/>
        <v>0</v>
      </c>
      <c r="AX656" s="3">
        <f t="shared" si="84"/>
        <v>7.403055572164309</v>
      </c>
      <c r="AY656" s="102">
        <f t="shared" si="85"/>
        <v>1</v>
      </c>
      <c r="AZ656" s="102">
        <f t="shared" si="86"/>
        <v>0</v>
      </c>
    </row>
    <row r="657" spans="1:52" x14ac:dyDescent="0.35">
      <c r="A657" t="s">
        <v>1017</v>
      </c>
      <c r="B657">
        <v>2050</v>
      </c>
      <c r="C657" t="s">
        <v>837</v>
      </c>
      <c r="D657" t="s">
        <v>1075</v>
      </c>
      <c r="E657" t="s">
        <v>1032</v>
      </c>
      <c r="F657" t="s">
        <v>983</v>
      </c>
      <c r="G657" t="s">
        <v>978</v>
      </c>
      <c r="H657" s="198">
        <v>201149.57256860001</v>
      </c>
      <c r="I657" s="198">
        <v>33646</v>
      </c>
      <c r="J657" s="198">
        <v>0</v>
      </c>
      <c r="K657" s="198">
        <v>0</v>
      </c>
      <c r="L657" s="198">
        <v>120</v>
      </c>
      <c r="M657" s="198">
        <v>0</v>
      </c>
      <c r="N657" s="198">
        <v>0</v>
      </c>
      <c r="O657" s="198">
        <v>150</v>
      </c>
      <c r="P657" s="198">
        <v>0</v>
      </c>
      <c r="Q657" s="198">
        <v>0</v>
      </c>
      <c r="R657" s="198">
        <v>44</v>
      </c>
      <c r="S657" s="198">
        <v>9321</v>
      </c>
      <c r="T657" s="198">
        <v>506</v>
      </c>
      <c r="U657" s="198">
        <v>2000</v>
      </c>
      <c r="V657" s="198">
        <v>1920</v>
      </c>
      <c r="W657" s="198">
        <v>0</v>
      </c>
      <c r="X657" s="198">
        <v>0</v>
      </c>
      <c r="Y657" s="198">
        <v>186</v>
      </c>
      <c r="Z657" s="277">
        <v>249042.57256860001</v>
      </c>
      <c r="AA657" s="272">
        <v>5.5383149679999999</v>
      </c>
      <c r="AB657" s="198">
        <v>24.252897907773889</v>
      </c>
      <c r="AC657" s="272">
        <v>0</v>
      </c>
      <c r="AD657" s="198">
        <v>0</v>
      </c>
      <c r="AE657" s="198">
        <v>24.252897907773889</v>
      </c>
      <c r="AF657" s="198">
        <v>1815.4636505757055</v>
      </c>
      <c r="AG657" s="198">
        <v>0.79810982420653476</v>
      </c>
      <c r="AH657" s="198">
        <v>4.2170744858853974E-3</v>
      </c>
      <c r="AI657" s="198">
        <v>1840.524469863615</v>
      </c>
      <c r="AJ657" s="198">
        <v>0.77444366695668443</v>
      </c>
      <c r="AK657" s="198">
        <v>18.072226548721282</v>
      </c>
      <c r="AL657" s="198">
        <v>0.84612400650562258</v>
      </c>
      <c r="AM657" s="198">
        <v>0.15208732529428415</v>
      </c>
      <c r="AN657" s="198">
        <v>6.2534317092488551E-2</v>
      </c>
      <c r="AO657" s="198">
        <v>1.2521184269654291E-2</v>
      </c>
      <c r="AP657" s="198">
        <v>1.0390659349468404E-2</v>
      </c>
      <c r="AQ657" s="198">
        <v>9.8692851019858262E-3</v>
      </c>
      <c r="AS657" s="258">
        <f t="shared" si="80"/>
        <v>334090.61110077688</v>
      </c>
      <c r="AT657" s="3">
        <f t="shared" si="81"/>
        <v>42.470520474275084</v>
      </c>
      <c r="AU657" s="3">
        <f t="shared" si="87"/>
        <v>16.393376324845139</v>
      </c>
      <c r="AV657" s="3">
        <f t="shared" si="82"/>
        <v>0</v>
      </c>
      <c r="AW657" s="3">
        <f t="shared" si="83"/>
        <v>0</v>
      </c>
      <c r="AX657" s="3">
        <f t="shared" si="84"/>
        <v>16.393376324845139</v>
      </c>
      <c r="AY657" s="102">
        <f t="shared" si="85"/>
        <v>1</v>
      </c>
      <c r="AZ657" s="102">
        <f t="shared" si="86"/>
        <v>0</v>
      </c>
    </row>
    <row r="658" spans="1:52" x14ac:dyDescent="0.35">
      <c r="A658" t="s">
        <v>1020</v>
      </c>
      <c r="B658">
        <v>2050</v>
      </c>
      <c r="C658" t="s">
        <v>837</v>
      </c>
      <c r="D658" t="s">
        <v>1075</v>
      </c>
      <c r="E658" t="s">
        <v>1032</v>
      </c>
      <c r="F658" t="s">
        <v>983</v>
      </c>
      <c r="G658" t="s">
        <v>978</v>
      </c>
      <c r="H658" s="198">
        <v>201149.57256860001</v>
      </c>
      <c r="I658" s="198">
        <v>38368</v>
      </c>
      <c r="J658" s="198">
        <v>0</v>
      </c>
      <c r="K658" s="198">
        <v>0</v>
      </c>
      <c r="L658" s="198">
        <v>150</v>
      </c>
      <c r="M658" s="198">
        <v>2016.9346737000001</v>
      </c>
      <c r="N658" s="198">
        <v>28.89</v>
      </c>
      <c r="O658" s="198">
        <v>150</v>
      </c>
      <c r="P658" s="198">
        <v>1778.1548279000001</v>
      </c>
      <c r="Q658" s="198">
        <v>0</v>
      </c>
      <c r="R658" s="198">
        <v>0</v>
      </c>
      <c r="S658" s="198">
        <v>10828</v>
      </c>
      <c r="T658" s="198">
        <v>392</v>
      </c>
      <c r="U658" s="198">
        <v>2000</v>
      </c>
      <c r="V658" s="198">
        <v>4720</v>
      </c>
      <c r="W658" s="198">
        <v>161.78399999999999</v>
      </c>
      <c r="X658" s="198">
        <v>1500</v>
      </c>
      <c r="Y658" s="198">
        <v>186</v>
      </c>
      <c r="Z658" s="277">
        <v>263429.33607020002</v>
      </c>
      <c r="AA658" s="272">
        <v>7.7032175429999992</v>
      </c>
      <c r="AB658" s="198">
        <v>17.436893966737092</v>
      </c>
      <c r="AC658" s="272">
        <v>0</v>
      </c>
      <c r="AD658" s="198">
        <v>0</v>
      </c>
      <c r="AE658" s="198">
        <v>17.436893966737092</v>
      </c>
      <c r="AF658" s="198">
        <v>1305.2480283359112</v>
      </c>
      <c r="AG658" s="198">
        <v>0.57381004247083356</v>
      </c>
      <c r="AH658" s="198">
        <v>3.0319131734210724E-3</v>
      </c>
      <c r="AI658" s="198">
        <v>1323.2657864737034</v>
      </c>
      <c r="AJ658" s="198">
        <v>0.55679499230507623</v>
      </c>
      <c r="AK658" s="198">
        <v>12.993230717055717</v>
      </c>
      <c r="AL658" s="198">
        <v>0.60833037933253387</v>
      </c>
      <c r="AM658" s="198">
        <v>0.10934489457406446</v>
      </c>
      <c r="AN658" s="198">
        <v>4.4959751225214437E-2</v>
      </c>
      <c r="AO658" s="198">
        <v>9.0022463821923665E-3</v>
      </c>
      <c r="AP658" s="198">
        <v>7.470481507411586E-3</v>
      </c>
      <c r="AQ658" s="198">
        <v>7.0956336230510514E-3</v>
      </c>
      <c r="AS658" s="258">
        <f t="shared" si="80"/>
        <v>353390.45433817332</v>
      </c>
      <c r="AT658" s="3">
        <f t="shared" si="81"/>
        <v>30.534658787505069</v>
      </c>
      <c r="AU658" s="3">
        <f t="shared" si="87"/>
        <v>11.786202449708835</v>
      </c>
      <c r="AV658" s="3">
        <f t="shared" si="82"/>
        <v>0</v>
      </c>
      <c r="AW658" s="3">
        <f t="shared" si="83"/>
        <v>0</v>
      </c>
      <c r="AX658" s="3">
        <f t="shared" si="84"/>
        <v>11.786202449708835</v>
      </c>
      <c r="AY658" s="102">
        <f t="shared" si="85"/>
        <v>1</v>
      </c>
      <c r="AZ658" s="102">
        <f t="shared" si="86"/>
        <v>0</v>
      </c>
    </row>
    <row r="659" spans="1:52" x14ac:dyDescent="0.35">
      <c r="A659" t="s">
        <v>1021</v>
      </c>
      <c r="B659">
        <v>2050</v>
      </c>
      <c r="C659" t="s">
        <v>837</v>
      </c>
      <c r="D659" t="s">
        <v>1075</v>
      </c>
      <c r="E659" t="s">
        <v>1032</v>
      </c>
      <c r="F659" t="s">
        <v>983</v>
      </c>
      <c r="G659" t="s">
        <v>978</v>
      </c>
      <c r="H659" s="198">
        <v>201149.57256860001</v>
      </c>
      <c r="I659" s="198">
        <v>12510</v>
      </c>
      <c r="J659" s="198">
        <v>0</v>
      </c>
      <c r="K659" s="198">
        <v>0</v>
      </c>
      <c r="L659" s="198">
        <v>0</v>
      </c>
      <c r="M659" s="198">
        <v>5248.0050000000001</v>
      </c>
      <c r="N659" s="198">
        <v>28.89</v>
      </c>
      <c r="O659" s="198">
        <v>0</v>
      </c>
      <c r="P659" s="198">
        <v>3632.6684437999997</v>
      </c>
      <c r="Q659" s="198">
        <v>0</v>
      </c>
      <c r="R659" s="198">
        <v>1822.2675812</v>
      </c>
      <c r="S659" s="198">
        <v>4618</v>
      </c>
      <c r="T659" s="198">
        <v>0</v>
      </c>
      <c r="U659" s="198">
        <v>2000</v>
      </c>
      <c r="V659" s="198">
        <v>4720</v>
      </c>
      <c r="W659" s="198">
        <v>161.78399999999999</v>
      </c>
      <c r="X659" s="198">
        <v>1500</v>
      </c>
      <c r="Y659" s="198">
        <v>186</v>
      </c>
      <c r="Z659" s="277">
        <v>237577.18759360004</v>
      </c>
      <c r="AA659" s="272">
        <v>50.800111750000013</v>
      </c>
      <c r="AB659" s="198">
        <v>2.6440923626511501</v>
      </c>
      <c r="AC659" s="272">
        <v>1319.2</v>
      </c>
      <c r="AD659" s="198">
        <v>4.7491200000000005</v>
      </c>
      <c r="AE659" s="198">
        <v>7.3932123626511501</v>
      </c>
      <c r="AF659" s="198">
        <v>197.92494865610897</v>
      </c>
      <c r="AG659" s="198">
        <v>8.7011296496033758E-2</v>
      </c>
      <c r="AH659" s="198">
        <v>4.5975266474389189E-4</v>
      </c>
      <c r="AI659" s="198">
        <v>200.65712198784522</v>
      </c>
      <c r="AJ659" s="198">
        <v>8.4431171602275285E-2</v>
      </c>
      <c r="AK659" s="198">
        <v>1.9702650122589547</v>
      </c>
      <c r="AL659" s="198">
        <v>9.2245884675917419E-2</v>
      </c>
      <c r="AM659" s="198">
        <v>8.6793632865712567E-2</v>
      </c>
      <c r="AN659" s="198">
        <v>2.4760872473625892E-2</v>
      </c>
      <c r="AO659" s="198">
        <v>1.3650808998016126E-3</v>
      </c>
      <c r="AP659" s="198">
        <v>3.6982751931988293E-3</v>
      </c>
      <c r="AQ659" s="198">
        <v>4.2833924164928103E-3</v>
      </c>
      <c r="AS659" s="258">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102">
        <f t="shared" si="85"/>
        <v>0.37719619943634908</v>
      </c>
      <c r="AZ659" s="102">
        <f t="shared" si="86"/>
        <v>0.62280380056365081</v>
      </c>
    </row>
    <row r="660" spans="1:52" x14ac:dyDescent="0.35">
      <c r="A660" t="s">
        <v>246</v>
      </c>
      <c r="B660">
        <v>2050</v>
      </c>
      <c r="C660" t="s">
        <v>837</v>
      </c>
      <c r="D660" t="s">
        <v>1075</v>
      </c>
      <c r="E660" t="s">
        <v>1032</v>
      </c>
      <c r="F660" t="s">
        <v>977</v>
      </c>
      <c r="G660" t="s">
        <v>978</v>
      </c>
      <c r="H660" s="198">
        <v>201149.57256860001</v>
      </c>
      <c r="I660" s="198">
        <v>0</v>
      </c>
      <c r="J660" s="198">
        <v>0</v>
      </c>
      <c r="K660" s="198">
        <v>0</v>
      </c>
      <c r="L660" s="198">
        <v>0</v>
      </c>
      <c r="M660" s="198">
        <v>11677.68</v>
      </c>
      <c r="N660" s="198">
        <v>28.89</v>
      </c>
      <c r="O660" s="198">
        <v>0</v>
      </c>
      <c r="P660" s="198">
        <v>3758.4757067</v>
      </c>
      <c r="Q660" s="198">
        <v>0</v>
      </c>
      <c r="R660" s="198">
        <v>0</v>
      </c>
      <c r="S660" s="198">
        <v>4720</v>
      </c>
      <c r="T660" s="198">
        <v>0</v>
      </c>
      <c r="U660" s="198">
        <v>2000</v>
      </c>
      <c r="V660" s="198">
        <v>4500</v>
      </c>
      <c r="W660" s="198">
        <v>161.78399999999999</v>
      </c>
      <c r="X660" s="198">
        <v>1500</v>
      </c>
      <c r="Y660" s="198">
        <v>186</v>
      </c>
      <c r="Z660" s="277">
        <v>229682.40227530003</v>
      </c>
      <c r="AA660" s="272">
        <v>0</v>
      </c>
      <c r="AB660" s="198">
        <v>0</v>
      </c>
      <c r="AC660" s="272">
        <v>1542</v>
      </c>
      <c r="AD660" s="198">
        <v>5.5511999999999997</v>
      </c>
      <c r="AE660" s="198">
        <v>5.5511999999999997</v>
      </c>
      <c r="AF660" s="198">
        <v>0</v>
      </c>
      <c r="AG660" s="198">
        <v>0</v>
      </c>
      <c r="AH660" s="198">
        <v>0</v>
      </c>
      <c r="AI660" s="198">
        <v>0</v>
      </c>
      <c r="AJ660" s="198">
        <v>0</v>
      </c>
      <c r="AK660" s="198">
        <v>0</v>
      </c>
      <c r="AL660" s="198">
        <v>0</v>
      </c>
      <c r="AM660" s="198">
        <v>8.2071071408493984E-2</v>
      </c>
      <c r="AN660" s="198">
        <v>2.0973718248837297E-2</v>
      </c>
      <c r="AO660" s="198">
        <v>0</v>
      </c>
      <c r="AP660" s="198">
        <v>2.9987502166265376E-3</v>
      </c>
      <c r="AQ660" s="198">
        <v>3.7491290460104003E-3</v>
      </c>
      <c r="AS660" s="258">
        <f t="shared" si="80"/>
        <v>308118.94265231496</v>
      </c>
      <c r="AT660" s="3">
        <f t="shared" si="81"/>
        <v>0</v>
      </c>
      <c r="AU660" s="3">
        <f t="shared" si="87"/>
        <v>0</v>
      </c>
      <c r="AV660" s="3">
        <f t="shared" si="82"/>
        <v>95.815675991400198</v>
      </c>
      <c r="AW660" s="3">
        <f t="shared" si="83"/>
        <v>3.4493643356904071</v>
      </c>
      <c r="AX660" s="3">
        <f t="shared" si="84"/>
        <v>3.4493643356904071</v>
      </c>
      <c r="AY660" s="102">
        <f t="shared" si="85"/>
        <v>0</v>
      </c>
      <c r="AZ660" s="102">
        <f t="shared" si="86"/>
        <v>1</v>
      </c>
    </row>
    <row r="661" spans="1:52" x14ac:dyDescent="0.35">
      <c r="A661" t="s">
        <v>627</v>
      </c>
      <c r="B661">
        <v>2050</v>
      </c>
      <c r="C661" t="s">
        <v>837</v>
      </c>
      <c r="D661" t="s">
        <v>1075</v>
      </c>
      <c r="E661" t="s">
        <v>1032</v>
      </c>
      <c r="F661" t="s">
        <v>989</v>
      </c>
      <c r="G661" t="s">
        <v>978</v>
      </c>
      <c r="H661" s="198">
        <v>201149.57256860001</v>
      </c>
      <c r="I661" s="198">
        <v>0</v>
      </c>
      <c r="J661" s="198">
        <v>21047.463960000001</v>
      </c>
      <c r="K661" s="198">
        <v>5065.9916670000002</v>
      </c>
      <c r="L661" s="198">
        <v>0</v>
      </c>
      <c r="M661" s="198">
        <v>4981.8286429</v>
      </c>
      <c r="N661" s="198">
        <v>28.89</v>
      </c>
      <c r="O661" s="198">
        <v>0</v>
      </c>
      <c r="P661" s="198">
        <v>3758.4757067</v>
      </c>
      <c r="Q661" s="198">
        <v>0</v>
      </c>
      <c r="R661" s="198">
        <v>0</v>
      </c>
      <c r="S661" s="198">
        <v>4720</v>
      </c>
      <c r="T661" s="198">
        <v>0</v>
      </c>
      <c r="U661" s="198">
        <v>2000</v>
      </c>
      <c r="V661" s="198">
        <v>4500</v>
      </c>
      <c r="W661" s="198">
        <v>161.78399999999999</v>
      </c>
      <c r="X661" s="198">
        <v>1500</v>
      </c>
      <c r="Y661" s="198">
        <v>186</v>
      </c>
      <c r="Z661" s="277">
        <v>249100.00654520004</v>
      </c>
      <c r="AA661" s="272">
        <v>11.80999782</v>
      </c>
      <c r="AB661" s="198">
        <v>11.373430338194595</v>
      </c>
      <c r="AC661" s="272">
        <v>0</v>
      </c>
      <c r="AD661" s="198">
        <v>0</v>
      </c>
      <c r="AE661" s="198">
        <v>11.373430338194595</v>
      </c>
      <c r="AF661" s="198">
        <v>0</v>
      </c>
      <c r="AG661" s="198">
        <v>0</v>
      </c>
      <c r="AH661" s="198">
        <v>0</v>
      </c>
      <c r="AI661" s="198">
        <v>0</v>
      </c>
      <c r="AJ661" s="198">
        <v>0</v>
      </c>
      <c r="AK661" s="198">
        <v>0</v>
      </c>
      <c r="AL661" s="198">
        <v>0</v>
      </c>
      <c r="AM661" s="198">
        <v>0.10632546061942352</v>
      </c>
      <c r="AN661" s="198">
        <v>2.7172062158297167E-2</v>
      </c>
      <c r="AO661" s="198">
        <v>0</v>
      </c>
      <c r="AP661" s="198">
        <v>3.8849681452119565E-3</v>
      </c>
      <c r="AQ661" s="198">
        <v>4.8571057486823865E-3</v>
      </c>
      <c r="AS661" s="258">
        <f t="shared" si="80"/>
        <v>334167.65878038586</v>
      </c>
      <c r="AT661" s="3">
        <f t="shared" si="81"/>
        <v>19.916609878038756</v>
      </c>
      <c r="AU661" s="3">
        <f t="shared" si="87"/>
        <v>7.6876967176228215</v>
      </c>
      <c r="AV661" s="3">
        <f t="shared" si="82"/>
        <v>0</v>
      </c>
      <c r="AW661" s="3">
        <f t="shared" si="83"/>
        <v>0</v>
      </c>
      <c r="AX661" s="3">
        <f t="shared" si="84"/>
        <v>7.6876967176228215</v>
      </c>
      <c r="AY661" s="102">
        <f t="shared" si="85"/>
        <v>1</v>
      </c>
      <c r="AZ661" s="102">
        <f t="shared" si="86"/>
        <v>0</v>
      </c>
    </row>
    <row r="662" spans="1:52" x14ac:dyDescent="0.35">
      <c r="A662" t="s">
        <v>1065</v>
      </c>
      <c r="B662">
        <v>2050</v>
      </c>
      <c r="C662" t="s">
        <v>837</v>
      </c>
      <c r="D662" t="s">
        <v>1075</v>
      </c>
      <c r="E662" t="s">
        <v>1032</v>
      </c>
      <c r="F662" t="s">
        <v>989</v>
      </c>
      <c r="G662" t="s">
        <v>978</v>
      </c>
      <c r="H662" s="198">
        <v>201149.57256860001</v>
      </c>
      <c r="I662" s="198">
        <v>0</v>
      </c>
      <c r="J662" s="198">
        <v>6889.5788960000009</v>
      </c>
      <c r="K662" s="198">
        <v>4366.1744280000003</v>
      </c>
      <c r="L662" s="198">
        <v>0</v>
      </c>
      <c r="M662" s="198">
        <v>6342.7874999999995</v>
      </c>
      <c r="N662" s="198">
        <v>28.89</v>
      </c>
      <c r="O662" s="198">
        <v>0</v>
      </c>
      <c r="P662" s="198">
        <v>3647.2671740999999</v>
      </c>
      <c r="Q662" s="198">
        <v>0</v>
      </c>
      <c r="R662" s="198">
        <v>0</v>
      </c>
      <c r="S662" s="198">
        <v>4630</v>
      </c>
      <c r="T662" s="198">
        <v>0</v>
      </c>
      <c r="U662" s="198">
        <v>2000</v>
      </c>
      <c r="V662" s="198">
        <v>4500</v>
      </c>
      <c r="W662" s="198">
        <v>161.78399999999999</v>
      </c>
      <c r="X662" s="198">
        <v>1500</v>
      </c>
      <c r="Y662" s="198">
        <v>186</v>
      </c>
      <c r="Z662" s="277">
        <v>235402.05456670004</v>
      </c>
      <c r="AA662" s="272">
        <v>13.719800640000003</v>
      </c>
      <c r="AB662" s="198">
        <v>9.7902433879680615</v>
      </c>
      <c r="AC662" s="272">
        <v>0</v>
      </c>
      <c r="AD662" s="198">
        <v>0</v>
      </c>
      <c r="AE662" s="198">
        <v>9.7902433879680615</v>
      </c>
      <c r="AF662" s="198">
        <v>0</v>
      </c>
      <c r="AG662" s="198">
        <v>0</v>
      </c>
      <c r="AH662" s="198">
        <v>0</v>
      </c>
      <c r="AI662" s="198">
        <v>0</v>
      </c>
      <c r="AJ662" s="198">
        <v>0</v>
      </c>
      <c r="AK662" s="198">
        <v>0</v>
      </c>
      <c r="AL662" s="198">
        <v>0</v>
      </c>
      <c r="AM662" s="198">
        <v>9.1524905578065835E-2</v>
      </c>
      <c r="AN662" s="198">
        <v>2.3389698092172419E-2</v>
      </c>
      <c r="AO662" s="198">
        <v>0</v>
      </c>
      <c r="AP662" s="198">
        <v>3.3441787187457727E-3</v>
      </c>
      <c r="AQ662" s="198">
        <v>4.180994302221029E-3</v>
      </c>
      <c r="AS662" s="258">
        <f t="shared" si="80"/>
        <v>315791.8562012281</v>
      </c>
      <c r="AT662" s="3">
        <f t="shared" si="81"/>
        <v>17.144208244226213</v>
      </c>
      <c r="AU662" s="3">
        <f t="shared" si="87"/>
        <v>6.6175656526118907</v>
      </c>
      <c r="AV662" s="3">
        <f t="shared" si="82"/>
        <v>0</v>
      </c>
      <c r="AW662" s="3">
        <f t="shared" si="83"/>
        <v>0</v>
      </c>
      <c r="AX662" s="3">
        <f t="shared" si="84"/>
        <v>6.6175656526118907</v>
      </c>
      <c r="AY662" s="102">
        <f t="shared" si="85"/>
        <v>1</v>
      </c>
      <c r="AZ662" s="102">
        <f t="shared" si="86"/>
        <v>0</v>
      </c>
    </row>
    <row r="663" spans="1:52" x14ac:dyDescent="0.35">
      <c r="A663" t="s">
        <v>1017</v>
      </c>
      <c r="B663">
        <v>2021</v>
      </c>
      <c r="C663" t="s">
        <v>837</v>
      </c>
      <c r="D663" t="s">
        <v>1033</v>
      </c>
      <c r="E663" t="s">
        <v>1030</v>
      </c>
      <c r="F663" t="s">
        <v>983</v>
      </c>
      <c r="G663" t="s">
        <v>978</v>
      </c>
      <c r="H663" s="198">
        <v>62000</v>
      </c>
      <c r="I663" s="198">
        <v>38104</v>
      </c>
      <c r="J663" s="198">
        <v>0</v>
      </c>
      <c r="K663" s="198">
        <v>0</v>
      </c>
      <c r="L663" s="198">
        <v>120</v>
      </c>
      <c r="M663" s="198">
        <v>0</v>
      </c>
      <c r="N663" s="198">
        <v>0</v>
      </c>
      <c r="O663" s="198">
        <v>300</v>
      </c>
      <c r="P663" s="198">
        <v>0</v>
      </c>
      <c r="Q663" s="198">
        <v>0</v>
      </c>
      <c r="R663" s="198">
        <v>262</v>
      </c>
      <c r="S663" s="198">
        <v>15369</v>
      </c>
      <c r="T663" s="198">
        <v>506</v>
      </c>
      <c r="U663" s="198">
        <v>1800</v>
      </c>
      <c r="V663" s="198">
        <v>1920</v>
      </c>
      <c r="W663" s="198">
        <v>0</v>
      </c>
      <c r="X663" s="198">
        <v>0</v>
      </c>
      <c r="Y663" s="198">
        <v>186</v>
      </c>
      <c r="Z663" s="277">
        <v>120567</v>
      </c>
      <c r="AA663" s="272">
        <v>4.4566346709999998</v>
      </c>
      <c r="AB663" s="198">
        <v>30.139375877956052</v>
      </c>
      <c r="AC663" s="272">
        <v>0</v>
      </c>
      <c r="AD663" s="198">
        <v>0</v>
      </c>
      <c r="AE663" s="198">
        <v>30.139375877956052</v>
      </c>
      <c r="AF663" s="198">
        <v>2256.0991088792234</v>
      </c>
      <c r="AG663" s="198">
        <v>0.99182093930061332</v>
      </c>
      <c r="AH663" s="198">
        <v>5.2406105661582962E-3</v>
      </c>
      <c r="AI663" s="198">
        <v>2287.2424986382562</v>
      </c>
      <c r="AJ663" s="198">
        <v>0.96241071328752237</v>
      </c>
      <c r="AK663" s="198">
        <v>22.458579216997268</v>
      </c>
      <c r="AL663" s="198">
        <v>1.0514887568656666</v>
      </c>
      <c r="AM663" s="198">
        <v>0.18900079820350588</v>
      </c>
      <c r="AN663" s="198">
        <v>7.7712168471120238E-2</v>
      </c>
      <c r="AO663" s="198">
        <v>1.5560230392892463E-2</v>
      </c>
      <c r="AP663" s="198">
        <v>1.2912600751642361E-2</v>
      </c>
      <c r="AQ663" s="198">
        <v>1.2264682532643588E-2</v>
      </c>
      <c r="AS663" s="258">
        <f t="shared" si="80"/>
        <v>161740.6305</v>
      </c>
      <c r="AT663" s="3">
        <f t="shared" si="81"/>
        <v>52.778640522636671</v>
      </c>
      <c r="AU663" s="3">
        <f t="shared" si="87"/>
        <v>20.372251301355696</v>
      </c>
      <c r="AV663" s="3">
        <f t="shared" si="82"/>
        <v>0</v>
      </c>
      <c r="AW663" s="3">
        <f t="shared" si="83"/>
        <v>0</v>
      </c>
      <c r="AX663" s="3">
        <f t="shared" si="84"/>
        <v>20.372251301355696</v>
      </c>
      <c r="AY663" s="102">
        <f t="shared" si="85"/>
        <v>1</v>
      </c>
      <c r="AZ663" s="102">
        <f t="shared" si="86"/>
        <v>0</v>
      </c>
    </row>
    <row r="664" spans="1:52" x14ac:dyDescent="0.35">
      <c r="A664" t="s">
        <v>1020</v>
      </c>
      <c r="B664">
        <v>2021</v>
      </c>
      <c r="C664" t="s">
        <v>837</v>
      </c>
      <c r="D664" t="s">
        <v>1033</v>
      </c>
      <c r="E664" t="s">
        <v>1030</v>
      </c>
      <c r="F664" t="s">
        <v>983</v>
      </c>
      <c r="G664" t="s">
        <v>978</v>
      </c>
      <c r="H664" s="198">
        <v>62000</v>
      </c>
      <c r="I664" s="198">
        <v>38118</v>
      </c>
      <c r="J664" s="198">
        <v>0</v>
      </c>
      <c r="K664" s="198">
        <v>0</v>
      </c>
      <c r="L664" s="198">
        <v>150</v>
      </c>
      <c r="M664" s="198">
        <v>2515.2361799999999</v>
      </c>
      <c r="N664" s="198">
        <v>75</v>
      </c>
      <c r="O664" s="198">
        <v>300</v>
      </c>
      <c r="P664" s="198">
        <v>3718.6977069</v>
      </c>
      <c r="Q664" s="198">
        <v>0</v>
      </c>
      <c r="R664" s="198">
        <v>0</v>
      </c>
      <c r="S664" s="198">
        <v>15380</v>
      </c>
      <c r="T664" s="198">
        <v>392</v>
      </c>
      <c r="U664" s="198">
        <v>1800</v>
      </c>
      <c r="V664" s="198">
        <v>4720</v>
      </c>
      <c r="W664" s="198">
        <v>510</v>
      </c>
      <c r="X664" s="198">
        <v>1500</v>
      </c>
      <c r="Y664" s="198">
        <v>186</v>
      </c>
      <c r="Z664" s="277">
        <v>131364.93388690002</v>
      </c>
      <c r="AA664" s="272">
        <v>5.8608828620000004</v>
      </c>
      <c r="AB664" s="198">
        <v>22.918080886906488</v>
      </c>
      <c r="AC664" s="272">
        <v>0</v>
      </c>
      <c r="AD664" s="198">
        <v>0</v>
      </c>
      <c r="AE664" s="198">
        <v>22.918080886906488</v>
      </c>
      <c r="AF664" s="198">
        <v>1715.5452082200907</v>
      </c>
      <c r="AG664" s="198">
        <v>0.7541839155615766</v>
      </c>
      <c r="AH664" s="198">
        <v>3.9849775701505906E-3</v>
      </c>
      <c r="AI664" s="198">
        <v>1739.2267445757257</v>
      </c>
      <c r="AJ664" s="198">
        <v>0.73182028263833465</v>
      </c>
      <c r="AK664" s="198">
        <v>17.077577756897004</v>
      </c>
      <c r="AL664" s="198">
        <v>0.79955552096038773</v>
      </c>
      <c r="AM664" s="198">
        <v>0.14371683071532759</v>
      </c>
      <c r="AN664" s="198">
        <v>5.9092589379751287E-2</v>
      </c>
      <c r="AO664" s="198">
        <v>1.1832050544352357E-2</v>
      </c>
      <c r="AP664" s="198">
        <v>9.8187842271449926E-3</v>
      </c>
      <c r="AQ664" s="198">
        <v>9.3261050750868078E-3</v>
      </c>
      <c r="AS664" s="258">
        <f t="shared" si="80"/>
        <v>176226.05880927638</v>
      </c>
      <c r="AT664" s="3">
        <f t="shared" si="81"/>
        <v>40.133052439331983</v>
      </c>
      <c r="AU664" s="3">
        <f t="shared" si="87"/>
        <v>15.491127124312531</v>
      </c>
      <c r="AV664" s="3">
        <f t="shared" si="82"/>
        <v>0</v>
      </c>
      <c r="AW664" s="3">
        <f t="shared" si="83"/>
        <v>0</v>
      </c>
      <c r="AX664" s="3">
        <f t="shared" si="84"/>
        <v>15.491127124312531</v>
      </c>
      <c r="AY664" s="102">
        <f t="shared" si="85"/>
        <v>1</v>
      </c>
      <c r="AZ664" s="102">
        <f t="shared" si="86"/>
        <v>0</v>
      </c>
    </row>
    <row r="665" spans="1:52" x14ac:dyDescent="0.35">
      <c r="A665" t="s">
        <v>1021</v>
      </c>
      <c r="B665">
        <v>2021</v>
      </c>
      <c r="C665" t="s">
        <v>837</v>
      </c>
      <c r="D665" t="s">
        <v>1033</v>
      </c>
      <c r="E665" t="s">
        <v>1030</v>
      </c>
      <c r="F665" t="s">
        <v>983</v>
      </c>
      <c r="G665" t="s">
        <v>978</v>
      </c>
      <c r="H665" s="198">
        <v>62000</v>
      </c>
      <c r="I665" s="198">
        <v>15134</v>
      </c>
      <c r="J665" s="198">
        <v>0</v>
      </c>
      <c r="K665" s="198">
        <v>0</v>
      </c>
      <c r="L665" s="198">
        <v>0</v>
      </c>
      <c r="M665" s="198">
        <v>54217.799999999996</v>
      </c>
      <c r="N665" s="198">
        <v>75</v>
      </c>
      <c r="O665" s="198">
        <v>0</v>
      </c>
      <c r="P665" s="198">
        <v>14764.204835100001</v>
      </c>
      <c r="Q665" s="198">
        <v>0</v>
      </c>
      <c r="R665" s="198">
        <v>6676.5284119399994</v>
      </c>
      <c r="S665" s="198">
        <v>8049</v>
      </c>
      <c r="T665" s="198">
        <v>0</v>
      </c>
      <c r="U665" s="198">
        <v>1800</v>
      </c>
      <c r="V665" s="198">
        <v>4720</v>
      </c>
      <c r="W665" s="198">
        <v>510</v>
      </c>
      <c r="X665" s="198">
        <v>1500</v>
      </c>
      <c r="Y665" s="198">
        <v>186</v>
      </c>
      <c r="Z665" s="277">
        <v>169632.53324704</v>
      </c>
      <c r="AA665" s="272">
        <v>33.078485085000004</v>
      </c>
      <c r="AB665" s="198">
        <v>4.0606511197488233</v>
      </c>
      <c r="AC665" s="272">
        <v>1835.2</v>
      </c>
      <c r="AD665" s="198">
        <v>6.6067200000000001</v>
      </c>
      <c r="AE665" s="198">
        <v>10.667371119748823</v>
      </c>
      <c r="AF665" s="198">
        <v>303.96221241712135</v>
      </c>
      <c r="AG665" s="198">
        <v>0.13362714689480465</v>
      </c>
      <c r="AH665" s="198">
        <v>7.0606276818102967E-4</v>
      </c>
      <c r="AI665" s="198">
        <v>308.15813342789073</v>
      </c>
      <c r="AJ665" s="198">
        <v>0.12966473348333546</v>
      </c>
      <c r="AK665" s="198">
        <v>3.0258242644025262</v>
      </c>
      <c r="AL665" s="198">
        <v>0.14166613851790966</v>
      </c>
      <c r="AM665" s="198">
        <v>0.12314019248429567</v>
      </c>
      <c r="AN665" s="198">
        <v>3.5431807935879772E-2</v>
      </c>
      <c r="AO665" s="198">
        <v>2.0964159053692196E-3</v>
      </c>
      <c r="AP665" s="198">
        <v>5.3086437300144109E-3</v>
      </c>
      <c r="AQ665" s="198">
        <v>6.1144081535388604E-3</v>
      </c>
      <c r="AS665" s="258">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102">
        <f t="shared" si="85"/>
        <v>0.40069297068695936</v>
      </c>
      <c r="AZ665" s="102">
        <f t="shared" si="86"/>
        <v>0.5993070293130407</v>
      </c>
    </row>
    <row r="666" spans="1:52" x14ac:dyDescent="0.35">
      <c r="A666" t="s">
        <v>246</v>
      </c>
      <c r="B666">
        <v>2021</v>
      </c>
      <c r="C666" t="s">
        <v>837</v>
      </c>
      <c r="D666" t="s">
        <v>1033</v>
      </c>
      <c r="E666" t="s">
        <v>1030</v>
      </c>
      <c r="F666" t="s">
        <v>977</v>
      </c>
      <c r="G666" t="s">
        <v>978</v>
      </c>
      <c r="H666" s="198">
        <v>62000</v>
      </c>
      <c r="I666" s="198">
        <v>0</v>
      </c>
      <c r="J666" s="198">
        <v>0</v>
      </c>
      <c r="K666" s="198">
        <v>0</v>
      </c>
      <c r="L666" s="198">
        <v>0</v>
      </c>
      <c r="M666" s="198">
        <v>102701.02500000001</v>
      </c>
      <c r="N666" s="198">
        <v>75</v>
      </c>
      <c r="O666" s="198">
        <v>0</v>
      </c>
      <c r="P666" s="198">
        <v>14462.5749318</v>
      </c>
      <c r="Q666" s="198">
        <v>0</v>
      </c>
      <c r="R666" s="198">
        <v>0</v>
      </c>
      <c r="S666" s="198">
        <v>7949</v>
      </c>
      <c r="T666" s="198">
        <v>0</v>
      </c>
      <c r="U666" s="198">
        <v>1800</v>
      </c>
      <c r="V666" s="198">
        <v>4500</v>
      </c>
      <c r="W666" s="198">
        <v>510</v>
      </c>
      <c r="X666" s="198">
        <v>1500</v>
      </c>
      <c r="Y666" s="198">
        <v>186</v>
      </c>
      <c r="Z666" s="277">
        <v>195683.59993180001</v>
      </c>
      <c r="AA666" s="272">
        <v>0</v>
      </c>
      <c r="AB666" s="198">
        <v>0</v>
      </c>
      <c r="AC666" s="272">
        <v>2147</v>
      </c>
      <c r="AD666" s="198">
        <v>7.7291999999999996</v>
      </c>
      <c r="AE666" s="198">
        <v>7.7291999999999996</v>
      </c>
      <c r="AF666" s="198">
        <v>0</v>
      </c>
      <c r="AG666" s="198">
        <v>0</v>
      </c>
      <c r="AH666" s="198">
        <v>0</v>
      </c>
      <c r="AI666" s="198">
        <v>0</v>
      </c>
      <c r="AJ666" s="198">
        <v>0</v>
      </c>
      <c r="AK666" s="198">
        <v>0</v>
      </c>
      <c r="AL666" s="198">
        <v>0</v>
      </c>
      <c r="AM666" s="198">
        <v>0.11427145934762424</v>
      </c>
      <c r="AN666" s="198">
        <v>2.9202706277726118E-2</v>
      </c>
      <c r="AO666" s="198">
        <v>0</v>
      </c>
      <c r="AP666" s="198">
        <v>4.1753026686752112E-3</v>
      </c>
      <c r="AQ666" s="198">
        <v>5.2200908312479439E-3</v>
      </c>
      <c r="AS666" s="258">
        <f t="shared" si="80"/>
        <v>262509.54930850968</v>
      </c>
      <c r="AT666" s="3">
        <f t="shared" si="81"/>
        <v>0</v>
      </c>
      <c r="AU666" s="3">
        <f t="shared" si="87"/>
        <v>0</v>
      </c>
      <c r="AV666" s="3">
        <f t="shared" si="82"/>
        <v>133.40872655871351</v>
      </c>
      <c r="AW666" s="3">
        <f t="shared" si="83"/>
        <v>4.8027141561136864</v>
      </c>
      <c r="AX666" s="3">
        <f t="shared" si="84"/>
        <v>4.8027141561136864</v>
      </c>
      <c r="AY666" s="102">
        <f t="shared" si="85"/>
        <v>0</v>
      </c>
      <c r="AZ666" s="102">
        <f t="shared" si="86"/>
        <v>1</v>
      </c>
    </row>
    <row r="667" spans="1:52" x14ac:dyDescent="0.35">
      <c r="A667" t="s">
        <v>627</v>
      </c>
      <c r="B667">
        <v>2021</v>
      </c>
      <c r="C667" t="s">
        <v>837</v>
      </c>
      <c r="D667" t="s">
        <v>1033</v>
      </c>
      <c r="E667" t="s">
        <v>1030</v>
      </c>
      <c r="F667" t="s">
        <v>989</v>
      </c>
      <c r="G667" t="s">
        <v>978</v>
      </c>
      <c r="H667" s="198">
        <v>62000</v>
      </c>
      <c r="I667" s="198">
        <v>0</v>
      </c>
      <c r="J667" s="198">
        <v>74307.507172800004</v>
      </c>
      <c r="K667" s="198">
        <v>16606.316899999998</v>
      </c>
      <c r="L667" s="198">
        <v>0</v>
      </c>
      <c r="M667" s="198">
        <v>5552.502512</v>
      </c>
      <c r="N667" s="198">
        <v>75</v>
      </c>
      <c r="O667" s="198">
        <v>0</v>
      </c>
      <c r="P667" s="198">
        <v>14804.476784999999</v>
      </c>
      <c r="Q667" s="198">
        <v>0</v>
      </c>
      <c r="R667" s="198">
        <v>0</v>
      </c>
      <c r="S667" s="198">
        <v>8062</v>
      </c>
      <c r="T667" s="198">
        <v>0</v>
      </c>
      <c r="U667" s="198">
        <v>1800</v>
      </c>
      <c r="V667" s="198">
        <v>4500</v>
      </c>
      <c r="W667" s="198">
        <v>510</v>
      </c>
      <c r="X667" s="198">
        <v>1500</v>
      </c>
      <c r="Y667" s="198">
        <v>186</v>
      </c>
      <c r="Z667" s="277">
        <v>189903.80336980004</v>
      </c>
      <c r="AA667" s="272">
        <v>7.1542026589999992</v>
      </c>
      <c r="AB667" s="198">
        <v>18.775004553585713</v>
      </c>
      <c r="AC667" s="272">
        <v>0</v>
      </c>
      <c r="AD667" s="198">
        <v>0</v>
      </c>
      <c r="AE667" s="198">
        <v>18.775004553585713</v>
      </c>
      <c r="AF667" s="198">
        <v>0</v>
      </c>
      <c r="AG667" s="198">
        <v>0</v>
      </c>
      <c r="AH667" s="198">
        <v>0</v>
      </c>
      <c r="AI667" s="198">
        <v>0</v>
      </c>
      <c r="AJ667" s="198">
        <v>0</v>
      </c>
      <c r="AK667" s="198">
        <v>0</v>
      </c>
      <c r="AL667" s="198">
        <v>0</v>
      </c>
      <c r="AM667" s="198">
        <v>0.17551969352534488</v>
      </c>
      <c r="AN667" s="198">
        <v>4.4855032789810435E-2</v>
      </c>
      <c r="AO667" s="198">
        <v>0</v>
      </c>
      <c r="AP667" s="198">
        <v>6.4132185671318207E-3</v>
      </c>
      <c r="AQ667" s="198">
        <v>8.0180015911747241E-3</v>
      </c>
      <c r="AS667" s="258">
        <f t="shared" si="80"/>
        <v>254755.95222058674</v>
      </c>
      <c r="AT667" s="3">
        <f t="shared" si="81"/>
        <v>32.877894358433799</v>
      </c>
      <c r="AU667" s="3">
        <f t="shared" si="87"/>
        <v>12.690677885917946</v>
      </c>
      <c r="AV667" s="3">
        <f t="shared" si="82"/>
        <v>0</v>
      </c>
      <c r="AW667" s="3">
        <f t="shared" si="83"/>
        <v>0</v>
      </c>
      <c r="AX667" s="3">
        <f t="shared" si="84"/>
        <v>12.690677885917946</v>
      </c>
      <c r="AY667" s="102">
        <f t="shared" si="85"/>
        <v>1</v>
      </c>
      <c r="AZ667" s="102">
        <f t="shared" si="86"/>
        <v>0</v>
      </c>
    </row>
    <row r="668" spans="1:52" x14ac:dyDescent="0.35">
      <c r="A668" t="s">
        <v>1065</v>
      </c>
      <c r="B668">
        <v>2021</v>
      </c>
      <c r="C668" t="s">
        <v>837</v>
      </c>
      <c r="D668" t="s">
        <v>1033</v>
      </c>
      <c r="E668" t="s">
        <v>1030</v>
      </c>
      <c r="F668" t="s">
        <v>989</v>
      </c>
      <c r="G668" t="s">
        <v>978</v>
      </c>
      <c r="H668" s="198">
        <v>62000</v>
      </c>
      <c r="I668" s="198">
        <v>0</v>
      </c>
      <c r="J668" s="198">
        <v>38819.625064</v>
      </c>
      <c r="K668" s="198">
        <v>17018.646499999999</v>
      </c>
      <c r="L668" s="198">
        <v>0</v>
      </c>
      <c r="M668" s="198">
        <v>9870.42</v>
      </c>
      <c r="N668" s="198">
        <v>75</v>
      </c>
      <c r="O668" s="198">
        <v>0</v>
      </c>
      <c r="P668" s="198">
        <v>15371.114987700001</v>
      </c>
      <c r="Q668" s="198">
        <v>0</v>
      </c>
      <c r="R668" s="198">
        <v>0</v>
      </c>
      <c r="S668" s="198">
        <v>8249</v>
      </c>
      <c r="T668" s="198">
        <v>0</v>
      </c>
      <c r="U668" s="198">
        <v>1800</v>
      </c>
      <c r="V668" s="198">
        <v>4500</v>
      </c>
      <c r="W668" s="198">
        <v>510</v>
      </c>
      <c r="X668" s="198">
        <v>1500</v>
      </c>
      <c r="Y668" s="198">
        <v>186</v>
      </c>
      <c r="Z668" s="277">
        <v>159899.80655169999</v>
      </c>
      <c r="AA668" s="272">
        <v>8.0401838790000006</v>
      </c>
      <c r="AB668" s="198">
        <v>16.706108905149335</v>
      </c>
      <c r="AC668" s="272">
        <v>0</v>
      </c>
      <c r="AD668" s="198">
        <v>0</v>
      </c>
      <c r="AE668" s="198">
        <v>16.706108905149335</v>
      </c>
      <c r="AF668" s="198">
        <v>0</v>
      </c>
      <c r="AG668" s="198">
        <v>0</v>
      </c>
      <c r="AH668" s="198">
        <v>0</v>
      </c>
      <c r="AI668" s="198">
        <v>0</v>
      </c>
      <c r="AJ668" s="198">
        <v>0</v>
      </c>
      <c r="AK668" s="198">
        <v>0</v>
      </c>
      <c r="AL668" s="198">
        <v>0</v>
      </c>
      <c r="AM668" s="198">
        <v>0.15617845027221766</v>
      </c>
      <c r="AN668" s="198">
        <v>3.9912270625122356E-2</v>
      </c>
      <c r="AO668" s="198">
        <v>0</v>
      </c>
      <c r="AP668" s="198">
        <v>5.7065194050548466E-3</v>
      </c>
      <c r="AQ668" s="198">
        <v>7.1344647295035393E-3</v>
      </c>
      <c r="AS668" s="258">
        <f t="shared" si="80"/>
        <v>214505.59048910553</v>
      </c>
      <c r="AT668" s="3">
        <f t="shared" si="81"/>
        <v>29.254942770125187</v>
      </c>
      <c r="AU668" s="3">
        <f t="shared" si="87"/>
        <v>11.292239436598418</v>
      </c>
      <c r="AV668" s="3">
        <f t="shared" si="82"/>
        <v>0</v>
      </c>
      <c r="AW668" s="3">
        <f t="shared" si="83"/>
        <v>0</v>
      </c>
      <c r="AX668" s="3">
        <f t="shared" si="84"/>
        <v>11.292239436598418</v>
      </c>
      <c r="AY668" s="102">
        <f t="shared" si="85"/>
        <v>1</v>
      </c>
      <c r="AZ668" s="102">
        <f t="shared" si="86"/>
        <v>0</v>
      </c>
    </row>
    <row r="669" spans="1:52" x14ac:dyDescent="0.35">
      <c r="A669" t="s">
        <v>1017</v>
      </c>
      <c r="B669">
        <v>2025</v>
      </c>
      <c r="C669" t="s">
        <v>837</v>
      </c>
      <c r="D669" t="s">
        <v>1033</v>
      </c>
      <c r="E669" t="s">
        <v>1030</v>
      </c>
      <c r="F669" t="s">
        <v>983</v>
      </c>
      <c r="G669" t="s">
        <v>978</v>
      </c>
      <c r="H669" s="198">
        <v>62458.759098461123</v>
      </c>
      <c r="I669" s="198">
        <v>38448</v>
      </c>
      <c r="J669" s="198">
        <v>0</v>
      </c>
      <c r="K669" s="198">
        <v>0</v>
      </c>
      <c r="L669" s="198">
        <v>120</v>
      </c>
      <c r="M669" s="198">
        <v>0</v>
      </c>
      <c r="N669" s="198">
        <v>0</v>
      </c>
      <c r="O669" s="198">
        <v>300</v>
      </c>
      <c r="P669" s="198">
        <v>0</v>
      </c>
      <c r="Q669" s="198">
        <v>0</v>
      </c>
      <c r="R669" s="198">
        <v>230</v>
      </c>
      <c r="S669" s="198">
        <v>15369</v>
      </c>
      <c r="T669" s="198">
        <v>506</v>
      </c>
      <c r="U669" s="198">
        <v>1800</v>
      </c>
      <c r="V669" s="198">
        <v>1920</v>
      </c>
      <c r="W669" s="198">
        <v>0</v>
      </c>
      <c r="X669" s="198">
        <v>0</v>
      </c>
      <c r="Y669" s="198">
        <v>186</v>
      </c>
      <c r="Z669" s="277">
        <v>121337.75909846113</v>
      </c>
      <c r="AA669" s="272">
        <v>4.7133594219999999</v>
      </c>
      <c r="AB669" s="198">
        <v>28.497760402707524</v>
      </c>
      <c r="AC669" s="272">
        <v>0</v>
      </c>
      <c r="AD669" s="198">
        <v>0</v>
      </c>
      <c r="AE669" s="198">
        <v>28.497760402707524</v>
      </c>
      <c r="AF669" s="198">
        <v>2133.2151040535164</v>
      </c>
      <c r="AG669" s="198">
        <v>0.93779896455155176</v>
      </c>
      <c r="AH669" s="198">
        <v>4.9551677806144619E-3</v>
      </c>
      <c r="AI669" s="198">
        <v>2162.6621922438922</v>
      </c>
      <c r="AJ669" s="198">
        <v>0.90999063906716271</v>
      </c>
      <c r="AK669" s="198">
        <v>21.235317284035901</v>
      </c>
      <c r="AL669" s="198">
        <v>0.99421682720427584</v>
      </c>
      <c r="AM669" s="198">
        <v>0.17870640337523974</v>
      </c>
      <c r="AN669" s="198">
        <v>7.3479383462767792E-2</v>
      </c>
      <c r="AO669" s="198">
        <v>1.4712704050116149E-2</v>
      </c>
      <c r="AP669" s="198">
        <v>1.2209284090227824E-2</v>
      </c>
      <c r="AQ669" s="198">
        <v>1.1596656335746658E-2</v>
      </c>
      <c r="AS669" s="258">
        <f t="shared" si="80"/>
        <v>162774.60383058561</v>
      </c>
      <c r="AT669" s="3">
        <f t="shared" si="81"/>
        <v>49.903921636771827</v>
      </c>
      <c r="AU669" s="3">
        <f t="shared" si="87"/>
        <v>19.262626366274741</v>
      </c>
      <c r="AV669" s="3">
        <f t="shared" si="82"/>
        <v>0</v>
      </c>
      <c r="AW669" s="3">
        <f t="shared" si="83"/>
        <v>0</v>
      </c>
      <c r="AX669" s="3">
        <f t="shared" si="84"/>
        <v>19.262626366274741</v>
      </c>
      <c r="AY669" s="102">
        <f t="shared" si="85"/>
        <v>1</v>
      </c>
      <c r="AZ669" s="102">
        <f t="shared" si="86"/>
        <v>0</v>
      </c>
    </row>
    <row r="670" spans="1:52" x14ac:dyDescent="0.35">
      <c r="A670" t="s">
        <v>1020</v>
      </c>
      <c r="B670">
        <v>2025</v>
      </c>
      <c r="C670" t="s">
        <v>837</v>
      </c>
      <c r="D670" t="s">
        <v>1033</v>
      </c>
      <c r="E670" t="s">
        <v>1030</v>
      </c>
      <c r="F670" t="s">
        <v>983</v>
      </c>
      <c r="G670" t="s">
        <v>978</v>
      </c>
      <c r="H670" s="198">
        <v>62458.759098461123</v>
      </c>
      <c r="I670" s="198">
        <v>38462</v>
      </c>
      <c r="J670" s="198">
        <v>0</v>
      </c>
      <c r="K670" s="198">
        <v>0</v>
      </c>
      <c r="L670" s="198">
        <v>150</v>
      </c>
      <c r="M670" s="198">
        <v>2135.57789</v>
      </c>
      <c r="N670" s="198">
        <v>50</v>
      </c>
      <c r="O670" s="198">
        <v>300</v>
      </c>
      <c r="P670" s="198">
        <v>3126.6022048999998</v>
      </c>
      <c r="Q670" s="198">
        <v>0</v>
      </c>
      <c r="R670" s="198">
        <v>0</v>
      </c>
      <c r="S670" s="198">
        <v>15380</v>
      </c>
      <c r="T670" s="198">
        <v>392</v>
      </c>
      <c r="U670" s="198">
        <v>1800</v>
      </c>
      <c r="V670" s="198">
        <v>4720</v>
      </c>
      <c r="W670" s="198">
        <v>317.28800000000001</v>
      </c>
      <c r="X670" s="198">
        <v>1500</v>
      </c>
      <c r="Y670" s="198">
        <v>186</v>
      </c>
      <c r="Z670" s="277">
        <v>130978.22719336113</v>
      </c>
      <c r="AA670" s="272">
        <v>6.217537256</v>
      </c>
      <c r="AB670" s="198">
        <v>21.603439106115427</v>
      </c>
      <c r="AC670" s="272">
        <v>0</v>
      </c>
      <c r="AD670" s="198">
        <v>0</v>
      </c>
      <c r="AE670" s="198">
        <v>21.603439106115427</v>
      </c>
      <c r="AF670" s="198">
        <v>1617.1369942561307</v>
      </c>
      <c r="AG670" s="198">
        <v>0.71092192994024583</v>
      </c>
      <c r="AH670" s="198">
        <v>3.7563887090200656E-3</v>
      </c>
      <c r="AI670" s="198">
        <v>1639.4600950045233</v>
      </c>
      <c r="AJ670" s="198">
        <v>0.689841134195049</v>
      </c>
      <c r="AK670" s="198">
        <v>16.09796269467984</v>
      </c>
      <c r="AL670" s="198">
        <v>0.75369089996076399</v>
      </c>
      <c r="AM670" s="198">
        <v>0.13547285290612157</v>
      </c>
      <c r="AN670" s="198">
        <v>5.5702882042688244E-2</v>
      </c>
      <c r="AO670" s="198">
        <v>1.1153332807261027E-2</v>
      </c>
      <c r="AP670" s="198">
        <v>9.2555527748573903E-3</v>
      </c>
      <c r="AQ670" s="198">
        <v>8.7911350030175847E-3</v>
      </c>
      <c r="AS670" s="258">
        <f t="shared" si="80"/>
        <v>175707.29177989395</v>
      </c>
      <c r="AT670" s="3">
        <f t="shared" si="81"/>
        <v>37.830914324549106</v>
      </c>
      <c r="AU670" s="3">
        <f t="shared" si="87"/>
        <v>14.602515069504662</v>
      </c>
      <c r="AV670" s="3">
        <f t="shared" si="82"/>
        <v>0</v>
      </c>
      <c r="AW670" s="3">
        <f t="shared" si="83"/>
        <v>0</v>
      </c>
      <c r="AX670" s="3">
        <f t="shared" si="84"/>
        <v>14.602515069504662</v>
      </c>
      <c r="AY670" s="102">
        <f t="shared" si="85"/>
        <v>1</v>
      </c>
      <c r="AZ670" s="102">
        <f t="shared" si="86"/>
        <v>0</v>
      </c>
    </row>
    <row r="671" spans="1:52" x14ac:dyDescent="0.35">
      <c r="A671" t="s">
        <v>1021</v>
      </c>
      <c r="B671">
        <v>2025</v>
      </c>
      <c r="C671" t="s">
        <v>837</v>
      </c>
      <c r="D671" t="s">
        <v>1033</v>
      </c>
      <c r="E671" t="s">
        <v>1030</v>
      </c>
      <c r="F671" t="s">
        <v>983</v>
      </c>
      <c r="G671" t="s">
        <v>978</v>
      </c>
      <c r="H671" s="198">
        <v>62458.759098461123</v>
      </c>
      <c r="I671" s="198">
        <v>14721</v>
      </c>
      <c r="J671" s="198">
        <v>0</v>
      </c>
      <c r="K671" s="198">
        <v>0</v>
      </c>
      <c r="L671" s="198">
        <v>0</v>
      </c>
      <c r="M671" s="198">
        <v>45280.800000000003</v>
      </c>
      <c r="N671" s="198">
        <v>50</v>
      </c>
      <c r="O671" s="198">
        <v>0</v>
      </c>
      <c r="P671" s="198">
        <v>12494.618115699999</v>
      </c>
      <c r="Q671" s="198">
        <v>0</v>
      </c>
      <c r="R671" s="198">
        <v>5430.0884114999999</v>
      </c>
      <c r="S671" s="198">
        <v>8017</v>
      </c>
      <c r="T671" s="198">
        <v>0</v>
      </c>
      <c r="U671" s="198">
        <v>1800</v>
      </c>
      <c r="V671" s="198">
        <v>4720</v>
      </c>
      <c r="W671" s="198">
        <v>317.28800000000001</v>
      </c>
      <c r="X671" s="198">
        <v>1500</v>
      </c>
      <c r="Y671" s="198">
        <v>186</v>
      </c>
      <c r="Z671" s="277">
        <v>156975.55362566115</v>
      </c>
      <c r="AA671" s="272">
        <v>36.808160765000011</v>
      </c>
      <c r="AB671" s="198">
        <v>3.6491958497345469</v>
      </c>
      <c r="AC671" s="272">
        <v>1704</v>
      </c>
      <c r="AD671" s="198">
        <v>6.1343999999999994</v>
      </c>
      <c r="AE671" s="198">
        <v>9.7835958497345459</v>
      </c>
      <c r="AF671" s="198">
        <v>273.16250801110493</v>
      </c>
      <c r="AG671" s="198">
        <v>0.1200870538936014</v>
      </c>
      <c r="AH671" s="198">
        <v>6.3451925499516328E-4</v>
      </c>
      <c r="AI671" s="198">
        <v>276.93326720384749</v>
      </c>
      <c r="AJ671" s="198">
        <v>0.11652614157938113</v>
      </c>
      <c r="AK671" s="198">
        <v>2.7192253217673112</v>
      </c>
      <c r="AL671" s="198">
        <v>0.12731147529843762</v>
      </c>
      <c r="AM671" s="198">
        <v>0.11357704039155025</v>
      </c>
      <c r="AN671" s="198">
        <v>3.258636645950988E-2</v>
      </c>
      <c r="AO671" s="198">
        <v>1.8839915066783831E-3</v>
      </c>
      <c r="AP671" s="198">
        <v>4.8772175319274653E-3</v>
      </c>
      <c r="AQ671" s="198">
        <v>5.6279817119662809E-3</v>
      </c>
      <c r="AS671" s="258">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102">
        <f t="shared" si="85"/>
        <v>0.39287575753910919</v>
      </c>
      <c r="AZ671" s="102">
        <f t="shared" si="86"/>
        <v>0.60712424246089081</v>
      </c>
    </row>
    <row r="672" spans="1:52" x14ac:dyDescent="0.35">
      <c r="A672" t="s">
        <v>246</v>
      </c>
      <c r="B672">
        <v>2025</v>
      </c>
      <c r="C672" t="s">
        <v>837</v>
      </c>
      <c r="D672" t="s">
        <v>1033</v>
      </c>
      <c r="E672" t="s">
        <v>1030</v>
      </c>
      <c r="F672" t="s">
        <v>977</v>
      </c>
      <c r="G672" t="s">
        <v>978</v>
      </c>
      <c r="H672" s="198">
        <v>62458.759098461123</v>
      </c>
      <c r="I672" s="198">
        <v>0</v>
      </c>
      <c r="J672" s="198">
        <v>0</v>
      </c>
      <c r="K672" s="198">
        <v>0</v>
      </c>
      <c r="L672" s="198">
        <v>0</v>
      </c>
      <c r="M672" s="198">
        <v>85795.199999999997</v>
      </c>
      <c r="N672" s="198">
        <v>50</v>
      </c>
      <c r="O672" s="198">
        <v>0</v>
      </c>
      <c r="P672" s="198">
        <v>12240.549112500001</v>
      </c>
      <c r="Q672" s="198">
        <v>0</v>
      </c>
      <c r="R672" s="198">
        <v>0</v>
      </c>
      <c r="S672" s="198">
        <v>7918</v>
      </c>
      <c r="T672" s="198">
        <v>0</v>
      </c>
      <c r="U672" s="198">
        <v>1800</v>
      </c>
      <c r="V672" s="198">
        <v>4500</v>
      </c>
      <c r="W672" s="198">
        <v>317.28800000000001</v>
      </c>
      <c r="X672" s="198">
        <v>1500</v>
      </c>
      <c r="Y672" s="198">
        <v>186</v>
      </c>
      <c r="Z672" s="277">
        <v>176765.79621096113</v>
      </c>
      <c r="AA672" s="272">
        <v>0</v>
      </c>
      <c r="AB672" s="198">
        <v>0</v>
      </c>
      <c r="AC672" s="272">
        <v>1975</v>
      </c>
      <c r="AD672" s="198">
        <v>7.1099999999999994</v>
      </c>
      <c r="AE672" s="198">
        <v>7.1099999999999994</v>
      </c>
      <c r="AF672" s="198">
        <v>0</v>
      </c>
      <c r="AG672" s="198">
        <v>0</v>
      </c>
      <c r="AH672" s="198">
        <v>0</v>
      </c>
      <c r="AI672" s="198">
        <v>0</v>
      </c>
      <c r="AJ672" s="198">
        <v>0</v>
      </c>
      <c r="AK672" s="198">
        <v>0</v>
      </c>
      <c r="AL672" s="198">
        <v>0</v>
      </c>
      <c r="AM672" s="198">
        <v>0.10511696889220208</v>
      </c>
      <c r="AN672" s="198">
        <v>2.6863225383562686E-2</v>
      </c>
      <c r="AO672" s="198">
        <v>0</v>
      </c>
      <c r="AP672" s="198">
        <v>3.8408117236299684E-3</v>
      </c>
      <c r="AQ672" s="198">
        <v>4.8019000427176007E-3</v>
      </c>
      <c r="AS672" s="258">
        <f t="shared" si="80"/>
        <v>237131.31561700432</v>
      </c>
      <c r="AT672" s="3">
        <f t="shared" si="81"/>
        <v>0</v>
      </c>
      <c r="AU672" s="3">
        <f t="shared" si="87"/>
        <v>0</v>
      </c>
      <c r="AV672" s="3">
        <f t="shared" si="82"/>
        <v>122.72111548833684</v>
      </c>
      <c r="AW672" s="3">
        <f t="shared" si="83"/>
        <v>4.4179601575801266</v>
      </c>
      <c r="AX672" s="3">
        <f t="shared" si="84"/>
        <v>4.4179601575801266</v>
      </c>
      <c r="AY672" s="102">
        <f t="shared" si="85"/>
        <v>0</v>
      </c>
      <c r="AZ672" s="102">
        <f t="shared" si="86"/>
        <v>1</v>
      </c>
    </row>
    <row r="673" spans="1:52" x14ac:dyDescent="0.35">
      <c r="A673" t="s">
        <v>627</v>
      </c>
      <c r="B673">
        <v>2025</v>
      </c>
      <c r="C673" t="s">
        <v>837</v>
      </c>
      <c r="D673" t="s">
        <v>1033</v>
      </c>
      <c r="E673" t="s">
        <v>1030</v>
      </c>
      <c r="F673" t="s">
        <v>989</v>
      </c>
      <c r="G673" t="s">
        <v>978</v>
      </c>
      <c r="H673" s="198">
        <v>62458.759098461123</v>
      </c>
      <c r="I673" s="198">
        <v>0</v>
      </c>
      <c r="J673" s="198">
        <v>59358.162240566038</v>
      </c>
      <c r="K673" s="198">
        <v>14792.994513</v>
      </c>
      <c r="L673" s="198">
        <v>0</v>
      </c>
      <c r="M673" s="198">
        <v>5481.3165819999995</v>
      </c>
      <c r="N673" s="198">
        <v>50</v>
      </c>
      <c r="O673" s="198">
        <v>0</v>
      </c>
      <c r="P673" s="198">
        <v>12529.4545045</v>
      </c>
      <c r="Q673" s="198">
        <v>0</v>
      </c>
      <c r="R673" s="198">
        <v>0</v>
      </c>
      <c r="S673" s="198">
        <v>8030</v>
      </c>
      <c r="T673" s="198">
        <v>0</v>
      </c>
      <c r="U673" s="198">
        <v>1800</v>
      </c>
      <c r="V673" s="198">
        <v>4500</v>
      </c>
      <c r="W673" s="198">
        <v>317.28800000000001</v>
      </c>
      <c r="X673" s="198">
        <v>1500</v>
      </c>
      <c r="Y673" s="198">
        <v>186</v>
      </c>
      <c r="Z673" s="277">
        <v>171003.97493852716</v>
      </c>
      <c r="AA673" s="272">
        <v>7.7752425329999992</v>
      </c>
      <c r="AB673" s="198">
        <v>17.275369473030945</v>
      </c>
      <c r="AC673" s="272">
        <v>0</v>
      </c>
      <c r="AD673" s="198">
        <v>0</v>
      </c>
      <c r="AE673" s="198">
        <v>17.275369473030945</v>
      </c>
      <c r="AF673" s="198">
        <v>0</v>
      </c>
      <c r="AG673" s="198">
        <v>0</v>
      </c>
      <c r="AH673" s="198">
        <v>0</v>
      </c>
      <c r="AI673" s="198">
        <v>0</v>
      </c>
      <c r="AJ673" s="198">
        <v>0</v>
      </c>
      <c r="AK673" s="198">
        <v>0</v>
      </c>
      <c r="AL673" s="198">
        <v>0</v>
      </c>
      <c r="AM673" s="198">
        <v>0.16150023009525166</v>
      </c>
      <c r="AN673" s="198">
        <v>4.1272281024342161E-2</v>
      </c>
      <c r="AO673" s="198">
        <v>0</v>
      </c>
      <c r="AP673" s="198">
        <v>5.9009690219939325E-3</v>
      </c>
      <c r="AQ673" s="198">
        <v>7.3775715754188474E-3</v>
      </c>
      <c r="AS673" s="258">
        <f t="shared" si="80"/>
        <v>229401.83238003418</v>
      </c>
      <c r="AT673" s="3">
        <f t="shared" si="81"/>
        <v>30.251804782052599</v>
      </c>
      <c r="AU673" s="3">
        <f t="shared" si="87"/>
        <v>11.677022432497113</v>
      </c>
      <c r="AV673" s="3">
        <f t="shared" si="82"/>
        <v>0</v>
      </c>
      <c r="AW673" s="3">
        <f t="shared" si="83"/>
        <v>0</v>
      </c>
      <c r="AX673" s="3">
        <f t="shared" si="84"/>
        <v>11.677022432497113</v>
      </c>
      <c r="AY673" s="102">
        <f t="shared" si="85"/>
        <v>1</v>
      </c>
      <c r="AZ673" s="102">
        <f t="shared" si="86"/>
        <v>0</v>
      </c>
    </row>
    <row r="674" spans="1:52" x14ac:dyDescent="0.35">
      <c r="A674" t="s">
        <v>1065</v>
      </c>
      <c r="B674">
        <v>2025</v>
      </c>
      <c r="C674" t="s">
        <v>837</v>
      </c>
      <c r="D674" t="s">
        <v>1033</v>
      </c>
      <c r="E674" t="s">
        <v>1030</v>
      </c>
      <c r="F674" t="s">
        <v>989</v>
      </c>
      <c r="G674" t="s">
        <v>978</v>
      </c>
      <c r="H674" s="198">
        <v>62458.759098461123</v>
      </c>
      <c r="I674" s="198">
        <v>0</v>
      </c>
      <c r="J674" s="198">
        <v>28615.910165094341</v>
      </c>
      <c r="K674" s="198">
        <v>14875.668489</v>
      </c>
      <c r="L674" s="198">
        <v>0</v>
      </c>
      <c r="M674" s="198">
        <v>8897.2800000000007</v>
      </c>
      <c r="N674" s="198">
        <v>50</v>
      </c>
      <c r="O674" s="198">
        <v>0</v>
      </c>
      <c r="P674" s="198">
        <v>12502.383203200001</v>
      </c>
      <c r="Q674" s="198">
        <v>0</v>
      </c>
      <c r="R674" s="198">
        <v>0</v>
      </c>
      <c r="S674" s="198">
        <v>8020</v>
      </c>
      <c r="T674" s="198">
        <v>0</v>
      </c>
      <c r="U674" s="198">
        <v>1800</v>
      </c>
      <c r="V674" s="198">
        <v>4500</v>
      </c>
      <c r="W674" s="198">
        <v>317.28800000000001</v>
      </c>
      <c r="X674" s="198">
        <v>1500</v>
      </c>
      <c r="Y674" s="198">
        <v>186</v>
      </c>
      <c r="Z674" s="277">
        <v>143723.28895575547</v>
      </c>
      <c r="AA674" s="272">
        <v>8.9215234900000002</v>
      </c>
      <c r="AB674" s="198">
        <v>15.055745540608333</v>
      </c>
      <c r="AC674" s="272">
        <v>0</v>
      </c>
      <c r="AD674" s="198">
        <v>0</v>
      </c>
      <c r="AE674" s="198">
        <v>15.055745540608333</v>
      </c>
      <c r="AF674" s="198">
        <v>0</v>
      </c>
      <c r="AG674" s="198">
        <v>0</v>
      </c>
      <c r="AH674" s="198">
        <v>0</v>
      </c>
      <c r="AI674" s="198">
        <v>0</v>
      </c>
      <c r="AJ674" s="198">
        <v>0</v>
      </c>
      <c r="AK674" s="198">
        <v>0</v>
      </c>
      <c r="AL674" s="198">
        <v>0</v>
      </c>
      <c r="AM674" s="198">
        <v>0.14074989092764104</v>
      </c>
      <c r="AN674" s="198">
        <v>3.5969416570397213E-2</v>
      </c>
      <c r="AO674" s="198">
        <v>0</v>
      </c>
      <c r="AP674" s="198">
        <v>5.1427836711017434E-3</v>
      </c>
      <c r="AQ674" s="198">
        <v>6.4296651090752707E-3</v>
      </c>
      <c r="AS674" s="258">
        <f t="shared" si="80"/>
        <v>192804.79213414594</v>
      </c>
      <c r="AT674" s="3">
        <f t="shared" si="81"/>
        <v>26.364904996896236</v>
      </c>
      <c r="AU674" s="3">
        <f t="shared" si="87"/>
        <v>10.176701499212964</v>
      </c>
      <c r="AV674" s="3">
        <f t="shared" si="82"/>
        <v>0</v>
      </c>
      <c r="AW674" s="3">
        <f t="shared" si="83"/>
        <v>0</v>
      </c>
      <c r="AX674" s="3">
        <f t="shared" si="84"/>
        <v>10.176701499212964</v>
      </c>
      <c r="AY674" s="102">
        <f t="shared" si="85"/>
        <v>1</v>
      </c>
      <c r="AZ674" s="102">
        <f t="shared" si="86"/>
        <v>0</v>
      </c>
    </row>
    <row r="675" spans="1:52" x14ac:dyDescent="0.35">
      <c r="A675" t="s">
        <v>1017</v>
      </c>
      <c r="B675">
        <v>2030</v>
      </c>
      <c r="C675" t="s">
        <v>837</v>
      </c>
      <c r="D675" t="s">
        <v>1033</v>
      </c>
      <c r="E675" t="s">
        <v>1030</v>
      </c>
      <c r="F675" t="s">
        <v>983</v>
      </c>
      <c r="G675" t="s">
        <v>978</v>
      </c>
      <c r="H675" s="198">
        <v>62971.780025772481</v>
      </c>
      <c r="I675" s="198">
        <v>38342</v>
      </c>
      <c r="J675" s="198">
        <v>0</v>
      </c>
      <c r="K675" s="198">
        <v>0</v>
      </c>
      <c r="L675" s="198">
        <v>120</v>
      </c>
      <c r="M675" s="198">
        <v>0</v>
      </c>
      <c r="N675" s="198">
        <v>0</v>
      </c>
      <c r="O675" s="198">
        <v>300</v>
      </c>
      <c r="P675" s="198">
        <v>0</v>
      </c>
      <c r="Q675" s="198">
        <v>0</v>
      </c>
      <c r="R675" s="198">
        <v>183</v>
      </c>
      <c r="S675" s="198">
        <v>15369</v>
      </c>
      <c r="T675" s="198">
        <v>506</v>
      </c>
      <c r="U675" s="198">
        <v>1800</v>
      </c>
      <c r="V675" s="198">
        <v>1920</v>
      </c>
      <c r="W675" s="198">
        <v>0</v>
      </c>
      <c r="X675" s="198">
        <v>0</v>
      </c>
      <c r="Y675" s="198">
        <v>186</v>
      </c>
      <c r="Z675" s="277">
        <v>121697.78002577249</v>
      </c>
      <c r="AA675" s="272">
        <v>4.9712490359999997</v>
      </c>
      <c r="AB675" s="198">
        <v>27.019404283974001</v>
      </c>
      <c r="AC675" s="272">
        <v>0</v>
      </c>
      <c r="AD675" s="198">
        <v>0</v>
      </c>
      <c r="AE675" s="198">
        <v>27.019404283974001</v>
      </c>
      <c r="AF675" s="198">
        <v>2022.5519657195771</v>
      </c>
      <c r="AG675" s="198">
        <v>0.88914949814453448</v>
      </c>
      <c r="AH675" s="198">
        <v>4.6981124013739722E-3</v>
      </c>
      <c r="AI675" s="198">
        <v>2050.4714502530355</v>
      </c>
      <c r="AJ675" s="198">
        <v>0.8627837635006409</v>
      </c>
      <c r="AK675" s="198">
        <v>20.133709270055984</v>
      </c>
      <c r="AL675" s="198">
        <v>0.94264061528182508</v>
      </c>
      <c r="AM675" s="198">
        <v>0.16943579048660215</v>
      </c>
      <c r="AN675" s="198">
        <v>6.966755072195252E-2</v>
      </c>
      <c r="AO675" s="198">
        <v>1.3949464562232105E-2</v>
      </c>
      <c r="AP675" s="198">
        <v>1.1575912569621268E-2</v>
      </c>
      <c r="AQ675" s="198">
        <v>1.0995065627966965E-2</v>
      </c>
      <c r="AS675" s="258">
        <f t="shared" si="80"/>
        <v>163257.57190457379</v>
      </c>
      <c r="AT675" s="3">
        <f t="shared" si="81"/>
        <v>47.315094765537744</v>
      </c>
      <c r="AU675" s="3">
        <f t="shared" si="87"/>
        <v>18.263354102453111</v>
      </c>
      <c r="AV675" s="3">
        <f t="shared" si="82"/>
        <v>0</v>
      </c>
      <c r="AW675" s="3">
        <f t="shared" si="83"/>
        <v>0</v>
      </c>
      <c r="AX675" s="3">
        <f t="shared" si="84"/>
        <v>18.263354102453111</v>
      </c>
      <c r="AY675" s="102">
        <f t="shared" si="85"/>
        <v>1</v>
      </c>
      <c r="AZ675" s="102">
        <f t="shared" si="86"/>
        <v>0</v>
      </c>
    </row>
    <row r="676" spans="1:52" x14ac:dyDescent="0.35">
      <c r="A676" t="s">
        <v>1020</v>
      </c>
      <c r="B676">
        <v>2030</v>
      </c>
      <c r="C676" t="s">
        <v>837</v>
      </c>
      <c r="D676" t="s">
        <v>1033</v>
      </c>
      <c r="E676" t="s">
        <v>1030</v>
      </c>
      <c r="F676" t="s">
        <v>983</v>
      </c>
      <c r="G676" t="s">
        <v>978</v>
      </c>
      <c r="H676" s="198">
        <v>62971.780025772481</v>
      </c>
      <c r="I676" s="198">
        <v>38355</v>
      </c>
      <c r="J676" s="198">
        <v>0</v>
      </c>
      <c r="K676" s="198">
        <v>0</v>
      </c>
      <c r="L676" s="198">
        <v>150</v>
      </c>
      <c r="M676" s="198">
        <v>2445.8298986</v>
      </c>
      <c r="N676" s="198">
        <v>40</v>
      </c>
      <c r="O676" s="198">
        <v>300</v>
      </c>
      <c r="P676" s="198">
        <v>2453.8026938700004</v>
      </c>
      <c r="Q676" s="198">
        <v>0</v>
      </c>
      <c r="R676" s="198">
        <v>0</v>
      </c>
      <c r="S676" s="198">
        <v>15380</v>
      </c>
      <c r="T676" s="198">
        <v>392</v>
      </c>
      <c r="U676" s="198">
        <v>1800</v>
      </c>
      <c r="V676" s="198">
        <v>4720</v>
      </c>
      <c r="W676" s="198">
        <v>235.66079999999999</v>
      </c>
      <c r="X676" s="198">
        <v>1500</v>
      </c>
      <c r="Y676" s="198">
        <v>186</v>
      </c>
      <c r="Z676" s="277">
        <v>130930.07341824249</v>
      </c>
      <c r="AA676" s="272">
        <v>6.7161686029999998</v>
      </c>
      <c r="AB676" s="198">
        <v>19.999525836799485</v>
      </c>
      <c r="AC676" s="272">
        <v>0</v>
      </c>
      <c r="AD676" s="198">
        <v>0</v>
      </c>
      <c r="AE676" s="198">
        <v>19.999525836799485</v>
      </c>
      <c r="AF676" s="198">
        <v>1497.0752082299014</v>
      </c>
      <c r="AG676" s="198">
        <v>0.65814065232616081</v>
      </c>
      <c r="AH676" s="198">
        <v>3.4775015528820253E-3</v>
      </c>
      <c r="AI676" s="198">
        <v>1517.7409655652034</v>
      </c>
      <c r="AJ676" s="198">
        <v>0.63862496701812066</v>
      </c>
      <c r="AK676" s="198">
        <v>14.902794839778393</v>
      </c>
      <c r="AL676" s="198">
        <v>0.69773430761119015</v>
      </c>
      <c r="AM676" s="198">
        <v>0.12541488457335245</v>
      </c>
      <c r="AN676" s="198">
        <v>5.1567309404991053E-2</v>
      </c>
      <c r="AO676" s="198">
        <v>1.0325271201014324E-2</v>
      </c>
      <c r="AP676" s="198">
        <v>8.5683888544496687E-3</v>
      </c>
      <c r="AQ676" s="198">
        <v>8.1384510477256547E-3</v>
      </c>
      <c r="AS676" s="258">
        <f t="shared" si="80"/>
        <v>175642.6934905723</v>
      </c>
      <c r="AT676" s="3">
        <f t="shared" si="81"/>
        <v>35.022217747237839</v>
      </c>
      <c r="AU676" s="3">
        <f t="shared" si="87"/>
        <v>13.518374365317683</v>
      </c>
      <c r="AV676" s="3">
        <f t="shared" si="82"/>
        <v>0</v>
      </c>
      <c r="AW676" s="3">
        <f t="shared" si="83"/>
        <v>0</v>
      </c>
      <c r="AX676" s="3">
        <f t="shared" si="84"/>
        <v>13.518374365317683</v>
      </c>
      <c r="AY676" s="102">
        <f t="shared" si="85"/>
        <v>1</v>
      </c>
      <c r="AZ676" s="102">
        <f t="shared" si="86"/>
        <v>0</v>
      </c>
    </row>
    <row r="677" spans="1:52" x14ac:dyDescent="0.35">
      <c r="A677" t="s">
        <v>1021</v>
      </c>
      <c r="B677">
        <v>2030</v>
      </c>
      <c r="C677" t="s">
        <v>837</v>
      </c>
      <c r="D677" t="s">
        <v>1033</v>
      </c>
      <c r="E677" t="s">
        <v>1030</v>
      </c>
      <c r="F677" t="s">
        <v>983</v>
      </c>
      <c r="G677" t="s">
        <v>978</v>
      </c>
      <c r="H677" s="198">
        <v>62971.780025772481</v>
      </c>
      <c r="I677" s="198">
        <v>14064</v>
      </c>
      <c r="J677" s="198">
        <v>0</v>
      </c>
      <c r="K677" s="198">
        <v>0</v>
      </c>
      <c r="L677" s="198">
        <v>0</v>
      </c>
      <c r="M677" s="198">
        <v>32495.924999999999</v>
      </c>
      <c r="N677" s="198">
        <v>40</v>
      </c>
      <c r="O677" s="198">
        <v>0</v>
      </c>
      <c r="P677" s="198">
        <v>9875.8920510900007</v>
      </c>
      <c r="Q677" s="198">
        <v>0</v>
      </c>
      <c r="R677" s="198">
        <v>3984.9639409199999</v>
      </c>
      <c r="S677" s="198">
        <v>7985</v>
      </c>
      <c r="T677" s="198">
        <v>0</v>
      </c>
      <c r="U677" s="198">
        <v>1800</v>
      </c>
      <c r="V677" s="198">
        <v>4720</v>
      </c>
      <c r="W677" s="198">
        <v>235.66079999999999</v>
      </c>
      <c r="X677" s="198">
        <v>1500</v>
      </c>
      <c r="Y677" s="198">
        <v>186</v>
      </c>
      <c r="Z677" s="277">
        <v>139859.2218177825</v>
      </c>
      <c r="AA677" s="272">
        <v>40.450727755000017</v>
      </c>
      <c r="AB677" s="198">
        <v>3.3205876619462558</v>
      </c>
      <c r="AC677" s="272">
        <v>1601.6000000000001</v>
      </c>
      <c r="AD677" s="198">
        <v>5.7657600000000002</v>
      </c>
      <c r="AE677" s="198">
        <v>9.086347661946256</v>
      </c>
      <c r="AF677" s="198">
        <v>248.564366276464</v>
      </c>
      <c r="AG677" s="198">
        <v>0.10927327716531707</v>
      </c>
      <c r="AH677" s="198">
        <v>5.7738112618908541E-4</v>
      </c>
      <c r="AI677" s="198">
        <v>251.99557056562332</v>
      </c>
      <c r="AJ677" s="198">
        <v>0.1060330231524412</v>
      </c>
      <c r="AK677" s="198">
        <v>2.4743604962088286</v>
      </c>
      <c r="AL677" s="198">
        <v>0.11584714318112563</v>
      </c>
      <c r="AM677" s="198">
        <v>0.10606625839198758</v>
      </c>
      <c r="AN677" s="198">
        <v>3.0346267137125175E-2</v>
      </c>
      <c r="AO677" s="198">
        <v>1.7143390516414327E-3</v>
      </c>
      <c r="AP677" s="198">
        <v>4.5372932622868775E-3</v>
      </c>
      <c r="AQ677" s="198">
        <v>5.2452910594883977E-3</v>
      </c>
      <c r="AS677" s="258">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102">
        <f t="shared" si="85"/>
        <v>0.38517739489518088</v>
      </c>
      <c r="AZ677" s="102">
        <f t="shared" si="86"/>
        <v>0.61482260510481912</v>
      </c>
    </row>
    <row r="678" spans="1:52" x14ac:dyDescent="0.35">
      <c r="A678" t="s">
        <v>246</v>
      </c>
      <c r="B678">
        <v>2030</v>
      </c>
      <c r="C678" t="s">
        <v>837</v>
      </c>
      <c r="D678" t="s">
        <v>1033</v>
      </c>
      <c r="E678" t="s">
        <v>1030</v>
      </c>
      <c r="F678" t="s">
        <v>977</v>
      </c>
      <c r="G678" t="s">
        <v>978</v>
      </c>
      <c r="H678" s="198">
        <v>62971.780025772481</v>
      </c>
      <c r="I678" s="198">
        <v>0</v>
      </c>
      <c r="J678" s="198">
        <v>0</v>
      </c>
      <c r="K678" s="198">
        <v>0</v>
      </c>
      <c r="L678" s="198">
        <v>0</v>
      </c>
      <c r="M678" s="198">
        <v>61752.1875</v>
      </c>
      <c r="N678" s="198">
        <v>40</v>
      </c>
      <c r="O678" s="198">
        <v>0</v>
      </c>
      <c r="P678" s="198">
        <v>9676.0196578800005</v>
      </c>
      <c r="Q678" s="198">
        <v>0</v>
      </c>
      <c r="R678" s="198">
        <v>0</v>
      </c>
      <c r="S678" s="198">
        <v>7888</v>
      </c>
      <c r="T678" s="198">
        <v>0</v>
      </c>
      <c r="U678" s="198">
        <v>1800</v>
      </c>
      <c r="V678" s="198">
        <v>4500</v>
      </c>
      <c r="W678" s="198">
        <v>235.66079999999999</v>
      </c>
      <c r="X678" s="198">
        <v>1500</v>
      </c>
      <c r="Y678" s="198">
        <v>186</v>
      </c>
      <c r="Z678" s="277">
        <v>150549.64798365251</v>
      </c>
      <c r="AA678" s="272">
        <v>0</v>
      </c>
      <c r="AB678" s="198">
        <v>0</v>
      </c>
      <c r="AC678" s="272">
        <v>1827</v>
      </c>
      <c r="AD678" s="198">
        <v>6.5771999999999995</v>
      </c>
      <c r="AE678" s="198">
        <v>6.5771999999999995</v>
      </c>
      <c r="AF678" s="198">
        <v>0</v>
      </c>
      <c r="AG678" s="198">
        <v>0</v>
      </c>
      <c r="AH678" s="198">
        <v>0</v>
      </c>
      <c r="AI678" s="198">
        <v>0</v>
      </c>
      <c r="AJ678" s="198">
        <v>0</v>
      </c>
      <c r="AK678" s="198">
        <v>0</v>
      </c>
      <c r="AL678" s="198">
        <v>0</v>
      </c>
      <c r="AM678" s="198">
        <v>9.7239849198001618E-2</v>
      </c>
      <c r="AN678" s="198">
        <v>2.4850183683933685E-2</v>
      </c>
      <c r="AO678" s="198">
        <v>0</v>
      </c>
      <c r="AP678" s="198">
        <v>3.552993933707318E-3</v>
      </c>
      <c r="AQ678" s="198">
        <v>4.4420614572380033E-3</v>
      </c>
      <c r="AS678" s="258">
        <f t="shared" si="80"/>
        <v>201962.35277006982</v>
      </c>
      <c r="AT678" s="3">
        <f t="shared" si="81"/>
        <v>0</v>
      </c>
      <c r="AU678" s="3">
        <f t="shared" si="87"/>
        <v>0</v>
      </c>
      <c r="AV678" s="3">
        <f t="shared" si="82"/>
        <v>113.52479898591969</v>
      </c>
      <c r="AW678" s="3">
        <f t="shared" si="83"/>
        <v>4.0868927634931085</v>
      </c>
      <c r="AX678" s="3">
        <f t="shared" si="84"/>
        <v>4.0868927634931085</v>
      </c>
      <c r="AY678" s="102">
        <f t="shared" si="85"/>
        <v>0</v>
      </c>
      <c r="AZ678" s="102">
        <f t="shared" si="86"/>
        <v>1</v>
      </c>
    </row>
    <row r="679" spans="1:52" x14ac:dyDescent="0.35">
      <c r="A679" t="s">
        <v>627</v>
      </c>
      <c r="B679">
        <v>2030</v>
      </c>
      <c r="C679" t="s">
        <v>837</v>
      </c>
      <c r="D679" t="s">
        <v>1033</v>
      </c>
      <c r="E679" t="s">
        <v>1030</v>
      </c>
      <c r="F679" t="s">
        <v>989</v>
      </c>
      <c r="G679" t="s">
        <v>978</v>
      </c>
      <c r="H679" s="198">
        <v>62971.780025772481</v>
      </c>
      <c r="I679" s="198">
        <v>0</v>
      </c>
      <c r="J679" s="198">
        <v>47176.614430188682</v>
      </c>
      <c r="K679" s="198">
        <v>12399.4959</v>
      </c>
      <c r="L679" s="198">
        <v>0</v>
      </c>
      <c r="M679" s="198">
        <v>5883.5170859999998</v>
      </c>
      <c r="N679" s="198">
        <v>40</v>
      </c>
      <c r="O679" s="198">
        <v>0</v>
      </c>
      <c r="P679" s="198">
        <v>9904.0256128199999</v>
      </c>
      <c r="Q679" s="198">
        <v>0</v>
      </c>
      <c r="R679" s="198">
        <v>0</v>
      </c>
      <c r="S679" s="198">
        <v>7999</v>
      </c>
      <c r="T679" s="198">
        <v>0</v>
      </c>
      <c r="U679" s="198">
        <v>1800</v>
      </c>
      <c r="V679" s="198">
        <v>4500</v>
      </c>
      <c r="W679" s="198">
        <v>235.66079999999999</v>
      </c>
      <c r="X679" s="198">
        <v>1500</v>
      </c>
      <c r="Y679" s="198">
        <v>186</v>
      </c>
      <c r="Z679" s="277">
        <v>154596.09385478115</v>
      </c>
      <c r="AA679" s="272">
        <v>8.506652076</v>
      </c>
      <c r="AB679" s="198">
        <v>15.790017776671558</v>
      </c>
      <c r="AC679" s="272">
        <v>0</v>
      </c>
      <c r="AD679" s="198">
        <v>0</v>
      </c>
      <c r="AE679" s="198">
        <v>15.790017776671558</v>
      </c>
      <c r="AF679" s="198">
        <v>0</v>
      </c>
      <c r="AG679" s="198">
        <v>0</v>
      </c>
      <c r="AH679" s="198">
        <v>0</v>
      </c>
      <c r="AI679" s="198">
        <v>0</v>
      </c>
      <c r="AJ679" s="198">
        <v>0</v>
      </c>
      <c r="AK679" s="198">
        <v>0</v>
      </c>
      <c r="AL679" s="198">
        <v>0</v>
      </c>
      <c r="AM679" s="198">
        <v>0.14761429607173315</v>
      </c>
      <c r="AN679" s="198">
        <v>3.7723653440554089E-2</v>
      </c>
      <c r="AO679" s="198">
        <v>0</v>
      </c>
      <c r="AP679" s="198">
        <v>5.3935984351786296E-3</v>
      </c>
      <c r="AQ679" s="198">
        <v>6.7432413822690876E-3</v>
      </c>
      <c r="AS679" s="258">
        <f t="shared" si="80"/>
        <v>207390.6599061889</v>
      </c>
      <c r="AT679" s="3">
        <f t="shared" si="81"/>
        <v>27.650727588241867</v>
      </c>
      <c r="AU679" s="3">
        <f t="shared" si="87"/>
        <v>10.673021614707762</v>
      </c>
      <c r="AV679" s="3">
        <f t="shared" si="82"/>
        <v>0</v>
      </c>
      <c r="AW679" s="3">
        <f t="shared" si="83"/>
        <v>0</v>
      </c>
      <c r="AX679" s="3">
        <f t="shared" si="84"/>
        <v>10.673021614707762</v>
      </c>
      <c r="AY679" s="102">
        <f t="shared" si="85"/>
        <v>1</v>
      </c>
      <c r="AZ679" s="102">
        <f t="shared" si="86"/>
        <v>0</v>
      </c>
    </row>
    <row r="680" spans="1:52" x14ac:dyDescent="0.35">
      <c r="A680" t="s">
        <v>1065</v>
      </c>
      <c r="B680">
        <v>2030</v>
      </c>
      <c r="C680" t="s">
        <v>837</v>
      </c>
      <c r="D680" t="s">
        <v>1033</v>
      </c>
      <c r="E680" t="s">
        <v>1030</v>
      </c>
      <c r="F680" t="s">
        <v>989</v>
      </c>
      <c r="G680" t="s">
        <v>978</v>
      </c>
      <c r="H680" s="198">
        <v>62971.780025772481</v>
      </c>
      <c r="I680" s="198">
        <v>0</v>
      </c>
      <c r="J680" s="198">
        <v>20898.697867924529</v>
      </c>
      <c r="K680" s="198">
        <v>12317.271119999999</v>
      </c>
      <c r="L680" s="198">
        <v>0</v>
      </c>
      <c r="M680" s="198">
        <v>7348.2</v>
      </c>
      <c r="N680" s="198">
        <v>40</v>
      </c>
      <c r="O680" s="198">
        <v>0</v>
      </c>
      <c r="P680" s="198">
        <v>9825.7688415299999</v>
      </c>
      <c r="Q680" s="198">
        <v>0</v>
      </c>
      <c r="R680" s="198">
        <v>0</v>
      </c>
      <c r="S680" s="198">
        <v>7960</v>
      </c>
      <c r="T680" s="198">
        <v>0</v>
      </c>
      <c r="U680" s="198">
        <v>1800</v>
      </c>
      <c r="V680" s="198">
        <v>4500</v>
      </c>
      <c r="W680" s="198">
        <v>235.66079999999999</v>
      </c>
      <c r="X680" s="198">
        <v>1500</v>
      </c>
      <c r="Y680" s="198">
        <v>186</v>
      </c>
      <c r="Z680" s="277">
        <v>129583.378655227</v>
      </c>
      <c r="AA680" s="272">
        <v>9.7124256590000009</v>
      </c>
      <c r="AB680" s="198">
        <v>13.829726189516052</v>
      </c>
      <c r="AC680" s="272">
        <v>0</v>
      </c>
      <c r="AD680" s="198">
        <v>0</v>
      </c>
      <c r="AE680" s="198">
        <v>13.829726189516052</v>
      </c>
      <c r="AF680" s="198">
        <v>0</v>
      </c>
      <c r="AG680" s="198">
        <v>0</v>
      </c>
      <c r="AH680" s="198">
        <v>0</v>
      </c>
      <c r="AI680" s="198">
        <v>0</v>
      </c>
      <c r="AJ680" s="198">
        <v>0</v>
      </c>
      <c r="AK680" s="198">
        <v>0</v>
      </c>
      <c r="AL680" s="198">
        <v>0</v>
      </c>
      <c r="AM680" s="198">
        <v>0.12928834692930619</v>
      </c>
      <c r="AN680" s="198">
        <v>3.3040355326378307E-2</v>
      </c>
      <c r="AO680" s="198">
        <v>0</v>
      </c>
      <c r="AP680" s="198">
        <v>4.7239965521081407E-3</v>
      </c>
      <c r="AQ680" s="198">
        <v>5.9060846710619272E-3</v>
      </c>
      <c r="AS680" s="258">
        <f t="shared" si="80"/>
        <v>173836.102465987</v>
      </c>
      <c r="AT680" s="3">
        <f t="shared" si="81"/>
        <v>24.217958262925439</v>
      </c>
      <c r="AU680" s="3">
        <f t="shared" si="87"/>
        <v>9.3479924236861187</v>
      </c>
      <c r="AV680" s="3">
        <f t="shared" si="82"/>
        <v>0</v>
      </c>
      <c r="AW680" s="3">
        <f t="shared" si="83"/>
        <v>0</v>
      </c>
      <c r="AX680" s="3">
        <f t="shared" si="84"/>
        <v>9.3479924236861187</v>
      </c>
      <c r="AY680" s="102">
        <f t="shared" si="85"/>
        <v>1</v>
      </c>
      <c r="AZ680" s="102">
        <f t="shared" si="86"/>
        <v>0</v>
      </c>
    </row>
    <row r="681" spans="1:52" x14ac:dyDescent="0.35">
      <c r="A681" t="s">
        <v>1017</v>
      </c>
      <c r="B681">
        <v>2035</v>
      </c>
      <c r="C681" t="s">
        <v>837</v>
      </c>
      <c r="D681" t="s">
        <v>1033</v>
      </c>
      <c r="E681" t="s">
        <v>1030</v>
      </c>
      <c r="F681" t="s">
        <v>983</v>
      </c>
      <c r="G681" t="s">
        <v>978</v>
      </c>
      <c r="H681" s="198">
        <v>62971.780025772481</v>
      </c>
      <c r="I681" s="198">
        <v>37996</v>
      </c>
      <c r="J681" s="198">
        <v>0</v>
      </c>
      <c r="K681" s="198">
        <v>0</v>
      </c>
      <c r="L681" s="198">
        <v>120</v>
      </c>
      <c r="M681" s="198">
        <v>0</v>
      </c>
      <c r="N681" s="198">
        <v>0</v>
      </c>
      <c r="O681" s="198">
        <v>300</v>
      </c>
      <c r="P681" s="198">
        <v>0</v>
      </c>
      <c r="Q681" s="198">
        <v>0</v>
      </c>
      <c r="R681" s="198">
        <v>156.5</v>
      </c>
      <c r="S681" s="198">
        <v>15118</v>
      </c>
      <c r="T681" s="198">
        <v>506</v>
      </c>
      <c r="U681" s="198">
        <v>1800</v>
      </c>
      <c r="V681" s="198">
        <v>1920</v>
      </c>
      <c r="W681" s="198">
        <v>0</v>
      </c>
      <c r="X681" s="198">
        <v>0</v>
      </c>
      <c r="Y681" s="198">
        <v>186</v>
      </c>
      <c r="Z681" s="277">
        <v>121074.28002577249</v>
      </c>
      <c r="AA681" s="272">
        <v>5.173795631</v>
      </c>
      <c r="AB681" s="198">
        <v>25.961633794576144</v>
      </c>
      <c r="AC681" s="272">
        <v>0</v>
      </c>
      <c r="AD681" s="198">
        <v>0</v>
      </c>
      <c r="AE681" s="198">
        <v>25.961633794576144</v>
      </c>
      <c r="AF681" s="198">
        <v>1943.3719897242984</v>
      </c>
      <c r="AG681" s="198">
        <v>0.85434058489406539</v>
      </c>
      <c r="AH681" s="198">
        <v>4.5141881148938641E-3</v>
      </c>
      <c r="AI681" s="198">
        <v>1970.198466932047</v>
      </c>
      <c r="AJ681" s="198">
        <v>0.82900703052122793</v>
      </c>
      <c r="AK681" s="198">
        <v>19.345503753600052</v>
      </c>
      <c r="AL681" s="198">
        <v>0.9057376023777115</v>
      </c>
      <c r="AM681" s="198">
        <v>0.16280262503480761</v>
      </c>
      <c r="AN681" s="198">
        <v>6.6940167155394067E-2</v>
      </c>
      <c r="AO681" s="198">
        <v>1.3403363256601835E-2</v>
      </c>
      <c r="AP681" s="198">
        <v>1.112273238195674E-2</v>
      </c>
      <c r="AQ681" s="198">
        <v>1.0564624755621218E-2</v>
      </c>
      <c r="AS681" s="258">
        <f t="shared" si="80"/>
        <v>162421.14665457379</v>
      </c>
      <c r="AT681" s="3">
        <f t="shared" si="81"/>
        <v>45.462777430187238</v>
      </c>
      <c r="AU681" s="3">
        <f t="shared" si="87"/>
        <v>17.54837027808891</v>
      </c>
      <c r="AV681" s="3">
        <f t="shared" si="82"/>
        <v>0</v>
      </c>
      <c r="AW681" s="3">
        <f t="shared" si="83"/>
        <v>0</v>
      </c>
      <c r="AX681" s="3">
        <f t="shared" si="84"/>
        <v>17.54837027808891</v>
      </c>
      <c r="AY681" s="102">
        <f t="shared" si="85"/>
        <v>1</v>
      </c>
      <c r="AZ681" s="102">
        <f t="shared" si="86"/>
        <v>0</v>
      </c>
    </row>
    <row r="682" spans="1:52" x14ac:dyDescent="0.35">
      <c r="A682" t="s">
        <v>1020</v>
      </c>
      <c r="B682">
        <v>2035</v>
      </c>
      <c r="C682" t="s">
        <v>837</v>
      </c>
      <c r="D682" t="s">
        <v>1033</v>
      </c>
      <c r="E682" t="s">
        <v>1030</v>
      </c>
      <c r="F682" t="s">
        <v>983</v>
      </c>
      <c r="G682" t="s">
        <v>978</v>
      </c>
      <c r="H682" s="198">
        <v>62971.780025772481</v>
      </c>
      <c r="I682" s="198">
        <v>38305</v>
      </c>
      <c r="J682" s="198">
        <v>0</v>
      </c>
      <c r="K682" s="198">
        <v>0</v>
      </c>
      <c r="L682" s="198">
        <v>150</v>
      </c>
      <c r="M682" s="198">
        <v>2135.5778897999999</v>
      </c>
      <c r="N682" s="198">
        <v>35</v>
      </c>
      <c r="O682" s="198">
        <v>300</v>
      </c>
      <c r="P682" s="198">
        <v>2108.8849599599998</v>
      </c>
      <c r="Q682" s="198">
        <v>0</v>
      </c>
      <c r="R682" s="198">
        <v>0</v>
      </c>
      <c r="S682" s="198">
        <v>15380</v>
      </c>
      <c r="T682" s="198">
        <v>392</v>
      </c>
      <c r="U682" s="198">
        <v>1800</v>
      </c>
      <c r="V682" s="198">
        <v>4720</v>
      </c>
      <c r="W682" s="198">
        <v>190.4</v>
      </c>
      <c r="X682" s="198">
        <v>1500</v>
      </c>
      <c r="Y682" s="198">
        <v>186</v>
      </c>
      <c r="Z682" s="277">
        <v>130174.64287553247</v>
      </c>
      <c r="AA682" s="272">
        <v>6.9614904360000009</v>
      </c>
      <c r="AB682" s="198">
        <v>19.294745677648159</v>
      </c>
      <c r="AC682" s="272">
        <v>0</v>
      </c>
      <c r="AD682" s="198">
        <v>0</v>
      </c>
      <c r="AE682" s="198">
        <v>19.294745677648159</v>
      </c>
      <c r="AF682" s="198">
        <v>1444.3185122898228</v>
      </c>
      <c r="AG682" s="198">
        <v>0.63494787878365477</v>
      </c>
      <c r="AH682" s="198">
        <v>3.3549549426329199E-3</v>
      </c>
      <c r="AI682" s="198">
        <v>1464.2560115722786</v>
      </c>
      <c r="AJ682" s="198">
        <v>0.61611992317028763</v>
      </c>
      <c r="AK682" s="198">
        <v>14.37762268296393</v>
      </c>
      <c r="AL682" s="198">
        <v>0.67314625985564147</v>
      </c>
      <c r="AM682" s="198">
        <v>0.12099528367726953</v>
      </c>
      <c r="AN682" s="198">
        <v>4.9750085495483043E-2</v>
      </c>
      <c r="AO682" s="198">
        <v>9.9614102605243456E-3</v>
      </c>
      <c r="AP682" s="198">
        <v>8.2664401727765291E-3</v>
      </c>
      <c r="AQ682" s="198">
        <v>7.8516533070458559E-3</v>
      </c>
      <c r="AS682" s="258">
        <f t="shared" si="80"/>
        <v>174629.28341752681</v>
      </c>
      <c r="AT682" s="3">
        <f t="shared" si="81"/>
        <v>33.788040277274341</v>
      </c>
      <c r="AU682" s="3">
        <f t="shared" si="87"/>
        <v>13.041988969263688</v>
      </c>
      <c r="AV682" s="3">
        <f t="shared" si="82"/>
        <v>0</v>
      </c>
      <c r="AW682" s="3">
        <f t="shared" si="83"/>
        <v>0</v>
      </c>
      <c r="AX682" s="3">
        <f t="shared" si="84"/>
        <v>13.041988969263688</v>
      </c>
      <c r="AY682" s="102">
        <f t="shared" si="85"/>
        <v>1</v>
      </c>
      <c r="AZ682" s="102">
        <f t="shared" si="86"/>
        <v>0</v>
      </c>
    </row>
    <row r="683" spans="1:52" x14ac:dyDescent="0.35">
      <c r="A683" t="s">
        <v>1021</v>
      </c>
      <c r="B683">
        <v>2035</v>
      </c>
      <c r="C683" t="s">
        <v>837</v>
      </c>
      <c r="D683" t="s">
        <v>1033</v>
      </c>
      <c r="E683" t="s">
        <v>1030</v>
      </c>
      <c r="F683" t="s">
        <v>983</v>
      </c>
      <c r="G683" t="s">
        <v>978</v>
      </c>
      <c r="H683" s="198">
        <v>62971.780025772481</v>
      </c>
      <c r="I683" s="198">
        <v>13332</v>
      </c>
      <c r="J683" s="198">
        <v>0</v>
      </c>
      <c r="K683" s="198">
        <v>0</v>
      </c>
      <c r="L683" s="198">
        <v>0</v>
      </c>
      <c r="M683" s="198">
        <v>26006.670000000002</v>
      </c>
      <c r="N683" s="198">
        <v>35</v>
      </c>
      <c r="O683" s="198">
        <v>0</v>
      </c>
      <c r="P683" s="198">
        <v>8416.9454851800001</v>
      </c>
      <c r="Q683" s="198">
        <v>0</v>
      </c>
      <c r="R683" s="198">
        <v>3053.1668398850002</v>
      </c>
      <c r="S683" s="198">
        <v>7953</v>
      </c>
      <c r="T683" s="198">
        <v>0</v>
      </c>
      <c r="U683" s="198">
        <v>1800</v>
      </c>
      <c r="V683" s="198">
        <v>4720</v>
      </c>
      <c r="W683" s="198">
        <v>190.4</v>
      </c>
      <c r="X683" s="198">
        <v>1500</v>
      </c>
      <c r="Y683" s="198">
        <v>186</v>
      </c>
      <c r="Z683" s="277">
        <v>130164.96235083748</v>
      </c>
      <c r="AA683" s="272">
        <v>43.216476310000012</v>
      </c>
      <c r="AB683" s="198">
        <v>3.1080781907459492</v>
      </c>
      <c r="AC683" s="272">
        <v>1513.6000000000001</v>
      </c>
      <c r="AD683" s="198">
        <v>5.4489600000000005</v>
      </c>
      <c r="AE683" s="198">
        <v>8.5570381907459492</v>
      </c>
      <c r="AF683" s="198">
        <v>232.65685609626578</v>
      </c>
      <c r="AG683" s="198">
        <v>0.10228005526883038</v>
      </c>
      <c r="AH683" s="198">
        <v>5.4043014934435302E-4</v>
      </c>
      <c r="AI683" s="198">
        <v>235.86847172121796</v>
      </c>
      <c r="AJ683" s="198">
        <v>9.9247169570521876E-2</v>
      </c>
      <c r="AK683" s="198">
        <v>2.3160074894100044</v>
      </c>
      <c r="AL683" s="198">
        <v>0.10843320997297241</v>
      </c>
      <c r="AM683" s="198">
        <v>0.10004994146670859</v>
      </c>
      <c r="AN683" s="198">
        <v>2.8601383350537447E-2</v>
      </c>
      <c r="AO683" s="198">
        <v>1.6046255543899176E-3</v>
      </c>
      <c r="AP683" s="198">
        <v>4.2751130124281484E-3</v>
      </c>
      <c r="AQ683" s="198">
        <v>4.9448560349992874E-3</v>
      </c>
      <c r="AS683" s="258">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102">
        <f t="shared" si="85"/>
        <v>0.38290058321333537</v>
      </c>
      <c r="AZ683" s="102">
        <f t="shared" si="86"/>
        <v>0.61709941678666469</v>
      </c>
    </row>
    <row r="684" spans="1:52" x14ac:dyDescent="0.35">
      <c r="A684" t="s">
        <v>246</v>
      </c>
      <c r="B684">
        <v>2035</v>
      </c>
      <c r="C684" t="s">
        <v>837</v>
      </c>
      <c r="D684" t="s">
        <v>1033</v>
      </c>
      <c r="E684" t="s">
        <v>1030</v>
      </c>
      <c r="F684" t="s">
        <v>977</v>
      </c>
      <c r="G684" t="s">
        <v>978</v>
      </c>
      <c r="H684" s="198">
        <v>62971.780025772481</v>
      </c>
      <c r="I684" s="198">
        <v>0</v>
      </c>
      <c r="J684" s="198">
        <v>0</v>
      </c>
      <c r="K684" s="198">
        <v>0</v>
      </c>
      <c r="L684" s="198">
        <v>0</v>
      </c>
      <c r="M684" s="198">
        <v>49589.178749999999</v>
      </c>
      <c r="N684" s="198">
        <v>35</v>
      </c>
      <c r="O684" s="198">
        <v>0</v>
      </c>
      <c r="P684" s="198">
        <v>8247.4044539199986</v>
      </c>
      <c r="Q684" s="198">
        <v>0</v>
      </c>
      <c r="R684" s="198">
        <v>0</v>
      </c>
      <c r="S684" s="198">
        <v>7857</v>
      </c>
      <c r="T684" s="198">
        <v>0</v>
      </c>
      <c r="U684" s="198">
        <v>1800</v>
      </c>
      <c r="V684" s="198">
        <v>4500</v>
      </c>
      <c r="W684" s="198">
        <v>190.4</v>
      </c>
      <c r="X684" s="198">
        <v>1500</v>
      </c>
      <c r="Y684" s="198">
        <v>186</v>
      </c>
      <c r="Z684" s="277">
        <v>136876.76322969247</v>
      </c>
      <c r="AA684" s="272">
        <v>0</v>
      </c>
      <c r="AB684" s="198">
        <v>0</v>
      </c>
      <c r="AC684" s="272">
        <v>1709</v>
      </c>
      <c r="AD684" s="198">
        <v>6.1524000000000001</v>
      </c>
      <c r="AE684" s="198">
        <v>6.1524000000000001</v>
      </c>
      <c r="AF684" s="198">
        <v>0</v>
      </c>
      <c r="AG684" s="198">
        <v>0</v>
      </c>
      <c r="AH684" s="198">
        <v>0</v>
      </c>
      <c r="AI684" s="198">
        <v>0</v>
      </c>
      <c r="AJ684" s="198">
        <v>0</v>
      </c>
      <c r="AK684" s="198">
        <v>0</v>
      </c>
      <c r="AL684" s="198">
        <v>0</v>
      </c>
      <c r="AM684" s="198">
        <v>9.095944295532829E-2</v>
      </c>
      <c r="AN684" s="198">
        <v>2.3245190977472727E-2</v>
      </c>
      <c r="AO684" s="198">
        <v>0</v>
      </c>
      <c r="AP684" s="198">
        <v>3.3235175876879072E-3</v>
      </c>
      <c r="AQ684" s="198">
        <v>4.1551631255718384E-3</v>
      </c>
      <c r="AS684" s="258">
        <f t="shared" si="80"/>
        <v>183620.17787263243</v>
      </c>
      <c r="AT684" s="3">
        <f t="shared" si="81"/>
        <v>0</v>
      </c>
      <c r="AU684" s="3">
        <f t="shared" si="87"/>
        <v>0</v>
      </c>
      <c r="AV684" s="3">
        <f t="shared" si="82"/>
        <v>106.19260069345198</v>
      </c>
      <c r="AW684" s="3">
        <f t="shared" si="83"/>
        <v>3.8229336249642709</v>
      </c>
      <c r="AX684" s="3">
        <f t="shared" si="84"/>
        <v>3.8229336249642709</v>
      </c>
      <c r="AY684" s="102">
        <f t="shared" si="85"/>
        <v>0</v>
      </c>
      <c r="AZ684" s="102">
        <f t="shared" si="86"/>
        <v>1</v>
      </c>
    </row>
    <row r="685" spans="1:52" x14ac:dyDescent="0.35">
      <c r="A685" t="s">
        <v>627</v>
      </c>
      <c r="B685">
        <v>2035</v>
      </c>
      <c r="C685" t="s">
        <v>837</v>
      </c>
      <c r="D685" t="s">
        <v>1033</v>
      </c>
      <c r="E685" t="s">
        <v>1030</v>
      </c>
      <c r="F685" t="s">
        <v>989</v>
      </c>
      <c r="G685" t="s">
        <v>978</v>
      </c>
      <c r="H685" s="198">
        <v>62971.780025772481</v>
      </c>
      <c r="I685" s="198">
        <v>0</v>
      </c>
      <c r="J685" s="198">
        <v>41010.077651886786</v>
      </c>
      <c r="K685" s="198">
        <v>11231.548935750001</v>
      </c>
      <c r="L685" s="198">
        <v>0</v>
      </c>
      <c r="M685" s="198">
        <v>5605.8919595999996</v>
      </c>
      <c r="N685" s="198">
        <v>35</v>
      </c>
      <c r="O685" s="198">
        <v>0</v>
      </c>
      <c r="P685" s="198">
        <v>8441.4311973299991</v>
      </c>
      <c r="Q685" s="198">
        <v>0</v>
      </c>
      <c r="R685" s="198">
        <v>0</v>
      </c>
      <c r="S685" s="198">
        <v>7967</v>
      </c>
      <c r="T685" s="198">
        <v>0</v>
      </c>
      <c r="U685" s="198">
        <v>1800</v>
      </c>
      <c r="V685" s="198">
        <v>4500</v>
      </c>
      <c r="W685" s="198">
        <v>190.4</v>
      </c>
      <c r="X685" s="198">
        <v>1500</v>
      </c>
      <c r="Y685" s="198">
        <v>186</v>
      </c>
      <c r="Z685" s="277">
        <v>145439.12977033926</v>
      </c>
      <c r="AA685" s="272">
        <v>9.0089462690000008</v>
      </c>
      <c r="AB685" s="198">
        <v>14.909644645367569</v>
      </c>
      <c r="AC685" s="272">
        <v>0</v>
      </c>
      <c r="AD685" s="198">
        <v>0</v>
      </c>
      <c r="AE685" s="198">
        <v>14.909644645367569</v>
      </c>
      <c r="AF685" s="198">
        <v>0</v>
      </c>
      <c r="AG685" s="198">
        <v>0</v>
      </c>
      <c r="AH685" s="198">
        <v>0</v>
      </c>
      <c r="AI685" s="198">
        <v>0</v>
      </c>
      <c r="AJ685" s="198">
        <v>0</v>
      </c>
      <c r="AK685" s="198">
        <v>0</v>
      </c>
      <c r="AL685" s="198">
        <v>0</v>
      </c>
      <c r="AM685" s="198">
        <v>0.13938405454218247</v>
      </c>
      <c r="AN685" s="198">
        <v>3.562036949411336E-2</v>
      </c>
      <c r="AO685" s="198">
        <v>0</v>
      </c>
      <c r="AP685" s="198">
        <v>5.0928781186765264E-3</v>
      </c>
      <c r="AQ685" s="198">
        <v>6.3672716642604313E-3</v>
      </c>
      <c r="AS685" s="258">
        <f t="shared" si="80"/>
        <v>195106.59258691012</v>
      </c>
      <c r="AT685" s="3">
        <f t="shared" si="81"/>
        <v>26.109060062974176</v>
      </c>
      <c r="AU685" s="3">
        <f t="shared" si="87"/>
        <v>10.077946828072779</v>
      </c>
      <c r="AV685" s="3">
        <f t="shared" si="82"/>
        <v>0</v>
      </c>
      <c r="AW685" s="3">
        <f t="shared" si="83"/>
        <v>0</v>
      </c>
      <c r="AX685" s="3">
        <f t="shared" si="84"/>
        <v>10.077946828072779</v>
      </c>
      <c r="AY685" s="102">
        <f t="shared" si="85"/>
        <v>1</v>
      </c>
      <c r="AZ685" s="102">
        <f t="shared" si="86"/>
        <v>0</v>
      </c>
    </row>
    <row r="686" spans="1:52" x14ac:dyDescent="0.35">
      <c r="A686" t="s">
        <v>1065</v>
      </c>
      <c r="B686">
        <v>2035</v>
      </c>
      <c r="C686" t="s">
        <v>837</v>
      </c>
      <c r="D686" t="s">
        <v>1033</v>
      </c>
      <c r="E686" t="s">
        <v>1030</v>
      </c>
      <c r="F686" t="s">
        <v>989</v>
      </c>
      <c r="G686" t="s">
        <v>978</v>
      </c>
      <c r="H686" s="198">
        <v>62971.780025772481</v>
      </c>
      <c r="I686" s="198">
        <v>0</v>
      </c>
      <c r="J686" s="198">
        <v>16414.775167924527</v>
      </c>
      <c r="K686" s="198">
        <v>10745.086101750003</v>
      </c>
      <c r="L686" s="198">
        <v>0</v>
      </c>
      <c r="M686" s="198">
        <v>6970.86</v>
      </c>
      <c r="N686" s="198">
        <v>35</v>
      </c>
      <c r="O686" s="198">
        <v>0</v>
      </c>
      <c r="P686" s="198">
        <v>8416.4094636299997</v>
      </c>
      <c r="Q686" s="198">
        <v>0</v>
      </c>
      <c r="R686" s="198">
        <v>0</v>
      </c>
      <c r="S686" s="198">
        <v>7953</v>
      </c>
      <c r="T686" s="198">
        <v>0</v>
      </c>
      <c r="U686" s="198">
        <v>1800</v>
      </c>
      <c r="V686" s="198">
        <v>4500</v>
      </c>
      <c r="W686" s="198">
        <v>190.4</v>
      </c>
      <c r="X686" s="198">
        <v>1500</v>
      </c>
      <c r="Y686" s="198">
        <v>186</v>
      </c>
      <c r="Z686" s="277">
        <v>121683.31075907701</v>
      </c>
      <c r="AA686" s="272">
        <v>10.45781697</v>
      </c>
      <c r="AB686" s="198">
        <v>12.843998693543785</v>
      </c>
      <c r="AC686" s="272">
        <v>0</v>
      </c>
      <c r="AD686" s="198">
        <v>0</v>
      </c>
      <c r="AE686" s="198">
        <v>12.843998693543785</v>
      </c>
      <c r="AF686" s="198">
        <v>0</v>
      </c>
      <c r="AG686" s="198">
        <v>0</v>
      </c>
      <c r="AH686" s="198">
        <v>0</v>
      </c>
      <c r="AI686" s="198">
        <v>0</v>
      </c>
      <c r="AJ686" s="198">
        <v>0</v>
      </c>
      <c r="AK686" s="198">
        <v>0</v>
      </c>
      <c r="AL686" s="198">
        <v>0</v>
      </c>
      <c r="AM686" s="198">
        <v>0.12007319134845096</v>
      </c>
      <c r="AN686" s="198">
        <v>3.0685371122381962E-2</v>
      </c>
      <c r="AO686" s="198">
        <v>0</v>
      </c>
      <c r="AP686" s="198">
        <v>4.387288997057542E-3</v>
      </c>
      <c r="AQ686" s="198">
        <v>5.4851226090494917E-3</v>
      </c>
      <c r="AS686" s="258">
        <f t="shared" si="80"/>
        <v>163238.16138330181</v>
      </c>
      <c r="AT686" s="3">
        <f t="shared" si="81"/>
        <v>22.491799188700867</v>
      </c>
      <c r="AU686" s="3">
        <f t="shared" si="87"/>
        <v>8.6817049615993298</v>
      </c>
      <c r="AV686" s="3">
        <f t="shared" si="82"/>
        <v>0</v>
      </c>
      <c r="AW686" s="3">
        <f t="shared" si="83"/>
        <v>0</v>
      </c>
      <c r="AX686" s="3">
        <f t="shared" si="84"/>
        <v>8.6817049615993298</v>
      </c>
      <c r="AY686" s="102">
        <f t="shared" si="85"/>
        <v>1</v>
      </c>
      <c r="AZ686" s="102">
        <f t="shared" si="86"/>
        <v>0</v>
      </c>
    </row>
    <row r="687" spans="1:52" x14ac:dyDescent="0.35">
      <c r="A687" t="s">
        <v>1017</v>
      </c>
      <c r="B687">
        <v>2050</v>
      </c>
      <c r="C687" t="s">
        <v>837</v>
      </c>
      <c r="D687" t="s">
        <v>1033</v>
      </c>
      <c r="E687" t="s">
        <v>1030</v>
      </c>
      <c r="F687" t="s">
        <v>983</v>
      </c>
      <c r="G687" t="s">
        <v>978</v>
      </c>
      <c r="H687" s="198">
        <v>63257.887850619198</v>
      </c>
      <c r="I687" s="198">
        <v>37769</v>
      </c>
      <c r="J687" s="198">
        <v>0</v>
      </c>
      <c r="K687" s="198">
        <v>0</v>
      </c>
      <c r="L687" s="198">
        <v>120</v>
      </c>
      <c r="M687" s="198">
        <v>0</v>
      </c>
      <c r="N687" s="198">
        <v>0</v>
      </c>
      <c r="O687" s="198">
        <v>300</v>
      </c>
      <c r="P687" s="198">
        <v>0</v>
      </c>
      <c r="Q687" s="198">
        <v>0</v>
      </c>
      <c r="R687" s="198">
        <v>110</v>
      </c>
      <c r="S687" s="198">
        <v>15084</v>
      </c>
      <c r="T687" s="198">
        <v>506</v>
      </c>
      <c r="U687" s="198">
        <v>1800</v>
      </c>
      <c r="V687" s="198">
        <v>1920</v>
      </c>
      <c r="W687" s="198">
        <v>0</v>
      </c>
      <c r="X687" s="198">
        <v>0</v>
      </c>
      <c r="Y687" s="198">
        <v>186</v>
      </c>
      <c r="Z687" s="277">
        <v>121052.8878506192</v>
      </c>
      <c r="AA687" s="272">
        <v>5.6041019609999996</v>
      </c>
      <c r="AB687" s="198">
        <v>23.968191234699063</v>
      </c>
      <c r="AC687" s="272">
        <v>0</v>
      </c>
      <c r="AD687" s="198">
        <v>0</v>
      </c>
      <c r="AE687" s="198">
        <v>23.968191234699063</v>
      </c>
      <c r="AF687" s="198">
        <v>1794.1517802165756</v>
      </c>
      <c r="AG687" s="198">
        <v>0.7887407503060776</v>
      </c>
      <c r="AH687" s="198">
        <v>4.1675699173364857E-3</v>
      </c>
      <c r="AI687" s="198">
        <v>1818.9184085788843</v>
      </c>
      <c r="AJ687" s="198">
        <v>0.7653524119346431</v>
      </c>
      <c r="AK687" s="198">
        <v>17.860075262087129</v>
      </c>
      <c r="AL687" s="198">
        <v>0.836191290348691</v>
      </c>
      <c r="AM687" s="198">
        <v>0.15030196023951659</v>
      </c>
      <c r="AN687" s="198">
        <v>6.1800221833434914E-2</v>
      </c>
      <c r="AO687" s="198">
        <v>1.2374197104247246E-2</v>
      </c>
      <c r="AP687" s="198">
        <v>1.0268682583405625E-2</v>
      </c>
      <c r="AQ687" s="198">
        <v>9.7534287891568056E-3</v>
      </c>
      <c r="AS687" s="258">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102">
        <f t="shared" ref="AY687:AY692" si="93">AU687/AX687</f>
        <v>1</v>
      </c>
      <c r="AZ687" s="102">
        <f t="shared" ref="AZ687:AZ692" si="94">AW687/AX687</f>
        <v>0</v>
      </c>
    </row>
    <row r="688" spans="1:52" x14ac:dyDescent="0.35">
      <c r="A688" t="s">
        <v>1020</v>
      </c>
      <c r="B688">
        <v>2050</v>
      </c>
      <c r="C688" t="s">
        <v>837</v>
      </c>
      <c r="D688" t="s">
        <v>1033</v>
      </c>
      <c r="E688" t="s">
        <v>1030</v>
      </c>
      <c r="F688" t="s">
        <v>983</v>
      </c>
      <c r="G688" t="s">
        <v>978</v>
      </c>
      <c r="H688" s="198">
        <v>63257.887850619198</v>
      </c>
      <c r="I688" s="198">
        <v>38118</v>
      </c>
      <c r="J688" s="198">
        <v>0</v>
      </c>
      <c r="K688" s="198">
        <v>0</v>
      </c>
      <c r="L688" s="198">
        <v>150</v>
      </c>
      <c r="M688" s="198">
        <v>2107.6967336000002</v>
      </c>
      <c r="N688" s="198">
        <v>28.89</v>
      </c>
      <c r="O688" s="198">
        <v>300</v>
      </c>
      <c r="P688" s="198">
        <v>1482.2882734</v>
      </c>
      <c r="Q688" s="198">
        <v>0</v>
      </c>
      <c r="R688" s="198">
        <v>0</v>
      </c>
      <c r="S688" s="198">
        <v>15380</v>
      </c>
      <c r="T688" s="198">
        <v>392</v>
      </c>
      <c r="U688" s="198">
        <v>1800</v>
      </c>
      <c r="V688" s="198">
        <v>4720</v>
      </c>
      <c r="W688" s="198">
        <v>137.5164</v>
      </c>
      <c r="X688" s="198">
        <v>1500</v>
      </c>
      <c r="Y688" s="198">
        <v>186</v>
      </c>
      <c r="Z688" s="277">
        <v>129560.27925761919</v>
      </c>
      <c r="AA688" s="272">
        <v>7.7806265789999998</v>
      </c>
      <c r="AB688" s="198">
        <v>17.26341524505645</v>
      </c>
      <c r="AC688" s="272">
        <v>0</v>
      </c>
      <c r="AD688" s="198">
        <v>0</v>
      </c>
      <c r="AE688" s="198">
        <v>17.26341524505645</v>
      </c>
      <c r="AF688" s="198">
        <v>1292.2621857963031</v>
      </c>
      <c r="AG688" s="198">
        <v>0.56810123717298378</v>
      </c>
      <c r="AH688" s="198">
        <v>3.0017488320782195E-3</v>
      </c>
      <c r="AI688" s="198">
        <v>1310.1006862259703</v>
      </c>
      <c r="AJ688" s="198">
        <v>0.5512554688275848</v>
      </c>
      <c r="AK688" s="198">
        <v>12.863961762412973</v>
      </c>
      <c r="AL688" s="198">
        <v>0.6022781330570548</v>
      </c>
      <c r="AM688" s="198">
        <v>0.10825702808997625</v>
      </c>
      <c r="AN688" s="198">
        <v>4.4512449074699069E-2</v>
      </c>
      <c r="AO688" s="198">
        <v>8.9126835163737157E-3</v>
      </c>
      <c r="AP688" s="198">
        <v>7.3961580880734373E-3</v>
      </c>
      <c r="AQ688" s="198">
        <v>7.0250395451843606E-3</v>
      </c>
      <c r="AS688" s="258">
        <f t="shared" si="88"/>
        <v>173805.11462409614</v>
      </c>
      <c r="AT688" s="3">
        <f t="shared" si="89"/>
        <v>30.230871106997533</v>
      </c>
      <c r="AU688" s="3">
        <f t="shared" si="87"/>
        <v>11.668942154478207</v>
      </c>
      <c r="AV688" s="3">
        <f t="shared" si="90"/>
        <v>0</v>
      </c>
      <c r="AW688" s="3">
        <f t="shared" si="91"/>
        <v>0</v>
      </c>
      <c r="AX688" s="3">
        <f t="shared" si="92"/>
        <v>11.668942154478207</v>
      </c>
      <c r="AY688" s="102">
        <f t="shared" si="93"/>
        <v>1</v>
      </c>
      <c r="AZ688" s="102">
        <f t="shared" si="94"/>
        <v>0</v>
      </c>
    </row>
    <row r="689" spans="1:52" x14ac:dyDescent="0.35">
      <c r="A689" t="s">
        <v>1021</v>
      </c>
      <c r="B689">
        <v>2050</v>
      </c>
      <c r="C689" t="s">
        <v>837</v>
      </c>
      <c r="D689" t="s">
        <v>1033</v>
      </c>
      <c r="E689" t="s">
        <v>1030</v>
      </c>
      <c r="F689" t="s">
        <v>983</v>
      </c>
      <c r="G689" t="s">
        <v>978</v>
      </c>
      <c r="H689" s="198">
        <v>63257.887850619198</v>
      </c>
      <c r="I689" s="198">
        <v>12672</v>
      </c>
      <c r="J689" s="198">
        <v>0</v>
      </c>
      <c r="K689" s="198">
        <v>0</v>
      </c>
      <c r="L689" s="198">
        <v>0</v>
      </c>
      <c r="M689" s="198">
        <v>17872.758750000001</v>
      </c>
      <c r="N689" s="198">
        <v>28.89</v>
      </c>
      <c r="O689" s="198">
        <v>0</v>
      </c>
      <c r="P689" s="198">
        <v>5852.9329177000009</v>
      </c>
      <c r="Q689" s="198">
        <v>0</v>
      </c>
      <c r="R689" s="198">
        <v>1972.9782456999999</v>
      </c>
      <c r="S689" s="198">
        <v>7917</v>
      </c>
      <c r="T689" s="198">
        <v>0</v>
      </c>
      <c r="U689" s="198">
        <v>1800</v>
      </c>
      <c r="V689" s="198">
        <v>4720</v>
      </c>
      <c r="W689" s="198">
        <v>137.5164</v>
      </c>
      <c r="X689" s="198">
        <v>1500</v>
      </c>
      <c r="Y689" s="198">
        <v>186</v>
      </c>
      <c r="Z689" s="277">
        <v>117917.96416401918</v>
      </c>
      <c r="AA689" s="272">
        <v>50.872273150000012</v>
      </c>
      <c r="AB689" s="198">
        <v>2.6403417654239414</v>
      </c>
      <c r="AC689" s="272">
        <v>1338.4</v>
      </c>
      <c r="AD689" s="198">
        <v>4.8182400000000003</v>
      </c>
      <c r="AE689" s="198">
        <v>7.4585817654239417</v>
      </c>
      <c r="AF689" s="198">
        <v>197.64419569372728</v>
      </c>
      <c r="AG689" s="198">
        <v>8.688787254459257E-2</v>
      </c>
      <c r="AH689" s="198">
        <v>4.5910051389850263E-4</v>
      </c>
      <c r="AI689" s="198">
        <v>200.37249348697367</v>
      </c>
      <c r="AJ689" s="198">
        <v>8.4311407511362818E-2</v>
      </c>
      <c r="AK689" s="198">
        <v>1.9674702269495508</v>
      </c>
      <c r="AL689" s="198">
        <v>9.2115035555752789E-2</v>
      </c>
      <c r="AM689" s="198">
        <v>8.779200988116706E-2</v>
      </c>
      <c r="AN689" s="198">
        <v>2.5012353189596912E-2</v>
      </c>
      <c r="AO689" s="198">
        <v>1.3631445572176578E-3</v>
      </c>
      <c r="AP689" s="198">
        <v>3.7340068504270888E-3</v>
      </c>
      <c r="AQ689" s="198">
        <v>4.3285479401524241E-3</v>
      </c>
      <c r="AS689" s="258">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102">
        <f t="shared" si="93"/>
        <v>0.37347562596234962</v>
      </c>
      <c r="AZ689" s="102">
        <f t="shared" si="94"/>
        <v>0.62652437403765049</v>
      </c>
    </row>
    <row r="690" spans="1:52" x14ac:dyDescent="0.35">
      <c r="A690" t="s">
        <v>246</v>
      </c>
      <c r="B690">
        <v>2050</v>
      </c>
      <c r="C690" t="s">
        <v>837</v>
      </c>
      <c r="D690" t="s">
        <v>1033</v>
      </c>
      <c r="E690" t="s">
        <v>1030</v>
      </c>
      <c r="F690" t="s">
        <v>977</v>
      </c>
      <c r="G690" t="s">
        <v>978</v>
      </c>
      <c r="H690" s="198">
        <v>63257.887850619198</v>
      </c>
      <c r="I690" s="198">
        <v>0</v>
      </c>
      <c r="J690" s="198">
        <v>0</v>
      </c>
      <c r="K690" s="198">
        <v>0</v>
      </c>
      <c r="L690" s="198">
        <v>0</v>
      </c>
      <c r="M690" s="198">
        <v>34059.9</v>
      </c>
      <c r="N690" s="198">
        <v>28.89</v>
      </c>
      <c r="O690" s="198">
        <v>0</v>
      </c>
      <c r="P690" s="198">
        <v>5735.8160409000002</v>
      </c>
      <c r="Q690" s="198">
        <v>0</v>
      </c>
      <c r="R690" s="198">
        <v>0</v>
      </c>
      <c r="S690" s="198">
        <v>7822</v>
      </c>
      <c r="T690" s="198">
        <v>0</v>
      </c>
      <c r="U690" s="198">
        <v>1800</v>
      </c>
      <c r="V690" s="198">
        <v>4500</v>
      </c>
      <c r="W690" s="198">
        <v>137.5164</v>
      </c>
      <c r="X690" s="198">
        <v>1500</v>
      </c>
      <c r="Y690" s="198">
        <v>186</v>
      </c>
      <c r="Z690" s="277">
        <v>119028.0102915192</v>
      </c>
      <c r="AA690" s="272">
        <v>0</v>
      </c>
      <c r="AB690" s="198">
        <v>0</v>
      </c>
      <c r="AC690" s="272">
        <v>1517</v>
      </c>
      <c r="AD690" s="198">
        <v>5.4611999999999998</v>
      </c>
      <c r="AE690" s="198">
        <v>5.4611999999999998</v>
      </c>
      <c r="AF690" s="198">
        <v>0</v>
      </c>
      <c r="AG690" s="198">
        <v>0</v>
      </c>
      <c r="AH690" s="198">
        <v>0</v>
      </c>
      <c r="AI690" s="198">
        <v>0</v>
      </c>
      <c r="AJ690" s="198">
        <v>0</v>
      </c>
      <c r="AK690" s="198">
        <v>0</v>
      </c>
      <c r="AL690" s="198">
        <v>0</v>
      </c>
      <c r="AM690" s="198">
        <v>8.0740476865554717E-2</v>
      </c>
      <c r="AN690" s="198">
        <v>2.0633677421197264E-2</v>
      </c>
      <c r="AO690" s="198">
        <v>0</v>
      </c>
      <c r="AP690" s="198">
        <v>2.9501323467071711E-3</v>
      </c>
      <c r="AQ690" s="198">
        <v>3.688345501165874E-3</v>
      </c>
      <c r="AS690" s="258">
        <f t="shared" si="88"/>
        <v>159676.075806073</v>
      </c>
      <c r="AT690" s="3">
        <f t="shared" si="89"/>
        <v>0</v>
      </c>
      <c r="AU690" s="3">
        <f t="shared" si="87"/>
        <v>0</v>
      </c>
      <c r="AV690" s="3">
        <f t="shared" si="90"/>
        <v>94.262244149775682</v>
      </c>
      <c r="AW690" s="3">
        <f t="shared" si="91"/>
        <v>3.3934407893919247</v>
      </c>
      <c r="AX690" s="3">
        <f t="shared" si="92"/>
        <v>3.3934407893919247</v>
      </c>
      <c r="AY690" s="102">
        <f t="shared" si="93"/>
        <v>0</v>
      </c>
      <c r="AZ690" s="102">
        <f t="shared" si="94"/>
        <v>1</v>
      </c>
    </row>
    <row r="691" spans="1:52" x14ac:dyDescent="0.35">
      <c r="A691" t="s">
        <v>627</v>
      </c>
      <c r="B691">
        <v>2050</v>
      </c>
      <c r="C691" t="s">
        <v>837</v>
      </c>
      <c r="D691" t="s">
        <v>1033</v>
      </c>
      <c r="E691" t="s">
        <v>1030</v>
      </c>
      <c r="F691" t="s">
        <v>989</v>
      </c>
      <c r="G691" t="s">
        <v>978</v>
      </c>
      <c r="H691" s="198">
        <v>63257.887850619198</v>
      </c>
      <c r="I691" s="198">
        <v>0</v>
      </c>
      <c r="J691" s="198">
        <v>34929.180109499997</v>
      </c>
      <c r="K691" s="198">
        <v>9366.2353619999994</v>
      </c>
      <c r="L691" s="198">
        <v>0</v>
      </c>
      <c r="M691" s="198">
        <v>6131.4814072999998</v>
      </c>
      <c r="N691" s="198">
        <v>28.89</v>
      </c>
      <c r="O691" s="198">
        <v>0</v>
      </c>
      <c r="P691" s="198">
        <v>5870.4504386000008</v>
      </c>
      <c r="Q691" s="198">
        <v>0</v>
      </c>
      <c r="R691" s="198">
        <v>0</v>
      </c>
      <c r="S691" s="198">
        <v>7931</v>
      </c>
      <c r="T691" s="198">
        <v>0</v>
      </c>
      <c r="U691" s="198">
        <v>1800</v>
      </c>
      <c r="V691" s="198">
        <v>4500</v>
      </c>
      <c r="W691" s="198">
        <v>137.5164</v>
      </c>
      <c r="X691" s="198">
        <v>1500</v>
      </c>
      <c r="Y691" s="198">
        <v>186</v>
      </c>
      <c r="Z691" s="277">
        <v>135638.6415680192</v>
      </c>
      <c r="AA691" s="272">
        <v>10.339055610000001</v>
      </c>
      <c r="AB691" s="198">
        <v>12.991533517827747</v>
      </c>
      <c r="AC691" s="272">
        <v>0</v>
      </c>
      <c r="AD691" s="198">
        <v>0</v>
      </c>
      <c r="AE691" s="198">
        <v>12.991533517827747</v>
      </c>
      <c r="AF691" s="198">
        <v>0</v>
      </c>
      <c r="AG691" s="198">
        <v>0</v>
      </c>
      <c r="AH691" s="198">
        <v>0</v>
      </c>
      <c r="AI691" s="198">
        <v>0</v>
      </c>
      <c r="AJ691" s="198">
        <v>0</v>
      </c>
      <c r="AK691" s="198">
        <v>0</v>
      </c>
      <c r="AL691" s="198">
        <v>0</v>
      </c>
      <c r="AM691" s="198">
        <v>0.12145243293897783</v>
      </c>
      <c r="AN691" s="198">
        <v>3.1037843973294385E-2</v>
      </c>
      <c r="AO691" s="198">
        <v>0</v>
      </c>
      <c r="AP691" s="198">
        <v>4.4376843549758837E-3</v>
      </c>
      <c r="AQ691" s="198">
        <v>5.5481284236412421E-3</v>
      </c>
      <c r="AS691" s="258">
        <f t="shared" si="88"/>
        <v>181959.23766349774</v>
      </c>
      <c r="AT691" s="3">
        <f t="shared" si="89"/>
        <v>22.750155150914033</v>
      </c>
      <c r="AU691" s="3">
        <f t="shared" si="87"/>
        <v>8.7814288751994294</v>
      </c>
      <c r="AV691" s="3">
        <f t="shared" si="90"/>
        <v>0</v>
      </c>
      <c r="AW691" s="3">
        <f t="shared" si="91"/>
        <v>0</v>
      </c>
      <c r="AX691" s="3">
        <f t="shared" si="92"/>
        <v>8.7814288751994294</v>
      </c>
      <c r="AY691" s="102">
        <f t="shared" si="93"/>
        <v>1</v>
      </c>
      <c r="AZ691" s="102">
        <f t="shared" si="94"/>
        <v>0</v>
      </c>
    </row>
    <row r="692" spans="1:52" x14ac:dyDescent="0.35">
      <c r="A692" t="s">
        <v>1065</v>
      </c>
      <c r="B692">
        <v>2050</v>
      </c>
      <c r="C692" t="s">
        <v>837</v>
      </c>
      <c r="D692" t="s">
        <v>1033</v>
      </c>
      <c r="E692" t="s">
        <v>1030</v>
      </c>
      <c r="F692" t="s">
        <v>989</v>
      </c>
      <c r="G692" t="s">
        <v>978</v>
      </c>
      <c r="H692" s="198">
        <v>63257.887850619198</v>
      </c>
      <c r="I692" s="198">
        <v>0</v>
      </c>
      <c r="J692" s="198">
        <v>12766.153595499998</v>
      </c>
      <c r="K692" s="198">
        <v>8879.3781120000003</v>
      </c>
      <c r="L692" s="198">
        <v>0</v>
      </c>
      <c r="M692" s="198">
        <v>5526.0450000000001</v>
      </c>
      <c r="N692" s="198">
        <v>28.89</v>
      </c>
      <c r="O692" s="198">
        <v>0</v>
      </c>
      <c r="P692" s="198">
        <v>5834.0633692000001</v>
      </c>
      <c r="Q692" s="198">
        <v>0</v>
      </c>
      <c r="R692" s="198">
        <v>0</v>
      </c>
      <c r="S692" s="198">
        <v>7902</v>
      </c>
      <c r="T692" s="198">
        <v>0</v>
      </c>
      <c r="U692" s="198">
        <v>1800</v>
      </c>
      <c r="V692" s="198">
        <v>4500</v>
      </c>
      <c r="W692" s="198">
        <v>137.5164</v>
      </c>
      <c r="X692" s="198">
        <v>1500</v>
      </c>
      <c r="Y692" s="198">
        <v>186</v>
      </c>
      <c r="Z692" s="277">
        <v>112317.93432731919</v>
      </c>
      <c r="AA692" s="272">
        <v>11.99965705</v>
      </c>
      <c r="AB692" s="198">
        <v>11.193668864061411</v>
      </c>
      <c r="AC692" s="272">
        <v>0</v>
      </c>
      <c r="AD692" s="198">
        <v>0</v>
      </c>
      <c r="AE692" s="198">
        <v>11.193668864061411</v>
      </c>
      <c r="AF692" s="198">
        <v>0</v>
      </c>
      <c r="AG692" s="198">
        <v>0</v>
      </c>
      <c r="AH692" s="198">
        <v>0</v>
      </c>
      <c r="AI692" s="198">
        <v>0</v>
      </c>
      <c r="AJ692" s="198">
        <v>0</v>
      </c>
      <c r="AK692" s="198">
        <v>0</v>
      </c>
      <c r="AL692" s="198">
        <v>0</v>
      </c>
      <c r="AM692" s="198">
        <v>0.10464494550916248</v>
      </c>
      <c r="AN692" s="198">
        <v>2.6742597185674902E-2</v>
      </c>
      <c r="AO692" s="198">
        <v>0</v>
      </c>
      <c r="AP692" s="198">
        <v>3.8235647181035595E-3</v>
      </c>
      <c r="AQ692" s="198">
        <v>4.7803373100107427E-3</v>
      </c>
      <c r="AS692" s="258">
        <f t="shared" si="88"/>
        <v>150674.50890009868</v>
      </c>
      <c r="AT692" s="3">
        <f t="shared" si="89"/>
        <v>19.601820140470444</v>
      </c>
      <c r="AU692" s="3">
        <f t="shared" si="87"/>
        <v>7.5661896917251203</v>
      </c>
      <c r="AV692" s="3">
        <f t="shared" si="90"/>
        <v>0</v>
      </c>
      <c r="AW692" s="3">
        <f t="shared" si="91"/>
        <v>0</v>
      </c>
      <c r="AX692" s="3">
        <f t="shared" si="92"/>
        <v>7.5661896917251203</v>
      </c>
      <c r="AY692" s="102">
        <f t="shared" si="93"/>
        <v>1</v>
      </c>
      <c r="AZ692" s="102">
        <f t="shared" si="94"/>
        <v>0</v>
      </c>
    </row>
    <row r="694" spans="1:52" x14ac:dyDescent="0.35">
      <c r="AZ694" s="71"/>
    </row>
  </sheetData>
  <autoFilter ref="A2:AQ692" xr:uid="{34BA371F-A278-4520-B3B2-9004E5089B4C}"/>
  <mergeCells count="4">
    <mergeCell ref="H1:Z1"/>
    <mergeCell ref="AA1:AE1"/>
    <mergeCell ref="AF1:AQ1"/>
    <mergeCell ref="AS1:AZ1"/>
  </mergeCells>
  <hyperlinks>
    <hyperlink ref="A1" r:id="rId1" display="2022 DOE VTO/HFTO Transportation Decarbonization Analysis - Light-duty vehicles" xr:uid="{447623D8-F090-47DB-86F6-416423AD92B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tabColor theme="7" tint="0.59999389629810485"/>
    <pageSetUpPr autoPageBreaks="0"/>
  </sheetPr>
  <dimension ref="A1:AN98"/>
  <sheetViews>
    <sheetView workbookViewId="0">
      <selection activeCell="K22" sqref="K22"/>
    </sheetView>
  </sheetViews>
  <sheetFormatPr defaultRowHeight="14.5" x14ac:dyDescent="0.35"/>
  <cols>
    <col min="1" max="1" width="52.7265625" customWidth="1"/>
    <col min="2" max="2" width="14.54296875" bestFit="1" customWidth="1"/>
    <col min="3" max="3" width="17.1796875" bestFit="1" customWidth="1"/>
    <col min="4" max="4" width="17.81640625" customWidth="1"/>
    <col min="5" max="5" width="11.1796875" customWidth="1"/>
    <col min="6" max="7" width="15.453125" customWidth="1"/>
    <col min="8" max="8" width="11.81640625" bestFit="1" customWidth="1"/>
    <col min="9" max="9" width="12.81640625" customWidth="1"/>
    <col min="10" max="10" width="13.1796875" bestFit="1" customWidth="1"/>
    <col min="11" max="13" width="8.7265625" customWidth="1"/>
    <col min="14" max="14" width="9.453125" bestFit="1" customWidth="1"/>
    <col min="15" max="15" width="21" customWidth="1"/>
    <col min="16" max="16" width="9.453125" bestFit="1" customWidth="1"/>
    <col min="17" max="18" width="8.81640625" bestFit="1" customWidth="1"/>
    <col min="19" max="22" width="9.45312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s>
  <sheetData>
    <row r="1" spans="1:40" ht="14.5" customHeight="1" x14ac:dyDescent="0.35">
      <c r="A1" s="284" t="s">
        <v>636</v>
      </c>
      <c r="B1" s="552" t="s">
        <v>643</v>
      </c>
      <c r="C1" s="553"/>
      <c r="E1" s="548" t="s">
        <v>642</v>
      </c>
      <c r="F1" s="550">
        <v>0.85</v>
      </c>
      <c r="O1" s="470" t="s">
        <v>1104</v>
      </c>
      <c r="P1" s="470"/>
      <c r="Q1" s="470"/>
      <c r="R1" s="470"/>
      <c r="S1" s="470"/>
      <c r="T1" s="470"/>
      <c r="U1" s="470"/>
      <c r="V1" s="470"/>
      <c r="Z1" s="470" t="s">
        <v>1715</v>
      </c>
      <c r="AA1" s="470"/>
      <c r="AB1" s="470"/>
      <c r="AC1" s="470"/>
      <c r="AD1" s="470"/>
      <c r="AE1" s="470"/>
      <c r="AF1" s="470"/>
      <c r="AG1" s="470"/>
      <c r="AH1" s="470"/>
      <c r="AI1" s="470"/>
      <c r="AJ1" s="470"/>
      <c r="AK1" s="470"/>
      <c r="AL1" s="470"/>
      <c r="AM1" s="470"/>
      <c r="AN1" s="470"/>
    </row>
    <row r="2" spans="1:40" ht="15" thickBot="1" x14ac:dyDescent="0.4">
      <c r="A2" s="284" t="s">
        <v>637</v>
      </c>
      <c r="B2" s="432" t="s">
        <v>639</v>
      </c>
      <c r="C2" s="433" t="s">
        <v>640</v>
      </c>
      <c r="E2" s="549"/>
      <c r="F2" s="551"/>
      <c r="O2" s="121" t="s">
        <v>638</v>
      </c>
      <c r="P2" s="121">
        <v>2020</v>
      </c>
      <c r="Q2" s="121">
        <v>2025</v>
      </c>
      <c r="R2" s="121">
        <v>2030</v>
      </c>
      <c r="S2" s="121">
        <v>2035</v>
      </c>
      <c r="T2" s="121">
        <v>2040</v>
      </c>
      <c r="U2" s="121">
        <v>2045</v>
      </c>
      <c r="V2" s="121">
        <v>2050</v>
      </c>
      <c r="Z2" s="105" t="s">
        <v>1684</v>
      </c>
      <c r="AA2" s="105" t="s">
        <v>1685</v>
      </c>
      <c r="AB2" s="105" t="s">
        <v>110</v>
      </c>
      <c r="AC2" s="105" t="s">
        <v>109</v>
      </c>
      <c r="AD2" s="105" t="s">
        <v>1709</v>
      </c>
      <c r="AE2" s="105" t="s">
        <v>1710</v>
      </c>
      <c r="AF2" s="105" t="s">
        <v>1712</v>
      </c>
      <c r="AG2" s="105" t="s">
        <v>246</v>
      </c>
      <c r="AH2" s="105" t="s">
        <v>627</v>
      </c>
      <c r="AI2" s="105" t="s">
        <v>1711</v>
      </c>
      <c r="AJ2" s="105" t="s">
        <v>244</v>
      </c>
      <c r="AK2" s="105" t="s">
        <v>1708</v>
      </c>
      <c r="AL2" s="105" t="s">
        <v>239</v>
      </c>
      <c r="AM2" s="105" t="s">
        <v>231</v>
      </c>
      <c r="AN2" s="105" t="s">
        <v>240</v>
      </c>
    </row>
    <row r="3" spans="1:40" ht="15.5" x14ac:dyDescent="0.35">
      <c r="A3" s="470" t="s">
        <v>1125</v>
      </c>
      <c r="B3" s="470"/>
      <c r="C3" s="470"/>
      <c r="D3" s="470"/>
      <c r="E3" s="470"/>
      <c r="F3" s="470"/>
      <c r="G3" s="470"/>
      <c r="H3" s="470"/>
      <c r="I3" s="470"/>
      <c r="O3" s="33" t="s">
        <v>259</v>
      </c>
      <c r="Z3" s="33" t="s">
        <v>1713</v>
      </c>
    </row>
    <row r="4" spans="1:40" s="136" customFormat="1" ht="68.5" customHeight="1" thickBot="1" x14ac:dyDescent="0.4">
      <c r="A4" s="121" t="s">
        <v>638</v>
      </c>
      <c r="B4" s="121" t="s">
        <v>1150</v>
      </c>
      <c r="C4" s="121" t="s">
        <v>1103</v>
      </c>
      <c r="D4" s="121" t="s">
        <v>645</v>
      </c>
      <c r="E4" s="121" t="s">
        <v>646</v>
      </c>
      <c r="F4" s="121" t="s">
        <v>647</v>
      </c>
      <c r="G4" s="121" t="s">
        <v>648</v>
      </c>
      <c r="H4" s="121" t="s">
        <v>649</v>
      </c>
      <c r="I4" s="121" t="s">
        <v>650</v>
      </c>
      <c r="J4" s="280" t="s">
        <v>1055</v>
      </c>
      <c r="O4" s="17" t="s">
        <v>110</v>
      </c>
      <c r="P4" s="86">
        <f t="shared" ref="P4:P12" si="0">L_100km_to_mpg/C6</f>
        <v>40.61209547702245</v>
      </c>
      <c r="Q4" s="86">
        <f t="shared" ref="Q4:V4" si="1">L_100km_to_mpg/(D6*D7)</f>
        <v>38.060114093687815</v>
      </c>
      <c r="R4" s="86">
        <f t="shared" si="1"/>
        <v>35.790900425171763</v>
      </c>
      <c r="S4" s="86">
        <f t="shared" si="1"/>
        <v>34.082454577662048</v>
      </c>
      <c r="T4" s="86">
        <f t="shared" si="1"/>
        <v>33.177002912235466</v>
      </c>
      <c r="U4" s="86">
        <f t="shared" si="1"/>
        <v>32.318415595462831</v>
      </c>
      <c r="V4" s="86">
        <f t="shared" si="1"/>
        <v>31.503146004374564</v>
      </c>
      <c r="W4" s="280" t="s">
        <v>1055</v>
      </c>
      <c r="Z4" s="377" t="s">
        <v>1686</v>
      </c>
      <c r="AA4" t="s">
        <v>1687</v>
      </c>
      <c r="AB4" s="235"/>
      <c r="AC4" s="235">
        <v>150000</v>
      </c>
      <c r="AD4" s="235"/>
      <c r="AE4" s="235"/>
      <c r="AF4" s="235"/>
      <c r="AG4" s="235">
        <v>850000</v>
      </c>
      <c r="AH4" s="235">
        <v>400000</v>
      </c>
      <c r="AI4" s="235">
        <v>165000</v>
      </c>
      <c r="AJ4" s="235">
        <v>150000</v>
      </c>
      <c r="AK4" s="235">
        <v>150000</v>
      </c>
      <c r="AL4" s="235"/>
      <c r="AM4" s="235"/>
      <c r="AN4" s="235">
        <v>215000</v>
      </c>
    </row>
    <row r="5" spans="1:40" ht="29.5" thickTop="1" x14ac:dyDescent="0.35">
      <c r="A5" s="33" t="s">
        <v>259</v>
      </c>
      <c r="B5" s="88"/>
      <c r="C5" s="86"/>
      <c r="D5" s="88"/>
      <c r="O5" s="17" t="s">
        <v>109</v>
      </c>
      <c r="P5" s="86">
        <f t="shared" si="0"/>
        <v>33.843412897518711</v>
      </c>
      <c r="Q5" s="86">
        <f t="shared" ref="Q5:V5" si="2">L_100km_to_mpg/D7</f>
        <v>31.716761744739848</v>
      </c>
      <c r="R5" s="86">
        <f t="shared" si="2"/>
        <v>29.825750354309807</v>
      </c>
      <c r="S5" s="86">
        <f t="shared" si="2"/>
        <v>28.402045481385041</v>
      </c>
      <c r="T5" s="86">
        <f t="shared" si="2"/>
        <v>27.647502426862893</v>
      </c>
      <c r="U5" s="86">
        <f t="shared" si="2"/>
        <v>26.932012996219026</v>
      </c>
      <c r="V5" s="86">
        <f t="shared" si="2"/>
        <v>26.252621670312138</v>
      </c>
      <c r="Z5" s="378" t="s">
        <v>1688</v>
      </c>
      <c r="AA5" s="136" t="s">
        <v>1689</v>
      </c>
      <c r="AB5" s="379"/>
      <c r="AC5" s="379">
        <v>130000</v>
      </c>
      <c r="AD5" s="379"/>
      <c r="AE5" s="379"/>
      <c r="AF5" s="379"/>
      <c r="AG5" s="379">
        <v>480000</v>
      </c>
      <c r="AH5" s="379">
        <v>360000</v>
      </c>
      <c r="AI5" s="379">
        <v>145000</v>
      </c>
      <c r="AJ5" s="379">
        <v>130000</v>
      </c>
      <c r="AK5" s="379">
        <v>130000</v>
      </c>
      <c r="AL5" s="379"/>
      <c r="AM5" s="379"/>
      <c r="AN5" s="379">
        <v>170000</v>
      </c>
    </row>
    <row r="6" spans="1:40" x14ac:dyDescent="0.35">
      <c r="A6" s="17" t="s">
        <v>110</v>
      </c>
      <c r="B6" s="86">
        <f>$B$7</f>
        <v>50</v>
      </c>
      <c r="C6" s="86">
        <f>C7/1.2</f>
        <v>5.791750375808812</v>
      </c>
      <c r="D6" s="285">
        <f>1/1.2</f>
        <v>0.83333333333333337</v>
      </c>
      <c r="E6" s="285">
        <f t="shared" ref="E6:I6" si="3">1/1.2</f>
        <v>0.83333333333333337</v>
      </c>
      <c r="F6" s="285">
        <f t="shared" si="3"/>
        <v>0.83333333333333337</v>
      </c>
      <c r="G6" s="285">
        <f t="shared" si="3"/>
        <v>0.83333333333333337</v>
      </c>
      <c r="H6" s="285">
        <f t="shared" si="3"/>
        <v>0.83333333333333337</v>
      </c>
      <c r="I6" s="285">
        <f t="shared" si="3"/>
        <v>0.83333333333333337</v>
      </c>
      <c r="O6" s="17" t="s">
        <v>239</v>
      </c>
      <c r="P6" s="86">
        <f t="shared" si="0"/>
        <v>40.61209547702245</v>
      </c>
      <c r="Q6" s="86">
        <f t="shared" ref="Q6:V12" si="4">L_100km_to_mpg/(D$7*D8)</f>
        <v>38.060114093687815</v>
      </c>
      <c r="R6" s="86">
        <f t="shared" si="4"/>
        <v>35.790900425171763</v>
      </c>
      <c r="S6" s="86">
        <f t="shared" si="4"/>
        <v>34.082454577662048</v>
      </c>
      <c r="T6" s="86">
        <f t="shared" si="4"/>
        <v>33.177002912235466</v>
      </c>
      <c r="U6" s="86">
        <f t="shared" si="4"/>
        <v>32.318415595462831</v>
      </c>
      <c r="V6" s="86">
        <f t="shared" si="4"/>
        <v>31.503146004374564</v>
      </c>
      <c r="Z6" s="377" t="s">
        <v>1690</v>
      </c>
      <c r="AA6" t="s">
        <v>1691</v>
      </c>
      <c r="AB6" s="235"/>
      <c r="AC6" s="235">
        <v>75000</v>
      </c>
      <c r="AD6" s="235"/>
      <c r="AE6" s="235"/>
      <c r="AF6" s="235"/>
      <c r="AG6" s="235">
        <v>185000</v>
      </c>
      <c r="AH6" s="235"/>
      <c r="AI6" s="235">
        <v>90000</v>
      </c>
      <c r="AJ6" s="235">
        <v>75000</v>
      </c>
      <c r="AK6" s="235">
        <v>75000</v>
      </c>
      <c r="AL6" s="235"/>
      <c r="AM6" s="235">
        <v>89000</v>
      </c>
      <c r="AN6" s="235">
        <v>115000</v>
      </c>
    </row>
    <row r="7" spans="1:40" x14ac:dyDescent="0.35">
      <c r="A7" s="286" t="s">
        <v>644</v>
      </c>
      <c r="B7" s="287">
        <v>50</v>
      </c>
      <c r="C7" s="287">
        <v>6.9501004509705746</v>
      </c>
      <c r="D7" s="287">
        <v>7.41611395054976</v>
      </c>
      <c r="E7" s="287">
        <v>7.8863101999859548</v>
      </c>
      <c r="F7" s="287">
        <v>8.2816260327302924</v>
      </c>
      <c r="G7" s="287">
        <f>($I7-$F7)/(4-1) + F7</f>
        <v>8.5076444016472248</v>
      </c>
      <c r="H7" s="287">
        <f>($I7-$F7)/(4-1) + G7</f>
        <v>8.7336627705641572</v>
      </c>
      <c r="I7" s="287">
        <v>8.9596811394810878</v>
      </c>
      <c r="J7" s="102">
        <f>(I7-C7)/C7</f>
        <v>0.2891441213960983</v>
      </c>
      <c r="O7" s="17" t="s">
        <v>240</v>
      </c>
      <c r="P7" s="86">
        <f t="shared" si="0"/>
        <v>39.815779879433777</v>
      </c>
      <c r="Q7" s="86">
        <f t="shared" si="4"/>
        <v>37.313837346752763</v>
      </c>
      <c r="R7" s="86">
        <f t="shared" si="4"/>
        <v>35.089118063893892</v>
      </c>
      <c r="S7" s="86">
        <f t="shared" si="4"/>
        <v>33.414171154570639</v>
      </c>
      <c r="T7" s="86">
        <f t="shared" si="4"/>
        <v>32.526473443368111</v>
      </c>
      <c r="U7" s="86">
        <f t="shared" si="4"/>
        <v>31.684721172022385</v>
      </c>
      <c r="V7" s="86">
        <f t="shared" si="4"/>
        <v>30.885437259190748</v>
      </c>
      <c r="W7" s="102">
        <f>(V5-P5)/P5</f>
        <v>-0.22429154087361872</v>
      </c>
      <c r="Z7" s="377" t="s">
        <v>1692</v>
      </c>
      <c r="AA7" t="s">
        <v>1693</v>
      </c>
      <c r="AB7" s="235"/>
      <c r="AC7" s="235">
        <v>70000</v>
      </c>
      <c r="AD7" s="235"/>
      <c r="AE7" s="235"/>
      <c r="AF7" s="235"/>
      <c r="AG7" s="235">
        <v>150000</v>
      </c>
      <c r="AH7" s="235"/>
      <c r="AI7" s="235">
        <v>85000</v>
      </c>
      <c r="AJ7" s="235">
        <v>70000</v>
      </c>
      <c r="AK7" s="235">
        <v>70000</v>
      </c>
      <c r="AL7" s="235"/>
      <c r="AM7" s="235">
        <v>78000</v>
      </c>
      <c r="AN7" s="235">
        <v>110000</v>
      </c>
    </row>
    <row r="8" spans="1:40" x14ac:dyDescent="0.35">
      <c r="A8" s="17" t="s">
        <v>239</v>
      </c>
      <c r="B8" s="86">
        <f t="shared" ref="B8:B14" si="5">$B$7</f>
        <v>50</v>
      </c>
      <c r="C8" s="86">
        <f>C6</f>
        <v>5.791750375808812</v>
      </c>
      <c r="D8" s="285">
        <f>D6</f>
        <v>0.83333333333333337</v>
      </c>
      <c r="E8" s="285">
        <f t="shared" ref="E8:I8" si="6">E6</f>
        <v>0.83333333333333337</v>
      </c>
      <c r="F8" s="285">
        <f t="shared" si="6"/>
        <v>0.83333333333333337</v>
      </c>
      <c r="G8" s="285">
        <f t="shared" si="6"/>
        <v>0.83333333333333337</v>
      </c>
      <c r="H8" s="285">
        <f t="shared" si="6"/>
        <v>0.83333333333333337</v>
      </c>
      <c r="I8" s="285">
        <f t="shared" si="6"/>
        <v>0.83333333333333337</v>
      </c>
      <c r="O8" s="17" t="s">
        <v>231</v>
      </c>
      <c r="P8" s="86">
        <f t="shared" si="0"/>
        <v>40.61209547702245</v>
      </c>
      <c r="Q8" s="86">
        <f t="shared" si="4"/>
        <v>37.313837346752763</v>
      </c>
      <c r="R8" s="86">
        <f t="shared" si="4"/>
        <v>35.089118063893892</v>
      </c>
      <c r="S8" s="86">
        <f t="shared" si="4"/>
        <v>33.414171154570639</v>
      </c>
      <c r="T8" s="86">
        <f t="shared" si="4"/>
        <v>32.526473443368111</v>
      </c>
      <c r="U8" s="86">
        <f t="shared" si="4"/>
        <v>31.684721172022385</v>
      </c>
      <c r="V8" s="86">
        <f t="shared" si="4"/>
        <v>30.885437259190748</v>
      </c>
      <c r="Z8" s="377" t="s">
        <v>1694</v>
      </c>
      <c r="AB8" s="235"/>
      <c r="AC8" s="235">
        <v>170000</v>
      </c>
      <c r="AD8" s="235"/>
      <c r="AE8" s="235"/>
      <c r="AF8" s="235"/>
      <c r="AG8" s="235">
        <v>370000</v>
      </c>
      <c r="AH8" s="235"/>
      <c r="AI8" s="235"/>
      <c r="AJ8" s="235">
        <v>170000</v>
      </c>
      <c r="AK8" s="235">
        <v>170000</v>
      </c>
      <c r="AL8" s="235"/>
      <c r="AM8" s="235"/>
      <c r="AN8" s="235">
        <v>230000</v>
      </c>
    </row>
    <row r="9" spans="1:40" x14ac:dyDescent="0.35">
      <c r="A9" s="17" t="s">
        <v>240</v>
      </c>
      <c r="B9" s="86">
        <f t="shared" si="5"/>
        <v>50</v>
      </c>
      <c r="C9" s="86">
        <f>C7*0.85</f>
        <v>5.9075853833249878</v>
      </c>
      <c r="D9" s="285">
        <v>0.85</v>
      </c>
      <c r="E9" s="285">
        <v>0.85</v>
      </c>
      <c r="F9" s="285">
        <v>0.85</v>
      </c>
      <c r="G9" s="285">
        <v>0.85</v>
      </c>
      <c r="H9" s="285">
        <v>0.85</v>
      </c>
      <c r="I9" s="285">
        <v>0.85</v>
      </c>
      <c r="O9" s="17" t="s">
        <v>244</v>
      </c>
      <c r="P9" s="86">
        <f t="shared" si="0"/>
        <v>33.843412897518711</v>
      </c>
      <c r="Q9" s="86">
        <f t="shared" si="4"/>
        <v>31.716761744739848</v>
      </c>
      <c r="R9" s="86">
        <f t="shared" si="4"/>
        <v>29.825750354309807</v>
      </c>
      <c r="S9" s="86">
        <f t="shared" si="4"/>
        <v>28.402045481385041</v>
      </c>
      <c r="T9" s="86">
        <f t="shared" si="4"/>
        <v>27.647502426862893</v>
      </c>
      <c r="U9" s="86">
        <f t="shared" si="4"/>
        <v>26.932012996219026</v>
      </c>
      <c r="V9" s="86">
        <f t="shared" si="4"/>
        <v>26.252621670312138</v>
      </c>
      <c r="Z9" s="377" t="s">
        <v>1695</v>
      </c>
      <c r="AB9" s="235"/>
      <c r="AC9" s="235">
        <v>165000</v>
      </c>
      <c r="AD9" s="235"/>
      <c r="AE9" s="235"/>
      <c r="AF9" s="235"/>
      <c r="AG9" s="235">
        <v>365000</v>
      </c>
      <c r="AH9" s="235"/>
      <c r="AI9" s="235"/>
      <c r="AJ9" s="235">
        <v>165000</v>
      </c>
      <c r="AK9" s="235">
        <v>165000</v>
      </c>
      <c r="AL9" s="235"/>
      <c r="AM9" s="235"/>
      <c r="AN9" s="235">
        <v>225000</v>
      </c>
    </row>
    <row r="10" spans="1:40" x14ac:dyDescent="0.35">
      <c r="A10" s="17" t="s">
        <v>231</v>
      </c>
      <c r="B10" s="86">
        <f t="shared" si="5"/>
        <v>50</v>
      </c>
      <c r="C10" s="86">
        <f>C6</f>
        <v>5.791750375808812</v>
      </c>
      <c r="D10" s="285">
        <v>0.85</v>
      </c>
      <c r="E10" s="285">
        <v>0.85</v>
      </c>
      <c r="F10" s="285">
        <v>0.85</v>
      </c>
      <c r="G10" s="285">
        <v>0.85</v>
      </c>
      <c r="H10" s="285">
        <v>0.85</v>
      </c>
      <c r="I10" s="285">
        <v>0.85</v>
      </c>
      <c r="O10" s="17" t="s">
        <v>641</v>
      </c>
      <c r="P10" s="86">
        <f t="shared" si="0"/>
        <v>25.256278281730378</v>
      </c>
      <c r="Q10" s="86">
        <f t="shared" si="4"/>
        <v>22.592387818597192</v>
      </c>
      <c r="R10" s="86">
        <f t="shared" si="4"/>
        <v>20.880953728194328</v>
      </c>
      <c r="S10" s="86">
        <f t="shared" si="4"/>
        <v>19.974868411923197</v>
      </c>
      <c r="T10" s="86">
        <f t="shared" si="4"/>
        <v>19.26561542536291</v>
      </c>
      <c r="U10" s="86">
        <f t="shared" si="4"/>
        <v>18.596238582720932</v>
      </c>
      <c r="V10" s="86">
        <f t="shared" si="4"/>
        <v>17.963636598445945</v>
      </c>
      <c r="Z10" s="377" t="s">
        <v>1696</v>
      </c>
      <c r="AB10" s="235"/>
      <c r="AC10" s="235">
        <v>100000</v>
      </c>
      <c r="AD10" s="235"/>
      <c r="AE10" s="235"/>
      <c r="AF10" s="235"/>
      <c r="AG10" s="235"/>
      <c r="AH10" s="235"/>
      <c r="AI10" s="235"/>
      <c r="AJ10" s="235">
        <v>100000</v>
      </c>
      <c r="AK10" s="235">
        <v>100000</v>
      </c>
      <c r="AL10" s="235"/>
      <c r="AM10" s="235"/>
      <c r="AN10" s="235">
        <v>170000</v>
      </c>
    </row>
    <row r="11" spans="1:40" x14ac:dyDescent="0.35">
      <c r="A11" s="17" t="s">
        <v>244</v>
      </c>
      <c r="B11" s="86">
        <f t="shared" si="5"/>
        <v>50</v>
      </c>
      <c r="C11" s="86">
        <f>C7</f>
        <v>6.9501004509705746</v>
      </c>
      <c r="D11" s="285">
        <v>1</v>
      </c>
      <c r="E11" s="285">
        <v>1</v>
      </c>
      <c r="F11" s="285">
        <v>1</v>
      </c>
      <c r="G11" s="285">
        <v>1</v>
      </c>
      <c r="H11" s="285">
        <v>1</v>
      </c>
      <c r="I11" s="285">
        <v>1</v>
      </c>
      <c r="O11" s="17" t="s">
        <v>246</v>
      </c>
      <c r="P11" s="86">
        <f t="shared" si="0"/>
        <v>8.8827855374064857</v>
      </c>
      <c r="Q11" s="86">
        <f t="shared" si="4"/>
        <v>7.8813066591880654</v>
      </c>
      <c r="R11" s="86">
        <f t="shared" si="4"/>
        <v>7.1366166286664985</v>
      </c>
      <c r="S11" s="86">
        <f t="shared" si="4"/>
        <v>6.6523104973890312</v>
      </c>
      <c r="T11" s="86">
        <f t="shared" si="4"/>
        <v>6.3759851474173113</v>
      </c>
      <c r="U11" s="86">
        <f t="shared" si="4"/>
        <v>6.1169010138896773</v>
      </c>
      <c r="V11" s="86">
        <f t="shared" si="4"/>
        <v>5.8736250571960884</v>
      </c>
      <c r="Z11" s="377" t="s">
        <v>1697</v>
      </c>
      <c r="AB11" s="235"/>
      <c r="AC11" s="235">
        <v>385000</v>
      </c>
      <c r="AD11" s="235"/>
      <c r="AE11" s="235"/>
      <c r="AF11" s="235"/>
      <c r="AG11" s="235"/>
      <c r="AH11" s="235"/>
      <c r="AI11" s="235"/>
      <c r="AJ11" s="235">
        <v>385000</v>
      </c>
      <c r="AK11" s="235">
        <v>385000</v>
      </c>
      <c r="AL11" s="235"/>
      <c r="AM11" s="235"/>
      <c r="AN11" s="235">
        <v>410000</v>
      </c>
    </row>
    <row r="12" spans="1:40" x14ac:dyDescent="0.35">
      <c r="A12" s="17" t="s">
        <v>641</v>
      </c>
      <c r="B12" s="86">
        <f t="shared" si="5"/>
        <v>50</v>
      </c>
      <c r="C12" s="86">
        <f>C7*1.34</f>
        <v>9.3131346043005703</v>
      </c>
      <c r="D12" s="288">
        <v>1.403869391735203</v>
      </c>
      <c r="E12" s="288">
        <v>1.42837107646275</v>
      </c>
      <c r="F12" s="288">
        <v>1.421888990489248</v>
      </c>
      <c r="G12" s="288">
        <f t="shared" ref="G12:H14" si="7">($I12-$F12)/(4-1) + F12</f>
        <v>1.4350697767207243</v>
      </c>
      <c r="H12" s="288">
        <f t="shared" si="7"/>
        <v>1.4482505629522007</v>
      </c>
      <c r="I12" s="288">
        <v>1.461431349183677</v>
      </c>
      <c r="O12" s="17" t="s">
        <v>627</v>
      </c>
      <c r="P12" s="86">
        <f t="shared" si="0"/>
        <v>16.270871585345532</v>
      </c>
      <c r="Q12" s="86">
        <f t="shared" si="4"/>
        <v>14.535268413559329</v>
      </c>
      <c r="R12" s="86">
        <f t="shared" si="4"/>
        <v>13.184866209534173</v>
      </c>
      <c r="S12" s="86">
        <f t="shared" si="4"/>
        <v>12.260117708666582</v>
      </c>
      <c r="T12" s="86">
        <f t="shared" si="4"/>
        <v>11.710757128802236</v>
      </c>
      <c r="U12" s="86">
        <f t="shared" si="4"/>
        <v>11.197845731256409</v>
      </c>
      <c r="V12" s="86">
        <f t="shared" si="4"/>
        <v>10.71820170574645</v>
      </c>
      <c r="Z12" s="377" t="s">
        <v>1698</v>
      </c>
      <c r="AB12" s="235"/>
      <c r="AC12" s="235">
        <v>130000</v>
      </c>
      <c r="AD12" s="235"/>
      <c r="AE12" s="235"/>
      <c r="AF12" s="235"/>
      <c r="AG12" s="235"/>
      <c r="AH12" s="235"/>
      <c r="AI12" s="235"/>
      <c r="AJ12" s="235">
        <v>130000</v>
      </c>
      <c r="AK12" s="235">
        <v>130000</v>
      </c>
      <c r="AL12" s="235"/>
      <c r="AM12" s="235"/>
      <c r="AN12" s="235">
        <v>205000</v>
      </c>
    </row>
    <row r="13" spans="1:40" x14ac:dyDescent="0.35">
      <c r="A13" s="17" t="s">
        <v>246</v>
      </c>
      <c r="B13" s="86">
        <f t="shared" si="5"/>
        <v>50</v>
      </c>
      <c r="C13" s="86">
        <f>C7*3.81</f>
        <v>26.479882718197889</v>
      </c>
      <c r="D13" s="285">
        <v>4.0243024559594183</v>
      </c>
      <c r="E13" s="285">
        <v>4.179256348800517</v>
      </c>
      <c r="F13" s="285">
        <v>4.2695008737990472</v>
      </c>
      <c r="G13" s="288">
        <f t="shared" si="7"/>
        <v>4.3361930411744964</v>
      </c>
      <c r="H13" s="288">
        <f t="shared" si="7"/>
        <v>4.4028852085499457</v>
      </c>
      <c r="I13" s="285">
        <v>4.4695773759253941</v>
      </c>
      <c r="O13" s="33" t="s">
        <v>284</v>
      </c>
      <c r="Z13" s="377" t="s">
        <v>1699</v>
      </c>
      <c r="AB13" s="235"/>
      <c r="AC13" s="235">
        <v>650000</v>
      </c>
      <c r="AD13" s="235"/>
      <c r="AE13" s="235"/>
      <c r="AF13" s="235"/>
      <c r="AG13" s="235"/>
      <c r="AH13" s="235"/>
      <c r="AI13" s="235"/>
      <c r="AJ13" s="235">
        <v>650000</v>
      </c>
      <c r="AK13" s="235">
        <v>650000</v>
      </c>
      <c r="AL13" s="235"/>
      <c r="AM13" s="235"/>
      <c r="AN13" s="235">
        <v>710000</v>
      </c>
    </row>
    <row r="14" spans="1:40" x14ac:dyDescent="0.35">
      <c r="A14" s="17" t="s">
        <v>627</v>
      </c>
      <c r="B14" s="86">
        <f t="shared" si="5"/>
        <v>50</v>
      </c>
      <c r="C14" s="86">
        <f>C7*2.08</f>
        <v>14.456208938018795</v>
      </c>
      <c r="D14" s="285">
        <v>2.1820554558973702</v>
      </c>
      <c r="E14" s="285">
        <v>2.2621200610092171</v>
      </c>
      <c r="F14" s="285">
        <v>2.3166209457604028</v>
      </c>
      <c r="G14" s="288">
        <f t="shared" si="7"/>
        <v>2.3608637872665583</v>
      </c>
      <c r="H14" s="288">
        <f t="shared" si="7"/>
        <v>2.4051066287727139</v>
      </c>
      <c r="I14" s="285">
        <v>2.449349470278869</v>
      </c>
      <c r="O14" s="17" t="s">
        <v>110</v>
      </c>
      <c r="P14" s="86">
        <f t="shared" ref="P14:P22" si="8">L_100km_to_mpg/C16</f>
        <v>44.637002730298704</v>
      </c>
      <c r="Q14" s="86">
        <f t="shared" ref="Q14:V14" si="9">L_100km_to_mpg/(D16*D17)</f>
        <v>41.891813945908098</v>
      </c>
      <c r="R14" s="86">
        <f t="shared" si="9"/>
        <v>39.686840546479907</v>
      </c>
      <c r="S14" s="86">
        <f t="shared" si="9"/>
        <v>38.190821277568112</v>
      </c>
      <c r="T14" s="86">
        <f t="shared" si="9"/>
        <v>36.908663198122213</v>
      </c>
      <c r="U14" s="86">
        <f t="shared" si="9"/>
        <v>35.709799025924603</v>
      </c>
      <c r="V14" s="86">
        <f t="shared" si="9"/>
        <v>34.586367473083897</v>
      </c>
      <c r="Z14" s="377" t="s">
        <v>1700</v>
      </c>
      <c r="AA14" t="s">
        <v>1700</v>
      </c>
      <c r="AB14" s="235"/>
      <c r="AC14" s="235">
        <v>300000</v>
      </c>
      <c r="AD14" s="235"/>
      <c r="AE14" s="235"/>
      <c r="AF14" s="235"/>
      <c r="AG14" s="235">
        <v>500000</v>
      </c>
      <c r="AH14" s="235"/>
      <c r="AI14" s="235">
        <v>350000</v>
      </c>
      <c r="AJ14" s="235">
        <v>300000</v>
      </c>
      <c r="AK14" s="235">
        <v>300000</v>
      </c>
      <c r="AL14" s="235"/>
      <c r="AM14" s="235"/>
      <c r="AN14" s="235">
        <v>335000</v>
      </c>
    </row>
    <row r="15" spans="1:40" x14ac:dyDescent="0.35">
      <c r="A15" s="33" t="s">
        <v>284</v>
      </c>
      <c r="B15" s="86"/>
      <c r="C15" s="86"/>
      <c r="D15" s="86"/>
      <c r="O15" s="17" t="s">
        <v>109</v>
      </c>
      <c r="P15" s="86">
        <f t="shared" si="8"/>
        <v>37.197502275248922</v>
      </c>
      <c r="Q15" s="86">
        <f t="shared" ref="Q15:V15" si="10">L_100km_to_mpg/D17</f>
        <v>34.909844954923415</v>
      </c>
      <c r="R15" s="86">
        <f t="shared" si="10"/>
        <v>33.072367122066588</v>
      </c>
      <c r="S15" s="86">
        <f t="shared" si="10"/>
        <v>31.825684397973426</v>
      </c>
      <c r="T15" s="86">
        <f t="shared" si="10"/>
        <v>30.757219331768511</v>
      </c>
      <c r="U15" s="86">
        <f t="shared" si="10"/>
        <v>29.758165854937172</v>
      </c>
      <c r="V15" s="86">
        <f t="shared" si="10"/>
        <v>28.82197289423658</v>
      </c>
      <c r="Z15" s="377" t="s">
        <v>242</v>
      </c>
      <c r="AA15" t="s">
        <v>242</v>
      </c>
      <c r="AB15" s="235"/>
      <c r="AC15" s="235">
        <v>500000</v>
      </c>
      <c r="AD15" s="235"/>
      <c r="AE15" s="235"/>
      <c r="AF15" s="235"/>
      <c r="AG15" s="235">
        <v>900000</v>
      </c>
      <c r="AH15" s="235">
        <v>1125000</v>
      </c>
      <c r="AI15" s="235">
        <v>675000</v>
      </c>
      <c r="AJ15" s="235">
        <v>500000</v>
      </c>
      <c r="AK15" s="235">
        <v>500000</v>
      </c>
      <c r="AL15" s="235"/>
      <c r="AM15" s="235"/>
      <c r="AN15" s="235">
        <v>540000</v>
      </c>
    </row>
    <row r="16" spans="1:40" x14ac:dyDescent="0.35">
      <c r="A16" s="17" t="s">
        <v>110</v>
      </c>
      <c r="B16" s="86">
        <f>$B$7</f>
        <v>50</v>
      </c>
      <c r="C16" s="86">
        <f>C17/1.2</f>
        <v>5.2695097084054172</v>
      </c>
      <c r="D16" s="285">
        <f>1/1.2</f>
        <v>0.83333333333333337</v>
      </c>
      <c r="E16" s="285">
        <f t="shared" ref="E16:I16" si="11">1/1.2</f>
        <v>0.83333333333333337</v>
      </c>
      <c r="F16" s="285">
        <f t="shared" si="11"/>
        <v>0.83333333333333337</v>
      </c>
      <c r="G16" s="285">
        <f t="shared" si="11"/>
        <v>0.83333333333333337</v>
      </c>
      <c r="H16" s="285">
        <f t="shared" si="11"/>
        <v>0.83333333333333337</v>
      </c>
      <c r="I16" s="285">
        <f t="shared" si="11"/>
        <v>0.83333333333333337</v>
      </c>
      <c r="O16" s="17" t="s">
        <v>239</v>
      </c>
      <c r="P16" s="86">
        <f t="shared" si="8"/>
        <v>44.637002730298704</v>
      </c>
      <c r="Q16" s="86">
        <f t="shared" ref="Q16:V22" si="12">L_100km_to_mpg/(D$17*D18)</f>
        <v>41.891813945908098</v>
      </c>
      <c r="R16" s="86">
        <f t="shared" si="12"/>
        <v>39.686840546479907</v>
      </c>
      <c r="S16" s="86">
        <f t="shared" si="12"/>
        <v>38.190821277568112</v>
      </c>
      <c r="T16" s="86">
        <f t="shared" si="12"/>
        <v>36.908663198122213</v>
      </c>
      <c r="U16" s="86">
        <f t="shared" si="12"/>
        <v>35.709799025924603</v>
      </c>
      <c r="V16" s="86">
        <f t="shared" si="12"/>
        <v>34.586367473083897</v>
      </c>
      <c r="X16" s="73"/>
      <c r="Z16" s="377" t="s">
        <v>66</v>
      </c>
      <c r="AA16" t="s">
        <v>66</v>
      </c>
      <c r="AB16" s="235"/>
      <c r="AC16" s="235">
        <v>100000</v>
      </c>
      <c r="AD16" s="235"/>
      <c r="AE16" s="235"/>
      <c r="AF16" s="235"/>
      <c r="AG16" s="235">
        <v>300000</v>
      </c>
      <c r="AH16" s="235"/>
      <c r="AI16" s="235">
        <v>160000</v>
      </c>
      <c r="AJ16" s="235">
        <v>100000</v>
      </c>
      <c r="AK16" s="235">
        <v>100000</v>
      </c>
      <c r="AL16" s="235"/>
      <c r="AM16" s="235">
        <v>108000</v>
      </c>
      <c r="AN16" s="235">
        <v>130000</v>
      </c>
    </row>
    <row r="17" spans="1:40" x14ac:dyDescent="0.35">
      <c r="A17" s="286" t="s">
        <v>644</v>
      </c>
      <c r="B17" s="287">
        <v>50</v>
      </c>
      <c r="C17" s="287">
        <v>6.3234116500865003</v>
      </c>
      <c r="D17" s="287">
        <v>6.7377875652310859</v>
      </c>
      <c r="E17" s="287">
        <v>7.1121343801389889</v>
      </c>
      <c r="F17" s="287">
        <v>7.3907324756983392</v>
      </c>
      <c r="G17" s="287">
        <f>($I17-$F17)/(4-1) + F17</f>
        <v>7.6474767339737761</v>
      </c>
      <c r="H17" s="287">
        <f>($I17-$F17)/(4-1) + G17</f>
        <v>7.904220992249213</v>
      </c>
      <c r="I17" s="287">
        <v>8.1609652505246508</v>
      </c>
      <c r="J17" s="102">
        <f>(I17-C17)/C17</f>
        <v>0.2905952833883611</v>
      </c>
      <c r="O17" s="17" t="s">
        <v>240</v>
      </c>
      <c r="P17" s="86">
        <f t="shared" si="8"/>
        <v>43.761767382645793</v>
      </c>
      <c r="Q17" s="86">
        <f t="shared" si="12"/>
        <v>41.070405829321665</v>
      </c>
      <c r="R17" s="86">
        <f t="shared" si="12"/>
        <v>38.908667202431282</v>
      </c>
      <c r="S17" s="86">
        <f t="shared" si="12"/>
        <v>37.44198164467462</v>
      </c>
      <c r="T17" s="86">
        <f t="shared" si="12"/>
        <v>36.184963919727664</v>
      </c>
      <c r="U17" s="86">
        <f t="shared" si="12"/>
        <v>35.009606888161379</v>
      </c>
      <c r="V17" s="86">
        <f t="shared" si="12"/>
        <v>33.908203404984214</v>
      </c>
      <c r="W17" s="102">
        <f>(V15-P15)/P15</f>
        <v>-0.22516375747587192</v>
      </c>
      <c r="Z17" s="377" t="s">
        <v>1701</v>
      </c>
      <c r="AB17" s="235"/>
      <c r="AC17" s="235">
        <v>65000</v>
      </c>
      <c r="AD17" s="235"/>
      <c r="AE17" s="235"/>
      <c r="AF17" s="235"/>
      <c r="AG17" s="235">
        <v>265000</v>
      </c>
      <c r="AH17" s="235"/>
      <c r="AI17" s="235">
        <v>120000</v>
      </c>
      <c r="AJ17" s="235">
        <v>65000</v>
      </c>
      <c r="AK17" s="235">
        <v>65000</v>
      </c>
      <c r="AL17" s="235"/>
      <c r="AM17" s="235">
        <v>73000</v>
      </c>
      <c r="AN17" s="235">
        <v>90000</v>
      </c>
    </row>
    <row r="18" spans="1:40" x14ac:dyDescent="0.35">
      <c r="A18" s="17" t="s">
        <v>239</v>
      </c>
      <c r="B18" s="86">
        <f t="shared" ref="B18:B24" si="13">$B$7</f>
        <v>50</v>
      </c>
      <c r="C18" s="86">
        <f>C16</f>
        <v>5.2695097084054172</v>
      </c>
      <c r="D18" s="285">
        <f>D16</f>
        <v>0.83333333333333337</v>
      </c>
      <c r="E18" s="285">
        <f t="shared" ref="E18:I18" si="14">E16</f>
        <v>0.83333333333333337</v>
      </c>
      <c r="F18" s="285">
        <f t="shared" si="14"/>
        <v>0.83333333333333337</v>
      </c>
      <c r="G18" s="285">
        <f t="shared" si="14"/>
        <v>0.83333333333333337</v>
      </c>
      <c r="H18" s="285">
        <f t="shared" si="14"/>
        <v>0.83333333333333337</v>
      </c>
      <c r="I18" s="285">
        <f t="shared" si="14"/>
        <v>0.83333333333333337</v>
      </c>
      <c r="O18" s="17" t="s">
        <v>231</v>
      </c>
      <c r="P18" s="86">
        <f t="shared" si="8"/>
        <v>44.637002730298704</v>
      </c>
      <c r="Q18" s="86">
        <f t="shared" si="12"/>
        <v>41.070405829321665</v>
      </c>
      <c r="R18" s="86">
        <f t="shared" si="12"/>
        <v>38.908667202431282</v>
      </c>
      <c r="S18" s="86">
        <f t="shared" si="12"/>
        <v>37.44198164467462</v>
      </c>
      <c r="T18" s="86">
        <f t="shared" si="12"/>
        <v>36.184963919727664</v>
      </c>
      <c r="U18" s="86">
        <f t="shared" si="12"/>
        <v>35.009606888161379</v>
      </c>
      <c r="V18" s="86">
        <f t="shared" si="12"/>
        <v>33.908203404984214</v>
      </c>
      <c r="Z18" s="377" t="s">
        <v>1702</v>
      </c>
      <c r="AA18" t="s">
        <v>1703</v>
      </c>
      <c r="AB18" s="235">
        <v>42000</v>
      </c>
      <c r="AC18" s="235">
        <v>53000</v>
      </c>
      <c r="AD18" s="235"/>
      <c r="AE18" s="235"/>
      <c r="AF18" s="235">
        <v>62500</v>
      </c>
      <c r="AG18" s="235">
        <v>93000</v>
      </c>
      <c r="AH18" s="235"/>
      <c r="AI18" s="235"/>
      <c r="AJ18" s="235">
        <v>53000</v>
      </c>
      <c r="AK18" s="235">
        <v>53000</v>
      </c>
      <c r="AL18" s="235">
        <v>42000</v>
      </c>
      <c r="AM18" s="235">
        <v>50000</v>
      </c>
      <c r="AN18" s="235">
        <v>50000</v>
      </c>
    </row>
    <row r="19" spans="1:40" x14ac:dyDescent="0.35">
      <c r="A19" s="17" t="s">
        <v>240</v>
      </c>
      <c r="B19" s="86">
        <f t="shared" si="13"/>
        <v>50</v>
      </c>
      <c r="C19" s="86">
        <f>C17*0.85</f>
        <v>5.3748999025735253</v>
      </c>
      <c r="D19" s="285">
        <v>0.85</v>
      </c>
      <c r="E19" s="285">
        <v>0.85</v>
      </c>
      <c r="F19" s="285">
        <v>0.85</v>
      </c>
      <c r="G19" s="285">
        <v>0.85</v>
      </c>
      <c r="H19" s="285">
        <v>0.85</v>
      </c>
      <c r="I19" s="285">
        <v>0.85</v>
      </c>
      <c r="O19" s="17" t="s">
        <v>244</v>
      </c>
      <c r="P19" s="86">
        <f t="shared" si="8"/>
        <v>37.197502275248922</v>
      </c>
      <c r="Q19" s="86">
        <f t="shared" si="12"/>
        <v>34.909844954923415</v>
      </c>
      <c r="R19" s="86">
        <f t="shared" si="12"/>
        <v>33.072367122066588</v>
      </c>
      <c r="S19" s="86">
        <f t="shared" si="12"/>
        <v>31.825684397973426</v>
      </c>
      <c r="T19" s="86">
        <f t="shared" si="12"/>
        <v>30.757219331768511</v>
      </c>
      <c r="U19" s="86">
        <f t="shared" si="12"/>
        <v>29.758165854937172</v>
      </c>
      <c r="V19" s="86">
        <f t="shared" si="12"/>
        <v>28.82197289423658</v>
      </c>
      <c r="Z19" s="377" t="s">
        <v>1704</v>
      </c>
      <c r="AB19" s="235">
        <v>33000</v>
      </c>
      <c r="AC19" s="235">
        <v>38000</v>
      </c>
      <c r="AD19" s="235"/>
      <c r="AE19" s="235"/>
      <c r="AF19" s="235">
        <v>83000</v>
      </c>
      <c r="AG19" s="235">
        <v>68000</v>
      </c>
      <c r="AH19" s="235"/>
      <c r="AI19" s="235"/>
      <c r="AJ19" s="235">
        <v>38000</v>
      </c>
      <c r="AK19" s="235">
        <v>38000</v>
      </c>
      <c r="AL19" s="235">
        <v>33000</v>
      </c>
      <c r="AM19" s="235">
        <v>41000</v>
      </c>
      <c r="AN19" s="235">
        <v>49000</v>
      </c>
    </row>
    <row r="20" spans="1:40" x14ac:dyDescent="0.35">
      <c r="A20" s="17" t="s">
        <v>231</v>
      </c>
      <c r="B20" s="86">
        <f t="shared" si="13"/>
        <v>50</v>
      </c>
      <c r="C20" s="86">
        <f>C16</f>
        <v>5.2695097084054172</v>
      </c>
      <c r="D20" s="285">
        <v>0.85</v>
      </c>
      <c r="E20" s="285">
        <v>0.85</v>
      </c>
      <c r="F20" s="285">
        <v>0.85</v>
      </c>
      <c r="G20" s="285">
        <v>0.85</v>
      </c>
      <c r="H20" s="285">
        <v>0.85</v>
      </c>
      <c r="I20" s="285">
        <v>0.85</v>
      </c>
      <c r="O20" s="17" t="s">
        <v>641</v>
      </c>
      <c r="P20" s="86">
        <f t="shared" si="8"/>
        <v>30.741737417561094</v>
      </c>
      <c r="Q20" s="86">
        <f t="shared" si="12"/>
        <v>27.807152332112111</v>
      </c>
      <c r="R20" s="86">
        <f t="shared" si="12"/>
        <v>26.465081539922345</v>
      </c>
      <c r="S20" s="86">
        <f t="shared" si="12"/>
        <v>26.325853102583995</v>
      </c>
      <c r="T20" s="86">
        <f t="shared" si="12"/>
        <v>25.105596196824802</v>
      </c>
      <c r="U20" s="86">
        <f t="shared" si="12"/>
        <v>23.973108221757947</v>
      </c>
      <c r="V20" s="86">
        <f t="shared" si="12"/>
        <v>22.919787494742852</v>
      </c>
      <c r="Z20" s="377" t="s">
        <v>1705</v>
      </c>
      <c r="AB20" s="235">
        <v>38000</v>
      </c>
      <c r="AC20" s="235">
        <v>43000</v>
      </c>
      <c r="AD20" s="235"/>
      <c r="AE20" s="235"/>
      <c r="AF20" s="235">
        <v>88000</v>
      </c>
      <c r="AG20" s="235"/>
      <c r="AH20" s="235"/>
      <c r="AI20" s="235"/>
      <c r="AJ20" s="235">
        <v>43000</v>
      </c>
      <c r="AK20" s="235">
        <v>43000</v>
      </c>
      <c r="AL20" s="235">
        <v>38000</v>
      </c>
      <c r="AM20" s="235">
        <v>44500</v>
      </c>
      <c r="AN20" s="235">
        <v>48000</v>
      </c>
    </row>
    <row r="21" spans="1:40" x14ac:dyDescent="0.35">
      <c r="A21" s="17" t="s">
        <v>244</v>
      </c>
      <c r="B21" s="86">
        <f t="shared" si="13"/>
        <v>50</v>
      </c>
      <c r="C21" s="86">
        <f>C17</f>
        <v>6.3234116500865003</v>
      </c>
      <c r="D21" s="285">
        <v>1</v>
      </c>
      <c r="E21" s="285">
        <v>1</v>
      </c>
      <c r="F21" s="285">
        <v>1</v>
      </c>
      <c r="G21" s="285">
        <v>1</v>
      </c>
      <c r="H21" s="285">
        <v>1</v>
      </c>
      <c r="I21" s="285">
        <v>1</v>
      </c>
      <c r="O21" s="17" t="s">
        <v>246</v>
      </c>
      <c r="P21" s="86">
        <f t="shared" si="8"/>
        <v>12.48238331384192</v>
      </c>
      <c r="Q21" s="86">
        <f t="shared" si="12"/>
        <v>11.082753942403837</v>
      </c>
      <c r="R21" s="86">
        <f t="shared" si="12"/>
        <v>10.037637843740811</v>
      </c>
      <c r="S21" s="86">
        <f t="shared" si="12"/>
        <v>9.352711588856117</v>
      </c>
      <c r="T21" s="86">
        <f t="shared" si="12"/>
        <v>8.9896216990735933</v>
      </c>
      <c r="U21" s="86">
        <f t="shared" si="12"/>
        <v>8.6506327792317546</v>
      </c>
      <c r="V21" s="86">
        <f t="shared" si="12"/>
        <v>8.3334621635990231</v>
      </c>
      <c r="Z21" s="377" t="s">
        <v>1706</v>
      </c>
      <c r="AB21" s="235">
        <v>132000</v>
      </c>
      <c r="AC21" s="235">
        <v>143000</v>
      </c>
      <c r="AD21" s="235"/>
      <c r="AE21" s="235"/>
      <c r="AF21" s="235"/>
      <c r="AG21" s="235"/>
      <c r="AH21" s="235"/>
      <c r="AI21" s="235"/>
      <c r="AJ21" s="235">
        <v>143000</v>
      </c>
      <c r="AK21" s="235">
        <v>143000</v>
      </c>
      <c r="AL21" s="235">
        <v>132000</v>
      </c>
      <c r="AM21" s="235">
        <v>140000</v>
      </c>
      <c r="AN21" s="235">
        <v>148000</v>
      </c>
    </row>
    <row r="22" spans="1:40" x14ac:dyDescent="0.35">
      <c r="A22" s="17" t="s">
        <v>641</v>
      </c>
      <c r="B22" s="86">
        <f t="shared" si="13"/>
        <v>50</v>
      </c>
      <c r="C22" s="86">
        <f>C17*1.21</f>
        <v>7.6513280966046651</v>
      </c>
      <c r="D22" s="288">
        <v>1.255426824652196</v>
      </c>
      <c r="E22" s="288">
        <v>1.24966050348937</v>
      </c>
      <c r="F22" s="288">
        <v>1.208913696887931</v>
      </c>
      <c r="G22" s="288">
        <f t="shared" ref="G22:H24" si="15">($I22-$F22)/(4-1) + F22</f>
        <v>1.2251140777791403</v>
      </c>
      <c r="H22" s="288">
        <f t="shared" si="15"/>
        <v>1.2413144586703495</v>
      </c>
      <c r="I22" s="288">
        <v>1.257514839561559</v>
      </c>
      <c r="O22" s="17" t="s">
        <v>627</v>
      </c>
      <c r="P22" s="86">
        <f t="shared" si="8"/>
        <v>22.141370401933884</v>
      </c>
      <c r="Q22" s="86">
        <f t="shared" si="12"/>
        <v>19.965335302367844</v>
      </c>
      <c r="R22" s="86">
        <f t="shared" si="12"/>
        <v>18.185810912032359</v>
      </c>
      <c r="S22" s="86">
        <f t="shared" si="12"/>
        <v>16.960740032938304</v>
      </c>
      <c r="T22" s="86">
        <f t="shared" si="12"/>
        <v>16.229144513466988</v>
      </c>
      <c r="U22" s="86">
        <f t="shared" si="12"/>
        <v>15.548150976340343</v>
      </c>
      <c r="V22" s="86">
        <f t="shared" si="12"/>
        <v>14.912896919701701</v>
      </c>
      <c r="Z22" s="377" t="s">
        <v>1707</v>
      </c>
      <c r="AB22" s="235">
        <v>61000</v>
      </c>
      <c r="AC22" s="235">
        <v>72000</v>
      </c>
      <c r="AD22" s="235"/>
      <c r="AE22" s="235"/>
      <c r="AF22" s="235"/>
      <c r="AG22" s="235"/>
      <c r="AH22" s="235"/>
      <c r="AI22" s="235"/>
      <c r="AJ22" s="235">
        <v>72000</v>
      </c>
      <c r="AK22" s="235">
        <v>72000</v>
      </c>
      <c r="AL22" s="235">
        <v>61000</v>
      </c>
      <c r="AM22" s="235">
        <v>69000</v>
      </c>
      <c r="AN22" s="235">
        <v>69000</v>
      </c>
    </row>
    <row r="23" spans="1:40" x14ac:dyDescent="0.35">
      <c r="A23" s="17" t="s">
        <v>246</v>
      </c>
      <c r="B23" s="86">
        <f t="shared" si="13"/>
        <v>50</v>
      </c>
      <c r="C23" s="86">
        <f>C17*2.98</f>
        <v>18.843766717257772</v>
      </c>
      <c r="D23" s="285">
        <v>3.149925112146946</v>
      </c>
      <c r="E23" s="285">
        <v>3.2948356612297571</v>
      </c>
      <c r="F23" s="285">
        <v>3.4028296602125701</v>
      </c>
      <c r="G23" s="288">
        <f t="shared" si="15"/>
        <v>3.421414199769734</v>
      </c>
      <c r="H23" s="288">
        <f t="shared" si="15"/>
        <v>3.439998739326898</v>
      </c>
      <c r="I23" s="285">
        <v>3.458583278884062</v>
      </c>
      <c r="O23" s="33" t="s">
        <v>1106</v>
      </c>
      <c r="Z23" s="33" t="s">
        <v>1714</v>
      </c>
    </row>
    <row r="24" spans="1:40" x14ac:dyDescent="0.35">
      <c r="A24" s="17" t="s">
        <v>627</v>
      </c>
      <c r="B24" s="86">
        <f t="shared" si="13"/>
        <v>50</v>
      </c>
      <c r="C24" s="86">
        <f>C17*1.68</f>
        <v>10.62333157214532</v>
      </c>
      <c r="D24" s="285">
        <v>1.748522848538546</v>
      </c>
      <c r="E24" s="285">
        <v>1.81858083106895</v>
      </c>
      <c r="F24" s="285">
        <v>1.876432533967676</v>
      </c>
      <c r="G24" s="288">
        <f t="shared" si="15"/>
        <v>1.895184265951054</v>
      </c>
      <c r="H24" s="288">
        <f t="shared" si="15"/>
        <v>1.9139359979344321</v>
      </c>
      <c r="I24" s="285">
        <v>1.93268772991781</v>
      </c>
      <c r="O24" s="17" t="s">
        <v>110</v>
      </c>
      <c r="P24" s="86">
        <f>L_100km_to_mpg/C26</f>
        <v>40.322591869959105</v>
      </c>
      <c r="Q24" s="86">
        <f t="shared" ref="Q24:V24" si="16">Q$25/D16</f>
        <v>37.84274062125877</v>
      </c>
      <c r="R24" s="86">
        <f t="shared" si="16"/>
        <v>35.850889980962336</v>
      </c>
      <c r="S24" s="86">
        <f t="shared" si="16"/>
        <v>34.499469170420795</v>
      </c>
      <c r="T24" s="86">
        <f t="shared" si="16"/>
        <v>33.341238693732123</v>
      </c>
      <c r="U24" s="86">
        <f t="shared" si="16"/>
        <v>32.258251311825603</v>
      </c>
      <c r="V24" s="86">
        <f t="shared" si="16"/>
        <v>31.243405573353073</v>
      </c>
      <c r="Z24" s="377" t="s">
        <v>1686</v>
      </c>
      <c r="AA24" t="s">
        <v>1687</v>
      </c>
      <c r="AB24" s="236"/>
      <c r="AC24" s="236">
        <v>0.17899999999999999</v>
      </c>
      <c r="AD24" s="236"/>
      <c r="AE24" s="236"/>
      <c r="AF24" s="236"/>
      <c r="AG24" s="236">
        <v>0.15139303482587063</v>
      </c>
      <c r="AH24" s="236">
        <v>0.15139303482587063</v>
      </c>
      <c r="AI24" s="236">
        <v>0.16207960199004975</v>
      </c>
      <c r="AJ24" s="236">
        <v>0.17899999999999999</v>
      </c>
      <c r="AK24" s="236">
        <v>0.17899999999999999</v>
      </c>
      <c r="AL24" s="236"/>
      <c r="AM24" s="236"/>
      <c r="AN24" s="236">
        <v>0.18523383084577116</v>
      </c>
    </row>
    <row r="25" spans="1:40" ht="29" x14ac:dyDescent="0.35">
      <c r="A25" s="33" t="s">
        <v>260</v>
      </c>
      <c r="B25" s="86"/>
      <c r="C25" s="86"/>
      <c r="D25" s="86"/>
      <c r="O25" s="17" t="s">
        <v>109</v>
      </c>
      <c r="P25" s="86">
        <f t="shared" ref="P25:V25" si="17">L_100km_to_mpg/(C27*(C17/$C$17))</f>
        <v>33.602159891632589</v>
      </c>
      <c r="Q25" s="86">
        <f t="shared" si="17"/>
        <v>31.535617184382311</v>
      </c>
      <c r="R25" s="86">
        <f t="shared" si="17"/>
        <v>29.875741650801945</v>
      </c>
      <c r="S25" s="86">
        <f t="shared" si="17"/>
        <v>28.749557642017333</v>
      </c>
      <c r="T25" s="86">
        <f t="shared" si="17"/>
        <v>27.784365578110105</v>
      </c>
      <c r="U25" s="86">
        <f t="shared" si="17"/>
        <v>26.881876093188001</v>
      </c>
      <c r="V25" s="86">
        <f t="shared" si="17"/>
        <v>26.036171311127561</v>
      </c>
      <c r="Z25" s="378" t="s">
        <v>1688</v>
      </c>
      <c r="AA25" s="136" t="s">
        <v>1689</v>
      </c>
      <c r="AB25" s="236"/>
      <c r="AC25" s="236">
        <v>0.17899999999999999</v>
      </c>
      <c r="AD25" s="236"/>
      <c r="AE25" s="236"/>
      <c r="AF25" s="236"/>
      <c r="AG25" s="236">
        <v>0.15139303482587063</v>
      </c>
      <c r="AH25" s="236">
        <v>0.15139303482587063</v>
      </c>
      <c r="AI25" s="236">
        <v>0.16207960199004975</v>
      </c>
      <c r="AJ25" s="236">
        <v>0.17899999999999999</v>
      </c>
      <c r="AK25" s="236">
        <v>0.17899999999999999</v>
      </c>
      <c r="AL25" s="236"/>
      <c r="AM25" s="236"/>
      <c r="AN25" s="236">
        <v>0.18523383084577116</v>
      </c>
    </row>
    <row r="26" spans="1:40" x14ac:dyDescent="0.35">
      <c r="A26" s="17" t="s">
        <v>110</v>
      </c>
      <c r="B26" s="86">
        <f>$B$27</f>
        <v>34.4</v>
      </c>
      <c r="C26" s="289">
        <f t="shared" ref="C26" si="18">C27/1.2</f>
        <v>5.8333333333333339</v>
      </c>
      <c r="D26" s="285">
        <f>1/1.2</f>
        <v>0.83333333333333337</v>
      </c>
      <c r="E26" s="285">
        <f t="shared" ref="E26:I26" si="19">1/1.2</f>
        <v>0.83333333333333337</v>
      </c>
      <c r="F26" s="285">
        <f t="shared" si="19"/>
        <v>0.83333333333333337</v>
      </c>
      <c r="G26" s="285">
        <f t="shared" si="19"/>
        <v>0.83333333333333337</v>
      </c>
      <c r="H26" s="285">
        <f t="shared" si="19"/>
        <v>0.83333333333333337</v>
      </c>
      <c r="I26" s="285">
        <f t="shared" si="19"/>
        <v>0.83333333333333337</v>
      </c>
      <c r="O26" s="17" t="s">
        <v>240</v>
      </c>
      <c r="P26" s="86">
        <f>L_100km_to_mpg/C28</f>
        <v>37.335733212925106</v>
      </c>
      <c r="Q26" s="86">
        <f t="shared" ref="Q26:V26" si="20">Q$25/D19</f>
        <v>37.100726099273309</v>
      </c>
      <c r="R26" s="86">
        <f t="shared" si="20"/>
        <v>35.147931353884644</v>
      </c>
      <c r="S26" s="86">
        <f t="shared" si="20"/>
        <v>33.823008990608628</v>
      </c>
      <c r="T26" s="86">
        <f t="shared" si="20"/>
        <v>32.687488915423657</v>
      </c>
      <c r="U26" s="86">
        <f t="shared" si="20"/>
        <v>31.625736580221179</v>
      </c>
      <c r="V26" s="86">
        <f t="shared" si="20"/>
        <v>30.63078977779713</v>
      </c>
      <c r="W26" s="73"/>
      <c r="Z26" s="377" t="s">
        <v>1690</v>
      </c>
      <c r="AA26" t="s">
        <v>1691</v>
      </c>
      <c r="AB26" s="236">
        <v>0.13210198300283285</v>
      </c>
      <c r="AC26" s="236">
        <v>0.20099999999999998</v>
      </c>
      <c r="AD26" s="236"/>
      <c r="AE26" s="236"/>
      <c r="AF26" s="236"/>
      <c r="AG26" s="236">
        <v>0.159</v>
      </c>
      <c r="AH26" s="236">
        <v>0.159</v>
      </c>
      <c r="AI26" s="236">
        <v>0.18099999999999999</v>
      </c>
      <c r="AJ26" s="236">
        <v>0.20099999999999998</v>
      </c>
      <c r="AK26" s="236">
        <v>0.20099999999999998</v>
      </c>
      <c r="AL26" s="236">
        <v>0.13210198300283285</v>
      </c>
      <c r="AM26" s="236">
        <v>0.13210198300283285</v>
      </c>
      <c r="AN26" s="236">
        <v>0.22100000000000003</v>
      </c>
    </row>
    <row r="27" spans="1:40" x14ac:dyDescent="0.35">
      <c r="A27" s="286" t="s">
        <v>644</v>
      </c>
      <c r="B27" s="287">
        <v>34.4</v>
      </c>
      <c r="C27" s="287">
        <v>7</v>
      </c>
      <c r="D27" s="287">
        <v>7</v>
      </c>
      <c r="E27" s="287">
        <v>7</v>
      </c>
      <c r="F27" s="287">
        <v>7</v>
      </c>
      <c r="G27" s="287">
        <v>7</v>
      </c>
      <c r="H27" s="287">
        <v>7</v>
      </c>
      <c r="I27" s="287">
        <v>7</v>
      </c>
      <c r="J27" s="102">
        <f>(I27-C27)/C27</f>
        <v>0</v>
      </c>
      <c r="O27" s="17" t="s">
        <v>244</v>
      </c>
      <c r="P27" s="86">
        <f>L_100km_to_mpg/C29</f>
        <v>33.602159891632589</v>
      </c>
      <c r="Q27" s="86">
        <f t="shared" ref="Q27:V30" si="21">Q$25/D21</f>
        <v>31.535617184382311</v>
      </c>
      <c r="R27" s="86">
        <f t="shared" si="21"/>
        <v>29.875741650801945</v>
      </c>
      <c r="S27" s="86">
        <f t="shared" si="21"/>
        <v>28.749557642017333</v>
      </c>
      <c r="T27" s="86">
        <f t="shared" si="21"/>
        <v>27.784365578110105</v>
      </c>
      <c r="U27" s="86">
        <f t="shared" si="21"/>
        <v>26.881876093188001</v>
      </c>
      <c r="V27" s="86">
        <f t="shared" si="21"/>
        <v>26.036171311127561</v>
      </c>
      <c r="W27" s="102">
        <f>(V25-P25)/P25</f>
        <v>-0.22516375747587183</v>
      </c>
      <c r="Z27" s="377" t="s">
        <v>1692</v>
      </c>
      <c r="AA27" t="s">
        <v>1693</v>
      </c>
      <c r="AB27" s="236">
        <v>0.1301303116147309</v>
      </c>
      <c r="AC27" s="236">
        <v>0.19800000000000001</v>
      </c>
      <c r="AD27" s="236"/>
      <c r="AE27" s="236"/>
      <c r="AF27" s="236"/>
      <c r="AG27" s="236">
        <v>0.13397014925373138</v>
      </c>
      <c r="AH27" s="236">
        <v>0.13397014925373138</v>
      </c>
      <c r="AI27" s="236">
        <v>0.15268656716417917</v>
      </c>
      <c r="AJ27" s="236">
        <v>0.19800000000000001</v>
      </c>
      <c r="AK27" s="236">
        <v>0.19800000000000001</v>
      </c>
      <c r="AL27" s="236">
        <v>0.1301303116147309</v>
      </c>
      <c r="AM27" s="236">
        <v>0.1301303116147309</v>
      </c>
      <c r="AN27" s="236">
        <v>0.20982089552238811</v>
      </c>
    </row>
    <row r="28" spans="1:40" x14ac:dyDescent="0.35">
      <c r="A28" s="17" t="s">
        <v>240</v>
      </c>
      <c r="B28" s="86">
        <f t="shared" ref="B28:B29" si="22">$B$27</f>
        <v>34.4</v>
      </c>
      <c r="C28" s="86">
        <f>C27*0.9</f>
        <v>6.3</v>
      </c>
      <c r="D28" s="285">
        <v>0.9</v>
      </c>
      <c r="E28" s="285">
        <v>0.9</v>
      </c>
      <c r="F28" s="285">
        <v>0.9</v>
      </c>
      <c r="G28" s="285">
        <v>0.9</v>
      </c>
      <c r="H28" s="285">
        <v>0.9</v>
      </c>
      <c r="I28" s="285">
        <v>0.9</v>
      </c>
      <c r="O28" s="17" t="s">
        <v>641</v>
      </c>
      <c r="P28" s="86">
        <f>L_100km_to_mpg/(C27*1.21)</f>
        <v>27.770380075729417</v>
      </c>
      <c r="Q28" s="86">
        <f t="shared" si="21"/>
        <v>25.119438716086819</v>
      </c>
      <c r="R28" s="86">
        <f t="shared" si="21"/>
        <v>23.907086418576306</v>
      </c>
      <c r="S28" s="86">
        <f t="shared" si="21"/>
        <v>23.781315172477925</v>
      </c>
      <c r="T28" s="86">
        <f t="shared" si="21"/>
        <v>22.679002781909901</v>
      </c>
      <c r="U28" s="86">
        <f t="shared" si="21"/>
        <v>21.655975974035524</v>
      </c>
      <c r="V28" s="86">
        <f t="shared" si="21"/>
        <v>20.704464465966261</v>
      </c>
      <c r="W28" s="88"/>
      <c r="Z28" s="377" t="s">
        <v>1694</v>
      </c>
      <c r="AB28" s="236"/>
      <c r="AC28" s="236">
        <v>0.19600000000000001</v>
      </c>
      <c r="AD28" s="236"/>
      <c r="AE28" s="236"/>
      <c r="AF28" s="236"/>
      <c r="AG28" s="236">
        <v>0.13066666666666671</v>
      </c>
      <c r="AH28" s="236">
        <v>0.13066666666666671</v>
      </c>
      <c r="AI28" s="236">
        <v>0.14919402985074634</v>
      </c>
      <c r="AJ28" s="236">
        <v>0.19600000000000001</v>
      </c>
      <c r="AK28" s="236">
        <v>0.19600000000000001</v>
      </c>
      <c r="AL28" s="236"/>
      <c r="AM28" s="236"/>
      <c r="AN28" s="236">
        <v>0.20965174129353237</v>
      </c>
    </row>
    <row r="29" spans="1:40" x14ac:dyDescent="0.35">
      <c r="A29" s="17" t="s">
        <v>244</v>
      </c>
      <c r="B29" s="86">
        <f t="shared" si="22"/>
        <v>34.4</v>
      </c>
      <c r="C29" s="86">
        <f>C27</f>
        <v>7</v>
      </c>
      <c r="D29" s="285">
        <v>1</v>
      </c>
      <c r="E29" s="285">
        <v>1</v>
      </c>
      <c r="F29" s="285">
        <v>1</v>
      </c>
      <c r="G29" s="285">
        <v>1</v>
      </c>
      <c r="H29" s="285">
        <v>1</v>
      </c>
      <c r="I29" s="285">
        <v>1</v>
      </c>
      <c r="O29" s="17" t="s">
        <v>246</v>
      </c>
      <c r="P29" s="86">
        <f>L_100km_to_mpg/(C27*2.98)</f>
        <v>11.275892581084763</v>
      </c>
      <c r="Q29" s="86">
        <f t="shared" si="21"/>
        <v>10.011545056348361</v>
      </c>
      <c r="R29" s="86">
        <f t="shared" si="21"/>
        <v>9.0674451543513985</v>
      </c>
      <c r="S29" s="86">
        <f t="shared" si="21"/>
        <v>8.4487207744102566</v>
      </c>
      <c r="T29" s="86">
        <f t="shared" si="21"/>
        <v>8.120725511684622</v>
      </c>
      <c r="U29" s="86">
        <f t="shared" si="21"/>
        <v>7.8145017281163183</v>
      </c>
      <c r="V29" s="86">
        <f t="shared" si="21"/>
        <v>7.5279873901224459</v>
      </c>
      <c r="Z29" s="377" t="s">
        <v>1695</v>
      </c>
      <c r="AB29" s="236"/>
      <c r="AC29" s="236">
        <v>0.19600000000000001</v>
      </c>
      <c r="AD29" s="236"/>
      <c r="AE29" s="236"/>
      <c r="AF29" s="236"/>
      <c r="AG29" s="236">
        <v>0.13066666666666671</v>
      </c>
      <c r="AH29" s="236">
        <v>0.13066666666666671</v>
      </c>
      <c r="AI29" s="236">
        <v>0.14919402985074634</v>
      </c>
      <c r="AJ29" s="236">
        <v>0.19600000000000001</v>
      </c>
      <c r="AK29" s="236">
        <v>0.19600000000000001</v>
      </c>
      <c r="AL29" s="236"/>
      <c r="AM29" s="236"/>
      <c r="AN29" s="236">
        <v>0.20965174129353237</v>
      </c>
    </row>
    <row r="30" spans="1:40" x14ac:dyDescent="0.35">
      <c r="O30" s="17" t="s">
        <v>627</v>
      </c>
      <c r="P30" s="88">
        <f>L_100km_to_mpg/(C27*1.68)</f>
        <v>20.001285649781305</v>
      </c>
      <c r="Q30" s="86">
        <f t="shared" si="21"/>
        <v>18.035576264125158</v>
      </c>
      <c r="R30" s="86">
        <f t="shared" si="21"/>
        <v>16.428052655345091</v>
      </c>
      <c r="S30" s="86">
        <f t="shared" si="21"/>
        <v>15.321391588338653</v>
      </c>
      <c r="T30" s="86">
        <f t="shared" si="21"/>
        <v>14.66050878391351</v>
      </c>
      <c r="U30" s="86">
        <f t="shared" si="21"/>
        <v>14.045337003013476</v>
      </c>
      <c r="V30" s="86">
        <f t="shared" si="21"/>
        <v>13.471483731225831</v>
      </c>
      <c r="Z30" s="377" t="s">
        <v>1696</v>
      </c>
      <c r="AB30" s="236"/>
      <c r="AC30" s="236">
        <v>0.19600000000000001</v>
      </c>
      <c r="AD30" s="236"/>
      <c r="AE30" s="236"/>
      <c r="AF30" s="236"/>
      <c r="AG30" s="236">
        <v>0.13066666666666671</v>
      </c>
      <c r="AH30" s="236">
        <v>0.13066666666666671</v>
      </c>
      <c r="AI30" s="236">
        <v>0.14919402985074634</v>
      </c>
      <c r="AJ30" s="236">
        <v>0.19600000000000001</v>
      </c>
      <c r="AK30" s="236">
        <v>0.19600000000000001</v>
      </c>
      <c r="AL30" s="236"/>
      <c r="AM30" s="236"/>
      <c r="AN30" s="236">
        <v>0.20965174129353237</v>
      </c>
    </row>
    <row r="31" spans="1:40" ht="15.5" x14ac:dyDescent="0.35">
      <c r="A31" s="470" t="s">
        <v>1117</v>
      </c>
      <c r="B31" s="470"/>
      <c r="C31" s="470"/>
      <c r="D31" s="470"/>
      <c r="E31" s="470"/>
      <c r="F31" s="470"/>
      <c r="G31" s="470"/>
      <c r="H31" s="470"/>
      <c r="I31" s="470"/>
      <c r="J31" s="470"/>
      <c r="K31" s="470"/>
      <c r="L31" s="470"/>
      <c r="M31" s="470"/>
      <c r="O31" s="92" t="s">
        <v>1107</v>
      </c>
      <c r="Z31" s="377" t="s">
        <v>1697</v>
      </c>
      <c r="AB31" s="236"/>
      <c r="AC31" s="236">
        <v>0.19600000000000001</v>
      </c>
      <c r="AD31" s="236"/>
      <c r="AE31" s="236"/>
      <c r="AF31" s="236"/>
      <c r="AG31" s="236">
        <v>0.13066666666666671</v>
      </c>
      <c r="AH31" s="236">
        <v>0.13066666666666671</v>
      </c>
      <c r="AI31" s="236">
        <v>0.14919402985074634</v>
      </c>
      <c r="AJ31" s="236">
        <v>0.19600000000000001</v>
      </c>
      <c r="AK31" s="236">
        <v>0.19600000000000001</v>
      </c>
      <c r="AL31" s="236"/>
      <c r="AM31" s="236"/>
      <c r="AN31" s="236">
        <v>0.20965174129353237</v>
      </c>
    </row>
    <row r="32" spans="1:40" ht="44" thickBot="1" x14ac:dyDescent="0.4">
      <c r="A32" s="121" t="s">
        <v>638</v>
      </c>
      <c r="B32" s="121" t="s">
        <v>677</v>
      </c>
      <c r="C32" s="121" t="s">
        <v>688</v>
      </c>
      <c r="D32" s="121" t="s">
        <v>689</v>
      </c>
      <c r="E32" s="121" t="s">
        <v>690</v>
      </c>
      <c r="F32" s="121" t="s">
        <v>691</v>
      </c>
      <c r="G32" s="121" t="s">
        <v>692</v>
      </c>
      <c r="H32" s="121" t="s">
        <v>693</v>
      </c>
      <c r="I32" s="121" t="s">
        <v>694</v>
      </c>
      <c r="J32" s="121" t="s">
        <v>695</v>
      </c>
      <c r="K32" s="121" t="s">
        <v>696</v>
      </c>
      <c r="L32" s="121" t="s">
        <v>697</v>
      </c>
      <c r="M32" s="121" t="s">
        <v>698</v>
      </c>
      <c r="Z32" s="377" t="s">
        <v>1698</v>
      </c>
      <c r="AB32" s="236"/>
      <c r="AC32" s="236">
        <v>0.19600000000000001</v>
      </c>
      <c r="AD32" s="236"/>
      <c r="AE32" s="236"/>
      <c r="AF32" s="236"/>
      <c r="AG32" s="236">
        <v>0.13066666666666671</v>
      </c>
      <c r="AH32" s="236">
        <v>0.13066666666666671</v>
      </c>
      <c r="AI32" s="236">
        <v>0.14919402985074634</v>
      </c>
      <c r="AJ32" s="236">
        <v>0.19600000000000001</v>
      </c>
      <c r="AK32" s="236">
        <v>0.19600000000000001</v>
      </c>
      <c r="AL32" s="236"/>
      <c r="AM32" s="236"/>
      <c r="AN32" s="236">
        <v>0.20965174129353237</v>
      </c>
    </row>
    <row r="33" spans="1:40" ht="15" thickTop="1" x14ac:dyDescent="0.35">
      <c r="A33" s="33" t="s">
        <v>674</v>
      </c>
      <c r="Z33" s="377" t="s">
        <v>1699</v>
      </c>
      <c r="AB33" s="236"/>
      <c r="AC33" s="236">
        <v>1.5</v>
      </c>
      <c r="AD33" s="236"/>
      <c r="AE33" s="236"/>
      <c r="AF33" s="236"/>
      <c r="AG33" s="236">
        <v>1.0000000000000002</v>
      </c>
      <c r="AH33" s="236">
        <v>1.0000000000000002</v>
      </c>
      <c r="AI33" s="236">
        <v>1.1417910447761199</v>
      </c>
      <c r="AJ33" s="236">
        <v>1.5</v>
      </c>
      <c r="AK33" s="236">
        <v>1.5</v>
      </c>
      <c r="AL33" s="236"/>
      <c r="AM33" s="236"/>
      <c r="AN33" s="236">
        <v>1.6044776119402986</v>
      </c>
    </row>
    <row r="34" spans="1:40" x14ac:dyDescent="0.35">
      <c r="A34" s="188" t="s">
        <v>699</v>
      </c>
      <c r="B34" s="106">
        <f t="shared" ref="B34:M34" si="23">AVERAGE(B35:B40)</f>
        <v>20.962593088704711</v>
      </c>
      <c r="C34" s="187">
        <f t="shared" si="23"/>
        <v>1.8406130121523389E-6</v>
      </c>
      <c r="D34" s="187">
        <f t="shared" si="23"/>
        <v>3.6110985043659239E-6</v>
      </c>
      <c r="E34" s="187">
        <f t="shared" si="23"/>
        <v>1.4262974925156751</v>
      </c>
      <c r="F34" s="187">
        <f t="shared" si="23"/>
        <v>1.4340029639751772</v>
      </c>
      <c r="G34" s="187">
        <f t="shared" si="23"/>
        <v>6.4280054694787741E-4</v>
      </c>
      <c r="H34" s="187">
        <f t="shared" si="23"/>
        <v>3.6285940864182673E-3</v>
      </c>
      <c r="I34" s="187">
        <f t="shared" si="23"/>
        <v>4.8681733123076528E-3</v>
      </c>
      <c r="J34" s="187">
        <f t="shared" si="23"/>
        <v>6.063364793358006E-5</v>
      </c>
      <c r="K34" s="187">
        <f t="shared" si="23"/>
        <v>6.3518600588230683E-4</v>
      </c>
      <c r="L34" s="187">
        <f t="shared" si="23"/>
        <v>1.9085015241146064E-5</v>
      </c>
      <c r="M34" s="187">
        <f t="shared" si="23"/>
        <v>1.8270053372069723E-5</v>
      </c>
      <c r="Z34" s="377" t="s">
        <v>1700</v>
      </c>
      <c r="AA34" t="s">
        <v>1700</v>
      </c>
      <c r="AB34" s="236"/>
      <c r="AC34" s="236">
        <v>3.0720000000000001</v>
      </c>
      <c r="AD34" s="236"/>
      <c r="AE34" s="236"/>
      <c r="AF34" s="236"/>
      <c r="AG34" s="236">
        <v>2.0480000000000005</v>
      </c>
      <c r="AH34" s="236">
        <v>2.0480000000000005</v>
      </c>
      <c r="AI34" s="236">
        <v>2.3383880597014937</v>
      </c>
      <c r="AJ34" s="236">
        <v>3.0720000000000001</v>
      </c>
      <c r="AK34" s="236">
        <v>3.0720000000000001</v>
      </c>
      <c r="AL34" s="236"/>
      <c r="AM34" s="236"/>
      <c r="AN34" s="236">
        <v>3.2859701492537319</v>
      </c>
    </row>
    <row r="35" spans="1:40" x14ac:dyDescent="0.35">
      <c r="A35" s="17" t="s">
        <v>678</v>
      </c>
      <c r="B35" s="88">
        <v>14.871962813523968</v>
      </c>
      <c r="C35" s="186">
        <v>1.1340628679880768E-6</v>
      </c>
      <c r="D35" s="186">
        <v>2.2249178395516701E-6</v>
      </c>
      <c r="E35" s="186">
        <v>1.0156783047014437</v>
      </c>
      <c r="F35" s="186">
        <v>1.0173573739760928</v>
      </c>
      <c r="G35" s="186">
        <v>1.1750267782161267E-4</v>
      </c>
      <c r="H35" s="186">
        <v>8.3545165164258025E-4</v>
      </c>
      <c r="I35" s="186">
        <v>3.180569449818278E-3</v>
      </c>
      <c r="J35" s="186">
        <v>3.7405581184527918E-5</v>
      </c>
      <c r="K35" s="186">
        <v>4.5063426166691789E-4</v>
      </c>
      <c r="L35" s="186">
        <v>1.1754987919399263E-5</v>
      </c>
      <c r="M35" s="186">
        <v>1.1288940801765141E-5</v>
      </c>
      <c r="Z35" s="377" t="s">
        <v>242</v>
      </c>
      <c r="AA35" t="s">
        <v>242</v>
      </c>
      <c r="AB35" s="236"/>
      <c r="AC35" s="236">
        <v>1</v>
      </c>
      <c r="AD35" s="236"/>
      <c r="AE35" s="236"/>
      <c r="AF35" s="236"/>
      <c r="AG35" s="236">
        <v>0.6</v>
      </c>
      <c r="AH35" s="236">
        <v>0.6</v>
      </c>
      <c r="AI35" s="236">
        <v>0.87</v>
      </c>
      <c r="AJ35" s="236">
        <v>1</v>
      </c>
      <c r="AK35" s="236">
        <v>1</v>
      </c>
      <c r="AL35" s="236"/>
      <c r="AM35" s="236"/>
      <c r="AN35" s="236">
        <v>1</v>
      </c>
    </row>
    <row r="36" spans="1:40" x14ac:dyDescent="0.35">
      <c r="A36" s="17" t="s">
        <v>679</v>
      </c>
      <c r="B36" s="88">
        <v>13.637208442956041</v>
      </c>
      <c r="C36" s="186">
        <v>3.9714370718596849E-7</v>
      </c>
      <c r="D36" s="186">
        <v>7.7915620370442821E-7</v>
      </c>
      <c r="E36" s="186">
        <v>0.9319936673054624</v>
      </c>
      <c r="F36" s="186">
        <v>0.93289238491932314</v>
      </c>
      <c r="G36" s="186">
        <v>4.7745374830266195E-5</v>
      </c>
      <c r="H36" s="186">
        <v>4.7721621540711525E-4</v>
      </c>
      <c r="I36" s="186">
        <v>2.5806373018207401E-3</v>
      </c>
      <c r="J36" s="186">
        <v>3.253522946815576E-5</v>
      </c>
      <c r="K36" s="186">
        <v>4.1322005944642218E-4</v>
      </c>
      <c r="L36" s="186">
        <v>1.0195939681760136E-5</v>
      </c>
      <c r="M36" s="186">
        <v>9.8463133532116953E-6</v>
      </c>
      <c r="Z36" s="377" t="s">
        <v>66</v>
      </c>
      <c r="AA36" t="s">
        <v>66</v>
      </c>
      <c r="AB36" s="236">
        <v>0.61443423451336665</v>
      </c>
      <c r="AC36" s="236">
        <v>0.93489346889318281</v>
      </c>
      <c r="AD36" s="236"/>
      <c r="AE36" s="236"/>
      <c r="AF36" s="236"/>
      <c r="AG36" s="236">
        <v>0.56093608133590966</v>
      </c>
      <c r="AH36" s="236">
        <v>0.56093608133590966</v>
      </c>
      <c r="AI36" s="236">
        <v>0.813357317937069</v>
      </c>
      <c r="AJ36" s="236">
        <v>0.93489346889318281</v>
      </c>
      <c r="AK36" s="236">
        <v>0.93489346889318281</v>
      </c>
      <c r="AL36" s="236">
        <v>0.61443423451336665</v>
      </c>
      <c r="AM36" s="236">
        <v>0.61443423451336665</v>
      </c>
      <c r="AN36" s="236">
        <v>0.93489346889318281</v>
      </c>
    </row>
    <row r="37" spans="1:40" x14ac:dyDescent="0.35">
      <c r="A37" s="17" t="s">
        <v>680</v>
      </c>
      <c r="B37" s="88">
        <v>12.802610939424167</v>
      </c>
      <c r="C37" s="186">
        <v>3.6003170315941283E-7</v>
      </c>
      <c r="D37" s="186">
        <v>7.0634616631497967E-7</v>
      </c>
      <c r="E37" s="186">
        <v>0.87531296239544942</v>
      </c>
      <c r="F37" s="186">
        <v>0.87579938245553768</v>
      </c>
      <c r="G37" s="186">
        <v>2.9036657606276607E-5</v>
      </c>
      <c r="H37" s="186">
        <v>2.5195066731884572E-4</v>
      </c>
      <c r="I37" s="186">
        <v>2.8702591075347741E-3</v>
      </c>
      <c r="J37" s="186">
        <v>2.8212286386145894E-5</v>
      </c>
      <c r="K37" s="186">
        <v>3.8793098129924377E-4</v>
      </c>
      <c r="L37" s="186">
        <v>8.839460379913914E-6</v>
      </c>
      <c r="M37" s="186">
        <v>8.5397086891097469E-6</v>
      </c>
      <c r="Z37" s="377" t="s">
        <v>1701</v>
      </c>
      <c r="AB37" s="236">
        <v>0.65722379603399439</v>
      </c>
      <c r="AC37" s="236">
        <v>1</v>
      </c>
      <c r="AD37" s="236"/>
      <c r="AE37" s="236"/>
      <c r="AF37" s="236"/>
      <c r="AG37" s="236">
        <v>0.6</v>
      </c>
      <c r="AH37" s="236">
        <v>0.6</v>
      </c>
      <c r="AI37" s="236">
        <v>0.87</v>
      </c>
      <c r="AJ37" s="236">
        <v>1</v>
      </c>
      <c r="AK37" s="236">
        <v>1</v>
      </c>
      <c r="AL37" s="236">
        <v>0.65722379603399439</v>
      </c>
      <c r="AM37" s="236">
        <v>0.65722379603399439</v>
      </c>
      <c r="AN37" s="236">
        <v>1</v>
      </c>
    </row>
    <row r="38" spans="1:40" x14ac:dyDescent="0.35">
      <c r="A38" s="17" t="s">
        <v>681</v>
      </c>
      <c r="B38" s="88">
        <v>14.26355406200129</v>
      </c>
      <c r="C38" s="186">
        <v>6.3882025943789797E-7</v>
      </c>
      <c r="D38" s="186">
        <v>1.2533014100108502E-6</v>
      </c>
      <c r="E38" s="186">
        <v>0.97512188369431119</v>
      </c>
      <c r="F38" s="186">
        <v>0.97573874027182805</v>
      </c>
      <c r="G38" s="186">
        <v>4.6521305872631352E-5</v>
      </c>
      <c r="H38" s="186">
        <v>3.0027783813604852E-4</v>
      </c>
      <c r="I38" s="186">
        <v>2.5633301145168179E-3</v>
      </c>
      <c r="J38" s="186">
        <v>2.9473150008089426E-5</v>
      </c>
      <c r="K38" s="186">
        <v>4.3219891241464607E-4</v>
      </c>
      <c r="L38" s="186">
        <v>9.2476157290991528E-6</v>
      </c>
      <c r="M38" s="186">
        <v>8.9088455548424759E-6</v>
      </c>
      <c r="Z38" s="377" t="s">
        <v>1702</v>
      </c>
      <c r="AA38" t="s">
        <v>1703</v>
      </c>
      <c r="AB38" s="236">
        <v>0.20599999999999999</v>
      </c>
      <c r="AC38" s="236">
        <v>0.313</v>
      </c>
      <c r="AD38" s="236">
        <v>0.18832061949764511</v>
      </c>
      <c r="AE38" s="236">
        <v>0.17980082991079932</v>
      </c>
      <c r="AF38" s="236">
        <v>0.17980082991079932</v>
      </c>
      <c r="AG38" s="236">
        <v>0.12987620368159719</v>
      </c>
      <c r="AH38" s="236">
        <v>0.12987620368159719</v>
      </c>
      <c r="AI38" s="236"/>
      <c r="AJ38" s="236">
        <v>0.313</v>
      </c>
      <c r="AK38" s="236">
        <v>0.313</v>
      </c>
      <c r="AL38" s="236">
        <v>0.20599999999999999</v>
      </c>
      <c r="AM38" s="236">
        <v>0.20599999999999999</v>
      </c>
      <c r="AN38" s="236">
        <v>0.20599999999999999</v>
      </c>
    </row>
    <row r="39" spans="1:40" x14ac:dyDescent="0.35">
      <c r="A39" s="17" t="s">
        <v>682</v>
      </c>
      <c r="B39" s="88">
        <v>27.227685426737111</v>
      </c>
      <c r="C39" s="186">
        <v>2.5767515212977595E-6</v>
      </c>
      <c r="D39" s="186">
        <v>5.0553285797975418E-6</v>
      </c>
      <c r="E39" s="186">
        <v>1.8587914408430459</v>
      </c>
      <c r="F39" s="186">
        <v>1.8625830647268018</v>
      </c>
      <c r="G39" s="186">
        <v>1.7203429306633365E-4</v>
      </c>
      <c r="H39" s="186">
        <v>2.0716502144751663E-3</v>
      </c>
      <c r="I39" s="186">
        <v>4.0799683379374773E-3</v>
      </c>
      <c r="J39" s="186">
        <v>5.8490689562685121E-5</v>
      </c>
      <c r="K39" s="186">
        <v>8.2502411235315742E-4</v>
      </c>
      <c r="L39" s="186">
        <v>1.838376200474861E-5</v>
      </c>
      <c r="M39" s="186">
        <v>1.7649888373493343E-5</v>
      </c>
      <c r="Z39" s="377" t="s">
        <v>1704</v>
      </c>
      <c r="AB39" s="236">
        <v>0.23200000000000001</v>
      </c>
      <c r="AC39" s="236">
        <v>0.35299999999999998</v>
      </c>
      <c r="AD39" s="236">
        <v>0.2120892413759887</v>
      </c>
      <c r="AE39" s="236">
        <v>0.2024941385403177</v>
      </c>
      <c r="AF39" s="236">
        <v>0.2024941385403177</v>
      </c>
      <c r="AG39" s="236">
        <v>0.14626834589383764</v>
      </c>
      <c r="AH39" s="236">
        <v>0.14626834589383764</v>
      </c>
      <c r="AI39" s="236"/>
      <c r="AJ39" s="236">
        <v>0.35299999999999998</v>
      </c>
      <c r="AK39" s="236">
        <v>0.35299999999999998</v>
      </c>
      <c r="AL39" s="236">
        <v>0.23200000000000001</v>
      </c>
      <c r="AM39" s="236">
        <v>0.23200000000000001</v>
      </c>
      <c r="AN39" s="236">
        <v>0.23200000000000001</v>
      </c>
    </row>
    <row r="40" spans="1:40" x14ac:dyDescent="0.35">
      <c r="A40" s="17" t="s">
        <v>683</v>
      </c>
      <c r="B40" s="88">
        <v>42.972536847585708</v>
      </c>
      <c r="C40" s="186">
        <v>5.9368680138449185E-6</v>
      </c>
      <c r="D40" s="186">
        <v>1.1647540826816073E-5</v>
      </c>
      <c r="E40" s="186">
        <v>2.900886696154338</v>
      </c>
      <c r="F40" s="186">
        <v>2.939646837501479</v>
      </c>
      <c r="G40" s="186">
        <v>3.443962972490144E-3</v>
      </c>
      <c r="H40" s="186">
        <v>1.7835017931529848E-2</v>
      </c>
      <c r="I40" s="186">
        <v>1.3934275562217829E-2</v>
      </c>
      <c r="J40" s="186">
        <v>1.7768495099187623E-4</v>
      </c>
      <c r="K40" s="186">
        <v>1.302107708113454E-3</v>
      </c>
      <c r="L40" s="186">
        <v>5.6088325731955307E-5</v>
      </c>
      <c r="M40" s="186">
        <v>5.3386623459995931E-5</v>
      </c>
      <c r="Z40" s="377" t="s">
        <v>1705</v>
      </c>
      <c r="AB40" s="236">
        <v>0.21099999999999999</v>
      </c>
      <c r="AC40" s="236">
        <v>0.32104741379310342</v>
      </c>
      <c r="AD40" s="236">
        <v>0.1928915083204035</v>
      </c>
      <c r="AE40" s="236">
        <v>0.18416492772416823</v>
      </c>
      <c r="AF40" s="236">
        <v>0.18416492772416823</v>
      </c>
      <c r="AG40" s="236">
        <v>0.13302853872241266</v>
      </c>
      <c r="AH40" s="236">
        <v>0.13302853872241266</v>
      </c>
      <c r="AI40" s="236"/>
      <c r="AJ40" s="236">
        <v>0.32104741379310342</v>
      </c>
      <c r="AK40" s="236">
        <v>0.32104741379310342</v>
      </c>
      <c r="AL40" s="236">
        <v>0.21099999999999999</v>
      </c>
      <c r="AM40" s="236">
        <v>0.21099999999999999</v>
      </c>
      <c r="AN40" s="236">
        <v>0.21099999999999999</v>
      </c>
    </row>
    <row r="41" spans="1:40" x14ac:dyDescent="0.35">
      <c r="A41" s="188" t="s">
        <v>700</v>
      </c>
      <c r="B41" s="106">
        <f>AVERAGE(B42:B45)</f>
        <v>11.460830098204241</v>
      </c>
      <c r="C41" s="187">
        <f t="shared" ref="C41:M41" si="24">AVERAGE(C42:C45)</f>
        <v>7.9643420397165584E-7</v>
      </c>
      <c r="D41" s="187">
        <f t="shared" si="24"/>
        <v>1.5625241937330596E-6</v>
      </c>
      <c r="E41" s="187">
        <f t="shared" si="24"/>
        <v>0.78255602308018846</v>
      </c>
      <c r="F41" s="187">
        <f t="shared" si="24"/>
        <v>0.78400970528165737</v>
      </c>
      <c r="G41" s="187">
        <f t="shared" si="24"/>
        <v>1.3040399006410681E-4</v>
      </c>
      <c r="H41" s="187">
        <f t="shared" si="24"/>
        <v>6.6643591155008124E-4</v>
      </c>
      <c r="I41" s="187">
        <f t="shared" si="24"/>
        <v>2.3788725628760966E-3</v>
      </c>
      <c r="J41" s="187">
        <f t="shared" si="24"/>
        <v>2.8888705297720386E-5</v>
      </c>
      <c r="K41" s="187">
        <f t="shared" si="24"/>
        <v>3.4727377778928669E-4</v>
      </c>
      <c r="L41" s="187">
        <f t="shared" si="24"/>
        <v>9.0888115631164126E-6</v>
      </c>
      <c r="M41" s="187">
        <f t="shared" si="24"/>
        <v>8.7087040916095637E-6</v>
      </c>
      <c r="Z41" s="377" t="s">
        <v>1706</v>
      </c>
      <c r="AB41" s="236">
        <v>0.61187535410764882</v>
      </c>
      <c r="AC41" s="236">
        <v>0.93100000000000005</v>
      </c>
      <c r="AD41" s="236">
        <v>0.55936284340239517</v>
      </c>
      <c r="AE41" s="236">
        <v>0.53405677898310422</v>
      </c>
      <c r="AF41" s="236">
        <v>0.53405677898310422</v>
      </c>
      <c r="AG41" s="236">
        <v>0.38576722387298257</v>
      </c>
      <c r="AH41" s="236">
        <v>0.38576722387298257</v>
      </c>
      <c r="AI41" s="236"/>
      <c r="AJ41" s="236">
        <v>0.93100000000000005</v>
      </c>
      <c r="AK41" s="236">
        <v>0.93100000000000005</v>
      </c>
      <c r="AL41" s="236">
        <v>0.61187535410764882</v>
      </c>
      <c r="AM41" s="236">
        <v>0.61187535410764882</v>
      </c>
      <c r="AN41" s="236">
        <v>0.61187535410764882</v>
      </c>
    </row>
    <row r="42" spans="1:40" x14ac:dyDescent="0.35">
      <c r="A42" s="17" t="s">
        <v>684</v>
      </c>
      <c r="B42" s="88">
        <v>18.256792005863954</v>
      </c>
      <c r="C42" s="186">
        <v>1.7604181433425327E-6</v>
      </c>
      <c r="D42" s="186">
        <v>3.4537641984010453E-6</v>
      </c>
      <c r="E42" s="186">
        <v>1.245622963150067</v>
      </c>
      <c r="F42" s="186">
        <v>1.2489048785802743</v>
      </c>
      <c r="G42" s="186">
        <v>2.9202656078326783E-4</v>
      </c>
      <c r="H42" s="186">
        <v>1.509305625184488E-3</v>
      </c>
      <c r="I42" s="186">
        <v>2.9413453321237132E-3</v>
      </c>
      <c r="J42" s="186">
        <v>4.1788360458874141E-5</v>
      </c>
      <c r="K42" s="186">
        <v>5.5319772441116935E-4</v>
      </c>
      <c r="L42" s="186">
        <v>1.3200308576073209E-5</v>
      </c>
      <c r="M42" s="186">
        <v>1.2546679322257512E-5</v>
      </c>
      <c r="Z42" s="377" t="s">
        <v>1707</v>
      </c>
      <c r="AB42" s="236">
        <v>0.20599999999999999</v>
      </c>
      <c r="AC42" s="236">
        <v>0.313</v>
      </c>
      <c r="AD42" s="236">
        <v>0.18832061949764511</v>
      </c>
      <c r="AE42" s="236">
        <v>0.17980082991079932</v>
      </c>
      <c r="AF42" s="236">
        <v>0.17980082991079932</v>
      </c>
      <c r="AG42" s="236">
        <v>0.12987620368159719</v>
      </c>
      <c r="AH42" s="236">
        <v>0.12987620368159719</v>
      </c>
      <c r="AI42" s="236"/>
      <c r="AJ42" s="236">
        <v>0.313</v>
      </c>
      <c r="AK42" s="236">
        <v>0.313</v>
      </c>
      <c r="AL42" s="236">
        <v>0.20599999999999999</v>
      </c>
      <c r="AM42" s="236">
        <v>0.20599999999999999</v>
      </c>
      <c r="AN42" s="236">
        <v>0.20599999999999999</v>
      </c>
    </row>
    <row r="43" spans="1:40" x14ac:dyDescent="0.35">
      <c r="A43" s="17" t="s">
        <v>685</v>
      </c>
      <c r="B43" s="88">
        <v>10.188714162444127</v>
      </c>
      <c r="C43" s="186">
        <v>5.596222775827154E-7</v>
      </c>
      <c r="D43" s="186">
        <v>1.0979228964733296E-6</v>
      </c>
      <c r="E43" s="186">
        <v>0.69574743944298656</v>
      </c>
      <c r="F43" s="186">
        <v>0.69698751283610516</v>
      </c>
      <c r="G43" s="186">
        <v>1.1347140370502054E-4</v>
      </c>
      <c r="H43" s="186">
        <v>5.6408599645447707E-4</v>
      </c>
      <c r="I43" s="186">
        <v>2.7522255606015275E-3</v>
      </c>
      <c r="J43" s="186">
        <v>2.8917217104159694E-5</v>
      </c>
      <c r="K43" s="186">
        <v>3.0872748550400203E-4</v>
      </c>
      <c r="L43" s="186">
        <v>9.0753760531598934E-6</v>
      </c>
      <c r="M43" s="186">
        <v>8.738709109649497E-6</v>
      </c>
    </row>
    <row r="44" spans="1:40" x14ac:dyDescent="0.35">
      <c r="A44" s="17" t="s">
        <v>686</v>
      </c>
      <c r="B44" s="88">
        <v>8.8680428938308538</v>
      </c>
      <c r="C44" s="186">
        <v>6.0612606321067107E-7</v>
      </c>
      <c r="D44" s="186">
        <v>1.1891586693488529E-6</v>
      </c>
      <c r="E44" s="186">
        <v>0.60587179091225996</v>
      </c>
      <c r="F44" s="186">
        <v>0.60664297047690796</v>
      </c>
      <c r="G44" s="186">
        <v>6.4859303050689737E-5</v>
      </c>
      <c r="H44" s="186">
        <v>3.6211301433152751E-4</v>
      </c>
      <c r="I44" s="186">
        <v>1.8779863474285368E-3</v>
      </c>
      <c r="J44" s="186">
        <v>2.1069234043578318E-5</v>
      </c>
      <c r="K44" s="186">
        <v>2.6870992161559201E-4</v>
      </c>
      <c r="L44" s="186">
        <v>6.6261965014930105E-6</v>
      </c>
      <c r="M44" s="186">
        <v>6.3538528358335875E-6</v>
      </c>
    </row>
    <row r="45" spans="1:40" x14ac:dyDescent="0.35">
      <c r="A45" s="17" t="s">
        <v>687</v>
      </c>
      <c r="B45" s="88">
        <v>8.5297713306780292</v>
      </c>
      <c r="C45" s="186">
        <v>2.5957033175070436E-7</v>
      </c>
      <c r="D45" s="186">
        <v>5.0925101070901072E-7</v>
      </c>
      <c r="E45" s="186">
        <v>0.58298189881544005</v>
      </c>
      <c r="F45" s="186">
        <v>0.58350345923334201</v>
      </c>
      <c r="G45" s="186">
        <v>5.1258692717449106E-5</v>
      </c>
      <c r="H45" s="186">
        <v>2.3023901022983236E-4</v>
      </c>
      <c r="I45" s="186">
        <v>1.9439330113506083E-3</v>
      </c>
      <c r="J45" s="186">
        <v>2.3780009584269375E-5</v>
      </c>
      <c r="K45" s="186">
        <v>2.5845997962638348E-4</v>
      </c>
      <c r="L45" s="186">
        <v>7.4533651217395357E-6</v>
      </c>
      <c r="M45" s="186">
        <v>7.1955750986976539E-6</v>
      </c>
    </row>
    <row r="46" spans="1:40" x14ac:dyDescent="0.35">
      <c r="A46" s="33" t="s">
        <v>675</v>
      </c>
    </row>
    <row r="47" spans="1:40" x14ac:dyDescent="0.35">
      <c r="A47" s="188" t="s">
        <v>699</v>
      </c>
      <c r="B47" s="106">
        <f t="shared" ref="B47:M47" si="25">AVERAGE(B48:B53)</f>
        <v>20.899705309438605</v>
      </c>
      <c r="C47" s="187">
        <f t="shared" si="25"/>
        <v>1.8406130121523389E-6</v>
      </c>
      <c r="D47" s="187">
        <f t="shared" si="25"/>
        <v>3.6110985043659239E-6</v>
      </c>
      <c r="E47" s="187">
        <f t="shared" si="25"/>
        <v>1.368589446804787</v>
      </c>
      <c r="F47" s="187">
        <f t="shared" si="25"/>
        <v>1.3761521237964416</v>
      </c>
      <c r="G47" s="187">
        <f t="shared" si="25"/>
        <v>6.4280054694787741E-4</v>
      </c>
      <c r="H47" s="187">
        <f t="shared" si="25"/>
        <v>3.5377248796061842E-3</v>
      </c>
      <c r="I47" s="187">
        <f t="shared" si="25"/>
        <v>4.5286356417330968E-3</v>
      </c>
      <c r="J47" s="187">
        <f t="shared" si="25"/>
        <v>1.450052408232904E-5</v>
      </c>
      <c r="K47" s="187">
        <f t="shared" si="25"/>
        <v>0</v>
      </c>
      <c r="L47" s="187">
        <f t="shared" si="25"/>
        <v>4.5603313584000933E-6</v>
      </c>
      <c r="M47" s="187">
        <f t="shared" si="25"/>
        <v>4.3729544683426451E-6</v>
      </c>
    </row>
    <row r="48" spans="1:40" x14ac:dyDescent="0.35">
      <c r="A48" s="17" t="s">
        <v>678</v>
      </c>
      <c r="B48" s="88">
        <v>14.827346925083397</v>
      </c>
      <c r="C48" s="186">
        <v>1.1340628679880768E-6</v>
      </c>
      <c r="D48" s="186">
        <v>2.2249178395516701E-6</v>
      </c>
      <c r="E48" s="186">
        <v>0.97467184349555436</v>
      </c>
      <c r="F48" s="186">
        <v>0.97631495426071613</v>
      </c>
      <c r="G48" s="186">
        <v>1.1750267782161267E-4</v>
      </c>
      <c r="H48" s="186">
        <v>8.1256896378707429E-4</v>
      </c>
      <c r="I48" s="186">
        <v>2.9162569481672412E-3</v>
      </c>
      <c r="J48" s="186">
        <v>2.9829311468314873E-6</v>
      </c>
      <c r="K48" s="186">
        <v>0</v>
      </c>
      <c r="L48" s="186">
        <v>9.4319655878104245E-7</v>
      </c>
      <c r="M48" s="186">
        <v>8.9471298810372224E-7</v>
      </c>
    </row>
    <row r="49" spans="1:13" x14ac:dyDescent="0.35">
      <c r="A49" s="17" t="s">
        <v>679</v>
      </c>
      <c r="B49" s="88">
        <v>13.596296817627175</v>
      </c>
      <c r="C49" s="186">
        <v>3.9714370718596849E-7</v>
      </c>
      <c r="D49" s="186">
        <v>7.7915620370442821E-7</v>
      </c>
      <c r="E49" s="186">
        <v>0.89437194058477854</v>
      </c>
      <c r="F49" s="186">
        <v>0.89525753875410075</v>
      </c>
      <c r="G49" s="186">
        <v>4.7745374830266195E-5</v>
      </c>
      <c r="H49" s="186">
        <v>4.6886747797350781E-4</v>
      </c>
      <c r="I49" s="186">
        <v>2.3662072556165608E-3</v>
      </c>
      <c r="J49" s="186">
        <v>2.5143689805184258E-6</v>
      </c>
      <c r="K49" s="186">
        <v>0</v>
      </c>
      <c r="L49" s="186">
        <v>7.8951460567645857E-7</v>
      </c>
      <c r="M49" s="186">
        <v>7.5944855809063353E-7</v>
      </c>
    </row>
    <row r="50" spans="1:13" x14ac:dyDescent="0.35">
      <c r="A50" s="17" t="s">
        <v>680</v>
      </c>
      <c r="B50" s="88">
        <v>12.764203106605896</v>
      </c>
      <c r="C50" s="186">
        <v>3.6003170315941283E-7</v>
      </c>
      <c r="D50" s="186">
        <v>7.0634616631497967E-7</v>
      </c>
      <c r="E50" s="186">
        <v>0.83999230688850857</v>
      </c>
      <c r="F50" s="186">
        <v>0.84046778983276027</v>
      </c>
      <c r="G50" s="186">
        <v>2.9036657606276607E-5</v>
      </c>
      <c r="H50" s="186">
        <v>2.4499068451380626E-4</v>
      </c>
      <c r="I50" s="186">
        <v>2.631759549291211E-3</v>
      </c>
      <c r="J50" s="186">
        <v>2.175366727330985E-6</v>
      </c>
      <c r="K50" s="186">
        <v>0</v>
      </c>
      <c r="L50" s="186">
        <v>6.8271782054127988E-7</v>
      </c>
      <c r="M50" s="186">
        <v>6.5738932948957053E-7</v>
      </c>
    </row>
    <row r="51" spans="1:13" x14ac:dyDescent="0.35">
      <c r="A51" s="17" t="s">
        <v>681</v>
      </c>
      <c r="B51" s="88">
        <v>14.220763399815288</v>
      </c>
      <c r="C51" s="186">
        <v>6.3882025943789797E-7</v>
      </c>
      <c r="D51" s="186">
        <v>1.2533014100108502E-6</v>
      </c>
      <c r="E51" s="186">
        <v>0.93577140305281714</v>
      </c>
      <c r="F51" s="186">
        <v>0.93637535698571084</v>
      </c>
      <c r="G51" s="186">
        <v>4.6521305872631352E-5</v>
      </c>
      <c r="H51" s="186">
        <v>2.9206706428498469E-4</v>
      </c>
      <c r="I51" s="186">
        <v>2.3503090539841315E-3</v>
      </c>
      <c r="J51" s="186">
        <v>2.3094415283338573E-6</v>
      </c>
      <c r="K51" s="186">
        <v>0</v>
      </c>
      <c r="L51" s="186">
        <v>7.2742182285339171E-7</v>
      </c>
      <c r="M51" s="186">
        <v>6.9539711968848212E-7</v>
      </c>
    </row>
    <row r="52" spans="1:13" x14ac:dyDescent="0.35">
      <c r="A52" s="17" t="s">
        <v>682</v>
      </c>
      <c r="B52" s="88">
        <v>27.146002370456898</v>
      </c>
      <c r="C52" s="186">
        <v>2.5767515212977595E-6</v>
      </c>
      <c r="D52" s="186">
        <v>5.0553285797975418E-6</v>
      </c>
      <c r="E52" s="186">
        <v>1.7837800099016812</v>
      </c>
      <c r="F52" s="186">
        <v>1.7874423380336044</v>
      </c>
      <c r="G52" s="186">
        <v>1.7203429306633365E-4</v>
      </c>
      <c r="H52" s="186">
        <v>1.9893710996725755E-3</v>
      </c>
      <c r="I52" s="186">
        <v>3.7408952737373242E-3</v>
      </c>
      <c r="J52" s="186">
        <v>4.6717418373489197E-6</v>
      </c>
      <c r="K52" s="186">
        <v>0</v>
      </c>
      <c r="L52" s="186">
        <v>1.4777024163130879E-6</v>
      </c>
      <c r="M52" s="186">
        <v>1.4007770986593075E-6</v>
      </c>
    </row>
    <row r="53" spans="1:13" x14ac:dyDescent="0.35">
      <c r="A53" s="17" t="s">
        <v>683</v>
      </c>
      <c r="B53" s="88">
        <v>42.843619237042972</v>
      </c>
      <c r="C53" s="186">
        <v>5.9368680138449185E-6</v>
      </c>
      <c r="D53" s="186">
        <v>1.1647540826816073E-5</v>
      </c>
      <c r="E53" s="186">
        <v>2.7829491769053818</v>
      </c>
      <c r="F53" s="186">
        <v>2.8210547649117554</v>
      </c>
      <c r="G53" s="186">
        <v>3.443962972490144E-3</v>
      </c>
      <c r="H53" s="186">
        <v>1.7418483987405156E-2</v>
      </c>
      <c r="I53" s="186">
        <v>1.3166385769602112E-2</v>
      </c>
      <c r="J53" s="186">
        <v>7.234929427361056E-5</v>
      </c>
      <c r="K53" s="186">
        <v>0</v>
      </c>
      <c r="L53" s="186">
        <v>2.27414349262353E-5</v>
      </c>
      <c r="M53" s="186">
        <v>2.1830001716024152E-5</v>
      </c>
    </row>
    <row r="54" spans="1:13" x14ac:dyDescent="0.35">
      <c r="A54" s="188" t="s">
        <v>700</v>
      </c>
      <c r="B54" s="106">
        <f t="shared" ref="B54:M54" si="26">AVERAGE(B55:B58)</f>
        <v>11.426447607909628</v>
      </c>
      <c r="C54" s="187">
        <f t="shared" si="26"/>
        <v>7.9643420397165584E-7</v>
      </c>
      <c r="D54" s="187">
        <f t="shared" si="26"/>
        <v>1.5625241937330596E-6</v>
      </c>
      <c r="E54" s="187">
        <f t="shared" si="26"/>
        <v>0.75095471467262886</v>
      </c>
      <c r="F54" s="187">
        <f t="shared" si="26"/>
        <v>0.75238104905953584</v>
      </c>
      <c r="G54" s="187">
        <f t="shared" si="26"/>
        <v>1.3040399006410681E-4</v>
      </c>
      <c r="H54" s="187">
        <f t="shared" si="26"/>
        <v>6.4903275682878824E-4</v>
      </c>
      <c r="I54" s="187">
        <f t="shared" si="26"/>
        <v>2.181182693341182E-3</v>
      </c>
      <c r="J54" s="187">
        <f t="shared" si="26"/>
        <v>2.3327657199536128E-6</v>
      </c>
      <c r="K54" s="187">
        <f t="shared" si="26"/>
        <v>0</v>
      </c>
      <c r="L54" s="187">
        <f t="shared" si="26"/>
        <v>7.3961484241585266E-7</v>
      </c>
      <c r="M54" s="187">
        <f t="shared" si="26"/>
        <v>6.9778924872314493E-7</v>
      </c>
    </row>
    <row r="55" spans="1:13" x14ac:dyDescent="0.35">
      <c r="A55" s="17" t="s">
        <v>684</v>
      </c>
      <c r="B55" s="88">
        <v>18.202021629846364</v>
      </c>
      <c r="C55" s="186">
        <v>1.7604181433425327E-6</v>
      </c>
      <c r="D55" s="186">
        <v>3.4537641984010453E-6</v>
      </c>
      <c r="E55" s="186">
        <v>1.195302026214069</v>
      </c>
      <c r="F55" s="186">
        <v>1.1985212856708287</v>
      </c>
      <c r="G55" s="186">
        <v>2.9202656078326783E-4</v>
      </c>
      <c r="H55" s="186">
        <v>1.4694336420815086E-3</v>
      </c>
      <c r="I55" s="186">
        <v>2.6968898934432222E-3</v>
      </c>
      <c r="J55" s="186">
        <v>3.5237039539158121E-6</v>
      </c>
      <c r="K55" s="186">
        <v>0</v>
      </c>
      <c r="L55" s="186">
        <v>1.1273651655692423E-6</v>
      </c>
      <c r="M55" s="186">
        <v>1.0443229512870576E-6</v>
      </c>
    </row>
    <row r="56" spans="1:13" x14ac:dyDescent="0.35">
      <c r="A56" s="17" t="s">
        <v>685</v>
      </c>
      <c r="B56" s="88">
        <v>10.158148019956792</v>
      </c>
      <c r="C56" s="186">
        <v>5.596222775827154E-7</v>
      </c>
      <c r="D56" s="186">
        <v>1.0979228964733296E-6</v>
      </c>
      <c r="E56" s="186">
        <v>0.66765021928253665</v>
      </c>
      <c r="F56" s="186">
        <v>0.66886953753867007</v>
      </c>
      <c r="G56" s="186">
        <v>1.1347140370502054E-4</v>
      </c>
      <c r="H56" s="186">
        <v>5.5087818200933749E-4</v>
      </c>
      <c r="I56" s="186">
        <v>2.5235270044767066E-3</v>
      </c>
      <c r="J56" s="186">
        <v>2.2720458966407403E-6</v>
      </c>
      <c r="K56" s="186">
        <v>0</v>
      </c>
      <c r="L56" s="186">
        <v>7.1607537292726215E-7</v>
      </c>
      <c r="M56" s="186">
        <v>6.8372378861582092E-7</v>
      </c>
    </row>
    <row r="57" spans="1:13" x14ac:dyDescent="0.35">
      <c r="A57" s="17" t="s">
        <v>686</v>
      </c>
      <c r="B57" s="88">
        <v>8.8414387651493591</v>
      </c>
      <c r="C57" s="186">
        <v>6.0612606321067107E-7</v>
      </c>
      <c r="D57" s="186">
        <v>1.1891586693488529E-6</v>
      </c>
      <c r="E57" s="186">
        <v>0.58141790476136113</v>
      </c>
      <c r="F57" s="186">
        <v>0.58216967511796591</v>
      </c>
      <c r="G57" s="186">
        <v>6.4859303050689737E-5</v>
      </c>
      <c r="H57" s="186">
        <v>3.4976170012223761E-4</v>
      </c>
      <c r="I57" s="186">
        <v>1.7219081270641885E-3</v>
      </c>
      <c r="J57" s="186">
        <v>1.6943264954091397E-6</v>
      </c>
      <c r="K57" s="186">
        <v>0</v>
      </c>
      <c r="L57" s="186">
        <v>5.3671717506267019E-7</v>
      </c>
      <c r="M57" s="186">
        <v>5.072720786426758E-7</v>
      </c>
    </row>
    <row r="58" spans="1:13" x14ac:dyDescent="0.35">
      <c r="A58" s="17" t="s">
        <v>687</v>
      </c>
      <c r="B58" s="88">
        <v>8.5041820166859949</v>
      </c>
      <c r="C58" s="186">
        <v>2.5957033175070436E-7</v>
      </c>
      <c r="D58" s="186">
        <v>5.0925101070901072E-7</v>
      </c>
      <c r="E58" s="186">
        <v>0.5594487084325489</v>
      </c>
      <c r="F58" s="186">
        <v>0.55996369791067868</v>
      </c>
      <c r="G58" s="186">
        <v>5.1258692717449106E-5</v>
      </c>
      <c r="H58" s="186">
        <v>2.2605750310206903E-4</v>
      </c>
      <c r="I58" s="186">
        <v>1.7824057483806104E-3</v>
      </c>
      <c r="J58" s="186">
        <v>1.8409865338487592E-6</v>
      </c>
      <c r="K58" s="186">
        <v>0</v>
      </c>
      <c r="L58" s="186">
        <v>5.7830165610423578E-7</v>
      </c>
      <c r="M58" s="186">
        <v>5.5583817634702541E-7</v>
      </c>
    </row>
    <row r="59" spans="1:13" x14ac:dyDescent="0.35">
      <c r="A59" s="33" t="s">
        <v>1118</v>
      </c>
    </row>
    <row r="60" spans="1:13" x14ac:dyDescent="0.35">
      <c r="A60" s="188" t="s">
        <v>699</v>
      </c>
      <c r="B60" s="106">
        <f t="shared" ref="B60:M60" si="27">AVERAGE(B61:B66)</f>
        <v>20.903423300141984</v>
      </c>
      <c r="C60" s="187">
        <f t="shared" si="27"/>
        <v>1.8406130121523389E-6</v>
      </c>
      <c r="D60" s="187">
        <f t="shared" si="27"/>
        <v>3.6110985043659239E-6</v>
      </c>
      <c r="E60" s="187">
        <f t="shared" si="27"/>
        <v>1.3960676953616395</v>
      </c>
      <c r="F60" s="187">
        <f t="shared" si="27"/>
        <v>1.4036731544524474</v>
      </c>
      <c r="G60" s="187">
        <f t="shared" si="27"/>
        <v>6.4280054694787741E-4</v>
      </c>
      <c r="H60" s="187">
        <f t="shared" si="27"/>
        <v>3.5649498517949345E-3</v>
      </c>
      <c r="I60" s="187">
        <f t="shared" si="27"/>
        <v>4.4986520755790063E-3</v>
      </c>
      <c r="J60" s="187">
        <f t="shared" si="27"/>
        <v>5.4101352536147351E-5</v>
      </c>
      <c r="K60" s="187">
        <f t="shared" si="27"/>
        <v>3.2257472681385216E-4</v>
      </c>
      <c r="L60" s="187">
        <f t="shared" si="27"/>
        <v>1.7001068736375124E-5</v>
      </c>
      <c r="M60" s="187">
        <f t="shared" si="27"/>
        <v>1.6328357554449912E-5</v>
      </c>
    </row>
    <row r="61" spans="1:13" x14ac:dyDescent="0.35">
      <c r="A61" s="17" t="s">
        <v>678</v>
      </c>
      <c r="B61" s="88">
        <v>14.849654869303681</v>
      </c>
      <c r="C61" s="186">
        <v>1.1340628679880768E-6</v>
      </c>
      <c r="D61" s="186">
        <v>2.2249178395516701E-6</v>
      </c>
      <c r="E61" s="186">
        <v>0.99551639022499538</v>
      </c>
      <c r="F61" s="186">
        <v>0.99716068353892617</v>
      </c>
      <c r="G61" s="186">
        <v>1.1750267782161267E-4</v>
      </c>
      <c r="H61" s="186">
        <v>8.1332149482188419E-4</v>
      </c>
      <c r="I61" s="186">
        <v>2.9388391730251046E-3</v>
      </c>
      <c r="J61" s="186">
        <v>3.3211356114993232E-5</v>
      </c>
      <c r="K61" s="186">
        <v>2.291549711244229E-4</v>
      </c>
      <c r="L61" s="186">
        <v>1.041235349453906E-5</v>
      </c>
      <c r="M61" s="186">
        <v>1.0046606273654381E-5</v>
      </c>
    </row>
    <row r="62" spans="1:13" x14ac:dyDescent="0.35">
      <c r="A62" s="17" t="s">
        <v>679</v>
      </c>
      <c r="B62" s="88">
        <v>13.596296817627175</v>
      </c>
      <c r="C62" s="186">
        <v>3.9714370718596849E-7</v>
      </c>
      <c r="D62" s="186">
        <v>7.7915620370442821E-7</v>
      </c>
      <c r="E62" s="186">
        <v>0.91211288732367457</v>
      </c>
      <c r="F62" s="186">
        <v>0.91299891694533475</v>
      </c>
      <c r="G62" s="186">
        <v>4.7745374830266195E-5</v>
      </c>
      <c r="H62" s="186">
        <v>4.6914203855222747E-4</v>
      </c>
      <c r="I62" s="186">
        <v>2.3698415337960253E-3</v>
      </c>
      <c r="J62" s="186">
        <v>2.9227417463434366E-5</v>
      </c>
      <c r="K62" s="186">
        <v>2.0981356348442429E-4</v>
      </c>
      <c r="L62" s="186">
        <v>9.1527200280922756E-6</v>
      </c>
      <c r="M62" s="186">
        <v>8.85157083436273E-6</v>
      </c>
    </row>
    <row r="63" spans="1:13" x14ac:dyDescent="0.35">
      <c r="A63" s="17" t="s">
        <v>680</v>
      </c>
      <c r="B63" s="88">
        <v>12.764203106605896</v>
      </c>
      <c r="C63" s="186">
        <v>3.6003170315941283E-7</v>
      </c>
      <c r="D63" s="186">
        <v>7.0634616631497967E-7</v>
      </c>
      <c r="E63" s="186">
        <v>0.85664755260000747</v>
      </c>
      <c r="F63" s="186">
        <v>0.85712339522749004</v>
      </c>
      <c r="G63" s="186">
        <v>2.9036657606276607E-5</v>
      </c>
      <c r="H63" s="186">
        <v>2.4521957384252539E-4</v>
      </c>
      <c r="I63" s="186">
        <v>2.6381566536687298E-3</v>
      </c>
      <c r="J63" s="186">
        <v>2.5364861814960331E-5</v>
      </c>
      <c r="K63" s="186">
        <v>1.9697296806317621E-4</v>
      </c>
      <c r="L63" s="186">
        <v>7.9424976979604653E-6</v>
      </c>
      <c r="M63" s="186">
        <v>7.682403666716339E-6</v>
      </c>
    </row>
    <row r="64" spans="1:13" x14ac:dyDescent="0.35">
      <c r="A64" s="17" t="s">
        <v>681</v>
      </c>
      <c r="B64" s="88">
        <v>14.220763399815288</v>
      </c>
      <c r="C64" s="186">
        <v>6.3882025943789797E-7</v>
      </c>
      <c r="D64" s="186">
        <v>1.2533014100108502E-6</v>
      </c>
      <c r="E64" s="186">
        <v>0.95432720363682089</v>
      </c>
      <c r="F64" s="186">
        <v>0.95493158189226668</v>
      </c>
      <c r="G64" s="186">
        <v>4.6521305872631352E-5</v>
      </c>
      <c r="H64" s="186">
        <v>2.9233708772723709E-4</v>
      </c>
      <c r="I64" s="186">
        <v>2.3699047090907487E-3</v>
      </c>
      <c r="J64" s="186">
        <v>2.6342037796928445E-5</v>
      </c>
      <c r="K64" s="186">
        <v>2.1945012560448346E-4</v>
      </c>
      <c r="L64" s="186">
        <v>8.2532914618222154E-6</v>
      </c>
      <c r="M64" s="186">
        <v>7.9737697602583131E-6</v>
      </c>
    </row>
    <row r="65" spans="1:24" x14ac:dyDescent="0.35">
      <c r="A65" s="17" t="s">
        <v>682</v>
      </c>
      <c r="B65" s="88">
        <v>27.146002370456898</v>
      </c>
      <c r="C65" s="186">
        <v>2.5767515212977595E-6</v>
      </c>
      <c r="D65" s="186">
        <v>5.0553285797975418E-6</v>
      </c>
      <c r="E65" s="186">
        <v>1.8191977187325645</v>
      </c>
      <c r="F65" s="186">
        <v>1.8228642989465218</v>
      </c>
      <c r="G65" s="186">
        <v>1.7203429306633365E-4</v>
      </c>
      <c r="H65" s="186">
        <v>1.9920769700579352E-3</v>
      </c>
      <c r="I65" s="186">
        <v>3.7800170564355039E-3</v>
      </c>
      <c r="J65" s="186">
        <v>5.1900961544667437E-5</v>
      </c>
      <c r="K65" s="186">
        <v>4.1890814595324391E-4</v>
      </c>
      <c r="L65" s="186">
        <v>1.6272852328503585E-5</v>
      </c>
      <c r="M65" s="186">
        <v>1.5699377821457012E-5</v>
      </c>
    </row>
    <row r="66" spans="1:24" x14ac:dyDescent="0.35">
      <c r="A66" s="17" t="s">
        <v>683</v>
      </c>
      <c r="B66" s="88">
        <v>42.843619237042972</v>
      </c>
      <c r="C66" s="186">
        <v>5.9368680138449185E-6</v>
      </c>
      <c r="D66" s="186">
        <v>1.1647540826816073E-5</v>
      </c>
      <c r="E66" s="186">
        <v>2.8386044196517735</v>
      </c>
      <c r="F66" s="186">
        <v>2.8769600501641457</v>
      </c>
      <c r="G66" s="186">
        <v>3.443962972490144E-3</v>
      </c>
      <c r="H66" s="186">
        <v>1.7577601945767796E-2</v>
      </c>
      <c r="I66" s="186">
        <v>1.2895153327457927E-2</v>
      </c>
      <c r="J66" s="186">
        <v>1.5856148048190032E-4</v>
      </c>
      <c r="K66" s="186">
        <v>6.6114858665336257E-4</v>
      </c>
      <c r="L66" s="186">
        <v>4.9972697407333152E-5</v>
      </c>
      <c r="M66" s="186">
        <v>4.7716416970250708E-5</v>
      </c>
    </row>
    <row r="67" spans="1:24" x14ac:dyDescent="0.35">
      <c r="A67" s="188" t="s">
        <v>700</v>
      </c>
      <c r="B67" s="106">
        <f t="shared" ref="B67:M67" si="28">AVERAGE(B68:B71)</f>
        <v>11.426447607909628</v>
      </c>
      <c r="C67" s="187">
        <f t="shared" si="28"/>
        <v>7.9643420397165584E-7</v>
      </c>
      <c r="D67" s="187">
        <f t="shared" si="28"/>
        <v>1.5625241937330596E-6</v>
      </c>
      <c r="E67" s="187">
        <f t="shared" si="28"/>
        <v>0.76586382580535195</v>
      </c>
      <c r="F67" s="187">
        <f t="shared" si="28"/>
        <v>0.76729105956558952</v>
      </c>
      <c r="G67" s="187">
        <f t="shared" si="28"/>
        <v>1.3040399006410681E-4</v>
      </c>
      <c r="H67" s="187">
        <f t="shared" si="28"/>
        <v>6.4960508531196597E-4</v>
      </c>
      <c r="I67" s="187">
        <f t="shared" si="28"/>
        <v>2.198176688029583E-3</v>
      </c>
      <c r="J67" s="187">
        <f t="shared" si="28"/>
        <v>2.5526290664637798E-5</v>
      </c>
      <c r="K67" s="187">
        <f t="shared" si="28"/>
        <v>1.7632916688575155E-4</v>
      </c>
      <c r="L67" s="187">
        <f t="shared" si="28"/>
        <v>8.006783880680016E-6</v>
      </c>
      <c r="M67" s="187">
        <f t="shared" si="28"/>
        <v>7.7181691644101304E-6</v>
      </c>
    </row>
    <row r="68" spans="1:24" ht="15.5" x14ac:dyDescent="0.35">
      <c r="A68" s="17" t="s">
        <v>684</v>
      </c>
      <c r="B68" s="88">
        <v>18.202021629846364</v>
      </c>
      <c r="C68" s="186">
        <v>1.7604181433425327E-6</v>
      </c>
      <c r="D68" s="186">
        <v>3.4537641984010453E-6</v>
      </c>
      <c r="E68" s="186">
        <v>1.2190512086771024</v>
      </c>
      <c r="F68" s="186">
        <v>1.2222725286682203</v>
      </c>
      <c r="G68" s="186">
        <v>2.9202656078326783E-4</v>
      </c>
      <c r="H68" s="186">
        <v>1.4707448912185802E-3</v>
      </c>
      <c r="I68" s="186">
        <v>2.7304085201080601E-3</v>
      </c>
      <c r="J68" s="186">
        <v>3.6290841125587217E-5</v>
      </c>
      <c r="K68" s="186">
        <v>2.8088758814292576E-4</v>
      </c>
      <c r="L68" s="186">
        <v>1.1403109139994489E-5</v>
      </c>
      <c r="M68" s="186">
        <v>1.0954007920819932E-5</v>
      </c>
      <c r="O68" s="318" t="s">
        <v>1151</v>
      </c>
      <c r="P68" s="318"/>
      <c r="Q68" s="318"/>
      <c r="R68" s="318"/>
      <c r="S68" s="318"/>
      <c r="T68" s="318"/>
      <c r="U68" s="318"/>
      <c r="V68" s="318"/>
    </row>
    <row r="69" spans="1:24" ht="15" thickBot="1" x14ac:dyDescent="0.4">
      <c r="A69" s="17" t="s">
        <v>685</v>
      </c>
      <c r="B69" s="88">
        <v>10.158148019956792</v>
      </c>
      <c r="C69" s="186">
        <v>5.596222775827154E-7</v>
      </c>
      <c r="D69" s="186">
        <v>1.0979228964733296E-6</v>
      </c>
      <c r="E69" s="186">
        <v>0.68090458316025604</v>
      </c>
      <c r="F69" s="186">
        <v>0.68212458397976716</v>
      </c>
      <c r="G69" s="186">
        <v>1.1347140370502054E-4</v>
      </c>
      <c r="H69" s="186">
        <v>5.5131254052240817E-4</v>
      </c>
      <c r="I69" s="186">
        <v>2.5333993273305589E-3</v>
      </c>
      <c r="J69" s="186">
        <v>2.5818992896633238E-5</v>
      </c>
      <c r="K69" s="186">
        <v>1.5675718639109122E-4</v>
      </c>
      <c r="L69" s="186">
        <v>8.0902245727907415E-6</v>
      </c>
      <c r="M69" s="186">
        <v>7.8146697091417603E-6</v>
      </c>
      <c r="O69" s="121" t="s">
        <v>638</v>
      </c>
      <c r="P69" s="121">
        <v>2020</v>
      </c>
      <c r="Q69" s="121">
        <v>2025</v>
      </c>
      <c r="R69" s="121">
        <v>2030</v>
      </c>
      <c r="S69" s="121">
        <v>2035</v>
      </c>
      <c r="T69" s="121">
        <v>2040</v>
      </c>
      <c r="U69" s="121">
        <v>2045</v>
      </c>
      <c r="V69" s="121">
        <v>2050</v>
      </c>
    </row>
    <row r="70" spans="1:24" ht="15" thickTop="1" x14ac:dyDescent="0.35">
      <c r="A70" s="17" t="s">
        <v>686</v>
      </c>
      <c r="B70" s="88">
        <v>8.8414387651493591</v>
      </c>
      <c r="C70" s="186">
        <v>6.0612606321067107E-7</v>
      </c>
      <c r="D70" s="186">
        <v>1.1891586693488529E-6</v>
      </c>
      <c r="E70" s="186">
        <v>0.59295418059203853</v>
      </c>
      <c r="F70" s="186">
        <v>0.59370658924915709</v>
      </c>
      <c r="G70" s="186">
        <v>6.4859303050689737E-5</v>
      </c>
      <c r="H70" s="186">
        <v>3.5016789135824413E-4</v>
      </c>
      <c r="I70" s="186">
        <v>1.7425561536897566E-3</v>
      </c>
      <c r="J70" s="186">
        <v>1.8646724843871262E-5</v>
      </c>
      <c r="K70" s="186">
        <v>1.3643816390065093E-4</v>
      </c>
      <c r="L70" s="186">
        <v>5.8479514330888123E-6</v>
      </c>
      <c r="M70" s="186">
        <v>5.6389433621562012E-6</v>
      </c>
      <c r="O70" s="263" t="s">
        <v>1116</v>
      </c>
      <c r="P70" s="303" t="e">
        <f t="shared" ref="P70:V70" si="29">P71*$M$76 + P72*$M$77 + P73*$M$78</f>
        <v>#DIV/0!</v>
      </c>
      <c r="Q70" s="303" t="e">
        <f t="shared" si="29"/>
        <v>#DIV/0!</v>
      </c>
      <c r="R70" s="303" t="e">
        <f t="shared" si="29"/>
        <v>#DIV/0!</v>
      </c>
      <c r="S70" s="303" t="e">
        <f t="shared" si="29"/>
        <v>#DIV/0!</v>
      </c>
      <c r="T70" s="303" t="e">
        <f t="shared" si="29"/>
        <v>#DIV/0!</v>
      </c>
      <c r="U70" s="303" t="e">
        <f t="shared" si="29"/>
        <v>#DIV/0!</v>
      </c>
      <c r="V70" s="303" t="e">
        <f t="shared" si="29"/>
        <v>#DIV/0!</v>
      </c>
    </row>
    <row r="71" spans="1:24" x14ac:dyDescent="0.35">
      <c r="A71" s="17" t="s">
        <v>687</v>
      </c>
      <c r="B71" s="88">
        <v>8.5041820166859949</v>
      </c>
      <c r="C71" s="186">
        <v>2.5957033175070436E-7</v>
      </c>
      <c r="D71" s="186">
        <v>5.0925101070901072E-7</v>
      </c>
      <c r="E71" s="186">
        <v>0.57054533079201075</v>
      </c>
      <c r="F71" s="186">
        <v>0.5710605363652137</v>
      </c>
      <c r="G71" s="186">
        <v>5.1258692717449106E-5</v>
      </c>
      <c r="H71" s="186">
        <v>2.2619501814863136E-4</v>
      </c>
      <c r="I71" s="186">
        <v>1.7863427509899562E-3</v>
      </c>
      <c r="J71" s="186">
        <v>2.1348603792459478E-5</v>
      </c>
      <c r="K71" s="186">
        <v>1.3123372910833826E-4</v>
      </c>
      <c r="L71" s="186">
        <v>6.6858503768460218E-6</v>
      </c>
      <c r="M71" s="186">
        <v>6.4650556655226258E-6</v>
      </c>
      <c r="O71" s="17" t="s">
        <v>1148</v>
      </c>
      <c r="P71" s="73">
        <f>C76/1000000</f>
        <v>9.1467964431526244E-2</v>
      </c>
      <c r="Q71" s="73">
        <f>P71/'OEO &amp; EPAUS9rT-HDV Data'!AB$5</f>
        <v>8.6894566209949925E-2</v>
      </c>
      <c r="R71" s="73">
        <f>Q71/'OEO &amp; EPAUS9rT-HDV Data'!AC$5</f>
        <v>8.2549837899452402E-2</v>
      </c>
      <c r="S71" s="73">
        <f>R71/'OEO &amp; EPAUS9rT-HDV Data'!AD$5</f>
        <v>7.8422346004479865E-2</v>
      </c>
      <c r="T71" s="73">
        <f>S71/'OEO &amp; EPAUS9rT-HDV Data'!AE$5</f>
        <v>7.4501228704255795E-2</v>
      </c>
      <c r="U71" s="73">
        <f>T71/'OEO &amp; EPAUS9rT-HDV Data'!AF$5</f>
        <v>7.0776167269042983E-2</v>
      </c>
      <c r="V71" s="73">
        <f>U71/'OEO &amp; EPAUS9rT-HDV Data'!AG$5</f>
        <v>6.7237358905590891E-2</v>
      </c>
      <c r="W71" s="73"/>
    </row>
    <row r="72" spans="1:24" x14ac:dyDescent="0.35">
      <c r="A72" s="92" t="s">
        <v>701</v>
      </c>
      <c r="O72" s="17" t="s">
        <v>1149</v>
      </c>
      <c r="P72" s="73">
        <f>C77/1000000</f>
        <v>4.1610653027499354E-2</v>
      </c>
      <c r="Q72" s="73">
        <f>P72/'OEO &amp; EPAUS9rT-HDV Data'!AB$5</f>
        <v>3.9530120376124384E-2</v>
      </c>
      <c r="R72" s="73">
        <f>Q72/'OEO &amp; EPAUS9rT-HDV Data'!AC$5</f>
        <v>3.7553614357318153E-2</v>
      </c>
      <c r="S72" s="73">
        <f>R72/'OEO &amp; EPAUS9rT-HDV Data'!AD$5</f>
        <v>3.5675933639452283E-2</v>
      </c>
      <c r="T72" s="73">
        <f>S72/'OEO &amp; EPAUS9rT-HDV Data'!AE$5</f>
        <v>3.3892136957479634E-2</v>
      </c>
      <c r="U72" s="73">
        <f>T72/'OEO &amp; EPAUS9rT-HDV Data'!AF$5</f>
        <v>3.2197530109605639E-2</v>
      </c>
      <c r="V72" s="73">
        <f>U72/'OEO &amp; EPAUS9rT-HDV Data'!AG$5</f>
        <v>3.0587653604125385E-2</v>
      </c>
    </row>
    <row r="73" spans="1:24" x14ac:dyDescent="0.35">
      <c r="O73" s="17" t="s">
        <v>1323</v>
      </c>
      <c r="P73" s="73">
        <f>C78/1000000</f>
        <v>1.817410753582354</v>
      </c>
      <c r="Q73" s="73">
        <f>1/('OEO &amp; EPAUS9rT-HDV Data'!S18*km_mile)</f>
        <v>1.7265149670736504</v>
      </c>
      <c r="R73" s="73">
        <f>1/('OEO &amp; EPAUS9rT-HDV Data'!T18*km_mile)</f>
        <v>1.6399386029290226</v>
      </c>
      <c r="S73" s="73">
        <f>1/('OEO &amp; EPAUS9rT-HDV Data'!U18*km_mile)</f>
        <v>1.5581061601048314</v>
      </c>
      <c r="T73" s="73">
        <f>1/('OEO &amp; EPAUS9rT-HDV Data'!V18*km_mile)</f>
        <v>1.4801637366598539</v>
      </c>
      <c r="U73" s="73">
        <f>1/('OEO &amp; EPAUS9rT-HDV Data'!W18*km_mile)</f>
        <v>1.4061388021041112</v>
      </c>
      <c r="V73" s="73">
        <f>1/('OEO &amp; EPAUS9rT-HDV Data'!X18*km_mile)</f>
        <v>1.3359981437321151</v>
      </c>
      <c r="X73" s="303"/>
    </row>
    <row r="74" spans="1:24" ht="31" customHeight="1" thickBot="1" x14ac:dyDescent="0.4">
      <c r="A74" s="494" t="s">
        <v>1318</v>
      </c>
      <c r="B74" s="494"/>
      <c r="C74" s="494"/>
      <c r="D74" s="494"/>
      <c r="E74" s="494"/>
      <c r="F74" s="494"/>
      <c r="G74" s="494"/>
      <c r="H74" s="189"/>
      <c r="I74" s="554" t="s">
        <v>1333</v>
      </c>
      <c r="J74" s="554"/>
      <c r="K74" s="554"/>
      <c r="L74" s="554"/>
      <c r="M74" s="554"/>
      <c r="O74" s="263" t="s">
        <v>1115</v>
      </c>
      <c r="P74" s="303" t="e">
        <f t="shared" ref="P74:V74" si="30">P75*$M$76 + P76*$M$77 + P77*$M$78</f>
        <v>#DIV/0!</v>
      </c>
      <c r="Q74" s="303" t="e">
        <f t="shared" si="30"/>
        <v>#DIV/0!</v>
      </c>
      <c r="R74" s="303" t="e">
        <f t="shared" si="30"/>
        <v>#DIV/0!</v>
      </c>
      <c r="S74" s="303" t="e">
        <f t="shared" si="30"/>
        <v>#DIV/0!</v>
      </c>
      <c r="T74" s="303" t="e">
        <f t="shared" si="30"/>
        <v>#DIV/0!</v>
      </c>
      <c r="U74" s="303" t="e">
        <f t="shared" si="30"/>
        <v>#DIV/0!</v>
      </c>
      <c r="V74" s="303" t="e">
        <f t="shared" si="30"/>
        <v>#DIV/0!</v>
      </c>
    </row>
    <row r="75" spans="1:24" ht="87.5" thickBot="1" x14ac:dyDescent="0.4">
      <c r="A75" s="121" t="s">
        <v>1121</v>
      </c>
      <c r="B75" s="121" t="s">
        <v>1319</v>
      </c>
      <c r="C75" s="121" t="s">
        <v>1122</v>
      </c>
      <c r="D75" s="121" t="s">
        <v>1123</v>
      </c>
      <c r="E75" s="121" t="s">
        <v>1400</v>
      </c>
      <c r="F75" s="121" t="s">
        <v>1330</v>
      </c>
      <c r="G75" s="121" t="s">
        <v>1331</v>
      </c>
      <c r="I75" s="121" t="s">
        <v>1142</v>
      </c>
      <c r="J75" s="121" t="s">
        <v>1328</v>
      </c>
      <c r="K75" s="121" t="s">
        <v>1329</v>
      </c>
      <c r="L75" s="330" t="s">
        <v>1401</v>
      </c>
      <c r="M75" s="333" t="s">
        <v>1332</v>
      </c>
      <c r="O75" s="17" t="s">
        <v>1148</v>
      </c>
      <c r="P75" s="73">
        <f>D76/1000000</f>
        <v>9.0615019541006023E-2</v>
      </c>
      <c r="Q75" s="73">
        <f>P75/'OEO &amp; EPAUS9rT-HDV Data'!AB$5</f>
        <v>8.6084268563955707E-2</v>
      </c>
      <c r="R75" s="73">
        <f>Q75/'OEO &amp; EPAUS9rT-HDV Data'!AC$5</f>
        <v>8.1780055135757895E-2</v>
      </c>
      <c r="S75" s="73">
        <f>R75/'OEO &amp; EPAUS9rT-HDV Data'!AD$5</f>
        <v>7.7691052378970088E-2</v>
      </c>
      <c r="T75" s="73">
        <f>S75/'OEO &amp; EPAUS9rT-HDV Data'!AE$5</f>
        <v>7.3806499760021516E-2</v>
      </c>
      <c r="U75" s="73">
        <f>T75/'OEO &amp; EPAUS9rT-HDV Data'!AF$5</f>
        <v>7.0116174772020409E-2</v>
      </c>
      <c r="V75" s="73">
        <f>U75/'OEO &amp; EPAUS9rT-HDV Data'!AG$5</f>
        <v>6.6610366033419452E-2</v>
      </c>
    </row>
    <row r="76" spans="1:24" ht="15" thickTop="1" x14ac:dyDescent="0.35">
      <c r="A76" t="s">
        <v>1120</v>
      </c>
      <c r="B76" s="198">
        <v>27.7</v>
      </c>
      <c r="C76" s="198">
        <v>91467.964431526241</v>
      </c>
      <c r="D76" s="198">
        <v>90615.019541006026</v>
      </c>
      <c r="E76" s="198">
        <v>91566.218125094587</v>
      </c>
      <c r="F76" s="329" t="e">
        <f>'Background Data'!AA219*1000 * MDO_MJ_L/0.9139 /1000000000 * 'Background Data'!AA238/'Background Data'!AB238</f>
        <v>#DIV/0!</v>
      </c>
      <c r="G76" s="329" t="e">
        <f>'Background Data'!AC219*1000 * HFO_MJ_L/0.9912 /1000000000 * 'Background Data'!AA238/'Background Data'!AB238</f>
        <v>#DIV/0!</v>
      </c>
      <c r="I76" t="s">
        <v>1325</v>
      </c>
      <c r="J76" s="88" t="e">
        <f>F76/(D76/1000000)</f>
        <v>#DIV/0!</v>
      </c>
      <c r="K76" s="88" t="e">
        <f>G76/(C76/1000000)</f>
        <v>#DIV/0!</v>
      </c>
      <c r="L76" s="331" t="e">
        <f>SUM(J76:K76)</f>
        <v>#DIV/0!</v>
      </c>
      <c r="M76" s="334" t="e">
        <f>L76/$L$79</f>
        <v>#DIV/0!</v>
      </c>
      <c r="O76" s="17" t="s">
        <v>1149</v>
      </c>
      <c r="P76" s="73">
        <f>D77/1000000</f>
        <v>4.122462058864465E-2</v>
      </c>
      <c r="Q76" s="73">
        <f>P76/'OEO &amp; EPAUS9rT-HDV Data'!AB$5</f>
        <v>3.9163389559212412E-2</v>
      </c>
      <c r="R76" s="73">
        <f>Q76/'OEO &amp; EPAUS9rT-HDV Data'!AC$5</f>
        <v>3.720522008125178E-2</v>
      </c>
      <c r="S76" s="73">
        <f>R76/'OEO &amp; EPAUS9rT-HDV Data'!AD$5</f>
        <v>3.5344959077189229E-2</v>
      </c>
      <c r="T76" s="73">
        <f>S76/'OEO &amp; EPAUS9rT-HDV Data'!AE$5</f>
        <v>3.3577711123329732E-2</v>
      </c>
      <c r="U76" s="73">
        <f>T76/'OEO &amp; EPAUS9rT-HDV Data'!AF$5</f>
        <v>3.1898825567163232E-2</v>
      </c>
      <c r="V76" s="73">
        <f>U76/'OEO &amp; EPAUS9rT-HDV Data'!AG$5</f>
        <v>3.0303884288805098E-2</v>
      </c>
    </row>
    <row r="77" spans="1:24" x14ac:dyDescent="0.35">
      <c r="A77" t="s">
        <v>1124</v>
      </c>
      <c r="B77" s="198">
        <v>108.6</v>
      </c>
      <c r="C77" s="198">
        <v>41610.653027499357</v>
      </c>
      <c r="D77" s="198">
        <v>41224.620588644648</v>
      </c>
      <c r="E77" s="198">
        <v>41613.896508885497</v>
      </c>
      <c r="F77" s="329" t="e">
        <f>('Background Data'!AA221+'Background Data'!AA224)*1000 * MDO_MJ_L/0.9139 /1000000000 * ('Background Data'!AA239+'Background Data'!AA242)/('Background Data'!AB239+'Background Data'!AB242)</f>
        <v>#DIV/0!</v>
      </c>
      <c r="G77" s="329" t="e">
        <f>('Background Data'!AC221+'Background Data'!AC224)*1000 * HFO_MJ_L/0.9312 /1000000000 * ('Background Data'!AA239+'Background Data'!AA242)/('Background Data'!AB239+'Background Data'!AB242)</f>
        <v>#DIV/0!</v>
      </c>
      <c r="I77" t="s">
        <v>1326</v>
      </c>
      <c r="J77" s="88" t="e">
        <f>F77/(D77/1000000)</f>
        <v>#DIV/0!</v>
      </c>
      <c r="K77" s="88" t="e">
        <f>G77/(C77/1000000)</f>
        <v>#DIV/0!</v>
      </c>
      <c r="L77" s="331" t="e">
        <f t="shared" ref="L77:L79" si="31">SUM(J77:K77)</f>
        <v>#DIV/0!</v>
      </c>
      <c r="M77" s="334" t="e">
        <f>L77/$L$79</f>
        <v>#DIV/0!</v>
      </c>
      <c r="O77" s="17" t="s">
        <v>1323</v>
      </c>
      <c r="P77" s="73">
        <f>1/('OEO &amp; EPAUS9rT-HDV Data'!R17*km_mile) * MGO_MDO</f>
        <v>1.8105120617887551</v>
      </c>
      <c r="Q77" s="73">
        <f>1/('OEO &amp; EPAUS9rT-HDV Data'!S17*km_mile) * MGO_MDO</f>
        <v>1.719794463782903</v>
      </c>
      <c r="R77" s="73">
        <f>1/('OEO &amp; EPAUS9rT-HDV Data'!T17*km_mile) * MGO_MDO</f>
        <v>1.6340213393927225</v>
      </c>
      <c r="S77" s="73">
        <f>1/('OEO &amp; EPAUS9rT-HDV Data'!U17*km_mile) * MGO_MDO</f>
        <v>1.5523007220361593</v>
      </c>
      <c r="T77" s="73">
        <f>1/('OEO &amp; EPAUS9rT-HDV Data'!V17*km_mile) * MGO_MDO</f>
        <v>1.4746680421434664</v>
      </c>
      <c r="U77" s="73">
        <f>1/('OEO &amp; EPAUS9rT-HDV Data'!W17*km_mile) * MGO_MDO</f>
        <v>1.4007913447180109</v>
      </c>
      <c r="V77" s="73">
        <f>1/('OEO &amp; EPAUS9rT-HDV Data'!X17*km_mile) * MGO_MDO</f>
        <v>1.330952958019924</v>
      </c>
    </row>
    <row r="78" spans="1:24" ht="15" thickBot="1" x14ac:dyDescent="0.4">
      <c r="A78" t="s">
        <v>1320</v>
      </c>
      <c r="B78" s="328" t="s">
        <v>39</v>
      </c>
      <c r="C78" s="328">
        <f>1000000/('OEO &amp; EPAUS9rT-HDV Data'!R18*km_mile)</f>
        <v>1817410.7535823539</v>
      </c>
      <c r="D78" s="328">
        <f>1000000/('OEO &amp; EPAUS9rT-HDV Data'!R17*km_mile) * MGO_MDO</f>
        <v>1810512.061788755</v>
      </c>
      <c r="E78" t="s">
        <v>39</v>
      </c>
      <c r="F78" s="329" t="e">
        <f>'Background Data'!AA220*1000 * MDO_MJ_L/0.9139 /1000000000 * 'Background Data'!AA243/'Background Data'!AB243</f>
        <v>#DIV/0!</v>
      </c>
      <c r="G78" s="329">
        <v>0</v>
      </c>
      <c r="I78" t="s">
        <v>1323</v>
      </c>
      <c r="J78" s="88" t="e">
        <f>F78/(D78/1000000)</f>
        <v>#DIV/0!</v>
      </c>
      <c r="K78" s="88">
        <v>0</v>
      </c>
      <c r="L78" s="331" t="e">
        <f t="shared" si="31"/>
        <v>#DIV/0!</v>
      </c>
      <c r="M78" s="269" t="e">
        <f>L78/$L$79</f>
        <v>#DIV/0!</v>
      </c>
      <c r="O78" s="263" t="s">
        <v>1402</v>
      </c>
      <c r="P78" s="303" t="e">
        <f>P79*$M$76 + P80*$M$77 + P73*$M$78</f>
        <v>#DIV/0!</v>
      </c>
      <c r="Q78" s="303" t="e">
        <f t="shared" ref="Q78:V78" si="32">Q79*$M$76 + Q80*$M$77 + Q73*$M$78</f>
        <v>#DIV/0!</v>
      </c>
      <c r="R78" s="303" t="e">
        <f t="shared" si="32"/>
        <v>#DIV/0!</v>
      </c>
      <c r="S78" s="303" t="e">
        <f t="shared" si="32"/>
        <v>#DIV/0!</v>
      </c>
      <c r="T78" s="303" t="e">
        <f t="shared" si="32"/>
        <v>#DIV/0!</v>
      </c>
      <c r="U78" s="303" t="e">
        <f t="shared" si="32"/>
        <v>#DIV/0!</v>
      </c>
      <c r="V78" s="303" t="e">
        <f t="shared" si="32"/>
        <v>#DIV/0!</v>
      </c>
    </row>
    <row r="79" spans="1:24" ht="14.5" customHeight="1" x14ac:dyDescent="0.35">
      <c r="A79" s="266" t="s">
        <v>1321</v>
      </c>
      <c r="B79" s="266"/>
      <c r="C79" s="266"/>
      <c r="D79" s="266"/>
      <c r="F79" s="266"/>
      <c r="G79" s="266"/>
      <c r="I79" s="33" t="s">
        <v>247</v>
      </c>
      <c r="J79" s="106" t="e">
        <f>SUM(J76:J78)</f>
        <v>#DIV/0!</v>
      </c>
      <c r="K79" s="106" t="e">
        <f>SUM(K76:K78)</f>
        <v>#DIV/0!</v>
      </c>
      <c r="L79" s="332" t="e">
        <f t="shared" si="31"/>
        <v>#DIV/0!</v>
      </c>
      <c r="O79" s="17" t="s">
        <v>1148</v>
      </c>
      <c r="P79" s="73">
        <f>E76/1000000</f>
        <v>9.1566218125094592E-2</v>
      </c>
      <c r="Q79" s="73">
        <f>P79/'OEO &amp; EPAUS9rT-HDV Data'!AB$5</f>
        <v>8.6987907218839852E-2</v>
      </c>
      <c r="R79" s="73">
        <f>Q79/'OEO &amp; EPAUS9rT-HDV Data'!AC$5</f>
        <v>8.2638511857897834E-2</v>
      </c>
      <c r="S79" s="73">
        <f>R79/'OEO &amp; EPAUS9rT-HDV Data'!AD$5</f>
        <v>7.8506586265003023E-2</v>
      </c>
      <c r="T79" s="73">
        <f>S79/'OEO &amp; EPAUS9rT-HDV Data'!AE$5</f>
        <v>7.45812569517528E-2</v>
      </c>
      <c r="U79" s="73">
        <f>T79/'OEO &amp; EPAUS9rT-HDV Data'!AF$5</f>
        <v>7.0852194104165128E-2</v>
      </c>
      <c r="V79" s="73">
        <f>U79/'OEO &amp; EPAUS9rT-HDV Data'!AG$5</f>
        <v>6.7309584398956929E-2</v>
      </c>
    </row>
    <row r="80" spans="1:24" ht="14.5" customHeight="1" x14ac:dyDescent="0.35">
      <c r="A80" s="266"/>
      <c r="B80" s="266"/>
      <c r="C80" s="266"/>
      <c r="D80" s="266"/>
      <c r="E80" s="266"/>
      <c r="F80" s="266"/>
      <c r="I80" s="88"/>
      <c r="O80" s="17" t="s">
        <v>1149</v>
      </c>
      <c r="P80" s="73">
        <f>E77/1000000</f>
        <v>4.1613896508885494E-2</v>
      </c>
      <c r="Q80" s="73">
        <f>P80/'OEO &amp; EPAUS9rT-HDV Data'!AB$5</f>
        <v>3.953320168344121E-2</v>
      </c>
      <c r="R80" s="73">
        <f>Q80/'OEO &amp; EPAUS9rT-HDV Data'!AC$5</f>
        <v>3.7556541599269133E-2</v>
      </c>
      <c r="S80" s="73">
        <f>R80/'OEO &amp; EPAUS9rT-HDV Data'!AD$5</f>
        <v>3.5678714519305717E-2</v>
      </c>
      <c r="T80" s="73">
        <f>S80/'OEO &amp; EPAUS9rT-HDV Data'!AE$5</f>
        <v>3.3894778793340394E-2</v>
      </c>
      <c r="U80" s="73">
        <f>T80/'OEO &amp; EPAUS9rT-HDV Data'!AF$5</f>
        <v>3.2200039853673361E-2</v>
      </c>
      <c r="V80" s="73">
        <f>U80/'OEO &amp; EPAUS9rT-HDV Data'!AG$5</f>
        <v>3.0590037860989721E-2</v>
      </c>
    </row>
    <row r="81" spans="1:27" x14ac:dyDescent="0.35">
      <c r="A81" s="266"/>
      <c r="B81" s="266"/>
      <c r="C81" s="266"/>
      <c r="D81" s="266"/>
      <c r="E81" s="266"/>
      <c r="F81" s="266"/>
      <c r="H81" s="33"/>
      <c r="I81" s="106"/>
      <c r="O81" s="74" t="s">
        <v>1153</v>
      </c>
    </row>
    <row r="83" spans="1:27" ht="15.5" x14ac:dyDescent="0.35">
      <c r="A83" s="470" t="s">
        <v>1129</v>
      </c>
      <c r="B83" s="470"/>
      <c r="C83" s="470"/>
      <c r="D83" s="470"/>
      <c r="E83" s="470"/>
      <c r="F83" s="470"/>
      <c r="G83" s="470"/>
      <c r="H83" s="470"/>
      <c r="I83" s="470"/>
      <c r="J83" s="470"/>
      <c r="K83" s="470"/>
      <c r="O83" s="470" t="s">
        <v>1138</v>
      </c>
      <c r="P83" s="470"/>
      <c r="Q83" s="470"/>
      <c r="R83" s="470"/>
      <c r="S83" s="470"/>
      <c r="T83" s="470"/>
      <c r="U83" s="470"/>
      <c r="V83" s="470"/>
      <c r="W83" s="470"/>
      <c r="X83" s="470"/>
      <c r="Y83" s="470"/>
      <c r="Z83" s="470"/>
      <c r="AA83" s="470"/>
    </row>
    <row r="84" spans="1:27" ht="15" thickBot="1" x14ac:dyDescent="0.4">
      <c r="A84" s="121" t="s">
        <v>638</v>
      </c>
      <c r="B84" s="121">
        <v>2000</v>
      </c>
      <c r="C84" s="121">
        <v>2005</v>
      </c>
      <c r="D84" s="121">
        <v>2010</v>
      </c>
      <c r="E84" s="121">
        <v>2012</v>
      </c>
      <c r="F84" s="121">
        <v>2015</v>
      </c>
      <c r="G84" s="121">
        <v>2020</v>
      </c>
      <c r="H84" s="121">
        <v>2025</v>
      </c>
      <c r="I84" s="121">
        <v>2030</v>
      </c>
      <c r="J84" s="121">
        <v>2035</v>
      </c>
      <c r="K84" s="121">
        <v>2040</v>
      </c>
      <c r="L84" s="33" t="s">
        <v>1130</v>
      </c>
      <c r="O84" s="121" t="s">
        <v>638</v>
      </c>
      <c r="P84" s="121">
        <v>2000</v>
      </c>
      <c r="Q84" s="121">
        <v>2005</v>
      </c>
      <c r="R84" s="121">
        <v>2010</v>
      </c>
      <c r="S84" s="121">
        <v>2012</v>
      </c>
      <c r="T84" s="121">
        <v>2015</v>
      </c>
      <c r="U84" s="121">
        <v>2020</v>
      </c>
      <c r="V84" s="121">
        <v>2025</v>
      </c>
      <c r="W84" s="121">
        <v>2030</v>
      </c>
      <c r="X84" s="121">
        <v>2035</v>
      </c>
      <c r="Y84" s="121">
        <v>2040</v>
      </c>
      <c r="Z84" s="121">
        <v>2045</v>
      </c>
      <c r="AA84" s="121">
        <v>2050</v>
      </c>
    </row>
    <row r="85" spans="1:27" ht="15" thickTop="1" x14ac:dyDescent="0.35">
      <c r="A85" s="33" t="s">
        <v>1126</v>
      </c>
      <c r="B85" s="86">
        <v>326</v>
      </c>
      <c r="C85" s="86">
        <v>312</v>
      </c>
      <c r="D85" s="86">
        <v>267</v>
      </c>
      <c r="E85" s="86">
        <v>273</v>
      </c>
      <c r="F85" s="86">
        <v>270</v>
      </c>
      <c r="G85" s="86">
        <v>260</v>
      </c>
      <c r="H85" s="86">
        <v>251</v>
      </c>
      <c r="I85" s="86">
        <v>242</v>
      </c>
      <c r="J85" s="86">
        <v>233</v>
      </c>
      <c r="K85" s="86">
        <v>225</v>
      </c>
      <c r="L85" s="102">
        <f>(K85-G85)/G85/4</f>
        <v>-3.3653846153846152E-2</v>
      </c>
      <c r="M85" s="102"/>
      <c r="O85" s="33" t="s">
        <v>663</v>
      </c>
    </row>
    <row r="86" spans="1:27" x14ac:dyDescent="0.35">
      <c r="A86" s="33" t="s">
        <v>1127</v>
      </c>
      <c r="B86" s="86">
        <f>SUM(B87:B88)</f>
        <v>3060.5897434517406</v>
      </c>
      <c r="C86" s="86">
        <f t="shared" ref="C86:G86" si="33">SUM(C87:C88)</f>
        <v>2583.985774577216</v>
      </c>
      <c r="D86" s="86">
        <f t="shared" si="33"/>
        <v>2169.6638190031149</v>
      </c>
      <c r="E86" s="86">
        <f t="shared" si="33"/>
        <v>2024.9837211934157</v>
      </c>
      <c r="F86" s="86">
        <f t="shared" si="33"/>
        <v>1548.0061311617801</v>
      </c>
      <c r="G86" s="86">
        <f t="shared" si="33"/>
        <v>1533.3249125032121</v>
      </c>
      <c r="H86" s="86">
        <f t="shared" ref="H86" si="34">SUM(H87:H88)</f>
        <v>1516.9335415123232</v>
      </c>
      <c r="I86" s="86">
        <f t="shared" ref="I86" si="35">SUM(I87:I88)</f>
        <v>1501.9624751860763</v>
      </c>
      <c r="J86" s="86">
        <f t="shared" ref="J86" si="36">SUM(J87:J88)</f>
        <v>1486.9914088598293</v>
      </c>
      <c r="K86" s="86">
        <f t="shared" ref="K86" si="37">SUM(K87:K88)</f>
        <v>1472.3101902012613</v>
      </c>
      <c r="L86" s="102">
        <f>(K86-G86)/G86/4</f>
        <v>-9.948107182701069E-3</v>
      </c>
      <c r="M86" s="102"/>
      <c r="O86" s="17" t="s">
        <v>109</v>
      </c>
      <c r="P86" s="86">
        <f t="shared" ref="P86:Y86" si="38">B85*LHV_to_HHV_Diesel</f>
        <v>348.66391592059165</v>
      </c>
      <c r="Q86" s="86">
        <f t="shared" si="38"/>
        <v>333.69061891786686</v>
      </c>
      <c r="R86" s="86">
        <f t="shared" si="38"/>
        <v>285.56216426625144</v>
      </c>
      <c r="S86" s="86">
        <f t="shared" si="38"/>
        <v>291.97929155313352</v>
      </c>
      <c r="T86" s="86">
        <f t="shared" si="38"/>
        <v>288.77072790969248</v>
      </c>
      <c r="U86" s="86">
        <f t="shared" si="38"/>
        <v>278.07551576488908</v>
      </c>
      <c r="V86" s="86">
        <f t="shared" si="38"/>
        <v>268.44982483456596</v>
      </c>
      <c r="W86" s="86">
        <f t="shared" si="38"/>
        <v>258.8241339042429</v>
      </c>
      <c r="X86" s="86">
        <f t="shared" si="38"/>
        <v>249.19844297391981</v>
      </c>
      <c r="Y86" s="86">
        <f t="shared" si="38"/>
        <v>240.64227325807707</v>
      </c>
      <c r="Z86" s="86">
        <f>Y86*(1+$L85)</f>
        <v>232.54373521573794</v>
      </c>
      <c r="AA86" s="86">
        <f>Z86*(1+$L85)</f>
        <v>224.71774412674677</v>
      </c>
    </row>
    <row r="87" spans="1:27" x14ac:dyDescent="0.35">
      <c r="A87" s="17" t="s">
        <v>109</v>
      </c>
      <c r="B87" s="86">
        <v>2188.4893433799789</v>
      </c>
      <c r="C87" s="86">
        <v>1563.0032800594686</v>
      </c>
      <c r="D87" s="86">
        <v>1269.9743457943923</v>
      </c>
      <c r="E87" s="86">
        <v>1190.4468106995885</v>
      </c>
      <c r="F87" s="86">
        <v>1269.7523701899308</v>
      </c>
      <c r="G87" s="86">
        <v>1257.679780540474</v>
      </c>
      <c r="H87" s="86">
        <v>1244.1868862263752</v>
      </c>
      <c r="I87" s="86">
        <v>1232.1142965769184</v>
      </c>
      <c r="J87" s="86">
        <v>1220.0417069274615</v>
      </c>
      <c r="K87" s="86">
        <v>1207.9691172780047</v>
      </c>
      <c r="L87" s="102">
        <f t="shared" ref="L87:L88" si="39">(K87-G87)/G87/4</f>
        <v>-9.881422924901186E-3</v>
      </c>
      <c r="O87" s="17" t="s">
        <v>1133</v>
      </c>
      <c r="P87" s="86"/>
      <c r="Q87" s="86"/>
      <c r="R87" s="86"/>
      <c r="S87" s="86"/>
      <c r="T87" s="86"/>
      <c r="U87" s="86"/>
      <c r="V87" s="86"/>
      <c r="W87" s="86">
        <f t="shared" ref="W87:AA87" si="40">W86*$B$92</f>
        <v>176.51805932269363</v>
      </c>
      <c r="X87" s="86">
        <f t="shared" si="40"/>
        <v>169.9533381082133</v>
      </c>
      <c r="Y87" s="86">
        <f t="shared" si="40"/>
        <v>164.11803036200854</v>
      </c>
      <c r="Z87" s="86">
        <f t="shared" si="40"/>
        <v>158.59482741713327</v>
      </c>
      <c r="AA87" s="86">
        <f t="shared" si="40"/>
        <v>153.25750149444127</v>
      </c>
    </row>
    <row r="88" spans="1:27" x14ac:dyDescent="0.35">
      <c r="A88" s="17" t="s">
        <v>68</v>
      </c>
      <c r="B88" s="86">
        <v>872.10040007176178</v>
      </c>
      <c r="C88" s="86">
        <v>1020.9824945177476</v>
      </c>
      <c r="D88" s="86">
        <v>899.68947320872269</v>
      </c>
      <c r="E88" s="86">
        <v>834.53691049382724</v>
      </c>
      <c r="F88" s="86">
        <v>278.2537609718492</v>
      </c>
      <c r="G88" s="86">
        <v>275.64513196273811</v>
      </c>
      <c r="H88" s="86">
        <v>272.74665528594801</v>
      </c>
      <c r="I88" s="86">
        <v>269.84817860915791</v>
      </c>
      <c r="J88" s="86">
        <v>266.94970193236782</v>
      </c>
      <c r="K88" s="86">
        <v>264.34107292325677</v>
      </c>
      <c r="L88" s="102">
        <f t="shared" si="39"/>
        <v>-1.025236593059933E-2</v>
      </c>
      <c r="O88" s="17" t="s">
        <v>232</v>
      </c>
      <c r="V88" s="86">
        <f>V86*$C$92</f>
        <v>289.92581082133125</v>
      </c>
      <c r="W88" s="86">
        <f t="shared" ref="W88:AA88" si="41">W86*$C$92</f>
        <v>279.53006461658237</v>
      </c>
      <c r="X88" s="86">
        <f t="shared" si="41"/>
        <v>269.13431841183342</v>
      </c>
      <c r="Y88" s="86">
        <f t="shared" si="41"/>
        <v>259.89365511872325</v>
      </c>
      <c r="Z88" s="86">
        <f t="shared" si="41"/>
        <v>251.14723403299701</v>
      </c>
      <c r="AA88" s="86">
        <f t="shared" si="41"/>
        <v>242.69516365688654</v>
      </c>
    </row>
    <row r="89" spans="1:27" x14ac:dyDescent="0.35">
      <c r="B89" s="86"/>
      <c r="C89" s="73"/>
      <c r="D89" s="73"/>
      <c r="E89" s="86"/>
      <c r="O89" s="33" t="s">
        <v>1139</v>
      </c>
      <c r="P89" s="86"/>
      <c r="Q89" s="86"/>
      <c r="R89" s="86"/>
      <c r="S89" s="86"/>
      <c r="T89" s="86"/>
      <c r="U89" s="86"/>
      <c r="V89" s="86"/>
      <c r="W89" s="86"/>
      <c r="X89" s="86"/>
      <c r="Y89" s="86"/>
      <c r="Z89" s="86"/>
      <c r="AA89" s="86"/>
    </row>
    <row r="90" spans="1:27" ht="15.5" x14ac:dyDescent="0.35">
      <c r="A90" s="189" t="s">
        <v>1131</v>
      </c>
      <c r="B90" s="189"/>
      <c r="C90" s="189"/>
      <c r="D90" s="189"/>
      <c r="E90" s="189"/>
      <c r="F90" s="189"/>
      <c r="G90" s="189"/>
      <c r="H90" s="189"/>
      <c r="I90" s="189"/>
      <c r="J90" s="189"/>
      <c r="K90" s="189"/>
      <c r="O90" s="17" t="s">
        <v>109</v>
      </c>
      <c r="P90" s="86">
        <f t="shared" ref="P90:Y90" si="42">B87*LHV_to_HHV_Diesel + B88</f>
        <v>3212.7361804808043</v>
      </c>
      <c r="Q90" s="86">
        <f t="shared" si="42"/>
        <v>2692.6476608437092</v>
      </c>
      <c r="R90" s="86">
        <f t="shared" si="42"/>
        <v>2257.9539778816197</v>
      </c>
      <c r="S90" s="86">
        <f t="shared" si="42"/>
        <v>2107.7450292475014</v>
      </c>
      <c r="T90" s="86">
        <f t="shared" si="42"/>
        <v>1636.2808580266776</v>
      </c>
      <c r="U90" s="86">
        <f t="shared" si="42"/>
        <v>1620.7603382737566</v>
      </c>
      <c r="V90" s="86">
        <f t="shared" si="42"/>
        <v>1603.4309248832967</v>
      </c>
      <c r="W90" s="86">
        <f t="shared" si="42"/>
        <v>1587.6205574626965</v>
      </c>
      <c r="X90" s="86">
        <f t="shared" si="42"/>
        <v>1571.8101900420966</v>
      </c>
      <c r="Y90" s="86">
        <f t="shared" si="42"/>
        <v>1556.2896702891758</v>
      </c>
      <c r="Z90" s="86">
        <f>Y90*(1+$L86)</f>
        <v>1540.8075338418084</v>
      </c>
      <c r="AA90" s="86">
        <f>Z90*(1+$L86)</f>
        <v>1525.4794153472367</v>
      </c>
    </row>
    <row r="91" spans="1:27" ht="15" customHeight="1" thickBot="1" x14ac:dyDescent="0.4">
      <c r="A91" s="105" t="s">
        <v>1132</v>
      </c>
      <c r="B91" s="290" t="s">
        <v>1133</v>
      </c>
      <c r="C91" s="290" t="s">
        <v>1308</v>
      </c>
      <c r="D91" s="290" t="s">
        <v>1397</v>
      </c>
      <c r="E91" s="290" t="s">
        <v>1398</v>
      </c>
      <c r="F91" s="290" t="s">
        <v>238</v>
      </c>
      <c r="G91" s="290" t="s">
        <v>1399</v>
      </c>
      <c r="O91" s="17" t="s">
        <v>1133</v>
      </c>
      <c r="P91" s="86"/>
      <c r="Q91" s="86"/>
      <c r="R91" s="86"/>
      <c r="S91" s="86"/>
      <c r="T91" s="86"/>
      <c r="U91" s="86"/>
      <c r="V91" s="86"/>
      <c r="W91" s="86">
        <f>I87*LHV_to_HHV_Diesel*$B$95 + I88</f>
        <v>911.60332711083117</v>
      </c>
      <c r="X91" s="86">
        <f>J87*LHV_to_HHV_Diesel*$B$95 + J88</f>
        <v>902.4167596418057</v>
      </c>
      <c r="Y91" s="86">
        <f>K87*LHV_to_HHV_Diesel*$B$95 + K88</f>
        <v>893.52003984045928</v>
      </c>
      <c r="Z91" s="86">
        <f>Y91*(1+$L87)</f>
        <v>884.69079043492104</v>
      </c>
      <c r="AA91" s="86">
        <f>Z91*(1+$L87)</f>
        <v>875.94878657686843</v>
      </c>
    </row>
    <row r="92" spans="1:27" ht="15" customHeight="1" thickTop="1" x14ac:dyDescent="0.35">
      <c r="A92" t="s">
        <v>1134</v>
      </c>
      <c r="B92" s="102">
        <v>0.68199999999999994</v>
      </c>
      <c r="C92" s="101">
        <v>1.08</v>
      </c>
      <c r="D92" s="101">
        <v>1</v>
      </c>
      <c r="E92" s="101">
        <v>1</v>
      </c>
      <c r="F92" s="101">
        <v>1</v>
      </c>
      <c r="G92" s="101">
        <v>1</v>
      </c>
      <c r="O92" s="495" t="s">
        <v>1307</v>
      </c>
      <c r="P92" s="495"/>
      <c r="Q92" s="495"/>
      <c r="R92" s="495"/>
      <c r="S92" s="495"/>
      <c r="T92" s="495"/>
      <c r="U92" s="495"/>
      <c r="V92" s="495"/>
      <c r="W92" s="495"/>
      <c r="X92" s="495"/>
      <c r="Y92" s="495"/>
      <c r="Z92" s="495"/>
      <c r="AA92" s="495"/>
    </row>
    <row r="93" spans="1:27" x14ac:dyDescent="0.35">
      <c r="A93" t="s">
        <v>1135</v>
      </c>
      <c r="B93" s="102">
        <v>0.58299999999999996</v>
      </c>
      <c r="C93" s="101">
        <v>1.08</v>
      </c>
      <c r="D93" s="101">
        <v>1</v>
      </c>
      <c r="E93" s="101">
        <v>1</v>
      </c>
      <c r="F93" s="101">
        <v>1</v>
      </c>
      <c r="G93" s="101">
        <v>1</v>
      </c>
      <c r="O93" s="495"/>
      <c r="P93" s="495"/>
      <c r="Q93" s="495"/>
      <c r="R93" s="495"/>
      <c r="S93" s="495"/>
      <c r="T93" s="495"/>
      <c r="U93" s="495"/>
      <c r="V93" s="495"/>
      <c r="W93" s="495"/>
      <c r="X93" s="495"/>
      <c r="Y93" s="495"/>
      <c r="Z93" s="495"/>
      <c r="AA93" s="495"/>
    </row>
    <row r="94" spans="1:27" x14ac:dyDescent="0.35">
      <c r="A94" t="s">
        <v>1136</v>
      </c>
      <c r="B94" s="102">
        <v>0.374</v>
      </c>
      <c r="C94" s="101">
        <v>1.08</v>
      </c>
      <c r="D94" s="101">
        <v>1</v>
      </c>
      <c r="E94" s="101">
        <v>1</v>
      </c>
      <c r="F94" s="101">
        <v>1</v>
      </c>
      <c r="G94" s="101">
        <v>1</v>
      </c>
    </row>
    <row r="95" spans="1:27" x14ac:dyDescent="0.35">
      <c r="A95" t="s">
        <v>1137</v>
      </c>
      <c r="B95" s="102">
        <v>0.48699999999999999</v>
      </c>
      <c r="C95" s="101">
        <v>1.08</v>
      </c>
      <c r="D95" s="101">
        <v>1</v>
      </c>
      <c r="E95" s="101">
        <v>1</v>
      </c>
      <c r="F95" s="101">
        <v>1</v>
      </c>
      <c r="G95" s="101">
        <v>1</v>
      </c>
    </row>
    <row r="96" spans="1:27" x14ac:dyDescent="0.35">
      <c r="A96" s="74" t="s">
        <v>1309</v>
      </c>
      <c r="B96" s="86"/>
      <c r="C96" s="88"/>
      <c r="D96" s="88"/>
      <c r="E96" s="86"/>
    </row>
    <row r="97" spans="2:5" x14ac:dyDescent="0.35">
      <c r="B97" s="86"/>
      <c r="E97" s="86"/>
    </row>
    <row r="98" spans="2:5" x14ac:dyDescent="0.35">
      <c r="B98" s="86"/>
      <c r="E98" s="86"/>
    </row>
  </sheetData>
  <mergeCells count="12">
    <mergeCell ref="O83:AA83"/>
    <mergeCell ref="O1:V1"/>
    <mergeCell ref="O92:AA93"/>
    <mergeCell ref="A83:K83"/>
    <mergeCell ref="A3:I3"/>
    <mergeCell ref="E1:E2"/>
    <mergeCell ref="F1:F2"/>
    <mergeCell ref="B1:C1"/>
    <mergeCell ref="A31:M31"/>
    <mergeCell ref="Z1:AN1"/>
    <mergeCell ref="I74:M74"/>
    <mergeCell ref="A74:G74"/>
  </mergeCells>
  <hyperlinks>
    <hyperlink ref="A1" r:id="rId1" xr:uid="{88B21D4B-760B-46EC-92CF-071F569AD5A5}"/>
    <hyperlink ref="A2" r:id="rId2" xr:uid="{940D9146-5AE1-49AC-8D4D-2D0FA6CCD32C}"/>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tabColor theme="7" tint="0.59999389629810485"/>
  </sheetPr>
  <dimension ref="A1:C8"/>
  <sheetViews>
    <sheetView workbookViewId="0"/>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104" t="s">
        <v>1334</v>
      </c>
    </row>
    <row r="2" spans="1:3" ht="15.5" x14ac:dyDescent="0.35">
      <c r="A2" s="189" t="s">
        <v>1785</v>
      </c>
    </row>
    <row r="3" spans="1:3" ht="15" thickBot="1" x14ac:dyDescent="0.4">
      <c r="A3" s="105" t="s">
        <v>1784</v>
      </c>
      <c r="B3" s="105" t="s">
        <v>1781</v>
      </c>
      <c r="C3" s="105" t="s">
        <v>1782</v>
      </c>
    </row>
    <row r="4" spans="1:3" ht="15" thickTop="1" x14ac:dyDescent="0.35">
      <c r="A4" s="33" t="s">
        <v>1783</v>
      </c>
    </row>
    <row r="5" spans="1:3" x14ac:dyDescent="0.35">
      <c r="A5" t="s">
        <v>663</v>
      </c>
      <c r="B5">
        <v>67000</v>
      </c>
      <c r="C5">
        <v>1340</v>
      </c>
    </row>
    <row r="6" spans="1:3" x14ac:dyDescent="0.35">
      <c r="A6" t="s">
        <v>1786</v>
      </c>
      <c r="B6">
        <v>67000</v>
      </c>
      <c r="C6">
        <v>1340</v>
      </c>
    </row>
    <row r="7" spans="1:3" x14ac:dyDescent="0.35">
      <c r="A7" t="s">
        <v>1787</v>
      </c>
      <c r="B7">
        <v>71000</v>
      </c>
      <c r="C7">
        <v>1420</v>
      </c>
    </row>
    <row r="8" spans="1:3" x14ac:dyDescent="0.35">
      <c r="A8" t="s">
        <v>1788</v>
      </c>
      <c r="B8">
        <v>74000</v>
      </c>
      <c r="C8">
        <v>1420</v>
      </c>
    </row>
  </sheetData>
  <hyperlinks>
    <hyperlink ref="A1" r:id="rId1" xr:uid="{E99DEBFB-BFE6-4F44-B1A4-753EEA90D5C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tabColor theme="7" tint="0.59999389629810485"/>
  </sheetPr>
  <dimension ref="A1:AG95"/>
  <sheetViews>
    <sheetView topLeftCell="M64" workbookViewId="0">
      <selection activeCell="M94" sqref="M94"/>
    </sheetView>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29.81640625" customWidth="1"/>
    <col min="18" max="24" width="10.1796875" bestFit="1" customWidth="1"/>
    <col min="26" max="26" width="13.453125" customWidth="1"/>
    <col min="27" max="28" width="10.1796875" bestFit="1" customWidth="1"/>
  </cols>
  <sheetData>
    <row r="1" spans="1:33" x14ac:dyDescent="0.35">
      <c r="A1" s="146" t="s">
        <v>1140</v>
      </c>
      <c r="B1" s="85"/>
      <c r="C1" s="85"/>
      <c r="D1" s="85"/>
      <c r="E1" s="85"/>
      <c r="F1" s="85"/>
      <c r="G1" s="85"/>
      <c r="H1" s="85"/>
      <c r="I1" s="85"/>
      <c r="J1" s="85"/>
      <c r="K1" s="85"/>
      <c r="L1" s="85"/>
      <c r="M1" s="557" t="s">
        <v>1036</v>
      </c>
      <c r="N1" s="557"/>
      <c r="O1" s="557"/>
      <c r="P1" s="558"/>
      <c r="Q1" s="104" t="s">
        <v>1147</v>
      </c>
    </row>
    <row r="2" spans="1:33" ht="15.5" x14ac:dyDescent="0.35">
      <c r="A2" s="561" t="s">
        <v>660</v>
      </c>
      <c r="B2" s="562"/>
      <c r="C2" s="562"/>
      <c r="D2" s="562"/>
      <c r="E2" s="562"/>
      <c r="F2" s="562"/>
      <c r="G2" s="562"/>
      <c r="H2" s="562"/>
      <c r="I2" s="562"/>
      <c r="J2" s="562"/>
      <c r="M2" s="559"/>
      <c r="N2" s="559"/>
      <c r="O2" s="559"/>
      <c r="P2" s="560"/>
      <c r="Q2" s="563" t="s">
        <v>1141</v>
      </c>
      <c r="R2" s="472"/>
      <c r="S2" s="472"/>
      <c r="T2" s="472"/>
      <c r="U2" s="472"/>
      <c r="V2" s="472"/>
      <c r="W2" s="472"/>
      <c r="X2" s="472"/>
      <c r="Z2" s="472" t="s">
        <v>1152</v>
      </c>
      <c r="AA2" s="472"/>
      <c r="AB2" s="472"/>
      <c r="AC2" s="472"/>
      <c r="AD2" s="472"/>
      <c r="AE2" s="472"/>
      <c r="AF2" s="472"/>
      <c r="AG2" s="472"/>
    </row>
    <row r="3" spans="1:33" ht="15" thickBot="1" x14ac:dyDescent="0.4">
      <c r="A3" s="147" t="s">
        <v>658</v>
      </c>
      <c r="B3" s="137" t="s">
        <v>120</v>
      </c>
      <c r="C3" s="143" t="s">
        <v>94</v>
      </c>
      <c r="D3" s="143" t="s">
        <v>224</v>
      </c>
      <c r="E3" s="138" t="s">
        <v>298</v>
      </c>
      <c r="F3" s="138" t="s">
        <v>299</v>
      </c>
      <c r="G3" s="139" t="s">
        <v>301</v>
      </c>
      <c r="H3" s="139" t="s">
        <v>302</v>
      </c>
      <c r="I3" s="139" t="s">
        <v>303</v>
      </c>
      <c r="J3" s="139" t="s">
        <v>304</v>
      </c>
      <c r="M3" s="559"/>
      <c r="N3" s="559"/>
      <c r="O3" s="559"/>
      <c r="P3" s="560"/>
      <c r="Q3" s="291" t="s">
        <v>1142</v>
      </c>
      <c r="R3" s="105">
        <v>2020</v>
      </c>
      <c r="S3" s="105">
        <v>2025</v>
      </c>
      <c r="T3" s="105">
        <v>2030</v>
      </c>
      <c r="U3" s="105">
        <v>2035</v>
      </c>
      <c r="V3" s="105">
        <v>2040</v>
      </c>
      <c r="W3" s="105">
        <v>2045</v>
      </c>
      <c r="X3" s="105">
        <v>2050</v>
      </c>
      <c r="Z3" s="105" t="s">
        <v>1142</v>
      </c>
      <c r="AA3" s="105">
        <v>2020</v>
      </c>
      <c r="AB3" s="105">
        <v>2025</v>
      </c>
      <c r="AC3" s="105">
        <v>2030</v>
      </c>
      <c r="AD3" s="105">
        <v>2035</v>
      </c>
      <c r="AE3" s="105">
        <v>2040</v>
      </c>
      <c r="AF3" s="105">
        <v>2045</v>
      </c>
      <c r="AG3" s="105">
        <v>2050</v>
      </c>
    </row>
    <row r="4" spans="1:33" ht="27.65" customHeight="1" thickTop="1" thickBot="1" x14ac:dyDescent="0.4">
      <c r="A4" s="148"/>
      <c r="B4" s="140"/>
      <c r="C4" s="144" t="s">
        <v>1</v>
      </c>
      <c r="D4" s="140"/>
      <c r="E4" s="141" t="s">
        <v>96</v>
      </c>
      <c r="F4" s="141" t="s">
        <v>300</v>
      </c>
      <c r="G4" s="141"/>
      <c r="H4" s="142" t="s">
        <v>305</v>
      </c>
      <c r="I4" s="142" t="s">
        <v>305</v>
      </c>
      <c r="J4" s="142" t="s">
        <v>306</v>
      </c>
      <c r="M4" s="559"/>
      <c r="N4" s="559"/>
      <c r="O4" s="559"/>
      <c r="P4" s="560"/>
      <c r="Q4" s="33" t="s">
        <v>1143</v>
      </c>
      <c r="Z4" s="33" t="s">
        <v>1143</v>
      </c>
    </row>
    <row r="5" spans="1:33" ht="15" thickTop="1" x14ac:dyDescent="0.35">
      <c r="A5" s="149" t="s">
        <v>307</v>
      </c>
      <c r="B5" s="150" t="s">
        <v>308</v>
      </c>
      <c r="C5" s="150" t="s">
        <v>309</v>
      </c>
      <c r="D5" s="150" t="s">
        <v>310</v>
      </c>
      <c r="E5" s="150"/>
      <c r="F5" s="151"/>
      <c r="G5" s="152">
        <v>12.5</v>
      </c>
      <c r="H5" s="150"/>
      <c r="I5" s="153">
        <v>7.4625760131172711</v>
      </c>
      <c r="J5" s="154">
        <v>0.4376230344297341</v>
      </c>
      <c r="M5" s="559"/>
      <c r="N5" s="559"/>
      <c r="O5" s="559"/>
      <c r="P5" s="560"/>
      <c r="Q5" s="17" t="s">
        <v>1144</v>
      </c>
      <c r="R5" s="88">
        <v>4.8648656915384398</v>
      </c>
      <c r="S5" s="88">
        <v>5.1209112542509896</v>
      </c>
      <c r="T5" s="88">
        <v>5.3904328992115698</v>
      </c>
      <c r="U5" s="88">
        <v>5.6741398939069096</v>
      </c>
      <c r="V5" s="88">
        <v>5.9727788356914902</v>
      </c>
      <c r="W5" s="88">
        <v>6.28713561651736</v>
      </c>
      <c r="X5" s="88">
        <v>6.6180374910708997</v>
      </c>
      <c r="Z5" s="17" t="s">
        <v>1144</v>
      </c>
      <c r="AA5" s="88"/>
      <c r="AB5" s="102">
        <f>S5/R5</f>
        <v>1.0526315789473686</v>
      </c>
      <c r="AC5" s="102">
        <f t="shared" ref="AC5:AG6" si="0">T5/S5</f>
        <v>1.0526315789473688</v>
      </c>
      <c r="AD5" s="102">
        <f t="shared" si="0"/>
        <v>1.0526315789473673</v>
      </c>
      <c r="AE5" s="102">
        <f t="shared" si="0"/>
        <v>1.0526315789473695</v>
      </c>
      <c r="AF5" s="102">
        <f t="shared" si="0"/>
        <v>1.0526315789473688</v>
      </c>
      <c r="AG5" s="102">
        <f t="shared" si="0"/>
        <v>1.0526315789473675</v>
      </c>
    </row>
    <row r="6" spans="1:33" x14ac:dyDescent="0.35">
      <c r="A6" s="149" t="s">
        <v>311</v>
      </c>
      <c r="B6" s="150" t="s">
        <v>312</v>
      </c>
      <c r="C6" s="150" t="s">
        <v>313</v>
      </c>
      <c r="D6" s="150" t="s">
        <v>310</v>
      </c>
      <c r="E6" s="150"/>
      <c r="F6" s="151">
        <v>2010</v>
      </c>
      <c r="G6" s="155">
        <v>25</v>
      </c>
      <c r="H6" s="153">
        <v>814.53238577880768</v>
      </c>
      <c r="I6" s="153">
        <v>7.4625760131172711</v>
      </c>
      <c r="J6" s="154">
        <v>0.451476368560703</v>
      </c>
      <c r="K6" s="156">
        <f>J6/J$7-1</f>
        <v>5.699999999999994E-2</v>
      </c>
      <c r="L6" t="s">
        <v>314</v>
      </c>
      <c r="M6" s="559"/>
      <c r="N6" s="559"/>
      <c r="O6" s="559"/>
      <c r="P6" s="560"/>
      <c r="Q6" s="17" t="s">
        <v>1145</v>
      </c>
      <c r="R6" s="88">
        <v>4.6367568332282199</v>
      </c>
      <c r="S6" s="88">
        <v>4.8807966665560203</v>
      </c>
      <c r="T6" s="88">
        <v>5.1376807016379198</v>
      </c>
      <c r="U6" s="88">
        <v>5.40808494909255</v>
      </c>
      <c r="V6" s="88">
        <v>5.6927209990447896</v>
      </c>
      <c r="W6" s="88">
        <v>5.9923378937313503</v>
      </c>
      <c r="X6" s="88">
        <v>6.3077240986645799</v>
      </c>
      <c r="Z6" s="17" t="s">
        <v>1145</v>
      </c>
      <c r="AA6" s="88"/>
      <c r="AB6" s="102">
        <f>S6/R6</f>
        <v>1.0526315789473684</v>
      </c>
      <c r="AC6" s="102">
        <f t="shared" si="0"/>
        <v>1.0526315789473693</v>
      </c>
      <c r="AD6" s="102">
        <f t="shared" si="0"/>
        <v>1.052631578947369</v>
      </c>
      <c r="AE6" s="102">
        <f t="shared" si="0"/>
        <v>1.0526315789473684</v>
      </c>
      <c r="AF6" s="102">
        <f t="shared" si="0"/>
        <v>1.0526315789473673</v>
      </c>
      <c r="AG6" s="102">
        <f t="shared" si="0"/>
        <v>1.0526315789473686</v>
      </c>
    </row>
    <row r="7" spans="1:33" x14ac:dyDescent="0.35">
      <c r="A7" s="149" t="s">
        <v>315</v>
      </c>
      <c r="B7" s="150" t="s">
        <v>316</v>
      </c>
      <c r="C7" s="150" t="s">
        <v>317</v>
      </c>
      <c r="D7" s="150" t="s">
        <v>318</v>
      </c>
      <c r="E7" s="150"/>
      <c r="F7" s="151">
        <v>2010</v>
      </c>
      <c r="G7" s="150">
        <v>25</v>
      </c>
      <c r="H7" s="153">
        <v>814.53238577880768</v>
      </c>
      <c r="I7" s="153">
        <v>7.4625760131172711</v>
      </c>
      <c r="J7" s="154">
        <v>0.42712996079536708</v>
      </c>
      <c r="K7" s="156">
        <f>J7/J$8-1</f>
        <v>-9.6499526963103155E-2</v>
      </c>
      <c r="L7" t="s">
        <v>319</v>
      </c>
      <c r="M7" s="559"/>
      <c r="N7" s="559"/>
      <c r="O7" s="559"/>
      <c r="P7" s="560"/>
      <c r="Q7" s="17" t="s">
        <v>499</v>
      </c>
      <c r="T7" s="88">
        <v>5.1133475754363102</v>
      </c>
      <c r="U7" s="88">
        <v>5.1133475754363102</v>
      </c>
      <c r="V7" s="88">
        <v>5.1133475754363102</v>
      </c>
      <c r="W7" s="88">
        <v>5.1133475754363102</v>
      </c>
      <c r="X7" s="88">
        <v>5.1133475754363102</v>
      </c>
      <c r="Z7" s="17"/>
      <c r="AC7" s="88"/>
      <c r="AD7" s="88"/>
      <c r="AE7" s="88"/>
      <c r="AF7" s="88"/>
      <c r="AG7" s="88"/>
    </row>
    <row r="8" spans="1:33" x14ac:dyDescent="0.35">
      <c r="A8" s="149" t="s">
        <v>320</v>
      </c>
      <c r="B8" s="150" t="s">
        <v>321</v>
      </c>
      <c r="C8" s="150" t="s">
        <v>322</v>
      </c>
      <c r="D8" s="150" t="s">
        <v>310</v>
      </c>
      <c r="E8" s="150"/>
      <c r="F8" s="151">
        <v>2010</v>
      </c>
      <c r="G8" s="155">
        <v>25</v>
      </c>
      <c r="H8" s="153">
        <v>820.68444307320954</v>
      </c>
      <c r="I8" s="153">
        <v>7.4625760131172711</v>
      </c>
      <c r="J8" s="154">
        <v>0.47275012414733303</v>
      </c>
      <c r="K8" s="156">
        <f t="shared" ref="K8:K15" si="1">J8/J$8-1</f>
        <v>0</v>
      </c>
      <c r="M8" s="559"/>
      <c r="N8" s="559"/>
      <c r="O8" s="559"/>
      <c r="P8" s="560"/>
      <c r="Q8" s="33" t="s">
        <v>395</v>
      </c>
      <c r="Z8" s="33" t="s">
        <v>395</v>
      </c>
    </row>
    <row r="9" spans="1:33" x14ac:dyDescent="0.35">
      <c r="A9" s="149"/>
      <c r="B9" s="150"/>
      <c r="C9" s="150" t="s">
        <v>323</v>
      </c>
      <c r="D9" s="150" t="s">
        <v>324</v>
      </c>
      <c r="E9" s="150"/>
      <c r="F9" s="150">
        <v>2015</v>
      </c>
      <c r="G9" s="155">
        <v>25</v>
      </c>
      <c r="H9" s="153">
        <v>1231.6418703392544</v>
      </c>
      <c r="I9" s="153">
        <v>7.7610790536419625</v>
      </c>
      <c r="J9" s="154">
        <v>0.44262389074578729</v>
      </c>
      <c r="K9" s="156">
        <f t="shared" si="1"/>
        <v>-6.3725490196078427E-2</v>
      </c>
      <c r="P9" s="76"/>
      <c r="Q9" s="17" t="s">
        <v>1144</v>
      </c>
      <c r="R9" s="88">
        <v>10.116294837647599</v>
      </c>
      <c r="S9" s="88">
        <v>10.6487314080502</v>
      </c>
      <c r="T9" s="88">
        <v>11.209190955842301</v>
      </c>
      <c r="U9" s="88">
        <v>11.7991483745708</v>
      </c>
      <c r="V9" s="88">
        <v>12.420156183758699</v>
      </c>
      <c r="W9" s="88">
        <v>13.0738486144829</v>
      </c>
      <c r="X9" s="88">
        <v>13.761945909982</v>
      </c>
      <c r="Z9" s="17" t="s">
        <v>1144</v>
      </c>
      <c r="AA9" s="88"/>
      <c r="AB9" s="102">
        <f>S9/R9</f>
        <v>1.0526315789473779</v>
      </c>
      <c r="AC9" s="102">
        <f t="shared" ref="AC9:AC10" si="2">T9/S9</f>
        <v>1.052631578947367</v>
      </c>
      <c r="AD9" s="102">
        <f t="shared" ref="AD9:AD10" si="3">U9/T9</f>
        <v>1.0526315789473646</v>
      </c>
      <c r="AE9" s="102">
        <f t="shared" ref="AE9:AE10" si="4">V9/U9</f>
        <v>1.0526315789473653</v>
      </c>
      <c r="AF9" s="102">
        <f t="shared" ref="AF9:AF10" si="5">W9/V9</f>
        <v>1.0526315789473732</v>
      </c>
      <c r="AG9" s="102">
        <f t="shared" ref="AG9:AG10" si="6">X9/W9</f>
        <v>1.0526315789473684</v>
      </c>
    </row>
    <row r="10" spans="1:33" x14ac:dyDescent="0.35">
      <c r="A10" s="149" t="s">
        <v>325</v>
      </c>
      <c r="B10" s="150" t="s">
        <v>326</v>
      </c>
      <c r="C10" s="150" t="s">
        <v>327</v>
      </c>
      <c r="D10" s="150" t="s">
        <v>310</v>
      </c>
      <c r="E10" s="150"/>
      <c r="F10" s="151">
        <v>2015</v>
      </c>
      <c r="G10" s="151">
        <v>25</v>
      </c>
      <c r="H10" s="153">
        <v>815.46191019484638</v>
      </c>
      <c r="I10" s="153">
        <v>7.5083155288151495</v>
      </c>
      <c r="J10" s="154">
        <v>0.45358554132787771</v>
      </c>
      <c r="K10" s="156">
        <f t="shared" si="1"/>
        <v>-4.0538504043803658E-2</v>
      </c>
      <c r="P10" s="76"/>
      <c r="Q10" s="17" t="s">
        <v>1145</v>
      </c>
      <c r="R10" s="88">
        <v>10.048925661283899</v>
      </c>
      <c r="S10" s="88">
        <v>10.577816485562</v>
      </c>
      <c r="T10" s="88">
        <v>11.1345436690127</v>
      </c>
      <c r="U10" s="88">
        <v>11.720572283171199</v>
      </c>
      <c r="V10" s="88">
        <v>12.337444508601299</v>
      </c>
      <c r="W10" s="88">
        <v>12.986783693264501</v>
      </c>
      <c r="X10" s="88">
        <v>13.670298624489</v>
      </c>
      <c r="Z10" s="17" t="s">
        <v>1145</v>
      </c>
      <c r="AA10" s="88"/>
      <c r="AB10" s="102">
        <f>S10/R10</f>
        <v>1.0526315789473686</v>
      </c>
      <c r="AC10" s="102">
        <f t="shared" si="2"/>
        <v>1.052631578947375</v>
      </c>
      <c r="AD10" s="102">
        <f t="shared" si="3"/>
        <v>1.0526315789473626</v>
      </c>
      <c r="AE10" s="102">
        <f t="shared" si="4"/>
        <v>1.0526315789473717</v>
      </c>
      <c r="AF10" s="102">
        <f t="shared" si="5"/>
        <v>1.0526315789473664</v>
      </c>
      <c r="AG10" s="102">
        <f t="shared" si="6"/>
        <v>1.0526315789473724</v>
      </c>
    </row>
    <row r="11" spans="1:33" x14ac:dyDescent="0.35">
      <c r="A11" s="149" t="s">
        <v>328</v>
      </c>
      <c r="B11" s="150" t="s">
        <v>329</v>
      </c>
      <c r="C11" s="150" t="s">
        <v>330</v>
      </c>
      <c r="D11" s="150" t="s">
        <v>310</v>
      </c>
      <c r="E11" s="150"/>
      <c r="F11" s="151">
        <v>2030</v>
      </c>
      <c r="G11" s="155">
        <v>25</v>
      </c>
      <c r="H11" s="153">
        <v>1127.6930582784942</v>
      </c>
      <c r="I11" s="153">
        <v>7.4625760131172711</v>
      </c>
      <c r="J11" s="154">
        <v>0.6449662408010044</v>
      </c>
      <c r="K11" s="156">
        <f t="shared" si="1"/>
        <v>0.36428571428571432</v>
      </c>
      <c r="P11" s="76"/>
      <c r="Q11" s="17" t="s">
        <v>499</v>
      </c>
      <c r="T11" s="88">
        <v>11.5246343064487</v>
      </c>
      <c r="U11" s="88">
        <v>11.5246343064487</v>
      </c>
      <c r="V11" s="88">
        <v>11.5246343064487</v>
      </c>
      <c r="W11" s="88">
        <v>11.5246343064487</v>
      </c>
      <c r="X11" s="88">
        <v>11.5246343064487</v>
      </c>
      <c r="Z11" s="17"/>
      <c r="AC11" s="88"/>
      <c r="AD11" s="88"/>
      <c r="AE11" s="88"/>
      <c r="AF11" s="88"/>
      <c r="AG11" s="88"/>
    </row>
    <row r="12" spans="1:33" x14ac:dyDescent="0.35">
      <c r="A12" s="149" t="s">
        <v>331</v>
      </c>
      <c r="B12" s="150" t="s">
        <v>332</v>
      </c>
      <c r="C12" s="150" t="s">
        <v>333</v>
      </c>
      <c r="D12" s="150" t="s">
        <v>310</v>
      </c>
      <c r="E12" s="150"/>
      <c r="F12" s="151">
        <v>2030</v>
      </c>
      <c r="G12" s="155">
        <v>25</v>
      </c>
      <c r="H12" s="153">
        <v>895.98562435668828</v>
      </c>
      <c r="I12" s="153">
        <v>7.4625760131172711</v>
      </c>
      <c r="J12" s="154">
        <v>0.50164040951189226</v>
      </c>
      <c r="K12" s="156">
        <f t="shared" si="1"/>
        <v>6.1111111111111116E-2</v>
      </c>
      <c r="P12" s="76"/>
      <c r="Q12" s="33" t="s">
        <v>1146</v>
      </c>
      <c r="Z12" s="33" t="s">
        <v>1146</v>
      </c>
    </row>
    <row r="13" spans="1:33" x14ac:dyDescent="0.35">
      <c r="A13" s="149"/>
      <c r="B13" s="150"/>
      <c r="C13" s="150" t="s">
        <v>334</v>
      </c>
      <c r="D13" s="150" t="s">
        <v>310</v>
      </c>
      <c r="E13" s="150"/>
      <c r="F13" s="151">
        <v>2010</v>
      </c>
      <c r="G13" s="155">
        <v>25</v>
      </c>
      <c r="H13" s="153">
        <v>1208.2640526205273</v>
      </c>
      <c r="I13" s="153">
        <v>11.069863511905075</v>
      </c>
      <c r="J13" s="154">
        <v>0.51597299264080343</v>
      </c>
      <c r="K13" s="156">
        <f t="shared" si="1"/>
        <v>9.1428571428571415E-2</v>
      </c>
      <c r="P13" s="76"/>
      <c r="Q13" s="17" t="s">
        <v>1144</v>
      </c>
      <c r="R13" s="88">
        <v>14.0903397176015</v>
      </c>
      <c r="S13" s="88">
        <v>14.8319365448437</v>
      </c>
      <c r="T13" s="88">
        <v>15.612564784046</v>
      </c>
      <c r="U13" s="88">
        <v>16.4342787200485</v>
      </c>
      <c r="V13" s="88">
        <v>17.2992407579457</v>
      </c>
      <c r="W13" s="88">
        <v>18.2097271136271</v>
      </c>
      <c r="X13" s="88">
        <v>19.168133803818002</v>
      </c>
      <c r="Z13" s="17" t="s">
        <v>1144</v>
      </c>
      <c r="AA13" s="88"/>
      <c r="AB13" s="102">
        <f>S13/R13</f>
        <v>1.0526315789473695</v>
      </c>
      <c r="AC13" s="102">
        <f t="shared" ref="AC13:AC14" si="7">T13/S13</f>
        <v>1.0526315789473684</v>
      </c>
      <c r="AD13" s="102">
        <f t="shared" ref="AD13:AD14" si="8">U13/T13</f>
        <v>1.0526315789473735</v>
      </c>
      <c r="AE13" s="102">
        <f t="shared" ref="AE13:AE14" si="9">V13/U13</f>
        <v>1.052631578947363</v>
      </c>
      <c r="AF13" s="102">
        <f t="shared" ref="AF13:AF14" si="10">W13/V13</f>
        <v>1.052631578947371</v>
      </c>
      <c r="AG13" s="102">
        <f t="shared" ref="AG13:AG14" si="11">X13/W13</f>
        <v>1.0526315789473686</v>
      </c>
    </row>
    <row r="14" spans="1:33" x14ac:dyDescent="0.35">
      <c r="A14" s="149" t="s">
        <v>335</v>
      </c>
      <c r="B14" s="150" t="s">
        <v>336</v>
      </c>
      <c r="C14" s="150" t="s">
        <v>337</v>
      </c>
      <c r="D14" s="150" t="s">
        <v>310</v>
      </c>
      <c r="E14" s="150"/>
      <c r="F14" s="151">
        <v>2015</v>
      </c>
      <c r="G14" s="155">
        <v>25</v>
      </c>
      <c r="H14" s="153">
        <v>929.61720101077276</v>
      </c>
      <c r="I14" s="153">
        <v>8.516959112695238</v>
      </c>
      <c r="J14" s="154">
        <v>0.51597299264080343</v>
      </c>
      <c r="K14" s="156">
        <f t="shared" si="1"/>
        <v>9.1428571428571415E-2</v>
      </c>
      <c r="P14" s="76"/>
      <c r="Q14" s="17" t="s">
        <v>1145</v>
      </c>
      <c r="R14" s="88">
        <v>14.1188040304661</v>
      </c>
      <c r="S14" s="88">
        <v>14.861898979437999</v>
      </c>
      <c r="T14" s="88">
        <v>15.6441041888821</v>
      </c>
      <c r="U14" s="88">
        <v>16.4674780935601</v>
      </c>
      <c r="V14" s="88">
        <v>17.334187466905401</v>
      </c>
      <c r="W14" s="88">
        <v>18.2465131230583</v>
      </c>
      <c r="X14" s="88">
        <v>19.206855919008699</v>
      </c>
      <c r="Z14" s="17" t="s">
        <v>1145</v>
      </c>
      <c r="AA14" s="88"/>
      <c r="AB14" s="102">
        <f>S14/R14</f>
        <v>1.0526315789473684</v>
      </c>
      <c r="AC14" s="102">
        <f t="shared" si="7"/>
        <v>1.0526315789473681</v>
      </c>
      <c r="AD14" s="102">
        <f t="shared" si="8"/>
        <v>1.0526315789473681</v>
      </c>
      <c r="AE14" s="102">
        <f t="shared" si="9"/>
        <v>1.0526315789473704</v>
      </c>
      <c r="AF14" s="102">
        <f t="shared" si="10"/>
        <v>1.0526315789473675</v>
      </c>
      <c r="AG14" s="102">
        <f t="shared" si="11"/>
        <v>1.0526315789473664</v>
      </c>
    </row>
    <row r="15" spans="1:33" x14ac:dyDescent="0.35">
      <c r="A15" s="149"/>
      <c r="B15" s="150"/>
      <c r="C15" s="150" t="s">
        <v>338</v>
      </c>
      <c r="D15" s="150" t="s">
        <v>310</v>
      </c>
      <c r="E15" s="150"/>
      <c r="F15" s="151">
        <v>2015</v>
      </c>
      <c r="G15" s="155">
        <v>25</v>
      </c>
      <c r="H15" s="153">
        <v>1700.4286361726772</v>
      </c>
      <c r="I15" s="153">
        <v>15.578972885389833</v>
      </c>
      <c r="J15" s="154">
        <v>0.53114866889494472</v>
      </c>
      <c r="K15" s="156">
        <f t="shared" si="1"/>
        <v>0.12352941176470589</v>
      </c>
      <c r="P15" s="76"/>
      <c r="Q15" s="17" t="s">
        <v>499</v>
      </c>
      <c r="T15" s="88">
        <v>15.818799334471001</v>
      </c>
      <c r="U15" s="88">
        <v>15.818799334471001</v>
      </c>
      <c r="V15" s="88">
        <v>15.818799334471001</v>
      </c>
      <c r="W15" s="88">
        <v>15.818799334471001</v>
      </c>
      <c r="X15" s="88">
        <v>15.818799334471001</v>
      </c>
      <c r="Z15" s="17"/>
      <c r="AC15" s="88"/>
      <c r="AD15" s="88"/>
      <c r="AE15" s="88"/>
      <c r="AF15" s="88"/>
      <c r="AG15" s="88"/>
    </row>
    <row r="16" spans="1:33" x14ac:dyDescent="0.35">
      <c r="A16" s="149" t="s">
        <v>339</v>
      </c>
      <c r="B16" s="150" t="s">
        <v>340</v>
      </c>
      <c r="C16" s="150" t="s">
        <v>341</v>
      </c>
      <c r="D16" s="150" t="s">
        <v>255</v>
      </c>
      <c r="E16" s="157"/>
      <c r="F16" s="157"/>
      <c r="G16" s="158">
        <v>20</v>
      </c>
      <c r="H16" s="158">
        <v>17.510999999999999</v>
      </c>
      <c r="I16" s="153">
        <f>H16*0.1</f>
        <v>1.7511000000000001</v>
      </c>
      <c r="J16" s="159">
        <v>0.26732757610913099</v>
      </c>
      <c r="K16" s="156"/>
      <c r="P16" s="76"/>
      <c r="Q16" s="33" t="s">
        <v>1315</v>
      </c>
      <c r="Z16" s="33" t="s">
        <v>1315</v>
      </c>
    </row>
    <row r="17" spans="1:33" x14ac:dyDescent="0.35">
      <c r="A17" s="149" t="s">
        <v>342</v>
      </c>
      <c r="B17" s="150" t="s">
        <v>343</v>
      </c>
      <c r="C17" s="150" t="s">
        <v>344</v>
      </c>
      <c r="D17" s="150" t="s">
        <v>255</v>
      </c>
      <c r="E17" s="150"/>
      <c r="F17" s="151">
        <v>2010</v>
      </c>
      <c r="G17" s="155">
        <f>G16</f>
        <v>20</v>
      </c>
      <c r="H17" s="153">
        <f>H16</f>
        <v>17.510999999999999</v>
      </c>
      <c r="I17" s="153">
        <f>I16</f>
        <v>1.7511000000000001</v>
      </c>
      <c r="J17" s="154">
        <v>0.27606670547975581</v>
      </c>
      <c r="K17" s="156"/>
      <c r="P17" s="76"/>
      <c r="Q17" s="17" t="s">
        <v>1144</v>
      </c>
      <c r="R17" s="88">
        <v>0.35830000000000001</v>
      </c>
      <c r="S17" s="88">
        <v>0.37719999999999998</v>
      </c>
      <c r="T17" s="88">
        <v>0.39700000000000002</v>
      </c>
      <c r="U17" s="88">
        <v>0.41789999999999999</v>
      </c>
      <c r="V17" s="88">
        <v>0.43990000000000001</v>
      </c>
      <c r="W17" s="88">
        <v>0.46310000000000001</v>
      </c>
      <c r="X17" s="88">
        <v>0.4874</v>
      </c>
      <c r="Z17" s="17" t="s">
        <v>1144</v>
      </c>
      <c r="AB17" s="102">
        <f>S17/R17</f>
        <v>1.0527490929388779</v>
      </c>
      <c r="AC17" s="102">
        <f t="shared" ref="AC17:AC18" si="12">T17/S17</f>
        <v>1.0524920466595971</v>
      </c>
      <c r="AD17" s="102">
        <f t="shared" ref="AD17:AD18" si="13">U17/T17</f>
        <v>1.0526448362720402</v>
      </c>
      <c r="AE17" s="102">
        <f t="shared" ref="AE17:AE18" si="14">V17/U17</f>
        <v>1.0526441732471883</v>
      </c>
      <c r="AF17" s="102">
        <f t="shared" ref="AF17:AF18" si="15">W17/V17</f>
        <v>1.0527392589224824</v>
      </c>
      <c r="AG17" s="102">
        <f t="shared" ref="AG17:AG18" si="16">X17/W17</f>
        <v>1.0524724681494277</v>
      </c>
    </row>
    <row r="18" spans="1:33" ht="15" thickBot="1" x14ac:dyDescent="0.4">
      <c r="A18" s="555" t="s">
        <v>345</v>
      </c>
      <c r="B18" s="556"/>
      <c r="C18" s="556"/>
      <c r="D18" s="556"/>
      <c r="E18" s="556"/>
      <c r="F18" s="556"/>
      <c r="G18" s="556"/>
      <c r="H18" s="556"/>
      <c r="I18" s="556"/>
      <c r="J18" s="556"/>
      <c r="P18" s="76"/>
      <c r="Q18" s="17" t="s">
        <v>1145</v>
      </c>
      <c r="R18" s="88">
        <v>0.34189999999999998</v>
      </c>
      <c r="S18" s="88">
        <v>0.3599</v>
      </c>
      <c r="T18" s="88">
        <v>0.37890000000000001</v>
      </c>
      <c r="U18" s="88">
        <v>0.39879999999999999</v>
      </c>
      <c r="V18" s="88">
        <v>0.41980000000000001</v>
      </c>
      <c r="W18" s="88">
        <v>0.44190000000000002</v>
      </c>
      <c r="X18" s="88">
        <v>0.46510000000000001</v>
      </c>
      <c r="Z18" s="17" t="s">
        <v>1145</v>
      </c>
      <c r="AB18" s="102">
        <f>S18/R18</f>
        <v>1.0526469727990642</v>
      </c>
      <c r="AC18" s="102">
        <f t="shared" si="12"/>
        <v>1.0527924423450958</v>
      </c>
      <c r="AD18" s="102">
        <f t="shared" si="13"/>
        <v>1.0525204539456321</v>
      </c>
      <c r="AE18" s="102">
        <f t="shared" si="14"/>
        <v>1.0526579739217654</v>
      </c>
      <c r="AF18" s="102">
        <f t="shared" si="15"/>
        <v>1.0526441162458313</v>
      </c>
      <c r="AG18" s="102">
        <f t="shared" si="16"/>
        <v>1.0525005657388549</v>
      </c>
    </row>
    <row r="19" spans="1:33" ht="15" thickTop="1" x14ac:dyDescent="0.35">
      <c r="A19" s="149"/>
      <c r="B19" s="150"/>
      <c r="C19" s="150" t="s">
        <v>346</v>
      </c>
      <c r="D19" s="150" t="s">
        <v>310</v>
      </c>
      <c r="E19" s="150"/>
      <c r="F19" s="151"/>
      <c r="G19" s="152">
        <v>12.5</v>
      </c>
      <c r="H19" s="155"/>
      <c r="I19" s="152"/>
      <c r="J19" s="160"/>
      <c r="P19" s="76"/>
    </row>
    <row r="20" spans="1:33" ht="15.5" x14ac:dyDescent="0.35">
      <c r="A20" s="149"/>
      <c r="B20" s="150"/>
      <c r="C20" s="150" t="s">
        <v>347</v>
      </c>
      <c r="D20" s="150" t="s">
        <v>310</v>
      </c>
      <c r="E20" s="150"/>
      <c r="F20" s="151">
        <v>2007</v>
      </c>
      <c r="G20" s="155"/>
      <c r="H20" s="155"/>
      <c r="I20" s="152"/>
      <c r="J20" s="160"/>
      <c r="P20" s="76"/>
      <c r="Q20" s="389" t="s">
        <v>1752</v>
      </c>
      <c r="R20" s="189"/>
      <c r="S20" s="189"/>
      <c r="T20" s="189"/>
      <c r="U20" s="189"/>
      <c r="V20" s="189"/>
      <c r="W20" s="189"/>
      <c r="X20" s="189"/>
      <c r="Z20" s="375" t="s">
        <v>1759</v>
      </c>
    </row>
    <row r="21" spans="1:33" ht="15" thickBot="1" x14ac:dyDescent="0.4">
      <c r="A21" s="149"/>
      <c r="B21" s="150"/>
      <c r="C21" s="150" t="s">
        <v>348</v>
      </c>
      <c r="D21" s="150" t="s">
        <v>318</v>
      </c>
      <c r="E21" s="150"/>
      <c r="F21" s="151">
        <v>1979</v>
      </c>
      <c r="G21" s="150"/>
      <c r="H21" s="155"/>
      <c r="I21" s="161"/>
      <c r="J21" s="160"/>
      <c r="P21" s="76"/>
      <c r="Q21" s="291" t="s">
        <v>1743</v>
      </c>
      <c r="R21" s="105">
        <v>2020</v>
      </c>
      <c r="S21" s="105">
        <v>2025</v>
      </c>
      <c r="T21" s="105">
        <v>2030</v>
      </c>
      <c r="U21" s="105">
        <v>2035</v>
      </c>
      <c r="V21" s="105">
        <v>2040</v>
      </c>
      <c r="W21" s="105">
        <v>2045</v>
      </c>
      <c r="X21" s="105">
        <v>2050</v>
      </c>
      <c r="Z21" s="105" t="s">
        <v>94</v>
      </c>
      <c r="AA21" s="105" t="s">
        <v>1748</v>
      </c>
      <c r="AB21" s="105" t="s">
        <v>1749</v>
      </c>
    </row>
    <row r="22" spans="1:33" ht="15.5" thickTop="1" thickBot="1" x14ac:dyDescent="0.4">
      <c r="A22" s="149"/>
      <c r="B22" s="150"/>
      <c r="C22" s="150" t="s">
        <v>349</v>
      </c>
      <c r="D22" s="150" t="s">
        <v>310</v>
      </c>
      <c r="E22" s="150"/>
      <c r="F22" s="151">
        <v>1985</v>
      </c>
      <c r="G22" s="155">
        <v>25</v>
      </c>
      <c r="H22" s="155"/>
      <c r="I22" s="152"/>
      <c r="J22" s="160"/>
      <c r="P22" s="76"/>
      <c r="Q22" s="33" t="s">
        <v>654</v>
      </c>
      <c r="Z22" t="s">
        <v>1746</v>
      </c>
      <c r="AA22" s="376">
        <v>7.5</v>
      </c>
      <c r="AB22" s="88"/>
    </row>
    <row r="23" spans="1:33" x14ac:dyDescent="0.35">
      <c r="A23" s="149"/>
      <c r="B23" s="150"/>
      <c r="C23" s="150" t="s">
        <v>350</v>
      </c>
      <c r="D23" s="150" t="s">
        <v>324</v>
      </c>
      <c r="E23" s="150"/>
      <c r="F23" s="151">
        <v>2015</v>
      </c>
      <c r="G23" s="150">
        <v>25</v>
      </c>
      <c r="H23" s="155"/>
      <c r="I23" s="152"/>
      <c r="J23" s="160"/>
      <c r="P23" s="76"/>
      <c r="Q23" s="17" t="s">
        <v>1727</v>
      </c>
      <c r="R23" s="376">
        <v>650.18499999999995</v>
      </c>
      <c r="S23" s="376">
        <v>650.18499999999995</v>
      </c>
      <c r="T23" s="376">
        <v>650.18499999999995</v>
      </c>
      <c r="U23" s="376">
        <v>650.18499999999995</v>
      </c>
      <c r="V23" s="376">
        <v>650.18499999999995</v>
      </c>
      <c r="W23" s="376">
        <v>650.18499999999995</v>
      </c>
      <c r="X23" s="376">
        <v>650.18499999999995</v>
      </c>
      <c r="Y23" s="387" t="s">
        <v>1750</v>
      </c>
      <c r="Z23" t="s">
        <v>1747</v>
      </c>
      <c r="AA23" s="376">
        <v>9.9499999999999993</v>
      </c>
      <c r="AB23" s="102">
        <f>AA23/AA22</f>
        <v>1.3266666666666667</v>
      </c>
    </row>
    <row r="24" spans="1:33" ht="15" thickBot="1" x14ac:dyDescent="0.4">
      <c r="A24" s="149"/>
      <c r="B24" s="150"/>
      <c r="C24" s="150" t="s">
        <v>351</v>
      </c>
      <c r="D24" s="150" t="s">
        <v>310</v>
      </c>
      <c r="E24" s="150"/>
      <c r="F24" s="150">
        <v>2015</v>
      </c>
      <c r="G24" s="151">
        <v>11.845174528896468</v>
      </c>
      <c r="H24" s="155"/>
      <c r="I24" s="152"/>
      <c r="J24" s="160"/>
      <c r="P24" s="76"/>
      <c r="Q24" s="17" t="s">
        <v>989</v>
      </c>
      <c r="R24" s="376"/>
      <c r="S24" s="376"/>
      <c r="T24" s="376">
        <v>862.57899999999995</v>
      </c>
      <c r="U24" s="376">
        <v>862.57899999999995</v>
      </c>
      <c r="V24" s="376">
        <v>862.57899999999995</v>
      </c>
      <c r="W24" s="376">
        <v>862.57899999999995</v>
      </c>
      <c r="X24" s="376">
        <v>862.57899999999995</v>
      </c>
      <c r="Y24" s="269">
        <f>T24/T23</f>
        <v>1.326667025538885</v>
      </c>
      <c r="Z24" t="s">
        <v>1744</v>
      </c>
      <c r="AA24" s="388">
        <v>7.5</v>
      </c>
    </row>
    <row r="25" spans="1:33" ht="15" thickBot="1" x14ac:dyDescent="0.4">
      <c r="A25" s="149"/>
      <c r="B25" s="150"/>
      <c r="C25" s="150" t="s">
        <v>352</v>
      </c>
      <c r="D25" s="150" t="s">
        <v>310</v>
      </c>
      <c r="E25" s="150"/>
      <c r="F25" s="151">
        <v>2030</v>
      </c>
      <c r="G25" s="155">
        <v>25</v>
      </c>
      <c r="H25" s="155"/>
      <c r="I25" s="152"/>
      <c r="J25" s="160"/>
      <c r="P25" s="76"/>
      <c r="Q25" s="33" t="s">
        <v>81</v>
      </c>
      <c r="Z25" t="s">
        <v>1745</v>
      </c>
      <c r="AA25" s="376">
        <v>14.47</v>
      </c>
      <c r="AB25" s="102">
        <f>AA25/AA24</f>
        <v>1.9293333333333333</v>
      </c>
    </row>
    <row r="26" spans="1:33" x14ac:dyDescent="0.35">
      <c r="A26" s="149"/>
      <c r="B26" s="150"/>
      <c r="C26" s="150" t="s">
        <v>353</v>
      </c>
      <c r="D26" s="150" t="s">
        <v>310</v>
      </c>
      <c r="E26" s="150"/>
      <c r="F26" s="151">
        <v>2030</v>
      </c>
      <c r="G26" s="155">
        <v>25</v>
      </c>
      <c r="H26" s="155"/>
      <c r="I26" s="152"/>
      <c r="J26" s="160"/>
      <c r="P26" s="76"/>
      <c r="Q26" s="17" t="s">
        <v>1727</v>
      </c>
      <c r="R26" s="376">
        <v>32.753999999999998</v>
      </c>
      <c r="S26" s="376">
        <v>32.753999999999998</v>
      </c>
      <c r="T26" s="376">
        <v>32.753999999999998</v>
      </c>
      <c r="U26" s="376">
        <v>32.753999999999998</v>
      </c>
      <c r="V26" s="376">
        <v>32.753999999999998</v>
      </c>
      <c r="W26" s="376">
        <v>32.753999999999998</v>
      </c>
      <c r="X26" s="376">
        <v>32.753999999999998</v>
      </c>
      <c r="Y26" s="387" t="s">
        <v>1750</v>
      </c>
    </row>
    <row r="27" spans="1:33" ht="15" thickBot="1" x14ac:dyDescent="0.4">
      <c r="A27" s="149"/>
      <c r="B27" s="150"/>
      <c r="C27" s="150" t="s">
        <v>354</v>
      </c>
      <c r="D27" s="150" t="s">
        <v>310</v>
      </c>
      <c r="E27" s="150"/>
      <c r="F27" s="151">
        <v>2007</v>
      </c>
      <c r="G27" s="155">
        <v>25</v>
      </c>
      <c r="H27" s="155"/>
      <c r="I27" s="152"/>
      <c r="J27" s="160"/>
      <c r="P27" s="76"/>
      <c r="Q27" s="17" t="s">
        <v>989</v>
      </c>
      <c r="R27" s="376"/>
      <c r="S27" s="376"/>
      <c r="T27" s="376">
        <f>T26*$AB$25</f>
        <v>63.193383999999995</v>
      </c>
      <c r="U27" s="376">
        <f t="shared" ref="U27:X27" si="17">U26*$AB$25</f>
        <v>63.193383999999995</v>
      </c>
      <c r="V27" s="376">
        <f t="shared" si="17"/>
        <v>63.193383999999995</v>
      </c>
      <c r="W27" s="376">
        <f t="shared" si="17"/>
        <v>63.193383999999995</v>
      </c>
      <c r="X27" s="376">
        <f t="shared" si="17"/>
        <v>63.193383999999995</v>
      </c>
      <c r="Y27" s="269">
        <f>X27/X26</f>
        <v>1.9293333333333333</v>
      </c>
    </row>
    <row r="28" spans="1:33" x14ac:dyDescent="0.35">
      <c r="A28" s="149"/>
      <c r="B28" s="150"/>
      <c r="C28" s="150" t="s">
        <v>355</v>
      </c>
      <c r="D28" s="150" t="s">
        <v>310</v>
      </c>
      <c r="E28" s="150"/>
      <c r="F28" s="151">
        <v>2013</v>
      </c>
      <c r="G28" s="155">
        <v>25</v>
      </c>
      <c r="H28" s="155"/>
      <c r="I28" s="152"/>
      <c r="J28" s="160"/>
      <c r="P28" s="76"/>
      <c r="Q28" s="17" t="s">
        <v>232</v>
      </c>
      <c r="R28" s="376"/>
      <c r="S28" s="376">
        <v>54.152999999999999</v>
      </c>
      <c r="T28" s="376">
        <v>54.152999999999999</v>
      </c>
      <c r="U28" s="376">
        <v>54.152999999999999</v>
      </c>
      <c r="V28" s="376">
        <v>54.152999999999999</v>
      </c>
      <c r="W28" s="376">
        <v>54.152999999999999</v>
      </c>
      <c r="X28" s="376">
        <v>54.152999999999999</v>
      </c>
    </row>
    <row r="29" spans="1:33" x14ac:dyDescent="0.35">
      <c r="A29" s="149"/>
      <c r="B29" s="150"/>
      <c r="C29" s="150" t="s">
        <v>356</v>
      </c>
      <c r="D29" s="150" t="s">
        <v>310</v>
      </c>
      <c r="E29" s="150"/>
      <c r="F29" s="151">
        <v>2015</v>
      </c>
      <c r="G29" s="155">
        <v>25</v>
      </c>
      <c r="H29" s="155"/>
      <c r="I29" s="152"/>
      <c r="J29" s="160"/>
      <c r="P29" s="76"/>
    </row>
    <row r="30" spans="1:33" ht="16" thickBot="1" x14ac:dyDescent="0.4">
      <c r="A30" s="555" t="s">
        <v>659</v>
      </c>
      <c r="B30" s="556"/>
      <c r="C30" s="556"/>
      <c r="D30" s="556"/>
      <c r="E30" s="556"/>
      <c r="F30" s="556"/>
      <c r="G30" s="556"/>
      <c r="H30" s="556"/>
      <c r="I30" s="556"/>
      <c r="J30" s="556"/>
      <c r="P30" s="76"/>
      <c r="Q30" s="563" t="s">
        <v>1753</v>
      </c>
      <c r="R30" s="472"/>
      <c r="S30" s="472"/>
      <c r="T30" s="472"/>
      <c r="U30" s="472"/>
      <c r="V30" s="472"/>
      <c r="W30" s="472"/>
      <c r="X30" s="472"/>
    </row>
    <row r="31" spans="1:33" ht="15.5" thickTop="1" thickBot="1" x14ac:dyDescent="0.4">
      <c r="A31" s="149" t="s">
        <v>357</v>
      </c>
      <c r="B31" s="150" t="s">
        <v>358</v>
      </c>
      <c r="C31" s="150" t="s">
        <v>359</v>
      </c>
      <c r="D31" s="150" t="s">
        <v>109</v>
      </c>
      <c r="E31" s="150"/>
      <c r="F31" s="150">
        <v>2005</v>
      </c>
      <c r="G31" s="150">
        <v>30</v>
      </c>
      <c r="H31" s="153">
        <v>20.108902754128071</v>
      </c>
      <c r="I31" s="153">
        <v>1.0054451377064035</v>
      </c>
      <c r="J31" s="160">
        <v>1.9172146697629859</v>
      </c>
      <c r="P31" s="76"/>
      <c r="Q31" s="291" t="s">
        <v>1743</v>
      </c>
      <c r="R31" s="105">
        <v>2020</v>
      </c>
      <c r="S31" s="105">
        <v>2025</v>
      </c>
      <c r="T31" s="105">
        <v>2030</v>
      </c>
      <c r="U31" s="105">
        <v>2035</v>
      </c>
      <c r="V31" s="105">
        <v>2040</v>
      </c>
      <c r="W31" s="105">
        <v>2045</v>
      </c>
      <c r="X31" s="105">
        <v>2050</v>
      </c>
    </row>
    <row r="32" spans="1:33" ht="15" thickTop="1" x14ac:dyDescent="0.35">
      <c r="A32" s="149" t="s">
        <v>360</v>
      </c>
      <c r="B32" s="150" t="s">
        <v>361</v>
      </c>
      <c r="C32" s="150" t="s">
        <v>362</v>
      </c>
      <c r="D32" s="150" t="s">
        <v>109</v>
      </c>
      <c r="E32" s="150"/>
      <c r="F32" s="150">
        <v>2015</v>
      </c>
      <c r="G32" s="150">
        <v>30</v>
      </c>
      <c r="H32" s="153">
        <v>20.720414164558093</v>
      </c>
      <c r="I32" s="153">
        <v>1.027903765563994</v>
      </c>
      <c r="J32" s="160">
        <v>2.178653033821575</v>
      </c>
      <c r="P32" s="76"/>
      <c r="Q32" s="33" t="s">
        <v>654</v>
      </c>
    </row>
    <row r="33" spans="1:29" x14ac:dyDescent="0.35">
      <c r="A33" s="149" t="s">
        <v>363</v>
      </c>
      <c r="B33" s="150" t="s">
        <v>364</v>
      </c>
      <c r="C33" s="150" t="s">
        <v>365</v>
      </c>
      <c r="D33" s="150" t="s">
        <v>109</v>
      </c>
      <c r="E33" s="150"/>
      <c r="F33" s="150">
        <v>2010</v>
      </c>
      <c r="G33" s="150">
        <v>30</v>
      </c>
      <c r="H33" s="153">
        <v>20.327834233585889</v>
      </c>
      <c r="I33" s="153">
        <v>1.0163917116792944</v>
      </c>
      <c r="J33" s="160">
        <v>2.1302385219588733</v>
      </c>
      <c r="P33" s="76"/>
      <c r="Q33" s="17" t="s">
        <v>1727</v>
      </c>
      <c r="R33" s="376">
        <f>R23*0.1</f>
        <v>65.018500000000003</v>
      </c>
      <c r="S33" s="376">
        <f t="shared" ref="S33:X33" si="18">S23*0.1</f>
        <v>65.018500000000003</v>
      </c>
      <c r="T33" s="376">
        <f t="shared" si="18"/>
        <v>65.018500000000003</v>
      </c>
      <c r="U33" s="376">
        <f t="shared" si="18"/>
        <v>65.018500000000003</v>
      </c>
      <c r="V33" s="376">
        <f t="shared" si="18"/>
        <v>65.018500000000003</v>
      </c>
      <c r="W33" s="376">
        <f t="shared" si="18"/>
        <v>65.018500000000003</v>
      </c>
      <c r="X33" s="376">
        <f t="shared" si="18"/>
        <v>65.018500000000003</v>
      </c>
    </row>
    <row r="34" spans="1:29" x14ac:dyDescent="0.35">
      <c r="A34" s="149" t="s">
        <v>366</v>
      </c>
      <c r="B34" s="150" t="s">
        <v>367</v>
      </c>
      <c r="C34" s="150" t="s">
        <v>368</v>
      </c>
      <c r="D34" s="150" t="s">
        <v>109</v>
      </c>
      <c r="E34" s="150"/>
      <c r="F34" s="150">
        <v>2015</v>
      </c>
      <c r="G34" s="150">
        <v>30</v>
      </c>
      <c r="H34" s="153">
        <v>23.870342449190009</v>
      </c>
      <c r="I34" s="153">
        <v>1.1935171224595005</v>
      </c>
      <c r="J34" s="160">
        <v>2.3965183372037324</v>
      </c>
      <c r="P34" s="76"/>
      <c r="Q34" s="17" t="s">
        <v>989</v>
      </c>
      <c r="R34" s="376"/>
      <c r="S34" s="376"/>
      <c r="T34" s="376">
        <f>T24*0.1</f>
        <v>86.257900000000006</v>
      </c>
      <c r="U34" s="376">
        <f t="shared" ref="U34:X34" si="19">U24*0.1</f>
        <v>86.257900000000006</v>
      </c>
      <c r="V34" s="376">
        <f t="shared" si="19"/>
        <v>86.257900000000006</v>
      </c>
      <c r="W34" s="376">
        <f t="shared" si="19"/>
        <v>86.257900000000006</v>
      </c>
      <c r="X34" s="376">
        <f t="shared" si="19"/>
        <v>86.257900000000006</v>
      </c>
    </row>
    <row r="35" spans="1:29" x14ac:dyDescent="0.35">
      <c r="A35" s="149"/>
      <c r="B35" s="150"/>
      <c r="C35" s="150"/>
      <c r="D35" s="150"/>
      <c r="E35" s="150"/>
      <c r="F35" s="150"/>
      <c r="G35" s="150"/>
      <c r="H35" s="153"/>
      <c r="I35" s="153"/>
      <c r="J35" s="160"/>
      <c r="P35" s="76"/>
      <c r="Q35" s="33" t="s">
        <v>81</v>
      </c>
    </row>
    <row r="36" spans="1:29" x14ac:dyDescent="0.35">
      <c r="A36" s="149" t="s">
        <v>369</v>
      </c>
      <c r="B36" s="150" t="s">
        <v>370</v>
      </c>
      <c r="C36" s="150" t="s">
        <v>371</v>
      </c>
      <c r="D36" s="150" t="s">
        <v>372</v>
      </c>
      <c r="E36" s="150"/>
      <c r="F36" s="150">
        <v>2005</v>
      </c>
      <c r="G36" s="150">
        <v>30</v>
      </c>
      <c r="H36" s="153">
        <v>116.69461084272677</v>
      </c>
      <c r="I36" s="153">
        <v>5.8347305421363389</v>
      </c>
      <c r="J36" s="160">
        <v>2.4581977639536889</v>
      </c>
      <c r="P36" s="76"/>
      <c r="Q36" s="17" t="s">
        <v>1727</v>
      </c>
      <c r="R36" s="376">
        <f>R26*0.06</f>
        <v>1.9652399999999999</v>
      </c>
      <c r="S36" s="376">
        <f t="shared" ref="S36:X38" si="20">S26*0.06</f>
        <v>1.9652399999999999</v>
      </c>
      <c r="T36" s="376">
        <f t="shared" si="20"/>
        <v>1.9652399999999999</v>
      </c>
      <c r="U36" s="376">
        <f t="shared" si="20"/>
        <v>1.9652399999999999</v>
      </c>
      <c r="V36" s="376">
        <f t="shared" si="20"/>
        <v>1.9652399999999999</v>
      </c>
      <c r="W36" s="376">
        <f t="shared" si="20"/>
        <v>1.9652399999999999</v>
      </c>
      <c r="X36" s="376">
        <f t="shared" si="20"/>
        <v>1.9652399999999999</v>
      </c>
    </row>
    <row r="37" spans="1:29" x14ac:dyDescent="0.35">
      <c r="A37" s="149" t="s">
        <v>373</v>
      </c>
      <c r="B37" s="150" t="s">
        <v>374</v>
      </c>
      <c r="C37" s="150" t="s">
        <v>362</v>
      </c>
      <c r="D37" s="150" t="s">
        <v>375</v>
      </c>
      <c r="E37" s="150"/>
      <c r="F37" s="150">
        <v>2015</v>
      </c>
      <c r="G37" s="150">
        <v>30</v>
      </c>
      <c r="H37" s="153">
        <v>120.72361650800623</v>
      </c>
      <c r="I37" s="153">
        <v>6.0361808254003115</v>
      </c>
      <c r="J37" s="160">
        <v>2.7934065499473739</v>
      </c>
      <c r="P37" s="76"/>
      <c r="Q37" s="17" t="s">
        <v>989</v>
      </c>
      <c r="R37" s="376"/>
      <c r="S37" s="376"/>
      <c r="T37" s="376">
        <f t="shared" si="20"/>
        <v>3.7916030399999996</v>
      </c>
      <c r="U37" s="376">
        <f t="shared" si="20"/>
        <v>3.7916030399999996</v>
      </c>
      <c r="V37" s="376">
        <f t="shared" si="20"/>
        <v>3.7916030399999996</v>
      </c>
      <c r="W37" s="376">
        <f t="shared" si="20"/>
        <v>3.7916030399999996</v>
      </c>
      <c r="X37" s="376">
        <f t="shared" si="20"/>
        <v>3.7916030399999996</v>
      </c>
    </row>
    <row r="38" spans="1:29" x14ac:dyDescent="0.35">
      <c r="A38" s="149" t="s">
        <v>376</v>
      </c>
      <c r="B38" s="150" t="s">
        <v>377</v>
      </c>
      <c r="C38" s="150" t="s">
        <v>365</v>
      </c>
      <c r="D38" s="150" t="s">
        <v>375</v>
      </c>
      <c r="E38" s="150"/>
      <c r="F38" s="150">
        <v>2010</v>
      </c>
      <c r="G38" s="150">
        <v>30</v>
      </c>
      <c r="H38" s="153">
        <v>116.82165966338562</v>
      </c>
      <c r="I38" s="153">
        <v>5.8410829831692812</v>
      </c>
      <c r="J38" s="160">
        <v>2.7313308488374322</v>
      </c>
      <c r="P38" s="76"/>
      <c r="Q38" s="17" t="s">
        <v>232</v>
      </c>
      <c r="R38" s="376"/>
      <c r="S38" s="376">
        <f t="shared" si="20"/>
        <v>3.24918</v>
      </c>
      <c r="T38" s="376">
        <f t="shared" si="20"/>
        <v>3.24918</v>
      </c>
      <c r="U38" s="376">
        <f t="shared" si="20"/>
        <v>3.24918</v>
      </c>
      <c r="V38" s="376">
        <f t="shared" si="20"/>
        <v>3.24918</v>
      </c>
      <c r="W38" s="376">
        <f t="shared" si="20"/>
        <v>3.24918</v>
      </c>
      <c r="X38" s="376">
        <f t="shared" si="20"/>
        <v>3.24918</v>
      </c>
    </row>
    <row r="39" spans="1:29" x14ac:dyDescent="0.35">
      <c r="A39" s="149" t="s">
        <v>378</v>
      </c>
      <c r="B39" s="150" t="s">
        <v>379</v>
      </c>
      <c r="C39" s="150" t="s">
        <v>380</v>
      </c>
      <c r="D39" s="150" t="s">
        <v>375</v>
      </c>
      <c r="E39" s="150"/>
      <c r="F39" s="150">
        <v>2015</v>
      </c>
      <c r="G39" s="150">
        <v>30</v>
      </c>
      <c r="H39" s="153">
        <v>121.07065874932904</v>
      </c>
      <c r="I39" s="153">
        <v>6.0535329374664526</v>
      </c>
      <c r="J39" s="160">
        <v>2.8093688730899302</v>
      </c>
      <c r="P39" s="76"/>
      <c r="Q39" s="74" t="s">
        <v>1751</v>
      </c>
    </row>
    <row r="40" spans="1:29" x14ac:dyDescent="0.35">
      <c r="A40" s="149"/>
      <c r="B40" s="150"/>
      <c r="P40" s="76"/>
    </row>
    <row r="41" spans="1:29" ht="15.5" x14ac:dyDescent="0.35">
      <c r="A41" s="149"/>
      <c r="B41" s="150"/>
      <c r="C41" s="150" t="s">
        <v>381</v>
      </c>
      <c r="D41" s="150"/>
      <c r="E41" s="150"/>
      <c r="F41" s="150"/>
      <c r="G41" s="150"/>
      <c r="H41" s="150"/>
      <c r="I41" s="150"/>
      <c r="J41" s="150"/>
      <c r="K41" s="150"/>
      <c r="L41" s="150">
        <v>2010</v>
      </c>
      <c r="M41" s="150" t="s">
        <v>382</v>
      </c>
      <c r="P41" s="76"/>
      <c r="Q41" s="389" t="s">
        <v>1757</v>
      </c>
      <c r="R41" s="189"/>
      <c r="S41" s="189"/>
      <c r="T41" s="189"/>
      <c r="U41" s="189"/>
      <c r="V41" s="189"/>
      <c r="W41" s="189"/>
      <c r="X41" s="189"/>
      <c r="Z41" s="33" t="s">
        <v>1766</v>
      </c>
    </row>
    <row r="42" spans="1:29" ht="15" thickBot="1" x14ac:dyDescent="0.4">
      <c r="A42" s="149"/>
      <c r="B42" s="150"/>
      <c r="C42" s="150" t="s">
        <v>383</v>
      </c>
      <c r="D42" s="150" t="s">
        <v>384</v>
      </c>
      <c r="E42" s="150" t="s">
        <v>26</v>
      </c>
      <c r="F42" s="150" t="s">
        <v>253</v>
      </c>
      <c r="G42" s="150" t="s">
        <v>22</v>
      </c>
      <c r="H42" s="150" t="s">
        <v>250</v>
      </c>
      <c r="I42" s="150" t="s">
        <v>25</v>
      </c>
      <c r="J42" s="150" t="s">
        <v>251</v>
      </c>
      <c r="K42" s="150" t="s">
        <v>252</v>
      </c>
      <c r="L42" s="150" t="s">
        <v>25</v>
      </c>
      <c r="M42" s="150" t="s">
        <v>25</v>
      </c>
      <c r="P42" s="76"/>
      <c r="Q42" s="291" t="s">
        <v>1754</v>
      </c>
      <c r="R42" s="105">
        <v>2020</v>
      </c>
      <c r="S42" s="105">
        <v>2025</v>
      </c>
      <c r="T42" s="105">
        <v>2030</v>
      </c>
      <c r="U42" s="105">
        <v>2035</v>
      </c>
      <c r="V42" s="105">
        <v>2040</v>
      </c>
      <c r="W42" s="105">
        <v>2045</v>
      </c>
      <c r="X42" s="105">
        <v>2050</v>
      </c>
      <c r="Z42" s="105" t="s">
        <v>94</v>
      </c>
      <c r="AA42" s="105" t="s">
        <v>1748</v>
      </c>
      <c r="AB42" s="105" t="s">
        <v>1760</v>
      </c>
    </row>
    <row r="43" spans="1:29" ht="15" thickTop="1" x14ac:dyDescent="0.35">
      <c r="A43" s="149"/>
      <c r="B43" s="150"/>
      <c r="C43" s="150" t="str">
        <f>B31</f>
        <v>Water Shipping, Diesel exisiting</v>
      </c>
      <c r="D43" s="154">
        <v>8.9145194197183053E-4</v>
      </c>
      <c r="E43" s="154">
        <v>2.7857873186619706E-3</v>
      </c>
      <c r="F43" s="154">
        <v>1.3258786622609422E-2</v>
      </c>
      <c r="G43" s="154">
        <v>0.82814272231156594</v>
      </c>
      <c r="H43" s="154">
        <v>7.2936953132083177E-2</v>
      </c>
      <c r="I43" s="154">
        <v>0.10901366185084826</v>
      </c>
      <c r="J43" s="154">
        <v>1.329966674580349E-2</v>
      </c>
      <c r="K43" s="154">
        <v>1.329966674580349E-2</v>
      </c>
      <c r="L43" s="154">
        <v>3.5974508410779926E-2</v>
      </c>
      <c r="M43" s="154">
        <v>3.5974508410779927E-3</v>
      </c>
      <c r="P43" s="76"/>
      <c r="Q43" s="33" t="s">
        <v>1758</v>
      </c>
      <c r="Z43" t="s">
        <v>1761</v>
      </c>
      <c r="AA43" s="235">
        <v>7000</v>
      </c>
      <c r="AB43" s="235"/>
    </row>
    <row r="44" spans="1:29" x14ac:dyDescent="0.35">
      <c r="A44" s="149"/>
      <c r="B44" s="150"/>
      <c r="C44" s="150" t="str">
        <f>B36</f>
        <v>Water Shipping, Residual Oil exisiting</v>
      </c>
      <c r="D44" s="154">
        <v>7.7091027770749673E-4</v>
      </c>
      <c r="E44" s="154">
        <v>2.217651898871899E-3</v>
      </c>
      <c r="F44" s="154">
        <v>1.3499665637468579E-2</v>
      </c>
      <c r="G44" s="154">
        <v>0.82187223780518093</v>
      </c>
      <c r="H44" s="154">
        <v>4.2023509071137867E-2</v>
      </c>
      <c r="I44" s="154">
        <v>0.50817071957737692</v>
      </c>
      <c r="J44" s="154">
        <v>4.9673687838688592E-2</v>
      </c>
      <c r="K44" s="154">
        <v>4.9673687838688592E-2</v>
      </c>
      <c r="L44" s="154">
        <v>0.16769633746053439</v>
      </c>
      <c r="M44" s="154">
        <v>1.676963374605344E-2</v>
      </c>
      <c r="P44" s="76"/>
      <c r="Q44" s="17" t="s">
        <v>1755</v>
      </c>
      <c r="R44" s="376">
        <v>36.04</v>
      </c>
      <c r="S44" s="376">
        <v>36.04</v>
      </c>
      <c r="T44" s="376">
        <v>36.04</v>
      </c>
      <c r="U44" s="376">
        <v>36.04</v>
      </c>
      <c r="V44" s="376">
        <v>36.04</v>
      </c>
      <c r="W44" s="376">
        <v>36.04</v>
      </c>
      <c r="X44" s="376">
        <v>36.04</v>
      </c>
      <c r="Z44" t="s">
        <v>1762</v>
      </c>
      <c r="AA44" s="235"/>
      <c r="AB44" s="235">
        <v>750</v>
      </c>
      <c r="AC44" s="102">
        <f>(AB44+AA43)/AA43</f>
        <v>1.1071428571428572</v>
      </c>
    </row>
    <row r="45" spans="1:29" x14ac:dyDescent="0.35">
      <c r="A45" s="149"/>
      <c r="B45" s="150"/>
      <c r="C45" s="150" t="s">
        <v>385</v>
      </c>
      <c r="F45" s="154">
        <v>1.1932907960348481E-2</v>
      </c>
      <c r="G45" s="154">
        <v>0.74532845008040938</v>
      </c>
      <c r="H45" s="154">
        <v>6.5643257818874867E-2</v>
      </c>
      <c r="P45" s="76"/>
      <c r="Q45" s="17" t="s">
        <v>1756</v>
      </c>
      <c r="R45" s="376">
        <v>26.922000000000001</v>
      </c>
      <c r="S45" s="376">
        <v>26.922000000000001</v>
      </c>
      <c r="T45" s="376">
        <v>26.922000000000001</v>
      </c>
      <c r="U45" s="376">
        <v>26.922000000000001</v>
      </c>
      <c r="V45" s="376">
        <v>26.922000000000001</v>
      </c>
      <c r="W45" s="376">
        <v>26.922000000000001</v>
      </c>
      <c r="X45" s="376">
        <v>26.922000000000001</v>
      </c>
      <c r="Z45" t="s">
        <v>1765</v>
      </c>
      <c r="AB45" s="235">
        <v>1900</v>
      </c>
      <c r="AC45" s="102">
        <f>(AB45+AA43)/AA43</f>
        <v>1.2714285714285714</v>
      </c>
    </row>
    <row r="46" spans="1:29" x14ac:dyDescent="0.35">
      <c r="A46" s="149"/>
      <c r="B46" s="150"/>
      <c r="C46" s="150" t="s">
        <v>386</v>
      </c>
      <c r="F46" s="154">
        <v>1.2149699073721721E-2</v>
      </c>
      <c r="G46" s="154">
        <v>0.7396850140246628</v>
      </c>
      <c r="H46" s="154">
        <v>3.782115816402408E-2</v>
      </c>
      <c r="P46" s="76"/>
      <c r="Q46" s="17" t="s">
        <v>232</v>
      </c>
      <c r="R46" s="376"/>
      <c r="S46" s="376">
        <f>S44*$AC$44</f>
        <v>39.901428571428575</v>
      </c>
      <c r="T46" s="376">
        <f t="shared" ref="T46:X46" si="21">T44*$AC$44</f>
        <v>39.901428571428575</v>
      </c>
      <c r="U46" s="376">
        <f t="shared" si="21"/>
        <v>39.901428571428575</v>
      </c>
      <c r="V46" s="376">
        <f t="shared" si="21"/>
        <v>39.901428571428575</v>
      </c>
      <c r="W46" s="376">
        <f t="shared" si="21"/>
        <v>39.901428571428575</v>
      </c>
      <c r="X46" s="376">
        <f t="shared" si="21"/>
        <v>39.901428571428575</v>
      </c>
      <c r="Z46" t="s">
        <v>1763</v>
      </c>
      <c r="AA46" s="235"/>
      <c r="AB46" s="235">
        <v>5000</v>
      </c>
      <c r="AC46" s="102">
        <f>(AB46+AA43)/AA43</f>
        <v>1.7142857142857142</v>
      </c>
    </row>
    <row r="47" spans="1:29" x14ac:dyDescent="0.35">
      <c r="A47" s="149" t="s">
        <v>387</v>
      </c>
      <c r="B47" s="150"/>
      <c r="K47" s="153" t="s">
        <v>388</v>
      </c>
      <c r="L47" s="150" t="s">
        <v>389</v>
      </c>
      <c r="P47" s="76"/>
      <c r="Q47" s="33" t="s">
        <v>1326</v>
      </c>
      <c r="R47" s="376"/>
      <c r="S47" s="376"/>
      <c r="T47" s="376"/>
      <c r="U47" s="376"/>
      <c r="V47" s="376"/>
      <c r="W47" s="376"/>
      <c r="X47" s="376"/>
      <c r="Z47" s="564" t="s">
        <v>2096</v>
      </c>
      <c r="AA47" s="564"/>
      <c r="AB47" s="564"/>
    </row>
    <row r="48" spans="1:29" x14ac:dyDescent="0.35">
      <c r="A48" s="149" t="s">
        <v>390</v>
      </c>
      <c r="B48" s="150"/>
      <c r="K48" s="154">
        <f>K43*0.43</f>
        <v>5.7188567006955003E-3</v>
      </c>
      <c r="L48" s="154">
        <f>K43*0.21</f>
        <v>2.7929300166187328E-3</v>
      </c>
      <c r="P48" s="76"/>
      <c r="Q48" s="17" t="s">
        <v>1755</v>
      </c>
      <c r="R48" s="376">
        <v>23.74</v>
      </c>
      <c r="S48" s="376">
        <v>23.74</v>
      </c>
      <c r="T48" s="376">
        <v>23.74</v>
      </c>
      <c r="U48" s="376">
        <v>23.74</v>
      </c>
      <c r="V48" s="376">
        <v>23.74</v>
      </c>
      <c r="W48" s="376">
        <v>23.74</v>
      </c>
      <c r="X48" s="376">
        <v>23.74</v>
      </c>
      <c r="Z48" s="564"/>
      <c r="AA48" s="564"/>
      <c r="AB48" s="564"/>
    </row>
    <row r="49" spans="1:28" x14ac:dyDescent="0.35">
      <c r="A49" s="149"/>
      <c r="B49" s="150" t="s">
        <v>391</v>
      </c>
      <c r="K49" s="154">
        <f>K44*0.43</f>
        <v>2.1359685770636093E-2</v>
      </c>
      <c r="L49" s="154">
        <f>K44*0.21</f>
        <v>1.0431474446124604E-2</v>
      </c>
      <c r="P49" s="76"/>
      <c r="Q49" s="17" t="s">
        <v>1756</v>
      </c>
      <c r="R49" s="376">
        <v>20.89</v>
      </c>
      <c r="S49" s="376">
        <v>20.89</v>
      </c>
      <c r="T49" s="376">
        <v>20.89</v>
      </c>
      <c r="U49" s="376">
        <v>20.89</v>
      </c>
      <c r="V49" s="376">
        <v>20.89</v>
      </c>
      <c r="W49" s="376">
        <v>20.89</v>
      </c>
      <c r="X49" s="376">
        <v>20.89</v>
      </c>
      <c r="Z49" s="564"/>
      <c r="AA49" s="564"/>
      <c r="AB49" s="564"/>
    </row>
    <row r="50" spans="1:28" x14ac:dyDescent="0.35">
      <c r="A50" s="149" t="s">
        <v>392</v>
      </c>
      <c r="B50" s="150"/>
      <c r="P50" s="76"/>
      <c r="Q50" s="17" t="s">
        <v>232</v>
      </c>
      <c r="R50" s="376"/>
      <c r="S50" s="376">
        <f>S48*$AC$44</f>
        <v>26.283571428571427</v>
      </c>
      <c r="T50" s="376">
        <f t="shared" ref="T50:X50" si="22">T48*$AC$44</f>
        <v>26.283571428571427</v>
      </c>
      <c r="U50" s="376">
        <f t="shared" si="22"/>
        <v>26.283571428571427</v>
      </c>
      <c r="V50" s="376">
        <f t="shared" si="22"/>
        <v>26.283571428571427</v>
      </c>
      <c r="W50" s="376">
        <f t="shared" si="22"/>
        <v>26.283571428571427</v>
      </c>
      <c r="X50" s="376">
        <f t="shared" si="22"/>
        <v>26.283571428571427</v>
      </c>
      <c r="Z50" s="564"/>
      <c r="AA50" s="564"/>
      <c r="AB50" s="564"/>
    </row>
    <row r="51" spans="1:28" x14ac:dyDescent="0.35">
      <c r="A51" s="149"/>
      <c r="B51" s="150" t="s">
        <v>393</v>
      </c>
      <c r="P51" s="76"/>
      <c r="Q51" s="33" t="s">
        <v>1323</v>
      </c>
      <c r="R51" s="376"/>
      <c r="S51" s="376"/>
      <c r="T51" s="376"/>
      <c r="U51" s="376"/>
      <c r="V51" s="376"/>
      <c r="W51" s="376"/>
      <c r="X51" s="376"/>
      <c r="Z51" s="564"/>
      <c r="AA51" s="564"/>
      <c r="AB51" s="564"/>
    </row>
    <row r="52" spans="1:28" x14ac:dyDescent="0.35">
      <c r="A52" s="149" t="s">
        <v>394</v>
      </c>
      <c r="B52" s="150"/>
      <c r="P52" s="76"/>
      <c r="Q52" s="17" t="s">
        <v>1755</v>
      </c>
      <c r="R52" s="376">
        <v>1358.86</v>
      </c>
      <c r="S52" s="376">
        <v>1358.86</v>
      </c>
      <c r="T52" s="376">
        <v>1358.86</v>
      </c>
      <c r="U52" s="376">
        <v>1358.86</v>
      </c>
      <c r="V52" s="376">
        <v>1358.86</v>
      </c>
      <c r="W52" s="376">
        <v>1358.86</v>
      </c>
      <c r="X52" s="376">
        <v>1358.86</v>
      </c>
      <c r="Z52" s="564"/>
      <c r="AA52" s="564"/>
      <c r="AB52" s="564"/>
    </row>
    <row r="53" spans="1:28" ht="15" thickBot="1" x14ac:dyDescent="0.4">
      <c r="A53" s="555" t="s">
        <v>125</v>
      </c>
      <c r="B53" s="556"/>
      <c r="C53" s="556"/>
      <c r="D53" s="556"/>
      <c r="E53" s="556"/>
      <c r="F53" s="556"/>
      <c r="G53" s="556"/>
      <c r="H53" s="556"/>
      <c r="I53" s="556"/>
      <c r="J53" s="556"/>
      <c r="P53" s="76"/>
      <c r="Q53" s="17" t="s">
        <v>1756</v>
      </c>
      <c r="R53" s="376">
        <v>957.62599999999998</v>
      </c>
      <c r="S53" s="376">
        <v>957.62599999999998</v>
      </c>
      <c r="T53" s="376">
        <v>957.62599999999998</v>
      </c>
      <c r="U53" s="376">
        <v>957.62599999999998</v>
      </c>
      <c r="V53" s="376">
        <v>957.62599999999998</v>
      </c>
      <c r="W53" s="376">
        <v>957.62599999999998</v>
      </c>
      <c r="X53" s="376">
        <v>957.62599999999998</v>
      </c>
      <c r="Z53" s="564"/>
      <c r="AA53" s="564"/>
      <c r="AB53" s="564"/>
    </row>
    <row r="54" spans="1:28" ht="15" thickTop="1" x14ac:dyDescent="0.35">
      <c r="A54" s="77"/>
      <c r="C54" s="162" t="s">
        <v>1</v>
      </c>
      <c r="D54" s="162" t="s">
        <v>248</v>
      </c>
      <c r="E54" s="162" t="s">
        <v>224</v>
      </c>
      <c r="F54" s="163" t="s">
        <v>300</v>
      </c>
      <c r="G54" s="163" t="s">
        <v>301</v>
      </c>
      <c r="H54" s="164" t="s">
        <v>302</v>
      </c>
      <c r="I54" s="164" t="s">
        <v>303</v>
      </c>
      <c r="J54" s="164" t="s">
        <v>304</v>
      </c>
      <c r="K54" s="151">
        <v>2010</v>
      </c>
      <c r="L54" s="151">
        <v>2015</v>
      </c>
      <c r="M54" s="151">
        <v>2020</v>
      </c>
      <c r="N54" s="151">
        <v>2025</v>
      </c>
      <c r="O54" s="151">
        <v>2030</v>
      </c>
      <c r="P54" s="165">
        <v>2035</v>
      </c>
      <c r="Q54" s="74" t="s">
        <v>1764</v>
      </c>
      <c r="Z54" s="564"/>
      <c r="AA54" s="564"/>
      <c r="AB54" s="564"/>
    </row>
    <row r="55" spans="1:28" ht="21.5" x14ac:dyDescent="0.35">
      <c r="A55" s="77"/>
      <c r="C55" s="166"/>
      <c r="D55" s="166"/>
      <c r="E55" s="150"/>
      <c r="F55" s="164"/>
      <c r="G55" s="164"/>
      <c r="H55" s="167" t="s">
        <v>661</v>
      </c>
      <c r="I55" s="167" t="s">
        <v>661</v>
      </c>
      <c r="J55" s="167" t="s">
        <v>306</v>
      </c>
      <c r="K55" s="160"/>
      <c r="L55" s="160"/>
      <c r="M55" s="160"/>
      <c r="N55" s="160"/>
      <c r="O55" s="160"/>
      <c r="P55" s="168"/>
      <c r="Q55" s="17"/>
    </row>
    <row r="56" spans="1:28" ht="15.5" x14ac:dyDescent="0.35">
      <c r="A56" s="77"/>
      <c r="C56" s="150" t="s">
        <v>662</v>
      </c>
      <c r="D56" s="150" t="s">
        <v>663</v>
      </c>
      <c r="E56" s="150" t="s">
        <v>109</v>
      </c>
      <c r="F56" s="164">
        <v>1980</v>
      </c>
      <c r="G56" s="164">
        <v>30</v>
      </c>
      <c r="H56" s="153">
        <v>23.842986507042003</v>
      </c>
      <c r="I56" s="169">
        <v>1.43057919042252</v>
      </c>
      <c r="J56" s="170">
        <v>3.2636298765149001</v>
      </c>
      <c r="K56" s="160">
        <v>3.2636298765149001</v>
      </c>
      <c r="L56" s="160">
        <v>3.2536426954821964</v>
      </c>
      <c r="M56" s="160">
        <v>3.3141459086572391</v>
      </c>
      <c r="N56" s="160">
        <v>3.5057885555848922</v>
      </c>
      <c r="O56" s="160">
        <v>3.9776305657737558</v>
      </c>
      <c r="P56" s="168">
        <v>4.613014118449577</v>
      </c>
      <c r="Q56" s="389" t="s">
        <v>1769</v>
      </c>
      <c r="R56" s="189"/>
      <c r="S56" s="189"/>
      <c r="T56" s="189"/>
      <c r="U56" s="189"/>
      <c r="V56" s="189"/>
      <c r="W56" s="189"/>
      <c r="X56" s="189"/>
      <c r="Y56" s="102"/>
    </row>
    <row r="57" spans="1:28" ht="15" thickBot="1" x14ac:dyDescent="0.4">
      <c r="A57" s="77"/>
      <c r="C57" s="171" t="s">
        <v>664</v>
      </c>
      <c r="D57" s="172" t="s">
        <v>663</v>
      </c>
      <c r="E57" s="150" t="s">
        <v>109</v>
      </c>
      <c r="F57" s="150" t="s">
        <v>665</v>
      </c>
      <c r="G57" s="164">
        <v>30</v>
      </c>
      <c r="H57" s="153">
        <v>31.239056487930078</v>
      </c>
      <c r="I57" s="159">
        <v>1.4459300781315767</v>
      </c>
      <c r="J57" s="160">
        <v>3.6884714796352243</v>
      </c>
      <c r="K57" s="160"/>
      <c r="L57" s="160"/>
      <c r="M57" s="160"/>
      <c r="N57" s="160"/>
      <c r="O57" s="160"/>
      <c r="P57" s="168"/>
      <c r="Q57" s="291" t="s">
        <v>1754</v>
      </c>
      <c r="R57" s="105">
        <v>2020</v>
      </c>
      <c r="S57" s="105">
        <v>2025</v>
      </c>
      <c r="T57" s="105">
        <v>2030</v>
      </c>
      <c r="U57" s="105">
        <v>2035</v>
      </c>
      <c r="V57" s="105">
        <v>2040</v>
      </c>
      <c r="W57" s="105">
        <v>2045</v>
      </c>
      <c r="X57" s="105">
        <v>2050</v>
      </c>
    </row>
    <row r="58" spans="1:28" ht="15.5" thickTop="1" thickBot="1" x14ac:dyDescent="0.4">
      <c r="A58" s="77"/>
      <c r="C58" s="171" t="s">
        <v>666</v>
      </c>
      <c r="D58" s="172" t="s">
        <v>663</v>
      </c>
      <c r="E58" s="150" t="s">
        <v>109</v>
      </c>
      <c r="F58" s="150">
        <v>2020</v>
      </c>
      <c r="G58" s="164">
        <v>30</v>
      </c>
      <c r="H58" s="153">
        <v>31.162302049384802</v>
      </c>
      <c r="I58" s="159">
        <v>1.4459300781315767</v>
      </c>
      <c r="J58" s="160">
        <v>3.6884714796352243</v>
      </c>
      <c r="K58" s="160"/>
      <c r="L58" s="160"/>
      <c r="M58" s="160"/>
      <c r="N58" s="160"/>
      <c r="O58" s="160"/>
      <c r="P58" s="168"/>
      <c r="Q58" s="33" t="s">
        <v>1758</v>
      </c>
    </row>
    <row r="59" spans="1:28" x14ac:dyDescent="0.35">
      <c r="A59" s="77"/>
      <c r="C59" s="171" t="s">
        <v>667</v>
      </c>
      <c r="D59" s="172" t="s">
        <v>663</v>
      </c>
      <c r="E59" s="150" t="s">
        <v>109</v>
      </c>
      <c r="F59" s="150" t="s">
        <v>665</v>
      </c>
      <c r="G59" s="173">
        <v>30</v>
      </c>
      <c r="H59" s="153">
        <v>27.462224962102798</v>
      </c>
      <c r="I59" s="159">
        <v>1.4342634034726935</v>
      </c>
      <c r="J59" s="160">
        <v>3.0737262330293533</v>
      </c>
      <c r="K59" s="160"/>
      <c r="L59" s="160"/>
      <c r="M59" s="160"/>
      <c r="N59" s="160"/>
      <c r="O59" s="160"/>
      <c r="P59" s="168"/>
      <c r="Q59" s="17" t="s">
        <v>1755</v>
      </c>
      <c r="R59" s="236">
        <v>4.6800000000000001E-2</v>
      </c>
      <c r="S59" s="236">
        <v>4.6800000000000001E-2</v>
      </c>
      <c r="T59" s="236">
        <v>4.6800000000000001E-2</v>
      </c>
      <c r="U59" s="236">
        <v>4.6800000000000001E-2</v>
      </c>
      <c r="V59" s="236">
        <v>4.6800000000000001E-2</v>
      </c>
      <c r="W59" s="236">
        <v>4.6800000000000001E-2</v>
      </c>
      <c r="X59" s="236">
        <v>4.6800000000000001E-2</v>
      </c>
      <c r="Y59" s="391" t="s">
        <v>1771</v>
      </c>
      <c r="Z59" s="258"/>
    </row>
    <row r="60" spans="1:28" ht="15" thickBot="1" x14ac:dyDescent="0.4">
      <c r="A60" s="77"/>
      <c r="C60" s="174" t="s">
        <v>668</v>
      </c>
      <c r="D60" s="172" t="s">
        <v>663</v>
      </c>
      <c r="E60" s="150" t="s">
        <v>109</v>
      </c>
      <c r="F60" s="150">
        <v>2020</v>
      </c>
      <c r="G60" s="173">
        <v>30</v>
      </c>
      <c r="H60" s="153">
        <v>27.443036352466475</v>
      </c>
      <c r="I60" s="159">
        <v>1.4342634034726935</v>
      </c>
      <c r="J60" s="160">
        <v>3.0737262330293533</v>
      </c>
      <c r="K60" s="160"/>
      <c r="L60" s="160"/>
      <c r="M60" s="160"/>
      <c r="N60" s="160"/>
      <c r="O60" s="160"/>
      <c r="P60" s="168"/>
      <c r="Q60" s="17" t="s">
        <v>1756</v>
      </c>
      <c r="R60" s="236">
        <v>4.5499999999999999E-2</v>
      </c>
      <c r="S60" s="236">
        <v>4.5499999999999999E-2</v>
      </c>
      <c r="T60" s="236">
        <v>4.5499999999999999E-2</v>
      </c>
      <c r="U60" s="236">
        <v>4.5499999999999999E-2</v>
      </c>
      <c r="V60" s="236">
        <v>4.5499999999999999E-2</v>
      </c>
      <c r="W60" s="236">
        <v>4.5499999999999999E-2</v>
      </c>
      <c r="X60" s="236">
        <v>4.5499999999999999E-2</v>
      </c>
      <c r="Y60" s="392">
        <f>X60/X45</f>
        <v>1.6900676027041082E-3</v>
      </c>
    </row>
    <row r="61" spans="1:28" x14ac:dyDescent="0.35">
      <c r="A61" s="77"/>
      <c r="C61" s="150" t="s">
        <v>669</v>
      </c>
      <c r="D61" s="150" t="s">
        <v>663</v>
      </c>
      <c r="E61" s="150" t="s">
        <v>109</v>
      </c>
      <c r="F61" s="150" t="s">
        <v>665</v>
      </c>
      <c r="G61" s="150">
        <v>30</v>
      </c>
      <c r="H61" s="153">
        <v>24.192367247674138</v>
      </c>
      <c r="I61" s="159">
        <v>1.4425890276025934</v>
      </c>
      <c r="J61" s="160">
        <v>3.1899834060498367</v>
      </c>
      <c r="K61" s="160"/>
      <c r="L61" s="160"/>
      <c r="M61" s="160"/>
      <c r="N61" s="160"/>
      <c r="O61" s="160"/>
      <c r="P61" s="168"/>
      <c r="Q61" s="17" t="s">
        <v>232</v>
      </c>
      <c r="R61" s="376"/>
      <c r="S61" s="236">
        <f>S46*$Y$60</f>
        <v>6.7436111730183504E-2</v>
      </c>
      <c r="T61" s="236">
        <f t="shared" ref="T61:X61" si="23">T46*$Y$60</f>
        <v>6.7436111730183504E-2</v>
      </c>
      <c r="U61" s="236">
        <f t="shared" si="23"/>
        <v>6.7436111730183504E-2</v>
      </c>
      <c r="V61" s="236">
        <f t="shared" si="23"/>
        <v>6.7436111730183504E-2</v>
      </c>
      <c r="W61" s="236">
        <f t="shared" si="23"/>
        <v>6.7436111730183504E-2</v>
      </c>
      <c r="X61" s="236">
        <f t="shared" si="23"/>
        <v>6.7436111730183504E-2</v>
      </c>
    </row>
    <row r="62" spans="1:28" ht="15" thickBot="1" x14ac:dyDescent="0.4">
      <c r="A62" s="77"/>
      <c r="C62" s="150" t="s">
        <v>208</v>
      </c>
      <c r="D62" s="150" t="s">
        <v>663</v>
      </c>
      <c r="E62" s="150" t="s">
        <v>238</v>
      </c>
      <c r="F62" s="150" t="s">
        <v>665</v>
      </c>
      <c r="G62" s="150">
        <v>30</v>
      </c>
      <c r="H62" s="153">
        <v>23.842986507042003</v>
      </c>
      <c r="I62" s="159">
        <v>1.43057919042252</v>
      </c>
      <c r="J62" s="160">
        <v>3.2313167094206929</v>
      </c>
      <c r="K62" s="160">
        <v>3.2313167094206929</v>
      </c>
      <c r="L62" s="160">
        <v>3.2214284113685112</v>
      </c>
      <c r="M62" s="160">
        <v>3.2813325828289495</v>
      </c>
      <c r="N62" s="160">
        <v>3.471077777806824</v>
      </c>
      <c r="O62" s="160">
        <v>3.9382480849245107</v>
      </c>
      <c r="P62" s="168">
        <v>4.5673407113362146</v>
      </c>
      <c r="Q62" s="33" t="s">
        <v>1326</v>
      </c>
      <c r="R62" s="376"/>
      <c r="S62" s="376"/>
      <c r="T62" s="376"/>
      <c r="U62" s="376"/>
      <c r="V62" s="376"/>
      <c r="W62" s="376"/>
      <c r="X62" s="376"/>
    </row>
    <row r="63" spans="1:28" x14ac:dyDescent="0.35">
      <c r="A63" s="77"/>
      <c r="C63" s="150" t="s">
        <v>249</v>
      </c>
      <c r="D63" s="150" t="s">
        <v>663</v>
      </c>
      <c r="E63" s="150" t="s">
        <v>249</v>
      </c>
      <c r="F63" s="150" t="s">
        <v>665</v>
      </c>
      <c r="G63" s="150">
        <v>30</v>
      </c>
      <c r="H63" s="153">
        <v>25.343813499419113</v>
      </c>
      <c r="I63" s="159">
        <v>1.4342634034726935</v>
      </c>
      <c r="J63" s="160">
        <v>3.2636298765149001</v>
      </c>
      <c r="K63" s="145"/>
      <c r="L63" s="145"/>
      <c r="M63" s="145"/>
      <c r="N63" s="145"/>
      <c r="O63" s="145"/>
      <c r="P63" s="175"/>
      <c r="Q63" s="17" t="s">
        <v>1755</v>
      </c>
      <c r="R63" s="236">
        <v>3.6700000000000003E-2</v>
      </c>
      <c r="S63" s="236">
        <v>3.6700000000000003E-2</v>
      </c>
      <c r="T63" s="236">
        <v>3.6700000000000003E-2</v>
      </c>
      <c r="U63" s="236">
        <v>3.6700000000000003E-2</v>
      </c>
      <c r="V63" s="236">
        <v>3.6700000000000003E-2</v>
      </c>
      <c r="W63" s="236">
        <v>3.6700000000000003E-2</v>
      </c>
      <c r="X63" s="236">
        <v>3.6700000000000003E-2</v>
      </c>
      <c r="Y63" s="387" t="s">
        <v>1771</v>
      </c>
    </row>
    <row r="64" spans="1:28" ht="15" thickBot="1" x14ac:dyDescent="0.4">
      <c r="A64" s="77"/>
      <c r="C64" s="176"/>
      <c r="D64" s="176"/>
      <c r="E64" s="176"/>
      <c r="F64" s="176"/>
      <c r="G64" s="176"/>
      <c r="H64" s="176"/>
      <c r="I64" s="177" t="s">
        <v>670</v>
      </c>
      <c r="J64" s="176"/>
      <c r="K64" s="145"/>
      <c r="L64" s="145"/>
      <c r="M64" s="145"/>
      <c r="N64" s="145"/>
      <c r="O64" s="145"/>
      <c r="P64" s="175"/>
      <c r="Q64" s="17" t="s">
        <v>1756</v>
      </c>
      <c r="R64" s="236">
        <v>3.5700000000000003E-2</v>
      </c>
      <c r="S64" s="236">
        <v>3.5700000000000003E-2</v>
      </c>
      <c r="T64" s="236">
        <v>3.5700000000000003E-2</v>
      </c>
      <c r="U64" s="236">
        <v>3.5700000000000003E-2</v>
      </c>
      <c r="V64" s="236">
        <v>3.5700000000000003E-2</v>
      </c>
      <c r="W64" s="236">
        <v>3.5700000000000003E-2</v>
      </c>
      <c r="X64" s="236">
        <v>3.5700000000000003E-2</v>
      </c>
      <c r="Y64" s="392">
        <f>X64/X49</f>
        <v>1.7089516515078986E-3</v>
      </c>
    </row>
    <row r="65" spans="1:24" ht="15" thickBot="1" x14ac:dyDescent="0.4">
      <c r="A65" s="81"/>
      <c r="B65" s="82"/>
      <c r="C65" s="178"/>
      <c r="D65" s="178"/>
      <c r="E65" s="179"/>
      <c r="F65" s="179"/>
      <c r="G65" s="179"/>
      <c r="H65" s="178"/>
      <c r="I65" s="180" t="s">
        <v>671</v>
      </c>
      <c r="J65" s="178"/>
      <c r="K65" s="178"/>
      <c r="L65" s="178"/>
      <c r="M65" s="178"/>
      <c r="N65" s="178"/>
      <c r="O65" s="178"/>
      <c r="P65" s="181"/>
      <c r="Q65" s="17" t="s">
        <v>232</v>
      </c>
      <c r="R65" s="376"/>
      <c r="S65" s="236">
        <f>S50*$Y$64</f>
        <v>4.4917352800382962E-2</v>
      </c>
      <c r="T65" s="236">
        <f t="shared" ref="T65:X65" si="24">T50*$Y$64</f>
        <v>4.4917352800382962E-2</v>
      </c>
      <c r="U65" s="236">
        <f t="shared" si="24"/>
        <v>4.4917352800382962E-2</v>
      </c>
      <c r="V65" s="236">
        <f t="shared" si="24"/>
        <v>4.4917352800382962E-2</v>
      </c>
      <c r="W65" s="236">
        <f t="shared" si="24"/>
        <v>4.4917352800382962E-2</v>
      </c>
      <c r="X65" s="236">
        <f t="shared" si="24"/>
        <v>4.4917352800382962E-2</v>
      </c>
    </row>
    <row r="66" spans="1:24" x14ac:dyDescent="0.35">
      <c r="Q66" s="33" t="s">
        <v>1323</v>
      </c>
      <c r="R66" s="376"/>
      <c r="S66" s="376"/>
      <c r="T66" s="376"/>
      <c r="U66" s="376"/>
      <c r="V66" s="376"/>
      <c r="W66" s="376"/>
      <c r="X66" s="376"/>
    </row>
    <row r="67" spans="1:24" x14ac:dyDescent="0.35">
      <c r="Q67" s="17" t="s">
        <v>1755</v>
      </c>
      <c r="R67" s="236">
        <v>1.631</v>
      </c>
      <c r="S67" s="236">
        <v>1.631</v>
      </c>
      <c r="T67" s="236">
        <v>1.631</v>
      </c>
      <c r="U67" s="236">
        <v>1.631</v>
      </c>
      <c r="V67" s="236">
        <v>1.631</v>
      </c>
      <c r="W67" s="236">
        <v>1.631</v>
      </c>
      <c r="X67" s="236">
        <v>1.631</v>
      </c>
    </row>
    <row r="68" spans="1:24" x14ac:dyDescent="0.35">
      <c r="Q68" s="17" t="s">
        <v>1756</v>
      </c>
      <c r="R68" s="236">
        <v>1.595</v>
      </c>
      <c r="S68" s="236">
        <v>1.595</v>
      </c>
      <c r="T68" s="236">
        <v>1.595</v>
      </c>
      <c r="U68" s="236">
        <v>1.595</v>
      </c>
      <c r="V68" s="236">
        <v>1.595</v>
      </c>
      <c r="W68" s="236">
        <v>1.595</v>
      </c>
      <c r="X68" s="236">
        <v>1.595</v>
      </c>
    </row>
    <row r="69" spans="1:24" x14ac:dyDescent="0.35">
      <c r="Q69" s="74" t="s">
        <v>1972</v>
      </c>
    </row>
    <row r="71" spans="1:24" ht="15.5" x14ac:dyDescent="0.35">
      <c r="Q71" s="189" t="s">
        <v>2057</v>
      </c>
      <c r="R71" s="189"/>
      <c r="S71" s="189"/>
      <c r="T71" s="189"/>
      <c r="U71" s="189"/>
      <c r="V71" s="189"/>
      <c r="W71" s="189"/>
      <c r="X71" s="189"/>
    </row>
    <row r="72" spans="1:24" ht="15" thickBot="1" x14ac:dyDescent="0.4">
      <c r="Q72" s="105" t="s">
        <v>2056</v>
      </c>
      <c r="R72" s="105">
        <v>2020</v>
      </c>
      <c r="S72" s="105">
        <v>2025</v>
      </c>
      <c r="T72" s="105">
        <v>2030</v>
      </c>
      <c r="U72" s="105">
        <v>2035</v>
      </c>
      <c r="V72" s="105">
        <v>2040</v>
      </c>
      <c r="W72" s="105">
        <v>2045</v>
      </c>
      <c r="X72" s="105">
        <v>2050</v>
      </c>
    </row>
    <row r="73" spans="1:24" ht="15" thickTop="1" x14ac:dyDescent="0.35">
      <c r="Q73" t="s">
        <v>2060</v>
      </c>
      <c r="R73" s="411">
        <v>317</v>
      </c>
      <c r="S73" s="411">
        <v>261</v>
      </c>
      <c r="T73" s="411">
        <v>205</v>
      </c>
      <c r="U73" s="411">
        <v>205</v>
      </c>
      <c r="V73" s="411">
        <v>205</v>
      </c>
      <c r="W73" s="411">
        <v>205</v>
      </c>
      <c r="X73" s="411">
        <v>205</v>
      </c>
    </row>
    <row r="74" spans="1:24" x14ac:dyDescent="0.35">
      <c r="Q74" t="s">
        <v>2059</v>
      </c>
      <c r="R74" s="411">
        <v>100.12</v>
      </c>
      <c r="S74" s="411">
        <v>100.12</v>
      </c>
      <c r="T74" s="411">
        <v>100.12</v>
      </c>
      <c r="U74" s="411">
        <v>100.12</v>
      </c>
      <c r="V74" s="411">
        <v>100.12</v>
      </c>
      <c r="W74" s="411">
        <v>100.12</v>
      </c>
      <c r="X74" s="411">
        <v>100.12</v>
      </c>
    </row>
    <row r="75" spans="1:24" x14ac:dyDescent="0.35">
      <c r="Q75" s="74" t="s">
        <v>2058</v>
      </c>
    </row>
    <row r="77" spans="1:24" ht="15.5" x14ac:dyDescent="0.35">
      <c r="Q77" s="189" t="s">
        <v>2065</v>
      </c>
      <c r="R77" s="189"/>
      <c r="S77" s="189"/>
      <c r="T77" s="189"/>
      <c r="U77" s="189"/>
      <c r="V77" s="189"/>
      <c r="W77" s="189"/>
      <c r="X77" s="189"/>
    </row>
    <row r="78" spans="1:24" ht="15" thickBot="1" x14ac:dyDescent="0.4">
      <c r="Q78" s="105" t="s">
        <v>2056</v>
      </c>
      <c r="R78" s="105">
        <v>2020</v>
      </c>
      <c r="S78" s="105">
        <v>2025</v>
      </c>
      <c r="T78" s="105">
        <v>2030</v>
      </c>
      <c r="U78" s="105">
        <v>2035</v>
      </c>
      <c r="V78" s="105">
        <v>2040</v>
      </c>
      <c r="W78" s="105">
        <v>2045</v>
      </c>
      <c r="X78" s="105">
        <v>2050</v>
      </c>
    </row>
    <row r="79" spans="1:24" ht="15" thickTop="1" x14ac:dyDescent="0.35">
      <c r="Q79" t="s">
        <v>2060</v>
      </c>
      <c r="R79" s="376">
        <v>0.2</v>
      </c>
      <c r="S79" s="376">
        <v>0.17</v>
      </c>
      <c r="T79" s="376">
        <v>0.14000000000000001</v>
      </c>
      <c r="U79" s="376">
        <v>0.14000000000000001</v>
      </c>
      <c r="V79" s="376">
        <v>0.14000000000000001</v>
      </c>
      <c r="W79" s="376">
        <v>0.14000000000000001</v>
      </c>
      <c r="X79" s="376">
        <v>0.14000000000000001</v>
      </c>
    </row>
    <row r="80" spans="1:24" x14ac:dyDescent="0.35">
      <c r="Q80" t="s">
        <v>2059</v>
      </c>
      <c r="R80" s="376">
        <v>7.0000000000000007E-2</v>
      </c>
      <c r="S80" s="376">
        <v>7.0000000000000007E-2</v>
      </c>
      <c r="T80" s="376">
        <v>7.0000000000000007E-2</v>
      </c>
      <c r="U80" s="376">
        <v>7.0000000000000007E-2</v>
      </c>
      <c r="V80" s="376">
        <v>7.0000000000000007E-2</v>
      </c>
      <c r="W80" s="376">
        <v>7.0000000000000007E-2</v>
      </c>
      <c r="X80" s="376">
        <v>7.0000000000000007E-2</v>
      </c>
    </row>
    <row r="81" spans="17:24" x14ac:dyDescent="0.35">
      <c r="Q81" s="74" t="s">
        <v>2061</v>
      </c>
    </row>
    <row r="83" spans="17:24" ht="15.5" x14ac:dyDescent="0.35">
      <c r="Q83" s="189" t="s">
        <v>2140</v>
      </c>
    </row>
    <row r="84" spans="17:24" ht="15" thickBot="1" x14ac:dyDescent="0.4">
      <c r="Q84" s="105" t="s">
        <v>2135</v>
      </c>
      <c r="R84" s="105">
        <v>2020</v>
      </c>
      <c r="S84" s="105">
        <v>2025</v>
      </c>
      <c r="T84" s="105">
        <v>2030</v>
      </c>
      <c r="U84" s="105">
        <v>2035</v>
      </c>
      <c r="V84" s="105">
        <v>2040</v>
      </c>
      <c r="W84" s="105">
        <v>2045</v>
      </c>
      <c r="X84" s="105">
        <v>2050</v>
      </c>
    </row>
    <row r="85" spans="17:24" ht="15" thickTop="1" x14ac:dyDescent="0.35">
      <c r="Q85" t="s">
        <v>2136</v>
      </c>
      <c r="R85" s="376">
        <v>136.47999999999999</v>
      </c>
      <c r="S85" s="376">
        <v>136.47999999999999</v>
      </c>
      <c r="T85" s="376">
        <v>136.47999999999999</v>
      </c>
      <c r="U85" s="376">
        <v>136.47999999999999</v>
      </c>
      <c r="V85" s="376">
        <v>136.47999999999999</v>
      </c>
      <c r="W85" s="376">
        <v>136.47999999999999</v>
      </c>
      <c r="X85" s="376">
        <v>136.47999999999999</v>
      </c>
    </row>
    <row r="86" spans="17:24" x14ac:dyDescent="0.35">
      <c r="Q86" t="s">
        <v>2138</v>
      </c>
      <c r="R86" s="376">
        <v>41.1</v>
      </c>
      <c r="S86" s="376">
        <v>41.1</v>
      </c>
      <c r="T86" s="376">
        <v>41.1</v>
      </c>
      <c r="U86" s="376">
        <v>41.1</v>
      </c>
      <c r="V86" s="376">
        <v>41.1</v>
      </c>
      <c r="W86" s="376">
        <v>41.1</v>
      </c>
      <c r="X86" s="376">
        <v>41.1</v>
      </c>
    </row>
    <row r="87" spans="17:24" x14ac:dyDescent="0.35">
      <c r="Q87" t="s">
        <v>2139</v>
      </c>
      <c r="R87" s="376">
        <v>36.880000000000003</v>
      </c>
      <c r="S87" s="376">
        <v>36.880000000000003</v>
      </c>
      <c r="T87" s="376">
        <v>36.880000000000003</v>
      </c>
      <c r="U87" s="376">
        <v>36.880000000000003</v>
      </c>
      <c r="V87" s="376">
        <v>36.880000000000003</v>
      </c>
      <c r="W87" s="376">
        <v>36.880000000000003</v>
      </c>
      <c r="X87" s="376">
        <v>36.880000000000003</v>
      </c>
    </row>
    <row r="88" spans="17:24" x14ac:dyDescent="0.35">
      <c r="Q88" s="74" t="s">
        <v>2141</v>
      </c>
    </row>
    <row r="90" spans="17:24" ht="15.5" x14ac:dyDescent="0.35">
      <c r="Q90" s="189" t="s">
        <v>2142</v>
      </c>
    </row>
    <row r="91" spans="17:24" ht="15" thickBot="1" x14ac:dyDescent="0.4">
      <c r="Q91" s="105" t="s">
        <v>2135</v>
      </c>
      <c r="R91" s="105">
        <v>2020</v>
      </c>
      <c r="S91" s="105">
        <v>2025</v>
      </c>
      <c r="T91" s="105">
        <v>2030</v>
      </c>
      <c r="U91" s="105">
        <v>2035</v>
      </c>
      <c r="V91" s="105">
        <v>2040</v>
      </c>
      <c r="W91" s="105">
        <v>2045</v>
      </c>
      <c r="X91" s="105">
        <v>2050</v>
      </c>
    </row>
    <row r="92" spans="17:24" ht="15" thickTop="1" x14ac:dyDescent="0.35">
      <c r="Q92" t="s">
        <v>2136</v>
      </c>
      <c r="R92" s="376">
        <v>5.49</v>
      </c>
      <c r="S92" s="376">
        <v>5.49</v>
      </c>
      <c r="T92" s="376">
        <v>5.49</v>
      </c>
      <c r="U92" s="376">
        <v>5.49</v>
      </c>
      <c r="V92" s="376">
        <v>5.49</v>
      </c>
      <c r="W92" s="376">
        <v>5.49</v>
      </c>
      <c r="X92" s="376">
        <v>5.49</v>
      </c>
    </row>
    <row r="93" spans="17:24" x14ac:dyDescent="0.35">
      <c r="Q93" t="s">
        <v>2138</v>
      </c>
      <c r="R93" s="376">
        <v>2.0499999999999998</v>
      </c>
      <c r="S93" s="376">
        <v>2.0499999999999998</v>
      </c>
      <c r="T93" s="376">
        <v>2.0499999999999998</v>
      </c>
      <c r="U93" s="376">
        <v>2.0499999999999998</v>
      </c>
      <c r="V93" s="376">
        <v>2.0499999999999998</v>
      </c>
      <c r="W93" s="376">
        <v>2.0499999999999998</v>
      </c>
      <c r="X93" s="376">
        <v>2.0499999999999998</v>
      </c>
    </row>
    <row r="94" spans="17:24" x14ac:dyDescent="0.35">
      <c r="Q94" t="s">
        <v>2139</v>
      </c>
      <c r="R94" s="376">
        <v>1.84</v>
      </c>
      <c r="S94" s="376">
        <v>1.84</v>
      </c>
      <c r="T94" s="376">
        <v>1.84</v>
      </c>
      <c r="U94" s="376">
        <v>1.84</v>
      </c>
      <c r="V94" s="376">
        <v>1.84</v>
      </c>
      <c r="W94" s="376">
        <v>1.84</v>
      </c>
      <c r="X94" s="376">
        <v>1.84</v>
      </c>
    </row>
    <row r="95" spans="17:24" x14ac:dyDescent="0.35">
      <c r="Q95" s="74" t="s">
        <v>2141</v>
      </c>
    </row>
  </sheetData>
  <mergeCells count="9">
    <mergeCell ref="A30:J30"/>
    <mergeCell ref="A53:J53"/>
    <mergeCell ref="Z2:AG2"/>
    <mergeCell ref="M1:P8"/>
    <mergeCell ref="A2:J2"/>
    <mergeCell ref="Q2:X2"/>
    <mergeCell ref="A18:J18"/>
    <mergeCell ref="Q30:X30"/>
    <mergeCell ref="Z47:AB54"/>
  </mergeCells>
  <hyperlinks>
    <hyperlink ref="A1" r:id="rId1" display="https://cfpub.epa.gov/si/si_public_record_report.cfm?Lab=NRMRL&amp;dirEntryId=346478" xr:uid="{9861798D-F6A7-44FF-909B-87653798E9BC}"/>
    <hyperlink ref="Q1" r:id="rId2" xr:uid="{E4D93025-A8E1-404A-811A-D763DD2278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tabColor theme="7" tint="0.59999389629810485"/>
  </sheetPr>
  <dimension ref="A1:AT275"/>
  <sheetViews>
    <sheetView workbookViewId="0">
      <selection activeCell="AB5" sqref="AB5"/>
    </sheetView>
  </sheetViews>
  <sheetFormatPr defaultRowHeight="14.5" x14ac:dyDescent="0.35"/>
  <cols>
    <col min="1" max="1" width="45.26953125" bestFit="1" customWidth="1"/>
    <col min="2" max="2" width="11.453125" style="132" customWidth="1"/>
    <col min="3" max="4" width="11.453125" style="130" customWidth="1"/>
    <col min="5" max="11" width="10.453125" style="88" bestFit="1" customWidth="1"/>
    <col min="14" max="14" width="37.7265625" bestFit="1" customWidth="1"/>
    <col min="27" max="27" width="37.7265625" bestFit="1" customWidth="1"/>
    <col min="35" max="35" width="9.81640625" customWidth="1"/>
    <col min="36" max="36" width="20.453125" bestFit="1" customWidth="1"/>
  </cols>
  <sheetData>
    <row r="1" spans="1:46" x14ac:dyDescent="0.35">
      <c r="A1" s="104" t="s">
        <v>619</v>
      </c>
      <c r="B1" s="64" t="s">
        <v>616</v>
      </c>
      <c r="C1" s="128" t="s">
        <v>617</v>
      </c>
      <c r="D1" s="128" t="s">
        <v>620</v>
      </c>
      <c r="E1" s="474" t="s">
        <v>618</v>
      </c>
      <c r="F1" s="474"/>
      <c r="G1" s="474"/>
      <c r="H1" s="474"/>
      <c r="I1" s="474"/>
      <c r="J1" s="474"/>
      <c r="K1" s="474"/>
      <c r="L1" s="474"/>
    </row>
    <row r="2" spans="1:46" ht="18.5" x14ac:dyDescent="0.45">
      <c r="A2" s="565" t="s">
        <v>629</v>
      </c>
      <c r="B2" s="565"/>
      <c r="C2" s="565"/>
      <c r="D2" s="565"/>
      <c r="E2" s="565"/>
      <c r="F2" s="565"/>
      <c r="G2" s="565"/>
      <c r="H2" s="565"/>
      <c r="I2" s="565"/>
      <c r="J2" s="565"/>
      <c r="K2" s="565"/>
      <c r="L2" s="565"/>
      <c r="N2" s="565" t="s">
        <v>599</v>
      </c>
      <c r="O2" s="566"/>
      <c r="P2" s="566"/>
      <c r="Q2" s="566"/>
      <c r="R2" s="565"/>
      <c r="S2" s="565"/>
      <c r="T2" s="565"/>
      <c r="U2" s="565"/>
      <c r="V2" s="565"/>
      <c r="W2" s="565"/>
      <c r="X2" s="565"/>
      <c r="Y2" s="565"/>
      <c r="AA2" s="565" t="s">
        <v>621</v>
      </c>
      <c r="AB2" s="565"/>
      <c r="AC2" s="565"/>
      <c r="AD2" s="565"/>
      <c r="AE2" s="565"/>
      <c r="AF2" s="565"/>
      <c r="AG2" s="565"/>
    </row>
    <row r="3" spans="1:46" ht="15" thickBot="1" x14ac:dyDescent="0.4">
      <c r="A3" s="32"/>
      <c r="B3" s="131">
        <v>2010</v>
      </c>
      <c r="C3" s="129">
        <v>2015</v>
      </c>
      <c r="D3" s="129">
        <v>2020</v>
      </c>
      <c r="E3" s="105">
        <v>2023</v>
      </c>
      <c r="F3" s="105">
        <v>2025</v>
      </c>
      <c r="G3" s="105">
        <v>2030</v>
      </c>
      <c r="H3" s="105">
        <v>2035</v>
      </c>
      <c r="I3" s="105">
        <v>2040</v>
      </c>
      <c r="J3" s="105">
        <v>2045</v>
      </c>
      <c r="K3" s="105">
        <v>2050</v>
      </c>
      <c r="L3" s="105" t="s">
        <v>1056</v>
      </c>
      <c r="N3" s="32"/>
      <c r="O3" s="105">
        <v>2010</v>
      </c>
      <c r="P3" s="105">
        <v>2015</v>
      </c>
      <c r="Q3" s="105">
        <v>2020</v>
      </c>
      <c r="R3" s="105">
        <v>2023</v>
      </c>
      <c r="S3" s="105">
        <v>2025</v>
      </c>
      <c r="T3" s="105">
        <v>2030</v>
      </c>
      <c r="U3" s="105">
        <v>2035</v>
      </c>
      <c r="V3" s="105">
        <v>2040</v>
      </c>
      <c r="W3" s="105">
        <v>2045</v>
      </c>
      <c r="X3" s="105">
        <v>2050</v>
      </c>
      <c r="Y3" s="105" t="s">
        <v>1056</v>
      </c>
      <c r="AA3" s="32"/>
      <c r="AB3" s="105">
        <v>2025</v>
      </c>
      <c r="AC3" s="105">
        <v>2030</v>
      </c>
      <c r="AD3" s="105">
        <v>2035</v>
      </c>
      <c r="AE3" s="105">
        <v>2040</v>
      </c>
      <c r="AF3" s="105">
        <v>2045</v>
      </c>
      <c r="AG3" s="105">
        <v>2050</v>
      </c>
      <c r="AK3" s="33">
        <v>2010</v>
      </c>
      <c r="AL3" s="33">
        <v>2015</v>
      </c>
      <c r="AM3" s="33">
        <v>2020</v>
      </c>
      <c r="AN3" s="33">
        <v>2023</v>
      </c>
      <c r="AO3" s="33">
        <v>2025</v>
      </c>
      <c r="AP3" s="33">
        <v>2030</v>
      </c>
      <c r="AQ3" s="33">
        <v>2035</v>
      </c>
      <c r="AR3" s="33">
        <v>2040</v>
      </c>
      <c r="AS3" s="33">
        <v>2045</v>
      </c>
      <c r="AT3" s="33">
        <v>2050</v>
      </c>
    </row>
    <row r="4" spans="1:46" ht="15" thickTop="1" x14ac:dyDescent="0.35">
      <c r="A4" t="s">
        <v>110</v>
      </c>
      <c r="N4" t="s">
        <v>110</v>
      </c>
      <c r="O4" s="88"/>
      <c r="P4" s="88"/>
      <c r="Q4" s="88"/>
      <c r="R4" s="88"/>
      <c r="S4" s="88"/>
      <c r="T4" s="88"/>
      <c r="U4" s="88"/>
      <c r="V4" s="88"/>
      <c r="W4" s="88"/>
      <c r="X4" s="88"/>
      <c r="AA4" t="s">
        <v>110</v>
      </c>
      <c r="AB4" s="88"/>
      <c r="AC4" s="88"/>
      <c r="AD4" s="88"/>
      <c r="AE4" s="88"/>
      <c r="AF4" s="88"/>
      <c r="AG4" s="88"/>
      <c r="AI4" t="s">
        <v>32</v>
      </c>
      <c r="AJ4" t="s">
        <v>110</v>
      </c>
      <c r="AK4" s="88">
        <f>AVERAGE(O5:O12)</f>
        <v>7.3295995970169514</v>
      </c>
      <c r="AL4" s="88">
        <f t="shared" ref="AL4:AT4" si="0">AVERAGE(P5:P12)</f>
        <v>7.1761341997851149</v>
      </c>
      <c r="AM4" s="88">
        <f t="shared" si="0"/>
        <v>6.2569042371087358</v>
      </c>
      <c r="AN4" s="88">
        <f t="shared" si="0"/>
        <v>5.9409609845663081</v>
      </c>
      <c r="AO4" s="88">
        <f t="shared" si="0"/>
        <v>5.6392584498624805</v>
      </c>
      <c r="AP4" s="88">
        <f t="shared" si="0"/>
        <v>5.3540826318578718</v>
      </c>
      <c r="AQ4" s="88">
        <f t="shared" si="0"/>
        <v>5.3108502784711433</v>
      </c>
      <c r="AR4" s="88">
        <f t="shared" si="0"/>
        <v>5.2374848081417875</v>
      </c>
      <c r="AS4" s="88">
        <f t="shared" si="0"/>
        <v>5.2379491312049788</v>
      </c>
      <c r="AT4" s="88">
        <f t="shared" si="0"/>
        <v>5.2334250531942637</v>
      </c>
    </row>
    <row r="5" spans="1:46" x14ac:dyDescent="0.35">
      <c r="A5" s="90" t="s">
        <v>600</v>
      </c>
      <c r="B5" s="132">
        <v>31.658473999999998</v>
      </c>
      <c r="C5" s="130">
        <v>36.202274000000003</v>
      </c>
      <c r="D5" s="130">
        <v>36.271439000000001</v>
      </c>
      <c r="E5" s="88">
        <v>31.963123</v>
      </c>
      <c r="F5" s="88">
        <v>33.467635999999999</v>
      </c>
      <c r="G5" s="88">
        <v>35.954079</v>
      </c>
      <c r="H5" s="88">
        <v>37.045166000000002</v>
      </c>
      <c r="I5" s="88">
        <v>37.892277</v>
      </c>
      <c r="J5" s="88">
        <v>37.950974000000002</v>
      </c>
      <c r="K5" s="88">
        <v>38.029052999999998</v>
      </c>
      <c r="L5" s="34">
        <v>7.0000000000000001E-3</v>
      </c>
      <c r="N5" s="90" t="s">
        <v>600</v>
      </c>
      <c r="O5" s="88">
        <f t="shared" ref="O5:O20" si="1">IFERROR(L_100km_to_mpg/B5, "")</f>
        <v>7.4297680690935435</v>
      </c>
      <c r="P5" s="88">
        <f t="shared" ref="P5:P20" si="2">IFERROR(L_100km_to_mpg/C5, "")</f>
        <v>6.4972470856783229</v>
      </c>
      <c r="Q5" s="88">
        <f t="shared" ref="Q5:Q20" si="3">IFERROR(L_100km_to_mpg/D5, "")</f>
        <v>6.4848576655982173</v>
      </c>
      <c r="R5" s="88">
        <f t="shared" ref="R5:R20" si="4">IFERROR(L_100km_to_mpg/E5, "")</f>
        <v>7.3589529797018942</v>
      </c>
      <c r="S5" s="88">
        <f t="shared" ref="S5:S20" si="5">IFERROR(L_100km_to_mpg/F5, "")</f>
        <v>7.028136652419315</v>
      </c>
      <c r="T5" s="88">
        <f t="shared" ref="T5:T20" si="6">IFERROR(L_100km_to_mpg/G5, "")</f>
        <v>6.5420983038232778</v>
      </c>
      <c r="U5" s="88">
        <f t="shared" ref="U5:U20" si="7">IFERROR(L_100km_to_mpg/H5, "")</f>
        <v>6.349414637295137</v>
      </c>
      <c r="V5" s="88">
        <f t="shared" ref="V5:V20" si="8">IFERROR(L_100km_to_mpg/I5, "")</f>
        <v>6.2074685889535788</v>
      </c>
      <c r="W5" s="88">
        <f t="shared" ref="W5:W20" si="9">IFERROR(L_100km_to_mpg/J5, "")</f>
        <v>6.1978677870409369</v>
      </c>
      <c r="X5" s="88">
        <f t="shared" ref="X5:X20" si="10">IFERROR(L_100km_to_mpg/K5, "")</f>
        <v>6.185142691863196</v>
      </c>
      <c r="Y5" s="34">
        <v>7.0000000000000001E-3</v>
      </c>
      <c r="Z5" s="88"/>
      <c r="AA5" s="90" t="s">
        <v>600</v>
      </c>
      <c r="AB5" s="133">
        <f>IFERROR($D5/F5, "")</f>
        <v>1.0837765475876455</v>
      </c>
      <c r="AC5" s="133">
        <f t="shared" ref="AC5:AG5" si="11">IFERROR($D5/G5, "")</f>
        <v>1.0088268148935202</v>
      </c>
      <c r="AD5" s="133">
        <f t="shared" si="11"/>
        <v>0.97911395511090438</v>
      </c>
      <c r="AE5" s="133">
        <f t="shared" si="11"/>
        <v>0.95722510948603068</v>
      </c>
      <c r="AF5" s="133">
        <f t="shared" si="11"/>
        <v>0.95574461409080036</v>
      </c>
      <c r="AG5" s="133">
        <f t="shared" si="11"/>
        <v>0.95378233583676153</v>
      </c>
      <c r="AH5" s="34"/>
      <c r="AI5" t="s">
        <v>256</v>
      </c>
      <c r="AJ5" t="s">
        <v>110</v>
      </c>
      <c r="AK5" s="88">
        <f>AVERAGE(O13:O20)</f>
        <v>9.4976159978517281</v>
      </c>
      <c r="AL5" s="88">
        <f t="shared" ref="AL5:AT5" si="12">AVERAGE(P13:P20)</f>
        <v>8.6565269826848841</v>
      </c>
      <c r="AM5" s="88">
        <f t="shared" si="12"/>
        <v>7.9577226323786467</v>
      </c>
      <c r="AN5" s="88">
        <f t="shared" si="12"/>
        <v>7.2461606641884853</v>
      </c>
      <c r="AO5" s="88">
        <f t="shared" si="12"/>
        <v>6.7836940231770662</v>
      </c>
      <c r="AP5" s="88">
        <f t="shared" si="12"/>
        <v>6.3146440574482847</v>
      </c>
      <c r="AQ5" s="88">
        <f t="shared" si="12"/>
        <v>6.1895299153337602</v>
      </c>
      <c r="AR5" s="88">
        <f t="shared" si="12"/>
        <v>6.0803033245316795</v>
      </c>
      <c r="AS5" s="88">
        <f t="shared" si="12"/>
        <v>6.068118549359772</v>
      </c>
      <c r="AT5" s="88">
        <f t="shared" si="12"/>
        <v>6.0618575278180229</v>
      </c>
    </row>
    <row r="6" spans="1:46" x14ac:dyDescent="0.35">
      <c r="A6" s="90" t="s">
        <v>601</v>
      </c>
      <c r="B6" s="132">
        <v>34.502921999999998</v>
      </c>
      <c r="C6" s="130">
        <v>34.398453000000003</v>
      </c>
      <c r="D6" s="130">
        <v>35.88026</v>
      </c>
      <c r="E6" s="88">
        <v>35.479610000000001</v>
      </c>
      <c r="F6" s="88">
        <v>37.248641999999997</v>
      </c>
      <c r="G6" s="88">
        <v>39.182842000000001</v>
      </c>
      <c r="H6" s="88">
        <v>39.796222999999998</v>
      </c>
      <c r="I6" s="88">
        <v>40.618614000000001</v>
      </c>
      <c r="J6" s="88">
        <v>40.608753</v>
      </c>
      <c r="K6" s="88">
        <v>40.588431999999997</v>
      </c>
      <c r="L6" s="34">
        <v>5.0000000000000001E-3</v>
      </c>
      <c r="N6" s="90" t="s">
        <v>601</v>
      </c>
      <c r="O6" s="88">
        <f t="shared" si="1"/>
        <v>6.8172521516127871</v>
      </c>
      <c r="P6" s="88">
        <f t="shared" si="2"/>
        <v>6.8379563244145922</v>
      </c>
      <c r="Q6" s="88">
        <f t="shared" si="3"/>
        <v>6.5555578259864378</v>
      </c>
      <c r="R6" s="88">
        <f t="shared" si="4"/>
        <v>6.6295858167952844</v>
      </c>
      <c r="S6" s="88">
        <f t="shared" si="5"/>
        <v>6.3147300575797676</v>
      </c>
      <c r="T6" s="88">
        <f t="shared" si="6"/>
        <v>6.0030132383309036</v>
      </c>
      <c r="U6" s="88">
        <f t="shared" si="7"/>
        <v>5.910488521521958</v>
      </c>
      <c r="V6" s="88">
        <f t="shared" si="8"/>
        <v>5.790820908892365</v>
      </c>
      <c r="W6" s="88">
        <f t="shared" si="9"/>
        <v>5.7922270905838484</v>
      </c>
      <c r="X6" s="88">
        <f t="shared" si="10"/>
        <v>5.7951270263760906</v>
      </c>
      <c r="Y6" s="34">
        <v>5.0000000000000001E-3</v>
      </c>
      <c r="Z6" s="88"/>
      <c r="AA6" s="90" t="s">
        <v>601</v>
      </c>
      <c r="AB6" s="133">
        <f t="shared" ref="AB6:AB20" si="13">IFERROR($D6/F6, "")</f>
        <v>0.96326357347470559</v>
      </c>
      <c r="AC6" s="133">
        <f t="shared" ref="AC6:AC20" si="14">IFERROR($D6/G6, "")</f>
        <v>0.9157135666677777</v>
      </c>
      <c r="AD6" s="133">
        <f t="shared" ref="AD6:AD20" si="15">IFERROR($D6/H6, "")</f>
        <v>0.90159963170374235</v>
      </c>
      <c r="AE6" s="133">
        <f t="shared" ref="AE6:AE20" si="16">IFERROR($D6/I6, "")</f>
        <v>0.88334525643834128</v>
      </c>
      <c r="AF6" s="133">
        <f t="shared" ref="AF6:AF20" si="17">IFERROR($D6/J6, "")</f>
        <v>0.88355975865597247</v>
      </c>
      <c r="AG6" s="133">
        <f t="shared" ref="AG6:AG20" si="18">IFERROR($D6/K6, "")</f>
        <v>0.88400212158971803</v>
      </c>
      <c r="AH6" s="34"/>
    </row>
    <row r="7" spans="1:46" x14ac:dyDescent="0.35">
      <c r="A7" s="90" t="s">
        <v>602</v>
      </c>
      <c r="B7" s="132">
        <v>35.103760000000001</v>
      </c>
      <c r="C7" s="130">
        <v>39.188991999999999</v>
      </c>
      <c r="D7" s="130">
        <v>42.915222</v>
      </c>
      <c r="E7" s="88">
        <v>49.952590999999998</v>
      </c>
      <c r="F7" s="88">
        <v>52.342486999999998</v>
      </c>
      <c r="G7" s="88">
        <v>54.663063000000001</v>
      </c>
      <c r="H7" s="88">
        <v>54.320480000000003</v>
      </c>
      <c r="I7" s="88">
        <v>54.488292999999999</v>
      </c>
      <c r="J7" s="88">
        <v>54.308017999999997</v>
      </c>
      <c r="K7" s="88">
        <v>54.219757000000001</v>
      </c>
      <c r="L7" s="34">
        <v>4.0000000000000001E-3</v>
      </c>
      <c r="N7" s="90" t="s">
        <v>602</v>
      </c>
      <c r="O7" s="88">
        <f t="shared" si="1"/>
        <v>6.7005676668661174</v>
      </c>
      <c r="P7" s="88">
        <f t="shared" si="2"/>
        <v>6.0020711745131932</v>
      </c>
      <c r="Q7" s="88">
        <f t="shared" si="3"/>
        <v>5.4809251421658294</v>
      </c>
      <c r="R7" s="88">
        <f t="shared" si="4"/>
        <v>4.7087671436588376</v>
      </c>
      <c r="S7" s="88">
        <f t="shared" si="5"/>
        <v>4.49377040952273</v>
      </c>
      <c r="T7" s="88">
        <f t="shared" si="6"/>
        <v>4.3029992527390597</v>
      </c>
      <c r="U7" s="88">
        <f t="shared" si="7"/>
        <v>4.3301369804064347</v>
      </c>
      <c r="V7" s="88">
        <f t="shared" si="8"/>
        <v>4.3168010280929181</v>
      </c>
      <c r="W7" s="88">
        <f t="shared" si="9"/>
        <v>4.3311306120843547</v>
      </c>
      <c r="X7" s="88">
        <f t="shared" si="10"/>
        <v>4.3381809926117549</v>
      </c>
      <c r="Y7" s="34">
        <v>4.0000000000000001E-3</v>
      </c>
      <c r="AA7" s="90" t="s">
        <v>602</v>
      </c>
      <c r="AB7" s="133">
        <f t="shared" si="13"/>
        <v>0.81989268106423752</v>
      </c>
      <c r="AC7" s="133">
        <f t="shared" si="14"/>
        <v>0.78508630224398512</v>
      </c>
      <c r="AD7" s="133">
        <f t="shared" si="15"/>
        <v>0.79003760644235832</v>
      </c>
      <c r="AE7" s="133">
        <f t="shared" si="16"/>
        <v>0.78760444927133244</v>
      </c>
      <c r="AF7" s="133">
        <f t="shared" si="17"/>
        <v>0.79021889548611413</v>
      </c>
      <c r="AG7" s="133">
        <f t="shared" si="18"/>
        <v>0.79150524411239986</v>
      </c>
      <c r="AH7" s="34"/>
    </row>
    <row r="8" spans="1:46" x14ac:dyDescent="0.35">
      <c r="A8" s="90" t="s">
        <v>603</v>
      </c>
      <c r="B8" s="132">
        <v>35.751606000000002</v>
      </c>
      <c r="C8" s="130">
        <v>37.783638000000003</v>
      </c>
      <c r="D8" s="130">
        <v>46.596569000000002</v>
      </c>
      <c r="E8" s="88">
        <v>49.525931999999997</v>
      </c>
      <c r="F8" s="88">
        <v>51.727921000000002</v>
      </c>
      <c r="G8" s="88">
        <v>53.658656999999998</v>
      </c>
      <c r="H8" s="88">
        <v>52.943260000000002</v>
      </c>
      <c r="I8" s="88">
        <v>53.141795999999999</v>
      </c>
      <c r="J8" s="88">
        <v>52.922595999999999</v>
      </c>
      <c r="K8" s="88">
        <v>52.834254999999999</v>
      </c>
      <c r="L8" s="34">
        <v>3.0000000000000001E-3</v>
      </c>
      <c r="N8" s="90" t="s">
        <v>603</v>
      </c>
      <c r="O8" s="88">
        <f t="shared" si="1"/>
        <v>6.5791483392781887</v>
      </c>
      <c r="P8" s="88">
        <f t="shared" si="2"/>
        <v>6.2253168750300887</v>
      </c>
      <c r="Q8" s="88">
        <f t="shared" si="3"/>
        <v>5.0479064079037261</v>
      </c>
      <c r="R8" s="88">
        <f t="shared" si="4"/>
        <v>4.7493325161741158</v>
      </c>
      <c r="S8" s="88">
        <f t="shared" si="5"/>
        <v>4.5471597291031305</v>
      </c>
      <c r="T8" s="88">
        <f t="shared" si="6"/>
        <v>4.3835446578811723</v>
      </c>
      <c r="U8" s="88">
        <f t="shared" si="7"/>
        <v>4.4427774043651285</v>
      </c>
      <c r="V8" s="88">
        <f t="shared" si="8"/>
        <v>4.4261793342744404</v>
      </c>
      <c r="W8" s="88">
        <f t="shared" si="9"/>
        <v>4.4445121180644307</v>
      </c>
      <c r="X8" s="88">
        <f t="shared" si="10"/>
        <v>4.4519435211384764</v>
      </c>
      <c r="Y8" s="34">
        <v>3.0000000000000001E-3</v>
      </c>
      <c r="AA8" s="90" t="s">
        <v>603</v>
      </c>
      <c r="AB8" s="133">
        <f t="shared" si="13"/>
        <v>0.90080111667352725</v>
      </c>
      <c r="AC8" s="133">
        <f t="shared" si="14"/>
        <v>0.86838865534782217</v>
      </c>
      <c r="AD8" s="133">
        <f t="shared" si="15"/>
        <v>0.88012277672360939</v>
      </c>
      <c r="AE8" s="133">
        <f t="shared" si="16"/>
        <v>0.8768346670105015</v>
      </c>
      <c r="AF8" s="133">
        <f t="shared" si="17"/>
        <v>0.88046642685479759</v>
      </c>
      <c r="AG8" s="133">
        <f t="shared" si="18"/>
        <v>0.88193860214362829</v>
      </c>
      <c r="AH8" s="34"/>
    </row>
    <row r="9" spans="1:46" x14ac:dyDescent="0.35">
      <c r="A9" s="90" t="s">
        <v>604</v>
      </c>
      <c r="B9" s="132">
        <v>30.508196000000002</v>
      </c>
      <c r="C9" s="130">
        <v>29.247237999999999</v>
      </c>
      <c r="D9" s="130">
        <v>39.309981999999998</v>
      </c>
      <c r="E9" s="88">
        <v>43.276446999999997</v>
      </c>
      <c r="F9" s="88">
        <v>45.005558000000001</v>
      </c>
      <c r="G9" s="88">
        <v>47.286644000000003</v>
      </c>
      <c r="H9" s="88">
        <v>47.039721999999998</v>
      </c>
      <c r="I9" s="88">
        <v>47.451507999999997</v>
      </c>
      <c r="J9" s="88">
        <v>47.348849999999999</v>
      </c>
      <c r="K9" s="88">
        <v>47.361739999999998</v>
      </c>
      <c r="L9" s="34">
        <v>4.0000000000000001E-3</v>
      </c>
      <c r="N9" s="90" t="s">
        <v>604</v>
      </c>
      <c r="O9" s="88">
        <f t="shared" si="1"/>
        <v>7.7098993084162739</v>
      </c>
      <c r="P9" s="88">
        <f t="shared" si="2"/>
        <v>8.0423019514330942</v>
      </c>
      <c r="Q9" s="88">
        <f t="shared" si="3"/>
        <v>5.9835977345761222</v>
      </c>
      <c r="R9" s="88">
        <f t="shared" si="4"/>
        <v>5.4351763036699419</v>
      </c>
      <c r="S9" s="88">
        <f t="shared" si="5"/>
        <v>5.2263571366325055</v>
      </c>
      <c r="T9" s="88">
        <f t="shared" si="6"/>
        <v>4.9742400674792684</v>
      </c>
      <c r="U9" s="88">
        <f t="shared" si="7"/>
        <v>5.0003509638392032</v>
      </c>
      <c r="V9" s="88">
        <f t="shared" si="8"/>
        <v>4.9569577270637666</v>
      </c>
      <c r="W9" s="88">
        <f t="shared" si="9"/>
        <v>4.967705007437945</v>
      </c>
      <c r="X9" s="88">
        <f t="shared" si="10"/>
        <v>4.9663529938179671</v>
      </c>
      <c r="Y9" s="34">
        <v>4.0000000000000001E-3</v>
      </c>
      <c r="AA9" s="90" t="s">
        <v>604</v>
      </c>
      <c r="AB9" s="133">
        <f t="shared" si="13"/>
        <v>0.8734472751121094</v>
      </c>
      <c r="AC9" s="133">
        <f t="shared" si="14"/>
        <v>0.83131257950976589</v>
      </c>
      <c r="AD9" s="133">
        <f t="shared" si="15"/>
        <v>0.83567632478780385</v>
      </c>
      <c r="AE9" s="133">
        <f t="shared" si="16"/>
        <v>0.82842429370210957</v>
      </c>
      <c r="AF9" s="133">
        <f t="shared" si="17"/>
        <v>0.83022041718014272</v>
      </c>
      <c r="AG9" s="133">
        <f t="shared" si="18"/>
        <v>0.82999446388582854</v>
      </c>
      <c r="AH9" s="34"/>
    </row>
    <row r="10" spans="1:46" x14ac:dyDescent="0.35">
      <c r="A10" s="90" t="s">
        <v>605</v>
      </c>
      <c r="B10" s="132">
        <v>26.909523</v>
      </c>
      <c r="C10" s="130">
        <v>28.657793000000002</v>
      </c>
      <c r="D10" s="130">
        <v>29.985626</v>
      </c>
      <c r="E10" s="88">
        <v>31.296258999999999</v>
      </c>
      <c r="F10" s="88">
        <v>33.52581</v>
      </c>
      <c r="G10" s="88">
        <v>35.557896</v>
      </c>
      <c r="H10" s="88">
        <v>36.201549999999997</v>
      </c>
      <c r="I10" s="88">
        <v>36.913502000000001</v>
      </c>
      <c r="J10" s="88">
        <v>37.044623999999999</v>
      </c>
      <c r="K10" s="88">
        <v>37.118969</v>
      </c>
      <c r="L10" s="34">
        <v>7.0000000000000001E-3</v>
      </c>
      <c r="N10" s="90" t="s">
        <v>605</v>
      </c>
      <c r="O10" s="88">
        <f t="shared" si="1"/>
        <v>8.7409620468348006</v>
      </c>
      <c r="P10" s="88">
        <f t="shared" si="2"/>
        <v>8.2077192490513191</v>
      </c>
      <c r="Q10" s="88">
        <f t="shared" si="3"/>
        <v>7.8442624223162172</v>
      </c>
      <c r="R10" s="88">
        <f t="shared" si="4"/>
        <v>7.5157583288605885</v>
      </c>
      <c r="S10" s="88">
        <f t="shared" si="5"/>
        <v>7.0159414266628648</v>
      </c>
      <c r="T10" s="88">
        <f t="shared" si="6"/>
        <v>6.6149897969617815</v>
      </c>
      <c r="U10" s="88">
        <f t="shared" si="7"/>
        <v>6.497377025056335</v>
      </c>
      <c r="V10" s="88">
        <f t="shared" si="8"/>
        <v>6.3720618878541551</v>
      </c>
      <c r="W10" s="88">
        <f t="shared" si="9"/>
        <v>6.3495075355989075</v>
      </c>
      <c r="X10" s="88">
        <f t="shared" si="10"/>
        <v>6.3367902066845696</v>
      </c>
      <c r="Y10" s="34">
        <v>7.0000000000000001E-3</v>
      </c>
      <c r="AA10" s="90" t="s">
        <v>605</v>
      </c>
      <c r="AB10" s="133">
        <f t="shared" si="13"/>
        <v>0.89440422170262257</v>
      </c>
      <c r="AC10" s="133">
        <f t="shared" si="14"/>
        <v>0.84329022167115852</v>
      </c>
      <c r="AD10" s="133">
        <f t="shared" si="15"/>
        <v>0.82829674420017929</v>
      </c>
      <c r="AE10" s="133">
        <f t="shared" si="16"/>
        <v>0.81232135601764355</v>
      </c>
      <c r="AF10" s="133">
        <f t="shared" si="17"/>
        <v>0.809446088587645</v>
      </c>
      <c r="AG10" s="133">
        <f t="shared" si="18"/>
        <v>0.80782486173039991</v>
      </c>
      <c r="AH10" s="34"/>
    </row>
    <row r="11" spans="1:46" x14ac:dyDescent="0.35">
      <c r="A11" s="90" t="s">
        <v>606</v>
      </c>
      <c r="C11" s="130">
        <v>32.481149908842653</v>
      </c>
      <c r="D11" s="130">
        <v>39.879131000000001</v>
      </c>
      <c r="E11" s="88">
        <v>44.346535000000003</v>
      </c>
      <c r="F11" s="88">
        <v>47.248157999999997</v>
      </c>
      <c r="G11" s="88">
        <v>49.688892000000003</v>
      </c>
      <c r="H11" s="88">
        <v>49.570267000000001</v>
      </c>
      <c r="I11" s="88">
        <v>50.041134</v>
      </c>
      <c r="J11" s="88">
        <v>50.022399999999998</v>
      </c>
      <c r="K11" s="88">
        <v>50.169387999999998</v>
      </c>
      <c r="L11" s="34">
        <v>5.0000000000000001E-3</v>
      </c>
      <c r="N11" s="90" t="s">
        <v>606</v>
      </c>
      <c r="O11" s="88" t="str">
        <f t="shared" si="1"/>
        <v/>
      </c>
      <c r="P11" s="88">
        <f t="shared" si="2"/>
        <v>7.2415884259501935</v>
      </c>
      <c r="Q11" s="88">
        <f t="shared" si="3"/>
        <v>5.8982007216112144</v>
      </c>
      <c r="R11" s="88">
        <f t="shared" si="4"/>
        <v>5.3040247505566809</v>
      </c>
      <c r="S11" s="88">
        <f t="shared" si="5"/>
        <v>4.9782918360844493</v>
      </c>
      <c r="T11" s="88">
        <f t="shared" si="6"/>
        <v>4.7337565756432669</v>
      </c>
      <c r="U11" s="88">
        <f t="shared" si="7"/>
        <v>4.745084775142085</v>
      </c>
      <c r="V11" s="88">
        <f t="shared" si="8"/>
        <v>4.7004354306085094</v>
      </c>
      <c r="W11" s="88">
        <f t="shared" si="9"/>
        <v>4.7021958011096663</v>
      </c>
      <c r="X11" s="88">
        <f t="shared" si="10"/>
        <v>4.6884191459825688</v>
      </c>
      <c r="Y11" s="34">
        <v>5.0000000000000001E-3</v>
      </c>
      <c r="AA11" s="90" t="s">
        <v>606</v>
      </c>
      <c r="AB11" s="133">
        <f t="shared" si="13"/>
        <v>0.84403567648076361</v>
      </c>
      <c r="AC11" s="133">
        <f t="shared" si="14"/>
        <v>0.80257637864011944</v>
      </c>
      <c r="AD11" s="133">
        <f t="shared" si="15"/>
        <v>0.8044969981702943</v>
      </c>
      <c r="AE11" s="133">
        <f t="shared" si="16"/>
        <v>0.79692700409227335</v>
      </c>
      <c r="AF11" s="133">
        <f t="shared" si="17"/>
        <v>0.79722546299257935</v>
      </c>
      <c r="AG11" s="133">
        <f t="shared" si="18"/>
        <v>0.79488972438730965</v>
      </c>
      <c r="AH11" s="34"/>
    </row>
    <row r="12" spans="1:46" x14ac:dyDescent="0.35">
      <c r="A12" s="90" t="s">
        <v>607</v>
      </c>
      <c r="C12" s="130">
        <v>28.153047086915564</v>
      </c>
      <c r="D12" s="130">
        <v>34.795516999999997</v>
      </c>
      <c r="E12" s="88">
        <v>40.372723000000001</v>
      </c>
      <c r="F12" s="88">
        <v>42.691246</v>
      </c>
      <c r="G12" s="88">
        <v>44.565036999999997</v>
      </c>
      <c r="H12" s="88">
        <v>45.136702999999997</v>
      </c>
      <c r="I12" s="88">
        <v>45.858466999999997</v>
      </c>
      <c r="J12" s="88">
        <v>45.954391000000001</v>
      </c>
      <c r="K12" s="88">
        <v>46.071434000000004</v>
      </c>
      <c r="L12" s="34">
        <v>5.0000000000000001E-3</v>
      </c>
      <c r="N12" s="90" t="s">
        <v>607</v>
      </c>
      <c r="O12" s="88" t="str">
        <f t="shared" si="1"/>
        <v/>
      </c>
      <c r="P12" s="88">
        <f t="shared" si="2"/>
        <v>8.3548725122101235</v>
      </c>
      <c r="Q12" s="88">
        <f t="shared" si="3"/>
        <v>6.75992597671212</v>
      </c>
      <c r="R12" s="88">
        <f t="shared" si="4"/>
        <v>5.8260900371131301</v>
      </c>
      <c r="S12" s="88">
        <f t="shared" si="5"/>
        <v>5.5096803508950796</v>
      </c>
      <c r="T12" s="88">
        <f t="shared" si="6"/>
        <v>5.2780191620042443</v>
      </c>
      <c r="U12" s="88">
        <f t="shared" si="7"/>
        <v>5.2111719201428635</v>
      </c>
      <c r="V12" s="88">
        <f t="shared" si="8"/>
        <v>5.1291535593945641</v>
      </c>
      <c r="W12" s="88">
        <f t="shared" si="9"/>
        <v>5.1184470977197396</v>
      </c>
      <c r="X12" s="88">
        <f t="shared" si="10"/>
        <v>5.1054438470794752</v>
      </c>
      <c r="Y12" s="34">
        <v>5.0000000000000001E-3</v>
      </c>
      <c r="AA12" s="90" t="s">
        <v>607</v>
      </c>
      <c r="AB12" s="133">
        <f t="shared" si="13"/>
        <v>0.81505039698302539</v>
      </c>
      <c r="AC12" s="133">
        <f t="shared" si="14"/>
        <v>0.78078061508172869</v>
      </c>
      <c r="AD12" s="133">
        <f t="shared" si="15"/>
        <v>0.77089186155222722</v>
      </c>
      <c r="AE12" s="133">
        <f t="shared" si="16"/>
        <v>0.75875883509145647</v>
      </c>
      <c r="AF12" s="133">
        <f t="shared" si="17"/>
        <v>0.75717502164265427</v>
      </c>
      <c r="AG12" s="133">
        <f t="shared" si="18"/>
        <v>0.7552514427920779</v>
      </c>
      <c r="AH12" s="34"/>
    </row>
    <row r="13" spans="1:46" x14ac:dyDescent="0.35">
      <c r="A13" s="90" t="s">
        <v>608</v>
      </c>
      <c r="B13" s="132">
        <v>24.019086999999999</v>
      </c>
      <c r="C13" s="130">
        <v>25.160437000000002</v>
      </c>
      <c r="D13" s="130">
        <v>29.766317000000001</v>
      </c>
      <c r="E13" s="88">
        <v>32.913505999999998</v>
      </c>
      <c r="F13" s="88">
        <v>35.313110000000002</v>
      </c>
      <c r="G13" s="88">
        <v>38.07235</v>
      </c>
      <c r="H13" s="88">
        <v>38.761963000000002</v>
      </c>
      <c r="I13" s="88">
        <v>39.776184000000001</v>
      </c>
      <c r="J13" s="88">
        <v>39.997107999999997</v>
      </c>
      <c r="K13" s="88">
        <v>40.087223000000002</v>
      </c>
      <c r="L13" s="34">
        <v>8.0000000000000002E-3</v>
      </c>
      <c r="N13" s="90" t="s">
        <v>608</v>
      </c>
      <c r="O13" s="88">
        <f t="shared" si="1"/>
        <v>9.7928418029139976</v>
      </c>
      <c r="P13" s="88">
        <f t="shared" si="2"/>
        <v>9.3486102503477237</v>
      </c>
      <c r="Q13" s="88">
        <f t="shared" si="3"/>
        <v>7.9020565171508501</v>
      </c>
      <c r="R13" s="88">
        <f t="shared" si="4"/>
        <v>7.1464619795116375</v>
      </c>
      <c r="S13" s="88">
        <f t="shared" si="5"/>
        <v>6.6608440673004479</v>
      </c>
      <c r="T13" s="88">
        <f t="shared" si="6"/>
        <v>6.1781087650598963</v>
      </c>
      <c r="U13" s="88">
        <f t="shared" si="7"/>
        <v>6.0681942047524302</v>
      </c>
      <c r="V13" s="88">
        <f t="shared" si="8"/>
        <v>5.9134661897538523</v>
      </c>
      <c r="W13" s="88">
        <f t="shared" si="9"/>
        <v>5.880803163104396</v>
      </c>
      <c r="X13" s="88">
        <f t="shared" si="10"/>
        <v>5.8675832756344368</v>
      </c>
      <c r="Y13" s="34">
        <v>8.0000000000000002E-3</v>
      </c>
      <c r="AA13" s="90" t="s">
        <v>608</v>
      </c>
      <c r="AB13" s="133">
        <f t="shared" si="13"/>
        <v>0.84292538946583861</v>
      </c>
      <c r="AC13" s="133">
        <f t="shared" si="14"/>
        <v>0.78183555782608638</v>
      </c>
      <c r="AD13" s="133">
        <f t="shared" si="15"/>
        <v>0.76792594327588615</v>
      </c>
      <c r="AE13" s="133">
        <f t="shared" si="16"/>
        <v>0.74834521582060265</v>
      </c>
      <c r="AF13" s="133">
        <f t="shared" si="17"/>
        <v>0.74421173150818809</v>
      </c>
      <c r="AG13" s="133">
        <f t="shared" si="18"/>
        <v>0.74253876353570314</v>
      </c>
      <c r="AH13" s="34"/>
    </row>
    <row r="14" spans="1:46" x14ac:dyDescent="0.35">
      <c r="A14" s="90" t="s">
        <v>609</v>
      </c>
      <c r="B14" s="132">
        <v>26.389654</v>
      </c>
      <c r="C14" s="130">
        <v>23.346568999999999</v>
      </c>
      <c r="D14" s="130">
        <v>27.659625999999999</v>
      </c>
      <c r="E14" s="88">
        <v>26.974730000000001</v>
      </c>
      <c r="F14" s="88">
        <v>28.348337000000001</v>
      </c>
      <c r="G14" s="88">
        <v>30.067326000000001</v>
      </c>
      <c r="H14" s="88">
        <v>30.620654999999999</v>
      </c>
      <c r="I14" s="88">
        <v>31.070367999999998</v>
      </c>
      <c r="J14" s="88">
        <v>31.115079999999999</v>
      </c>
      <c r="K14" s="88">
        <v>31.115614000000001</v>
      </c>
      <c r="L14" s="34">
        <v>6.0000000000000001E-3</v>
      </c>
      <c r="N14" s="90" t="s">
        <v>609</v>
      </c>
      <c r="O14" s="88">
        <f t="shared" si="1"/>
        <v>8.9131566196899801</v>
      </c>
      <c r="P14" s="88">
        <f t="shared" si="2"/>
        <v>10.074933033690225</v>
      </c>
      <c r="Q14" s="88">
        <f t="shared" si="3"/>
        <v>8.5039153906646519</v>
      </c>
      <c r="R14" s="88">
        <f t="shared" si="4"/>
        <v>8.7198322000415995</v>
      </c>
      <c r="S14" s="88">
        <f t="shared" si="5"/>
        <v>8.2973163202281714</v>
      </c>
      <c r="T14" s="88">
        <f t="shared" si="6"/>
        <v>7.8229477154512557</v>
      </c>
      <c r="U14" s="88">
        <f t="shared" si="7"/>
        <v>7.6815835337757523</v>
      </c>
      <c r="V14" s="88">
        <f t="shared" si="8"/>
        <v>7.5704001716821683</v>
      </c>
      <c r="W14" s="88">
        <f t="shared" si="9"/>
        <v>7.5595215966479321</v>
      </c>
      <c r="X14" s="88">
        <f t="shared" si="10"/>
        <v>7.5593918616366738</v>
      </c>
      <c r="Y14" s="34">
        <v>6.0000000000000001E-3</v>
      </c>
      <c r="AA14" s="90" t="s">
        <v>609</v>
      </c>
      <c r="AB14" s="133">
        <f t="shared" si="13"/>
        <v>0.97570541792275145</v>
      </c>
      <c r="AC14" s="133">
        <f t="shared" si="14"/>
        <v>0.91992304204238173</v>
      </c>
      <c r="AD14" s="133">
        <f t="shared" si="15"/>
        <v>0.90329961916229418</v>
      </c>
      <c r="AE14" s="133">
        <f t="shared" si="16"/>
        <v>0.89022524612518272</v>
      </c>
      <c r="AF14" s="133">
        <f t="shared" si="17"/>
        <v>0.88894600303132754</v>
      </c>
      <c r="AG14" s="133">
        <f t="shared" si="18"/>
        <v>0.88893074711622266</v>
      </c>
      <c r="AH14" s="34"/>
    </row>
    <row r="15" spans="1:46" x14ac:dyDescent="0.35">
      <c r="A15" s="90" t="s">
        <v>610</v>
      </c>
      <c r="B15" s="132">
        <v>26.462796999999998</v>
      </c>
      <c r="C15" s="130">
        <v>32.439307999999997</v>
      </c>
      <c r="D15" s="130">
        <v>32.971184000000001</v>
      </c>
      <c r="E15" s="88">
        <v>39.703335000000003</v>
      </c>
      <c r="F15" s="88">
        <v>43.269917</v>
      </c>
      <c r="G15" s="88">
        <v>47.857959999999999</v>
      </c>
      <c r="H15" s="88">
        <v>48.162449000000002</v>
      </c>
      <c r="I15" s="88">
        <v>48.654102000000002</v>
      </c>
      <c r="J15" s="88">
        <v>48.660758999999999</v>
      </c>
      <c r="K15" s="88">
        <v>48.670817999999997</v>
      </c>
      <c r="L15" s="34">
        <v>8.9999999999999993E-3</v>
      </c>
      <c r="N15" s="90" t="s">
        <v>610</v>
      </c>
      <c r="O15" s="88">
        <f t="shared" si="1"/>
        <v>8.8885207123581136</v>
      </c>
      <c r="P15" s="88">
        <f t="shared" si="2"/>
        <v>7.2509290038316525</v>
      </c>
      <c r="Q15" s="88">
        <f t="shared" si="3"/>
        <v>7.1339603467509125</v>
      </c>
      <c r="R15" s="88">
        <f t="shared" si="4"/>
        <v>5.924316414261626</v>
      </c>
      <c r="S15" s="88">
        <f t="shared" si="5"/>
        <v>5.435996543312716</v>
      </c>
      <c r="T15" s="88">
        <f t="shared" si="6"/>
        <v>4.9148588707380787</v>
      </c>
      <c r="U15" s="88">
        <f t="shared" si="7"/>
        <v>4.8837865209351818</v>
      </c>
      <c r="V15" s="88">
        <f t="shared" si="8"/>
        <v>4.8344355269660131</v>
      </c>
      <c r="W15" s="88">
        <f t="shared" si="9"/>
        <v>4.8337741555044005</v>
      </c>
      <c r="X15" s="88">
        <f t="shared" si="10"/>
        <v>4.8327751393335561</v>
      </c>
      <c r="Y15" s="34">
        <v>8.9999999999999993E-3</v>
      </c>
      <c r="AA15" s="90" t="s">
        <v>610</v>
      </c>
      <c r="AB15" s="133">
        <f t="shared" si="13"/>
        <v>0.76198861208816282</v>
      </c>
      <c r="AC15" s="133">
        <f t="shared" si="14"/>
        <v>0.68893835006757498</v>
      </c>
      <c r="AD15" s="133">
        <f t="shared" si="15"/>
        <v>0.68458279602849925</v>
      </c>
      <c r="AE15" s="133">
        <f t="shared" si="16"/>
        <v>0.67766504045229325</v>
      </c>
      <c r="AF15" s="133">
        <f t="shared" si="17"/>
        <v>0.67757233297573516</v>
      </c>
      <c r="AG15" s="133">
        <f t="shared" si="18"/>
        <v>0.67743229628891799</v>
      </c>
      <c r="AH15" s="34"/>
    </row>
    <row r="16" spans="1:46" x14ac:dyDescent="0.35">
      <c r="A16" s="90" t="s">
        <v>611</v>
      </c>
      <c r="B16" s="132">
        <v>26.258247000000001</v>
      </c>
      <c r="C16" s="130">
        <v>26.778831</v>
      </c>
      <c r="D16" s="130">
        <v>29.183674</v>
      </c>
      <c r="E16" s="88">
        <v>34.214207000000002</v>
      </c>
      <c r="F16" s="88">
        <v>36.043559999999999</v>
      </c>
      <c r="G16" s="88">
        <v>38.912517999999999</v>
      </c>
      <c r="H16" s="88">
        <v>39.813507000000001</v>
      </c>
      <c r="I16" s="88">
        <v>40.587409999999998</v>
      </c>
      <c r="J16" s="88">
        <v>40.693095999999997</v>
      </c>
      <c r="K16" s="88">
        <v>40.807071999999998</v>
      </c>
      <c r="L16" s="34">
        <v>8.0000000000000002E-3</v>
      </c>
      <c r="N16" s="90" t="s">
        <v>611</v>
      </c>
      <c r="O16" s="88">
        <f t="shared" si="1"/>
        <v>8.9577616983124635</v>
      </c>
      <c r="P16" s="88">
        <f t="shared" si="2"/>
        <v>8.7836216316323945</v>
      </c>
      <c r="Q16" s="88">
        <f t="shared" si="3"/>
        <v>8.0598186246676189</v>
      </c>
      <c r="R16" s="88">
        <f t="shared" si="4"/>
        <v>6.8747792179262879</v>
      </c>
      <c r="S16" s="88">
        <f t="shared" si="5"/>
        <v>6.5258570252613266</v>
      </c>
      <c r="T16" s="88">
        <f t="shared" si="6"/>
        <v>6.0447159765252954</v>
      </c>
      <c r="U16" s="88">
        <f t="shared" si="7"/>
        <v>5.9079226364416515</v>
      </c>
      <c r="V16" s="88">
        <f t="shared" si="8"/>
        <v>5.7952729489619603</v>
      </c>
      <c r="W16" s="88">
        <f t="shared" si="9"/>
        <v>5.7802217664005751</v>
      </c>
      <c r="X16" s="88">
        <f t="shared" si="10"/>
        <v>5.7640773452559433</v>
      </c>
      <c r="Y16" s="34">
        <v>8.0000000000000002E-3</v>
      </c>
      <c r="AA16" s="90" t="s">
        <v>611</v>
      </c>
      <c r="AB16" s="133">
        <f t="shared" si="13"/>
        <v>0.80967790085108127</v>
      </c>
      <c r="AC16" s="133">
        <f t="shared" si="14"/>
        <v>0.74998163829953135</v>
      </c>
      <c r="AD16" s="133">
        <f t="shared" si="15"/>
        <v>0.73300937794804155</v>
      </c>
      <c r="AE16" s="133">
        <f t="shared" si="16"/>
        <v>0.71903267540353033</v>
      </c>
      <c r="AF16" s="133">
        <f t="shared" si="17"/>
        <v>0.71716524100304391</v>
      </c>
      <c r="AG16" s="133">
        <f t="shared" si="18"/>
        <v>0.71516216600887217</v>
      </c>
      <c r="AH16" s="34"/>
    </row>
    <row r="17" spans="1:46" x14ac:dyDescent="0.35">
      <c r="A17" s="90" t="s">
        <v>612</v>
      </c>
      <c r="B17" s="132">
        <v>29.025735999999998</v>
      </c>
      <c r="C17" s="130">
        <v>33.216464999999999</v>
      </c>
      <c r="D17" s="130">
        <v>26.196156999999999</v>
      </c>
      <c r="E17" s="88">
        <v>31.317537000000002</v>
      </c>
      <c r="F17" s="88">
        <v>34.200080999999997</v>
      </c>
      <c r="G17" s="88">
        <v>36.569102999999998</v>
      </c>
      <c r="H17" s="88">
        <v>37.589035000000003</v>
      </c>
      <c r="I17" s="88">
        <v>38.335289000000003</v>
      </c>
      <c r="J17" s="88">
        <v>38.436714000000002</v>
      </c>
      <c r="K17" s="88">
        <v>38.486125999999999</v>
      </c>
      <c r="L17" s="34">
        <v>8.9999999999999993E-3</v>
      </c>
      <c r="N17" s="90" t="s">
        <v>612</v>
      </c>
      <c r="O17" s="88">
        <f t="shared" si="1"/>
        <v>8.1036745886970163</v>
      </c>
      <c r="P17" s="88">
        <f t="shared" si="2"/>
        <v>7.0812809021498264</v>
      </c>
      <c r="Q17" s="88">
        <f t="shared" si="3"/>
        <v>8.9789933401845214</v>
      </c>
      <c r="R17" s="88">
        <f t="shared" si="4"/>
        <v>7.5106519149774815</v>
      </c>
      <c r="S17" s="88">
        <f t="shared" si="5"/>
        <v>6.8776187764417331</v>
      </c>
      <c r="T17" s="88">
        <f t="shared" si="6"/>
        <v>6.4320724312386925</v>
      </c>
      <c r="U17" s="88">
        <f t="shared" si="7"/>
        <v>6.2575460966589889</v>
      </c>
      <c r="V17" s="88">
        <f t="shared" si="8"/>
        <v>6.1357335597868614</v>
      </c>
      <c r="W17" s="88">
        <f t="shared" si="9"/>
        <v>6.1195428735512651</v>
      </c>
      <c r="X17" s="88">
        <f t="shared" si="10"/>
        <v>6.1116860460683453</v>
      </c>
      <c r="Y17" s="34">
        <v>8.9999999999999993E-3</v>
      </c>
      <c r="AA17" s="90" t="s">
        <v>612</v>
      </c>
      <c r="AB17" s="133">
        <f t="shared" si="13"/>
        <v>0.7659676887899769</v>
      </c>
      <c r="AC17" s="133">
        <f t="shared" si="14"/>
        <v>0.71634672034476754</v>
      </c>
      <c r="AD17" s="133">
        <f t="shared" si="15"/>
        <v>0.69690953758190377</v>
      </c>
      <c r="AE17" s="133">
        <f t="shared" si="16"/>
        <v>0.6833431463109616</v>
      </c>
      <c r="AF17" s="133">
        <f t="shared" si="17"/>
        <v>0.68153997243364761</v>
      </c>
      <c r="AG17" s="133">
        <f t="shared" si="18"/>
        <v>0.68066494923391352</v>
      </c>
      <c r="AH17" s="34"/>
    </row>
    <row r="18" spans="1:46" x14ac:dyDescent="0.35">
      <c r="A18" s="90" t="s">
        <v>613</v>
      </c>
      <c r="B18" s="132">
        <v>24.410488000000001</v>
      </c>
      <c r="C18" s="130">
        <v>25.388062999999999</v>
      </c>
      <c r="D18" s="130">
        <v>25.668219000000001</v>
      </c>
      <c r="E18" s="88">
        <v>25.579139999999999</v>
      </c>
      <c r="F18" s="88">
        <v>27.525742999999999</v>
      </c>
      <c r="G18" s="88">
        <v>29.613405</v>
      </c>
      <c r="H18" s="88">
        <v>30.502678</v>
      </c>
      <c r="I18" s="88">
        <v>30.968422</v>
      </c>
      <c r="J18" s="88">
        <v>31.026167000000001</v>
      </c>
      <c r="K18" s="88">
        <v>31.074144</v>
      </c>
      <c r="L18" s="34">
        <v>8.9999999999999993E-3</v>
      </c>
      <c r="N18" s="90" t="s">
        <v>613</v>
      </c>
      <c r="O18" s="88">
        <f t="shared" si="1"/>
        <v>9.6358220794860028</v>
      </c>
      <c r="P18" s="88">
        <f t="shared" si="2"/>
        <v>9.2647918528258</v>
      </c>
      <c r="Q18" s="88">
        <f t="shared" si="3"/>
        <v>9.163671201396097</v>
      </c>
      <c r="R18" s="88">
        <f t="shared" si="4"/>
        <v>9.1955835591590702</v>
      </c>
      <c r="S18" s="88">
        <f t="shared" si="5"/>
        <v>8.545277751137478</v>
      </c>
      <c r="T18" s="88">
        <f t="shared" si="6"/>
        <v>7.94285963540593</v>
      </c>
      <c r="U18" s="88">
        <f t="shared" si="7"/>
        <v>7.7112940457696251</v>
      </c>
      <c r="V18" s="88">
        <f t="shared" si="8"/>
        <v>7.5953214290811504</v>
      </c>
      <c r="W18" s="88">
        <f t="shared" si="9"/>
        <v>7.5811852376553031</v>
      </c>
      <c r="X18" s="88">
        <f t="shared" si="10"/>
        <v>7.56948024831925</v>
      </c>
      <c r="Y18" s="34">
        <v>8.9999999999999993E-3</v>
      </c>
      <c r="AA18" s="90" t="s">
        <v>613</v>
      </c>
      <c r="AB18" s="133">
        <f t="shared" si="13"/>
        <v>0.93251684432278548</v>
      </c>
      <c r="AC18" s="133">
        <f t="shared" si="14"/>
        <v>0.86677702209523022</v>
      </c>
      <c r="AD18" s="133">
        <f t="shared" si="15"/>
        <v>0.84150706374043616</v>
      </c>
      <c r="AE18" s="133">
        <f t="shared" si="16"/>
        <v>0.82885136995356112</v>
      </c>
      <c r="AF18" s="133">
        <f t="shared" si="17"/>
        <v>0.82730873588090981</v>
      </c>
      <c r="AG18" s="133">
        <f t="shared" si="18"/>
        <v>0.8260314105514861</v>
      </c>
      <c r="AH18" s="34"/>
    </row>
    <row r="19" spans="1:46" x14ac:dyDescent="0.35">
      <c r="A19" s="90" t="s">
        <v>614</v>
      </c>
      <c r="B19" s="132">
        <v>23.458739913870776</v>
      </c>
      <c r="C19" s="130">
        <v>29.091360572661539</v>
      </c>
      <c r="D19" s="130">
        <v>36.969161999999997</v>
      </c>
      <c r="E19" s="88">
        <v>42.734668999999997</v>
      </c>
      <c r="F19" s="88">
        <v>44.647086999999999</v>
      </c>
      <c r="G19" s="88">
        <v>47.615814</v>
      </c>
      <c r="H19" s="88">
        <v>48.105395999999999</v>
      </c>
      <c r="I19" s="88">
        <v>48.979045999999997</v>
      </c>
      <c r="J19" s="88">
        <v>49.058838000000002</v>
      </c>
      <c r="K19" s="88">
        <v>49.153911999999998</v>
      </c>
      <c r="L19" s="34">
        <v>6.0000000000000001E-3</v>
      </c>
      <c r="N19" s="90" t="s">
        <v>614</v>
      </c>
      <c r="O19" s="88">
        <f t="shared" si="1"/>
        <v>10.026758474880793</v>
      </c>
      <c r="P19" s="88">
        <f t="shared" si="2"/>
        <v>8.0853942411504249</v>
      </c>
      <c r="Q19" s="88">
        <f t="shared" si="3"/>
        <v>6.3624682442471423</v>
      </c>
      <c r="R19" s="88">
        <f t="shared" si="4"/>
        <v>5.5040819256474913</v>
      </c>
      <c r="S19" s="88">
        <f t="shared" si="5"/>
        <v>5.2683195040569641</v>
      </c>
      <c r="T19" s="88">
        <f t="shared" si="6"/>
        <v>4.9398529497243953</v>
      </c>
      <c r="U19" s="88">
        <f t="shared" si="7"/>
        <v>4.8895786917839352</v>
      </c>
      <c r="V19" s="88">
        <f t="shared" si="8"/>
        <v>4.8023622028372737</v>
      </c>
      <c r="W19" s="88">
        <f t="shared" si="9"/>
        <v>4.7945513760727092</v>
      </c>
      <c r="X19" s="88">
        <f t="shared" si="10"/>
        <v>4.7852777056977303</v>
      </c>
      <c r="Y19" s="34">
        <v>6.0000000000000001E-3</v>
      </c>
      <c r="AA19" s="90" t="s">
        <v>614</v>
      </c>
      <c r="AB19" s="133">
        <f t="shared" si="13"/>
        <v>0.82803077387781199</v>
      </c>
      <c r="AC19" s="133">
        <f t="shared" si="14"/>
        <v>0.77640512456638877</v>
      </c>
      <c r="AD19" s="133">
        <f t="shared" si="15"/>
        <v>0.76850343358570417</v>
      </c>
      <c r="AE19" s="133">
        <f t="shared" si="16"/>
        <v>0.75479546906650652</v>
      </c>
      <c r="AF19" s="133">
        <f t="shared" si="17"/>
        <v>0.75356782808430967</v>
      </c>
      <c r="AG19" s="133">
        <f t="shared" si="18"/>
        <v>0.75211026947356696</v>
      </c>
      <c r="AH19" s="34"/>
    </row>
    <row r="20" spans="1:46" x14ac:dyDescent="0.35">
      <c r="A20" s="90" t="s">
        <v>615</v>
      </c>
      <c r="B20" s="132">
        <v>20.168685730236696</v>
      </c>
      <c r="C20" s="130">
        <v>25.122694428214672</v>
      </c>
      <c r="D20" s="130">
        <v>31.125885</v>
      </c>
      <c r="E20" s="88">
        <v>33.158881999999998</v>
      </c>
      <c r="F20" s="88">
        <v>35.326484999999998</v>
      </c>
      <c r="G20" s="88">
        <v>37.684246000000002</v>
      </c>
      <c r="H20" s="88">
        <v>38.456882</v>
      </c>
      <c r="I20" s="88">
        <v>39.232371999999998</v>
      </c>
      <c r="J20" s="88">
        <v>39.232937</v>
      </c>
      <c r="K20" s="88">
        <v>39.172561999999999</v>
      </c>
      <c r="L20" s="34">
        <v>7.0000000000000001E-3</v>
      </c>
      <c r="N20" s="90" t="s">
        <v>615</v>
      </c>
      <c r="O20" s="88">
        <f t="shared" si="1"/>
        <v>11.662392006475461</v>
      </c>
      <c r="P20" s="88">
        <f t="shared" si="2"/>
        <v>9.3626549458510269</v>
      </c>
      <c r="Q20" s="88">
        <f t="shared" si="3"/>
        <v>7.5568973939673727</v>
      </c>
      <c r="R20" s="88">
        <f t="shared" si="4"/>
        <v>7.0935781019826951</v>
      </c>
      <c r="S20" s="88">
        <f t="shared" si="5"/>
        <v>6.6583221976776956</v>
      </c>
      <c r="T20" s="88">
        <f t="shared" si="6"/>
        <v>6.2417361154427269</v>
      </c>
      <c r="U20" s="88">
        <f t="shared" si="7"/>
        <v>6.1163335925525146</v>
      </c>
      <c r="V20" s="88">
        <f t="shared" si="8"/>
        <v>5.9954345671841649</v>
      </c>
      <c r="W20" s="88">
        <f t="shared" si="9"/>
        <v>5.9953482259415898</v>
      </c>
      <c r="X20" s="88">
        <f t="shared" si="10"/>
        <v>6.0045886005982494</v>
      </c>
      <c r="Y20" s="34">
        <v>7.0000000000000001E-3</v>
      </c>
      <c r="AA20" s="90" t="s">
        <v>615</v>
      </c>
      <c r="AB20" s="133">
        <f t="shared" si="13"/>
        <v>0.88109204751052939</v>
      </c>
      <c r="AC20" s="133">
        <f t="shared" si="14"/>
        <v>0.82596544455208154</v>
      </c>
      <c r="AD20" s="133">
        <f t="shared" si="15"/>
        <v>0.80937099892809827</v>
      </c>
      <c r="AE20" s="133">
        <f t="shared" si="16"/>
        <v>0.7933724986090569</v>
      </c>
      <c r="AF20" s="133">
        <f t="shared" si="17"/>
        <v>0.79336107312078119</v>
      </c>
      <c r="AG20" s="133">
        <f t="shared" si="18"/>
        <v>0.79458384672414328</v>
      </c>
      <c r="AH20" s="34"/>
    </row>
    <row r="21" spans="1:46" x14ac:dyDescent="0.35">
      <c r="A21" t="s">
        <v>586</v>
      </c>
      <c r="L21" s="34"/>
      <c r="N21" t="s">
        <v>586</v>
      </c>
      <c r="O21" s="88"/>
      <c r="P21" s="88"/>
      <c r="Q21" s="88"/>
      <c r="R21" s="88"/>
      <c r="S21" s="88"/>
      <c r="T21" s="88"/>
      <c r="U21" s="88"/>
      <c r="V21" s="88"/>
      <c r="W21" s="88"/>
      <c r="X21" s="88"/>
      <c r="Y21" s="34"/>
      <c r="AA21" t="s">
        <v>586</v>
      </c>
      <c r="AB21" s="88"/>
      <c r="AC21" s="88"/>
      <c r="AD21" s="88"/>
      <c r="AE21" s="88"/>
      <c r="AF21" s="88"/>
      <c r="AG21" s="88"/>
      <c r="AH21" s="34"/>
      <c r="AI21" t="s">
        <v>32</v>
      </c>
      <c r="AJ21" t="s">
        <v>109</v>
      </c>
      <c r="AK21" s="88">
        <f>AVERAGE(O22:O29)</f>
        <v>5.5172354742251315</v>
      </c>
      <c r="AL21" s="88">
        <f t="shared" ref="AL21" si="19">AVERAGE(P22:P29)</f>
        <v>5.5910367824389731</v>
      </c>
      <c r="AM21" s="88">
        <f t="shared" ref="AM21" si="20">AVERAGE(Q22:Q29)</f>
        <v>5.0620562746704794</v>
      </c>
      <c r="AN21" s="88">
        <f t="shared" ref="AN21" si="21">AVERAGE(R22:R29)</f>
        <v>4.7527931792700739</v>
      </c>
      <c r="AO21" s="88">
        <f t="shared" ref="AO21" si="22">AVERAGE(S22:S29)</f>
        <v>4.5930699706632403</v>
      </c>
      <c r="AP21" s="88">
        <f t="shared" ref="AP21" si="23">AVERAGE(T22:T29)</f>
        <v>4.4648094679267674</v>
      </c>
      <c r="AQ21" s="88">
        <f t="shared" ref="AQ21" si="24">AVERAGE(U22:U29)</f>
        <v>4.4561976849504559</v>
      </c>
      <c r="AR21" s="88">
        <f t="shared" ref="AR21" si="25">AVERAGE(V22:V29)</f>
        <v>4.4288547864940631</v>
      </c>
      <c r="AS21" s="88">
        <f t="shared" ref="AS21" si="26">AVERAGE(W22:W29)</f>
        <v>4.4446285105644501</v>
      </c>
      <c r="AT21" s="88">
        <f t="shared" ref="AT21" si="27">AVERAGE(X22:X29)</f>
        <v>4.4566034494715847</v>
      </c>
    </row>
    <row r="22" spans="1:46" x14ac:dyDescent="0.35">
      <c r="A22" s="90" t="s">
        <v>600</v>
      </c>
      <c r="B22" s="132">
        <v>0</v>
      </c>
      <c r="C22" s="130">
        <v>0</v>
      </c>
      <c r="D22" s="130">
        <v>0</v>
      </c>
      <c r="E22" s="88">
        <v>0</v>
      </c>
      <c r="F22" s="88">
        <v>0</v>
      </c>
      <c r="G22" s="88">
        <v>0</v>
      </c>
      <c r="H22" s="88">
        <v>0</v>
      </c>
      <c r="I22" s="88">
        <v>0</v>
      </c>
      <c r="J22" s="88">
        <v>0</v>
      </c>
      <c r="K22" s="88">
        <v>0</v>
      </c>
      <c r="L22" s="34" t="s">
        <v>279</v>
      </c>
      <c r="N22" s="90" t="s">
        <v>600</v>
      </c>
      <c r="O22" s="88" t="str">
        <f t="shared" ref="O22:O37" si="28">IFERROR(L_100km_to_mpg/B22, "")</f>
        <v/>
      </c>
      <c r="P22" s="88" t="str">
        <f t="shared" ref="P22:P37" si="29">IFERROR(L_100km_to_mpg/C22, "")</f>
        <v/>
      </c>
      <c r="Q22" s="88" t="str">
        <f t="shared" ref="Q22:Q37" si="30">IFERROR(L_100km_to_mpg/D22, "")</f>
        <v/>
      </c>
      <c r="R22" s="88" t="str">
        <f t="shared" ref="R22:R37" si="31">IFERROR(L_100km_to_mpg/E22, "")</f>
        <v/>
      </c>
      <c r="S22" s="88" t="str">
        <f t="shared" ref="S22:S37" si="32">IFERROR(L_100km_to_mpg/F22, "")</f>
        <v/>
      </c>
      <c r="T22" s="88" t="str">
        <f t="shared" ref="T22:T37" si="33">IFERROR(L_100km_to_mpg/G22, "")</f>
        <v/>
      </c>
      <c r="U22" s="88" t="str">
        <f t="shared" ref="U22:U37" si="34">IFERROR(L_100km_to_mpg/H22, "")</f>
        <v/>
      </c>
      <c r="V22" s="88" t="str">
        <f t="shared" ref="V22:V37" si="35">IFERROR(L_100km_to_mpg/I22, "")</f>
        <v/>
      </c>
      <c r="W22" s="88" t="str">
        <f t="shared" ref="W22:W37" si="36">IFERROR(L_100km_to_mpg/J22, "")</f>
        <v/>
      </c>
      <c r="X22" s="88" t="str">
        <f t="shared" ref="X22:X37" si="37">IFERROR(L_100km_to_mpg/K22, "")</f>
        <v/>
      </c>
      <c r="Y22" s="34" t="s">
        <v>279</v>
      </c>
      <c r="AA22" s="90" t="s">
        <v>600</v>
      </c>
      <c r="AB22" s="133" t="str">
        <f>IFERROR($D22/F22, "")</f>
        <v/>
      </c>
      <c r="AC22" s="133" t="str">
        <f t="shared" ref="AC22:AC37" si="38">IFERROR($D22/G22, "")</f>
        <v/>
      </c>
      <c r="AD22" s="133" t="str">
        <f t="shared" ref="AD22:AD37" si="39">IFERROR($D22/H22, "")</f>
        <v/>
      </c>
      <c r="AE22" s="133" t="str">
        <f t="shared" ref="AE22:AE37" si="40">IFERROR($D22/I22, "")</f>
        <v/>
      </c>
      <c r="AF22" s="133" t="str">
        <f t="shared" ref="AF22:AF37" si="41">IFERROR($D22/J22, "")</f>
        <v/>
      </c>
      <c r="AG22" s="133" t="str">
        <f t="shared" ref="AG22:AG37" si="42">IFERROR($D22/K22, "")</f>
        <v/>
      </c>
      <c r="AH22" s="34"/>
      <c r="AI22" t="s">
        <v>256</v>
      </c>
      <c r="AJ22" t="s">
        <v>109</v>
      </c>
      <c r="AK22" s="88">
        <f>AVERAGE(O30:O37)</f>
        <v>7.3395312273024977</v>
      </c>
      <c r="AL22" s="88">
        <f t="shared" ref="AL22" si="43">AVERAGE(P30:P37)</f>
        <v>6.8325124453893249</v>
      </c>
      <c r="AM22" s="88">
        <f t="shared" ref="AM22" si="44">AVERAGE(Q30:Q37)</f>
        <v>6.7749140826425887</v>
      </c>
      <c r="AN22" s="88">
        <f t="shared" ref="AN22" si="45">AVERAGE(R30:R37)</f>
        <v>6.3981850399160951</v>
      </c>
      <c r="AO22" s="88">
        <f t="shared" ref="AO22" si="46">AVERAGE(S30:S37)</f>
        <v>6.1259706839366155</v>
      </c>
      <c r="AP22" s="88">
        <f t="shared" ref="AP22" si="47">AVERAGE(T30:T37)</f>
        <v>5.8326981832350251</v>
      </c>
      <c r="AQ22" s="88">
        <f t="shared" ref="AQ22" si="48">AVERAGE(U30:U37)</f>
        <v>5.747995755105527</v>
      </c>
      <c r="AR22" s="88">
        <f t="shared" ref="AR22" si="49">AVERAGE(V30:V37)</f>
        <v>5.6767066428807675</v>
      </c>
      <c r="AS22" s="88">
        <f t="shared" ref="AS22" si="50">AVERAGE(W30:W37)</f>
        <v>5.6709654212909415</v>
      </c>
      <c r="AT22" s="88">
        <f t="shared" ref="AT22" si="51">AVERAGE(X30:X37)</f>
        <v>5.6696820350339525</v>
      </c>
    </row>
    <row r="23" spans="1:46" x14ac:dyDescent="0.35">
      <c r="A23" s="90" t="s">
        <v>601</v>
      </c>
      <c r="B23" s="132">
        <v>43.473681999999997</v>
      </c>
      <c r="C23" s="130">
        <v>43.342052000000002</v>
      </c>
      <c r="D23" s="130">
        <v>41.440491000000002</v>
      </c>
      <c r="E23" s="88">
        <v>40.853588000000002</v>
      </c>
      <c r="F23" s="88">
        <v>42.396217</v>
      </c>
      <c r="G23" s="88">
        <v>43.812354999999997</v>
      </c>
      <c r="H23" s="88">
        <v>44.120120999999997</v>
      </c>
      <c r="I23" s="88">
        <v>44.661228000000001</v>
      </c>
      <c r="J23" s="88">
        <v>44.553238</v>
      </c>
      <c r="K23" s="88">
        <v>44.443516000000002</v>
      </c>
      <c r="L23" s="34">
        <v>3.0000000000000001E-3</v>
      </c>
      <c r="N23" s="90" t="s">
        <v>601</v>
      </c>
      <c r="O23" s="88">
        <f t="shared" si="28"/>
        <v>5.4105175457976662</v>
      </c>
      <c r="P23" s="88">
        <f t="shared" si="29"/>
        <v>5.4269493110623399</v>
      </c>
      <c r="Q23" s="88">
        <f t="shared" si="30"/>
        <v>5.6759732707179591</v>
      </c>
      <c r="R23" s="88">
        <f t="shared" si="31"/>
        <v>5.7575143520179459</v>
      </c>
      <c r="S23" s="88">
        <f t="shared" si="32"/>
        <v>5.5480214010940676</v>
      </c>
      <c r="T23" s="88">
        <f t="shared" si="33"/>
        <v>5.3686938134557742</v>
      </c>
      <c r="U23" s="88">
        <f t="shared" si="34"/>
        <v>5.3312437479812926</v>
      </c>
      <c r="V23" s="88">
        <f t="shared" si="35"/>
        <v>5.2666514060345166</v>
      </c>
      <c r="W23" s="88">
        <f t="shared" si="36"/>
        <v>5.2794169357887775</v>
      </c>
      <c r="X23" s="88">
        <f t="shared" si="37"/>
        <v>5.2924507422281382</v>
      </c>
      <c r="Y23" s="34">
        <v>3.0000000000000001E-3</v>
      </c>
      <c r="AA23" s="90" t="s">
        <v>601</v>
      </c>
      <c r="AB23" s="133">
        <f t="shared" ref="AB23:AB37" si="52">IFERROR($D23/F23, "")</f>
        <v>0.97745728115317465</v>
      </c>
      <c r="AC23" s="133">
        <f t="shared" si="38"/>
        <v>0.94586312468252398</v>
      </c>
      <c r="AD23" s="133">
        <f t="shared" si="39"/>
        <v>0.9392651257688075</v>
      </c>
      <c r="AE23" s="133">
        <f t="shared" si="40"/>
        <v>0.92788516697301737</v>
      </c>
      <c r="AF23" s="133">
        <f t="shared" si="41"/>
        <v>0.93013421381404426</v>
      </c>
      <c r="AG23" s="133">
        <f t="shared" si="42"/>
        <v>0.93243052597368759</v>
      </c>
      <c r="AH23" s="34"/>
    </row>
    <row r="24" spans="1:46" x14ac:dyDescent="0.35">
      <c r="A24" s="90" t="s">
        <v>602</v>
      </c>
      <c r="B24" s="132">
        <v>44.230736</v>
      </c>
      <c r="C24" s="130">
        <v>49.378127999999997</v>
      </c>
      <c r="D24" s="130">
        <v>51.385635000000001</v>
      </c>
      <c r="E24" s="88">
        <v>57.535083999999998</v>
      </c>
      <c r="F24" s="88">
        <v>59.368271</v>
      </c>
      <c r="G24" s="88">
        <v>60.786960999999998</v>
      </c>
      <c r="H24" s="88">
        <v>60.707808999999997</v>
      </c>
      <c r="I24" s="88">
        <v>60.760185</v>
      </c>
      <c r="J24" s="88">
        <v>60.356074999999997</v>
      </c>
      <c r="K24" s="88">
        <v>60.049712999999997</v>
      </c>
      <c r="L24" s="34">
        <v>2E-3</v>
      </c>
      <c r="N24" s="90" t="s">
        <v>602</v>
      </c>
      <c r="O24" s="88">
        <f t="shared" si="28"/>
        <v>5.3179110390889299</v>
      </c>
      <c r="P24" s="88">
        <f t="shared" si="29"/>
        <v>4.7635487364249238</v>
      </c>
      <c r="Q24" s="88">
        <f t="shared" si="30"/>
        <v>4.5774489162472767</v>
      </c>
      <c r="R24" s="88">
        <f t="shared" si="31"/>
        <v>4.0882032820431471</v>
      </c>
      <c r="S24" s="88">
        <f t="shared" si="32"/>
        <v>3.9619668095341387</v>
      </c>
      <c r="T24" s="88">
        <f t="shared" si="33"/>
        <v>3.8694995665505987</v>
      </c>
      <c r="U24" s="88">
        <f t="shared" si="34"/>
        <v>3.8745446939359671</v>
      </c>
      <c r="V24" s="88">
        <f t="shared" si="35"/>
        <v>3.8712047904631648</v>
      </c>
      <c r="W24" s="88">
        <f t="shared" si="36"/>
        <v>3.8971241791555888</v>
      </c>
      <c r="X24" s="88">
        <f t="shared" si="37"/>
        <v>3.917006551578825</v>
      </c>
      <c r="Y24" s="34">
        <v>2E-3</v>
      </c>
      <c r="AA24" s="90" t="s">
        <v>602</v>
      </c>
      <c r="AB24" s="133">
        <f t="shared" si="52"/>
        <v>0.86554036582941751</v>
      </c>
      <c r="AC24" s="133">
        <f t="shared" si="38"/>
        <v>0.84533975962377861</v>
      </c>
      <c r="AD24" s="133">
        <f t="shared" si="39"/>
        <v>0.8464419297359258</v>
      </c>
      <c r="AE24" s="133">
        <f t="shared" si="40"/>
        <v>0.8457122867548873</v>
      </c>
      <c r="AF24" s="133">
        <f t="shared" si="41"/>
        <v>0.85137469591917636</v>
      </c>
      <c r="AG24" s="133">
        <f t="shared" si="42"/>
        <v>0.85571824464839663</v>
      </c>
      <c r="AH24" s="34"/>
    </row>
    <row r="25" spans="1:46" x14ac:dyDescent="0.35">
      <c r="A25" s="90" t="s">
        <v>603</v>
      </c>
      <c r="B25" s="132">
        <v>45.047024</v>
      </c>
      <c r="C25" s="130">
        <v>47.607384000000003</v>
      </c>
      <c r="D25" s="130">
        <v>54.732224000000002</v>
      </c>
      <c r="E25" s="88">
        <v>56.622146999999998</v>
      </c>
      <c r="F25" s="88">
        <v>57.920414000000001</v>
      </c>
      <c r="G25" s="88">
        <v>59.240589</v>
      </c>
      <c r="H25" s="88">
        <v>58.832211000000001</v>
      </c>
      <c r="I25" s="88">
        <v>58.641258000000001</v>
      </c>
      <c r="J25" s="88">
        <v>58.205154</v>
      </c>
      <c r="K25" s="88">
        <v>57.889366000000003</v>
      </c>
      <c r="L25" s="34">
        <v>1E-3</v>
      </c>
      <c r="N25" s="90" t="s">
        <v>603</v>
      </c>
      <c r="O25" s="88">
        <f t="shared" si="28"/>
        <v>5.2215462500126124</v>
      </c>
      <c r="P25" s="88">
        <f t="shared" si="29"/>
        <v>4.9407276661416244</v>
      </c>
      <c r="Q25" s="88">
        <f t="shared" si="30"/>
        <v>4.2975618758234297</v>
      </c>
      <c r="R25" s="88">
        <f t="shared" si="31"/>
        <v>4.1541186921334532</v>
      </c>
      <c r="S25" s="88">
        <f t="shared" si="32"/>
        <v>4.0610054900751944</v>
      </c>
      <c r="T25" s="88">
        <f t="shared" si="33"/>
        <v>3.9705060873285398</v>
      </c>
      <c r="U25" s="88">
        <f t="shared" si="34"/>
        <v>3.9980669643952043</v>
      </c>
      <c r="V25" s="88">
        <f t="shared" si="35"/>
        <v>4.0110858338241675</v>
      </c>
      <c r="W25" s="88">
        <f t="shared" si="36"/>
        <v>4.04113902424222</v>
      </c>
      <c r="X25" s="88">
        <f t="shared" si="37"/>
        <v>4.0631835429226868</v>
      </c>
      <c r="Y25" s="34">
        <v>1E-3</v>
      </c>
      <c r="AA25" s="90" t="s">
        <v>603</v>
      </c>
      <c r="AB25" s="133">
        <f t="shared" si="52"/>
        <v>0.94495567659443869</v>
      </c>
      <c r="AC25" s="133">
        <f t="shared" si="38"/>
        <v>0.92389736368083719</v>
      </c>
      <c r="AD25" s="133">
        <f t="shared" si="39"/>
        <v>0.93031050626331213</v>
      </c>
      <c r="AE25" s="133">
        <f t="shared" si="40"/>
        <v>0.93333986798168622</v>
      </c>
      <c r="AF25" s="133">
        <f t="shared" si="41"/>
        <v>0.94033294714760141</v>
      </c>
      <c r="AG25" s="133">
        <f t="shared" si="42"/>
        <v>0.94546248787730724</v>
      </c>
      <c r="AH25" s="34"/>
    </row>
    <row r="26" spans="1:46" x14ac:dyDescent="0.35">
      <c r="A26" s="90" t="s">
        <v>604</v>
      </c>
      <c r="B26" s="132">
        <v>38.440331</v>
      </c>
      <c r="C26" s="130">
        <v>36.851523999999998</v>
      </c>
      <c r="D26" s="130">
        <v>46.100037</v>
      </c>
      <c r="E26" s="88">
        <v>49.882595000000002</v>
      </c>
      <c r="F26" s="88">
        <v>51.246498000000003</v>
      </c>
      <c r="G26" s="88">
        <v>52.547798</v>
      </c>
      <c r="H26" s="88">
        <v>52.459152000000003</v>
      </c>
      <c r="I26" s="88">
        <v>52.666736999999998</v>
      </c>
      <c r="J26" s="88">
        <v>52.446193999999998</v>
      </c>
      <c r="K26" s="88">
        <v>52.297122999999999</v>
      </c>
      <c r="L26" s="34">
        <v>2E-3</v>
      </c>
      <c r="N26" s="90" t="s">
        <v>604</v>
      </c>
      <c r="O26" s="88">
        <f t="shared" si="28"/>
        <v>6.1189670620013166</v>
      </c>
      <c r="P26" s="88">
        <f t="shared" si="29"/>
        <v>6.3827786129395401</v>
      </c>
      <c r="Q26" s="88">
        <f t="shared" si="30"/>
        <v>5.1022761487464345</v>
      </c>
      <c r="R26" s="88">
        <f t="shared" si="31"/>
        <v>4.7153745558230904</v>
      </c>
      <c r="S26" s="88">
        <f t="shared" si="32"/>
        <v>4.5898769363992074</v>
      </c>
      <c r="T26" s="88">
        <f t="shared" si="33"/>
        <v>4.4762126710129344</v>
      </c>
      <c r="U26" s="88">
        <f t="shared" si="34"/>
        <v>4.4837766199771609</v>
      </c>
      <c r="V26" s="88">
        <f t="shared" si="35"/>
        <v>4.4661038947871052</v>
      </c>
      <c r="W26" s="88">
        <f t="shared" si="36"/>
        <v>4.4848844368273539</v>
      </c>
      <c r="X26" s="88">
        <f t="shared" si="37"/>
        <v>4.4976684327630823</v>
      </c>
      <c r="Y26" s="34">
        <v>2E-3</v>
      </c>
      <c r="AA26" s="90" t="s">
        <v>604</v>
      </c>
      <c r="AB26" s="133">
        <f t="shared" si="52"/>
        <v>0.89957438652686084</v>
      </c>
      <c r="AC26" s="133">
        <f t="shared" si="38"/>
        <v>0.87729721804898464</v>
      </c>
      <c r="AD26" s="133">
        <f t="shared" si="39"/>
        <v>0.87877968366701764</v>
      </c>
      <c r="AE26" s="133">
        <f t="shared" si="40"/>
        <v>0.8753159892932042</v>
      </c>
      <c r="AF26" s="133">
        <f t="shared" si="41"/>
        <v>0.87899680575486572</v>
      </c>
      <c r="AG26" s="133">
        <f t="shared" si="42"/>
        <v>0.88150235338949723</v>
      </c>
      <c r="AH26" s="34"/>
    </row>
    <row r="27" spans="1:46" x14ac:dyDescent="0.35">
      <c r="A27" s="90" t="s">
        <v>605</v>
      </c>
      <c r="B27" s="132">
        <v>0</v>
      </c>
      <c r="C27" s="130">
        <v>0</v>
      </c>
      <c r="D27" s="130">
        <v>0</v>
      </c>
      <c r="E27" s="88">
        <v>0</v>
      </c>
      <c r="F27" s="88">
        <v>0</v>
      </c>
      <c r="G27" s="88">
        <v>0</v>
      </c>
      <c r="H27" s="88">
        <v>0</v>
      </c>
      <c r="I27" s="88">
        <v>0</v>
      </c>
      <c r="J27" s="88">
        <v>0</v>
      </c>
      <c r="K27" s="88">
        <v>0</v>
      </c>
      <c r="L27" s="34" t="s">
        <v>279</v>
      </c>
      <c r="N27" s="90" t="s">
        <v>605</v>
      </c>
      <c r="O27" s="88" t="str">
        <f t="shared" si="28"/>
        <v/>
      </c>
      <c r="P27" s="88" t="str">
        <f t="shared" si="29"/>
        <v/>
      </c>
      <c r="Q27" s="88" t="str">
        <f t="shared" si="30"/>
        <v/>
      </c>
      <c r="R27" s="88" t="str">
        <f t="shared" si="31"/>
        <v/>
      </c>
      <c r="S27" s="88" t="str">
        <f t="shared" si="32"/>
        <v/>
      </c>
      <c r="T27" s="88" t="str">
        <f t="shared" si="33"/>
        <v/>
      </c>
      <c r="U27" s="88" t="str">
        <f t="shared" si="34"/>
        <v/>
      </c>
      <c r="V27" s="88" t="str">
        <f t="shared" si="35"/>
        <v/>
      </c>
      <c r="W27" s="88" t="str">
        <f t="shared" si="36"/>
        <v/>
      </c>
      <c r="X27" s="88" t="str">
        <f t="shared" si="37"/>
        <v/>
      </c>
      <c r="Y27" s="34" t="s">
        <v>279</v>
      </c>
      <c r="AA27" s="90" t="s">
        <v>605</v>
      </c>
      <c r="AB27" s="133" t="str">
        <f t="shared" si="52"/>
        <v/>
      </c>
      <c r="AC27" s="133" t="str">
        <f t="shared" si="38"/>
        <v/>
      </c>
      <c r="AD27" s="133" t="str">
        <f t="shared" si="39"/>
        <v/>
      </c>
      <c r="AE27" s="133" t="str">
        <f t="shared" si="40"/>
        <v/>
      </c>
      <c r="AF27" s="133" t="str">
        <f t="shared" si="41"/>
        <v/>
      </c>
      <c r="AG27" s="133" t="str">
        <f t="shared" si="42"/>
        <v/>
      </c>
      <c r="AH27" s="34"/>
    </row>
    <row r="28" spans="1:46" x14ac:dyDescent="0.35">
      <c r="A28" s="90" t="s">
        <v>606</v>
      </c>
      <c r="C28" s="130">
        <v>42.006283399672483</v>
      </c>
      <c r="D28" s="130">
        <v>47.668545000000002</v>
      </c>
      <c r="E28" s="88">
        <v>51.173476999999998</v>
      </c>
      <c r="F28" s="88">
        <v>53.881610999999999</v>
      </c>
      <c r="G28" s="88">
        <v>55.614559</v>
      </c>
      <c r="H28" s="88">
        <v>55.708362999999999</v>
      </c>
      <c r="I28" s="88">
        <v>56.107112999999998</v>
      </c>
      <c r="J28" s="88">
        <v>56.006171999999999</v>
      </c>
      <c r="K28" s="88">
        <v>55.962273000000003</v>
      </c>
      <c r="L28" s="34">
        <v>3.0000000000000001E-3</v>
      </c>
      <c r="N28" s="90" t="s">
        <v>606</v>
      </c>
      <c r="O28" s="88" t="str">
        <f t="shared" si="28"/>
        <v/>
      </c>
      <c r="P28" s="88">
        <f t="shared" si="29"/>
        <v>5.5995222667869271</v>
      </c>
      <c r="Q28" s="88">
        <f t="shared" si="30"/>
        <v>4.9343884786378132</v>
      </c>
      <c r="R28" s="88">
        <f t="shared" si="31"/>
        <v>4.5964263722284917</v>
      </c>
      <c r="S28" s="88">
        <f t="shared" si="32"/>
        <v>4.3654062095772925</v>
      </c>
      <c r="T28" s="88">
        <f t="shared" si="33"/>
        <v>4.2293802822643647</v>
      </c>
      <c r="U28" s="88">
        <f t="shared" si="34"/>
        <v>4.2222586802887774</v>
      </c>
      <c r="V28" s="88">
        <f t="shared" si="35"/>
        <v>4.192251332579314</v>
      </c>
      <c r="W28" s="88">
        <f t="shared" si="36"/>
        <v>4.1998071077135597</v>
      </c>
      <c r="X28" s="88">
        <f t="shared" si="37"/>
        <v>4.2031016009915847</v>
      </c>
      <c r="Y28" s="34">
        <v>3.0000000000000001E-3</v>
      </c>
      <c r="AA28" s="90" t="s">
        <v>606</v>
      </c>
      <c r="AB28" s="133">
        <f t="shared" si="52"/>
        <v>0.88469041877756782</v>
      </c>
      <c r="AC28" s="133">
        <f t="shared" si="38"/>
        <v>0.85712349171014734</v>
      </c>
      <c r="AD28" s="133">
        <f t="shared" si="39"/>
        <v>0.85568023242758007</v>
      </c>
      <c r="AE28" s="133">
        <f t="shared" si="40"/>
        <v>0.84959896261281531</v>
      </c>
      <c r="AF28" s="133">
        <f t="shared" si="41"/>
        <v>0.85113021114887133</v>
      </c>
      <c r="AG28" s="133">
        <f t="shared" si="42"/>
        <v>0.85179787104072768</v>
      </c>
      <c r="AH28" s="34"/>
    </row>
    <row r="29" spans="1:46" x14ac:dyDescent="0.35">
      <c r="A29" s="90" t="s">
        <v>607</v>
      </c>
      <c r="C29" s="130">
        <v>36.565568879558519</v>
      </c>
      <c r="D29" s="130">
        <v>40.661670999999998</v>
      </c>
      <c r="E29" s="88">
        <v>45.189166999999998</v>
      </c>
      <c r="F29" s="88">
        <v>46.742534999999997</v>
      </c>
      <c r="G29" s="88">
        <v>48.253566999999997</v>
      </c>
      <c r="H29" s="88">
        <v>48.726067</v>
      </c>
      <c r="I29" s="88">
        <v>49.354477000000003</v>
      </c>
      <c r="J29" s="88">
        <v>49.358952000000002</v>
      </c>
      <c r="K29" s="88">
        <v>49.350558999999997</v>
      </c>
      <c r="L29" s="34">
        <v>3.0000000000000001E-3</v>
      </c>
      <c r="N29" s="90" t="s">
        <v>607</v>
      </c>
      <c r="O29" s="88" t="str">
        <f t="shared" si="28"/>
        <v/>
      </c>
      <c r="P29" s="88">
        <f t="shared" si="29"/>
        <v>6.4326941012784822</v>
      </c>
      <c r="Q29" s="88">
        <f t="shared" si="30"/>
        <v>5.7846889578499647</v>
      </c>
      <c r="R29" s="88">
        <f t="shared" si="31"/>
        <v>5.2051218213743162</v>
      </c>
      <c r="S29" s="88">
        <f t="shared" si="32"/>
        <v>5.0321429772995447</v>
      </c>
      <c r="T29" s="88">
        <f t="shared" si="33"/>
        <v>4.8745643869483919</v>
      </c>
      <c r="U29" s="88">
        <f t="shared" si="34"/>
        <v>4.8272954031243307</v>
      </c>
      <c r="V29" s="88">
        <f t="shared" si="35"/>
        <v>4.7658314612761092</v>
      </c>
      <c r="W29" s="88">
        <f t="shared" si="36"/>
        <v>4.7653993796591978</v>
      </c>
      <c r="X29" s="88">
        <f t="shared" si="37"/>
        <v>4.7662098263451922</v>
      </c>
      <c r="Y29" s="34">
        <v>3.0000000000000001E-3</v>
      </c>
      <c r="AA29" s="90" t="s">
        <v>607</v>
      </c>
      <c r="AB29" s="133">
        <f t="shared" si="52"/>
        <v>0.8699072696848813</v>
      </c>
      <c r="AC29" s="133">
        <f t="shared" si="38"/>
        <v>0.84266663643746798</v>
      </c>
      <c r="AD29" s="133">
        <f t="shared" si="39"/>
        <v>0.83449524050443058</v>
      </c>
      <c r="AE29" s="133">
        <f t="shared" si="40"/>
        <v>0.82386996016592362</v>
      </c>
      <c r="AF29" s="133">
        <f t="shared" si="41"/>
        <v>0.82379526615556986</v>
      </c>
      <c r="AG29" s="133">
        <f t="shared" si="42"/>
        <v>0.82393536818904123</v>
      </c>
      <c r="AH29" s="34"/>
    </row>
    <row r="30" spans="1:46" x14ac:dyDescent="0.35">
      <c r="A30" s="90" t="s">
        <v>608</v>
      </c>
      <c r="B30" s="132">
        <v>30.264050000000001</v>
      </c>
      <c r="C30" s="130">
        <v>31.702147</v>
      </c>
      <c r="D30" s="130">
        <v>33.671764000000003</v>
      </c>
      <c r="E30" s="88">
        <v>35.381309999999999</v>
      </c>
      <c r="F30" s="88">
        <v>37.242378000000002</v>
      </c>
      <c r="G30" s="88">
        <v>39.496124000000002</v>
      </c>
      <c r="H30" s="88">
        <v>40.269871000000002</v>
      </c>
      <c r="I30" s="88">
        <v>40.858528</v>
      </c>
      <c r="J30" s="88">
        <v>40.959099000000002</v>
      </c>
      <c r="K30" s="88">
        <v>41.014567999999997</v>
      </c>
      <c r="L30" s="34">
        <v>6.0000000000000001E-3</v>
      </c>
      <c r="N30" s="90" t="s">
        <v>608</v>
      </c>
      <c r="O30" s="88">
        <f t="shared" si="28"/>
        <v>7.7720965713917378</v>
      </c>
      <c r="P30" s="88">
        <f t="shared" si="29"/>
        <v>7.4195327919408154</v>
      </c>
      <c r="Q30" s="88">
        <f t="shared" si="30"/>
        <v>6.9855300494927475</v>
      </c>
      <c r="R30" s="88">
        <f t="shared" si="31"/>
        <v>6.6480048150118849</v>
      </c>
      <c r="S30" s="88">
        <f t="shared" si="32"/>
        <v>6.3157921666932255</v>
      </c>
      <c r="T30" s="88">
        <f t="shared" si="33"/>
        <v>5.9553975281581586</v>
      </c>
      <c r="U30" s="88">
        <f t="shared" si="34"/>
        <v>5.8409702688500822</v>
      </c>
      <c r="V30" s="88">
        <f t="shared" si="35"/>
        <v>5.7568182397914125</v>
      </c>
      <c r="W30" s="88">
        <f t="shared" si="36"/>
        <v>5.7426829443056873</v>
      </c>
      <c r="X30" s="88">
        <f t="shared" si="37"/>
        <v>5.7349164141245659</v>
      </c>
      <c r="Y30" s="34">
        <v>6.0000000000000001E-3</v>
      </c>
      <c r="AA30" s="90" t="s">
        <v>608</v>
      </c>
      <c r="AB30" s="133">
        <f t="shared" si="52"/>
        <v>0.90412497290049532</v>
      </c>
      <c r="AC30" s="133">
        <f t="shared" si="38"/>
        <v>0.85253337770561999</v>
      </c>
      <c r="AD30" s="133">
        <f t="shared" si="39"/>
        <v>0.83615276542604278</v>
      </c>
      <c r="AE30" s="133">
        <f t="shared" si="40"/>
        <v>0.82410614498887491</v>
      </c>
      <c r="AF30" s="133">
        <f t="shared" si="41"/>
        <v>0.822082634190757</v>
      </c>
      <c r="AG30" s="133">
        <f t="shared" si="42"/>
        <v>0.82097083163231188</v>
      </c>
      <c r="AH30" s="34"/>
    </row>
    <row r="31" spans="1:46" x14ac:dyDescent="0.35">
      <c r="A31" s="90" t="s">
        <v>609</v>
      </c>
      <c r="B31" s="132">
        <v>33.250960999999997</v>
      </c>
      <c r="C31" s="130">
        <v>29.416675999999999</v>
      </c>
      <c r="D31" s="130">
        <v>32.193378000000003</v>
      </c>
      <c r="E31" s="88">
        <v>31.087633</v>
      </c>
      <c r="F31" s="88">
        <v>31.993016999999998</v>
      </c>
      <c r="G31" s="88">
        <v>33.184581999999999</v>
      </c>
      <c r="H31" s="88">
        <v>33.503498</v>
      </c>
      <c r="I31" s="88">
        <v>33.863514000000002</v>
      </c>
      <c r="J31" s="88">
        <v>33.875298000000001</v>
      </c>
      <c r="K31" s="88">
        <v>33.868693999999998</v>
      </c>
      <c r="L31" s="34">
        <v>3.0000000000000001E-3</v>
      </c>
      <c r="N31" s="90" t="s">
        <v>609</v>
      </c>
      <c r="O31" s="88">
        <f t="shared" si="28"/>
        <v>7.0739344718917501</v>
      </c>
      <c r="P31" s="88">
        <f t="shared" si="29"/>
        <v>7.9959788536756546</v>
      </c>
      <c r="Q31" s="88">
        <f t="shared" si="30"/>
        <v>7.3063199283227789</v>
      </c>
      <c r="R31" s="88">
        <f t="shared" si="31"/>
        <v>7.5661958323243246</v>
      </c>
      <c r="S31" s="88">
        <f t="shared" si="32"/>
        <v>7.352076837311972</v>
      </c>
      <c r="T31" s="88">
        <f t="shared" si="33"/>
        <v>7.088084437568873</v>
      </c>
      <c r="U31" s="88">
        <f t="shared" si="34"/>
        <v>7.0206137652082816</v>
      </c>
      <c r="V31" s="88">
        <f t="shared" si="35"/>
        <v>6.945974928692519</v>
      </c>
      <c r="W31" s="88">
        <f t="shared" si="36"/>
        <v>6.9435586733857848</v>
      </c>
      <c r="X31" s="88">
        <f t="shared" si="37"/>
        <v>6.9449125862788854</v>
      </c>
      <c r="Y31" s="34">
        <v>3.0000000000000001E-3</v>
      </c>
      <c r="AA31" s="90" t="s">
        <v>609</v>
      </c>
      <c r="AB31" s="133">
        <f t="shared" si="52"/>
        <v>1.0062626478771917</v>
      </c>
      <c r="AC31" s="133">
        <f t="shared" si="38"/>
        <v>0.97013058654769269</v>
      </c>
      <c r="AD31" s="133">
        <f t="shared" si="39"/>
        <v>0.96089602345402869</v>
      </c>
      <c r="AE31" s="133">
        <f t="shared" si="40"/>
        <v>0.95068036943832823</v>
      </c>
      <c r="AF31" s="133">
        <f t="shared" si="41"/>
        <v>0.95034966186865732</v>
      </c>
      <c r="AG31" s="133">
        <f t="shared" si="42"/>
        <v>0.9505349689598307</v>
      </c>
      <c r="AH31" s="34"/>
    </row>
    <row r="32" spans="1:46" x14ac:dyDescent="0.35">
      <c r="A32" s="90" t="s">
        <v>610</v>
      </c>
      <c r="B32" s="132">
        <v>33.343124000000003</v>
      </c>
      <c r="C32" s="130">
        <v>40.873524000000003</v>
      </c>
      <c r="D32" s="130">
        <v>38.723297000000002</v>
      </c>
      <c r="E32" s="88">
        <v>45.529975999999998</v>
      </c>
      <c r="F32" s="88">
        <v>47.521492000000002</v>
      </c>
      <c r="G32" s="88">
        <v>50.699745</v>
      </c>
      <c r="H32" s="88">
        <v>51.051704000000001</v>
      </c>
      <c r="I32" s="88">
        <v>51.407100999999997</v>
      </c>
      <c r="J32" s="88">
        <v>51.416370000000001</v>
      </c>
      <c r="K32" s="88">
        <v>51.378554999999999</v>
      </c>
      <c r="L32" s="34">
        <v>5.0000000000000001E-3</v>
      </c>
      <c r="N32" s="90" t="s">
        <v>610</v>
      </c>
      <c r="O32" s="88">
        <f t="shared" si="28"/>
        <v>7.0543815642897805</v>
      </c>
      <c r="P32" s="88">
        <f t="shared" si="29"/>
        <v>5.754706133031938</v>
      </c>
      <c r="Q32" s="88">
        <f t="shared" si="30"/>
        <v>6.074253420142095</v>
      </c>
      <c r="R32" s="88">
        <f t="shared" si="31"/>
        <v>5.166159526230107</v>
      </c>
      <c r="S32" s="88">
        <f t="shared" si="32"/>
        <v>4.9496577094302534</v>
      </c>
      <c r="T32" s="88">
        <f t="shared" si="33"/>
        <v>4.6393747984615725</v>
      </c>
      <c r="U32" s="88">
        <f t="shared" si="34"/>
        <v>4.6073901713726961</v>
      </c>
      <c r="V32" s="88">
        <f t="shared" si="35"/>
        <v>4.5755375165276906</v>
      </c>
      <c r="W32" s="88">
        <f t="shared" si="36"/>
        <v>4.574712669164084</v>
      </c>
      <c r="X32" s="88">
        <f t="shared" si="37"/>
        <v>4.5780796918369573</v>
      </c>
      <c r="Y32" s="34">
        <v>5.0000000000000001E-3</v>
      </c>
      <c r="AA32" s="90" t="s">
        <v>610</v>
      </c>
      <c r="AB32" s="133">
        <f t="shared" si="52"/>
        <v>0.81485861176244212</v>
      </c>
      <c r="AC32" s="133">
        <f t="shared" si="38"/>
        <v>0.7637769578525494</v>
      </c>
      <c r="AD32" s="133">
        <f t="shared" si="39"/>
        <v>0.75851135155057703</v>
      </c>
      <c r="AE32" s="133">
        <f t="shared" si="40"/>
        <v>0.75326747174480824</v>
      </c>
      <c r="AF32" s="133">
        <f t="shared" si="41"/>
        <v>0.75313167771275957</v>
      </c>
      <c r="AG32" s="133">
        <f t="shared" si="42"/>
        <v>0.7536859882493776</v>
      </c>
      <c r="AH32" s="34"/>
    </row>
    <row r="33" spans="1:46" x14ac:dyDescent="0.35">
      <c r="A33" s="90" t="s">
        <v>611</v>
      </c>
      <c r="B33" s="132">
        <v>33.085388000000002</v>
      </c>
      <c r="C33" s="130">
        <v>33.741332999999997</v>
      </c>
      <c r="D33" s="130">
        <v>33.74295</v>
      </c>
      <c r="E33" s="88">
        <v>37.730648000000002</v>
      </c>
      <c r="F33" s="88">
        <v>39.095149999999997</v>
      </c>
      <c r="G33" s="88">
        <v>41.056258999999997</v>
      </c>
      <c r="H33" s="88">
        <v>42.080139000000003</v>
      </c>
      <c r="I33" s="88">
        <v>42.765594</v>
      </c>
      <c r="J33" s="88">
        <v>42.853760000000001</v>
      </c>
      <c r="K33" s="88">
        <v>42.899310999999997</v>
      </c>
      <c r="L33" s="34">
        <v>5.0000000000000001E-3</v>
      </c>
      <c r="N33" s="90" t="s">
        <v>611</v>
      </c>
      <c r="O33" s="88">
        <f t="shared" si="28"/>
        <v>7.1093353731087614</v>
      </c>
      <c r="P33" s="88">
        <f t="shared" si="29"/>
        <v>6.9711270518395985</v>
      </c>
      <c r="Q33" s="88">
        <f t="shared" si="30"/>
        <v>6.9707929876145425</v>
      </c>
      <c r="R33" s="88">
        <f t="shared" si="31"/>
        <v>6.2340598879040758</v>
      </c>
      <c r="S33" s="88">
        <f t="shared" si="32"/>
        <v>6.0164782394089338</v>
      </c>
      <c r="T33" s="88">
        <f t="shared" si="33"/>
        <v>5.7290928343332048</v>
      </c>
      <c r="U33" s="88">
        <f t="shared" si="34"/>
        <v>5.5896944456725324</v>
      </c>
      <c r="V33" s="88">
        <f t="shared" si="35"/>
        <v>5.5001017696943046</v>
      </c>
      <c r="W33" s="88">
        <f t="shared" si="36"/>
        <v>5.4887860304773284</v>
      </c>
      <c r="X33" s="88">
        <f t="shared" si="37"/>
        <v>5.4829579720156385</v>
      </c>
      <c r="Y33" s="34">
        <v>5.0000000000000001E-3</v>
      </c>
      <c r="AA33" s="90" t="s">
        <v>611</v>
      </c>
      <c r="AB33" s="133">
        <f t="shared" si="52"/>
        <v>0.86309810807734466</v>
      </c>
      <c r="AC33" s="133">
        <f t="shared" si="38"/>
        <v>0.82187103311093201</v>
      </c>
      <c r="AD33" s="133">
        <f t="shared" si="39"/>
        <v>0.80187353943864104</v>
      </c>
      <c r="AE33" s="133">
        <f t="shared" si="40"/>
        <v>0.78902095923185356</v>
      </c>
      <c r="AF33" s="133">
        <f t="shared" si="41"/>
        <v>0.78739765192132494</v>
      </c>
      <c r="AG33" s="133">
        <f t="shared" si="42"/>
        <v>0.78656158370468943</v>
      </c>
      <c r="AH33" s="34"/>
    </row>
    <row r="34" spans="1:46" x14ac:dyDescent="0.35">
      <c r="A34" s="90" t="s">
        <v>612</v>
      </c>
      <c r="B34" s="132">
        <v>36.572426</v>
      </c>
      <c r="C34" s="130">
        <v>41.852749000000003</v>
      </c>
      <c r="D34" s="130">
        <v>32.111548999999997</v>
      </c>
      <c r="E34" s="88">
        <v>35.220984999999999</v>
      </c>
      <c r="F34" s="88">
        <v>37.341610000000003</v>
      </c>
      <c r="G34" s="88">
        <v>39.575705999999997</v>
      </c>
      <c r="H34" s="88">
        <v>40.301571000000003</v>
      </c>
      <c r="I34" s="88">
        <v>40.837757000000003</v>
      </c>
      <c r="J34" s="88">
        <v>40.916564999999999</v>
      </c>
      <c r="K34" s="88">
        <v>40.961559000000001</v>
      </c>
      <c r="L34" s="34">
        <v>6.0000000000000001E-3</v>
      </c>
      <c r="N34" s="90" t="s">
        <v>612</v>
      </c>
      <c r="O34" s="88">
        <f t="shared" si="28"/>
        <v>6.4314880079715833</v>
      </c>
      <c r="P34" s="88">
        <f t="shared" si="29"/>
        <v>5.6200637917817087</v>
      </c>
      <c r="Q34" s="88">
        <f t="shared" si="30"/>
        <v>7.3249384276488243</v>
      </c>
      <c r="R34" s="88">
        <f t="shared" si="31"/>
        <v>6.6782663585765176</v>
      </c>
      <c r="S34" s="88">
        <f t="shared" si="32"/>
        <v>6.2990085119904613</v>
      </c>
      <c r="T34" s="88">
        <f t="shared" si="33"/>
        <v>5.9434219377268507</v>
      </c>
      <c r="U34" s="88">
        <f t="shared" si="34"/>
        <v>5.8363759378369675</v>
      </c>
      <c r="V34" s="88">
        <f t="shared" si="35"/>
        <v>5.7597462867862239</v>
      </c>
      <c r="W34" s="88">
        <f t="shared" si="36"/>
        <v>5.748652635953877</v>
      </c>
      <c r="X34" s="88">
        <f t="shared" si="37"/>
        <v>5.7423380599705238</v>
      </c>
      <c r="Y34" s="34">
        <v>6.0000000000000001E-3</v>
      </c>
      <c r="AA34" s="90" t="s">
        <v>612</v>
      </c>
      <c r="AB34" s="133">
        <f t="shared" si="52"/>
        <v>0.85994013112985734</v>
      </c>
      <c r="AC34" s="133">
        <f t="shared" si="38"/>
        <v>0.81139548085383495</v>
      </c>
      <c r="AD34" s="133">
        <f t="shared" si="39"/>
        <v>0.7967815696316155</v>
      </c>
      <c r="AE34" s="133">
        <f t="shared" si="40"/>
        <v>0.78632009588577534</v>
      </c>
      <c r="AF34" s="133">
        <f t="shared" si="41"/>
        <v>0.78480559157397489</v>
      </c>
      <c r="AG34" s="133">
        <f t="shared" si="42"/>
        <v>0.78394352617291729</v>
      </c>
      <c r="AH34" s="34"/>
    </row>
    <row r="35" spans="1:46" x14ac:dyDescent="0.35">
      <c r="A35" s="90" t="s">
        <v>613</v>
      </c>
      <c r="B35" s="132">
        <v>30.757214000000001</v>
      </c>
      <c r="C35" s="130">
        <v>31.988956000000002</v>
      </c>
      <c r="D35" s="130">
        <v>30.489103</v>
      </c>
      <c r="E35" s="88">
        <v>29.374388</v>
      </c>
      <c r="F35" s="88">
        <v>31.126297000000001</v>
      </c>
      <c r="G35" s="88">
        <v>32.814774</v>
      </c>
      <c r="H35" s="88">
        <v>33.358832999999997</v>
      </c>
      <c r="I35" s="88">
        <v>33.846119000000002</v>
      </c>
      <c r="J35" s="88">
        <v>33.928379</v>
      </c>
      <c r="K35" s="88">
        <v>33.9711</v>
      </c>
      <c r="L35" s="34">
        <v>6.0000000000000001E-3</v>
      </c>
      <c r="N35" s="90" t="s">
        <v>613</v>
      </c>
      <c r="O35" s="88">
        <f t="shared" si="28"/>
        <v>7.6474780596652261</v>
      </c>
      <c r="P35" s="88">
        <f t="shared" si="29"/>
        <v>7.3530101839343596</v>
      </c>
      <c r="Q35" s="88">
        <f t="shared" si="30"/>
        <v>7.7147274303684217</v>
      </c>
      <c r="R35" s="88">
        <f t="shared" si="31"/>
        <v>8.0074900366069972</v>
      </c>
      <c r="S35" s="88">
        <f t="shared" si="32"/>
        <v>7.5567973678792608</v>
      </c>
      <c r="T35" s="88">
        <f t="shared" si="33"/>
        <v>7.1679640164953788</v>
      </c>
      <c r="U35" s="88">
        <f t="shared" si="34"/>
        <v>7.0510595871692558</v>
      </c>
      <c r="V35" s="88">
        <f t="shared" si="35"/>
        <v>6.9495447688235137</v>
      </c>
      <c r="W35" s="88">
        <f t="shared" si="36"/>
        <v>6.9326954653927952</v>
      </c>
      <c r="X35" s="88">
        <f t="shared" si="37"/>
        <v>6.9239771229494522</v>
      </c>
      <c r="Y35" s="34">
        <v>6.0000000000000001E-3</v>
      </c>
      <c r="AA35" s="90" t="s">
        <v>613</v>
      </c>
      <c r="AB35" s="133">
        <f t="shared" si="52"/>
        <v>0.97952875666514394</v>
      </c>
      <c r="AC35" s="133">
        <f t="shared" si="38"/>
        <v>0.9291273192983136</v>
      </c>
      <c r="AD35" s="133">
        <f t="shared" si="39"/>
        <v>0.91397390909927823</v>
      </c>
      <c r="AE35" s="133">
        <f t="shared" si="40"/>
        <v>0.90081533424851457</v>
      </c>
      <c r="AF35" s="133">
        <f t="shared" si="41"/>
        <v>0.89863129034251832</v>
      </c>
      <c r="AG35" s="133">
        <f t="shared" si="42"/>
        <v>0.89750119954902841</v>
      </c>
      <c r="AH35" s="34"/>
    </row>
    <row r="36" spans="1:46" x14ac:dyDescent="0.35">
      <c r="A36" s="90" t="s">
        <v>614</v>
      </c>
      <c r="B36" s="132">
        <v>33.761854851629408</v>
      </c>
      <c r="C36" s="130">
        <v>38.601761710905649</v>
      </c>
      <c r="D36" s="130">
        <v>43.738934</v>
      </c>
      <c r="E36" s="88">
        <v>49.700595999999997</v>
      </c>
      <c r="F36" s="88">
        <v>51.226654000000003</v>
      </c>
      <c r="G36" s="88">
        <v>52.910488000000001</v>
      </c>
      <c r="H36" s="88">
        <v>53.273972000000001</v>
      </c>
      <c r="I36" s="88">
        <v>53.748688000000001</v>
      </c>
      <c r="J36" s="88">
        <v>53.679442999999999</v>
      </c>
      <c r="K36" s="88">
        <v>53.636127000000002</v>
      </c>
      <c r="L36" s="34">
        <v>3.0000000000000001E-3</v>
      </c>
      <c r="N36" s="90" t="s">
        <v>614</v>
      </c>
      <c r="O36" s="88">
        <f t="shared" si="28"/>
        <v>6.9668897125205262</v>
      </c>
      <c r="P36" s="88">
        <f t="shared" si="29"/>
        <v>6.093377836042543</v>
      </c>
      <c r="Q36" s="88">
        <f t="shared" si="30"/>
        <v>5.3777058042024555</v>
      </c>
      <c r="R36" s="88">
        <f t="shared" si="31"/>
        <v>4.732641822674081</v>
      </c>
      <c r="S36" s="88">
        <f t="shared" si="32"/>
        <v>4.5916549466890446</v>
      </c>
      <c r="T36" s="88">
        <f t="shared" si="33"/>
        <v>4.4455291971872972</v>
      </c>
      <c r="U36" s="88">
        <f t="shared" si="34"/>
        <v>4.4151977112092959</v>
      </c>
      <c r="V36" s="88">
        <f t="shared" si="35"/>
        <v>4.3762020617401518</v>
      </c>
      <c r="W36" s="88">
        <f t="shared" si="36"/>
        <v>4.3818472416233556</v>
      </c>
      <c r="X36" s="88">
        <f t="shared" si="37"/>
        <v>4.385385977653236</v>
      </c>
      <c r="Y36" s="34">
        <v>3.0000000000000001E-3</v>
      </c>
      <c r="AA36" s="90" t="s">
        <v>614</v>
      </c>
      <c r="AB36" s="133">
        <f t="shared" si="52"/>
        <v>0.85383156198333776</v>
      </c>
      <c r="AC36" s="133">
        <f t="shared" si="38"/>
        <v>0.82665905481726043</v>
      </c>
      <c r="AD36" s="133">
        <f t="shared" si="39"/>
        <v>0.82101882697989925</v>
      </c>
      <c r="AE36" s="133">
        <f t="shared" si="40"/>
        <v>0.81376747279859185</v>
      </c>
      <c r="AF36" s="133">
        <f t="shared" si="41"/>
        <v>0.81481721037977239</v>
      </c>
      <c r="AG36" s="133">
        <f t="shared" si="42"/>
        <v>0.81547524861368159</v>
      </c>
      <c r="AH36" s="34"/>
    </row>
    <row r="37" spans="1:46" x14ac:dyDescent="0.35">
      <c r="A37" s="90" t="s">
        <v>615</v>
      </c>
      <c r="B37" s="132">
        <v>27.159073085032205</v>
      </c>
      <c r="C37" s="130">
        <v>31.562742650030678</v>
      </c>
      <c r="D37" s="130">
        <v>36.495499000000002</v>
      </c>
      <c r="E37" s="88">
        <v>38.229813</v>
      </c>
      <c r="F37" s="88">
        <v>39.690047999999997</v>
      </c>
      <c r="G37" s="88">
        <v>41.318576999999998</v>
      </c>
      <c r="H37" s="88">
        <v>41.833393000000001</v>
      </c>
      <c r="I37" s="88">
        <v>42.383183000000002</v>
      </c>
      <c r="J37" s="88">
        <v>42.344574000000001</v>
      </c>
      <c r="K37" s="88">
        <v>42.267715000000003</v>
      </c>
      <c r="L37" s="34">
        <v>4.0000000000000001E-3</v>
      </c>
      <c r="N37" s="90" t="s">
        <v>615</v>
      </c>
      <c r="O37" s="88">
        <f t="shared" si="28"/>
        <v>8.660646057580621</v>
      </c>
      <c r="P37" s="88">
        <f t="shared" si="29"/>
        <v>7.452302920867985</v>
      </c>
      <c r="Q37" s="88">
        <f t="shared" si="30"/>
        <v>6.4450446133488439</v>
      </c>
      <c r="R37" s="88">
        <f t="shared" si="31"/>
        <v>6.1526620400007745</v>
      </c>
      <c r="S37" s="88">
        <f t="shared" si="32"/>
        <v>5.9262996920897688</v>
      </c>
      <c r="T37" s="88">
        <f t="shared" si="33"/>
        <v>5.6927207159488615</v>
      </c>
      <c r="U37" s="88">
        <f t="shared" si="34"/>
        <v>5.6226641535251067</v>
      </c>
      <c r="V37" s="88">
        <f t="shared" si="35"/>
        <v>5.549727570990318</v>
      </c>
      <c r="W37" s="88">
        <f t="shared" si="36"/>
        <v>5.5547877100246215</v>
      </c>
      <c r="X37" s="88">
        <f t="shared" si="37"/>
        <v>5.5648884554423663</v>
      </c>
      <c r="Y37" s="34">
        <v>4.0000000000000001E-3</v>
      </c>
      <c r="AA37" s="90" t="s">
        <v>615</v>
      </c>
      <c r="AB37" s="133">
        <f t="shared" si="52"/>
        <v>0.91951259418985853</v>
      </c>
      <c r="AC37" s="133">
        <f t="shared" si="38"/>
        <v>0.88327095582212345</v>
      </c>
      <c r="AD37" s="133">
        <f t="shared" si="39"/>
        <v>0.87240112223266231</v>
      </c>
      <c r="AE37" s="133">
        <f t="shared" si="40"/>
        <v>0.86108443058653716</v>
      </c>
      <c r="AF37" s="133">
        <f t="shared" si="41"/>
        <v>0.86186955145658095</v>
      </c>
      <c r="AG37" s="133">
        <f t="shared" si="42"/>
        <v>0.86343676255032953</v>
      </c>
      <c r="AH37" s="34"/>
    </row>
    <row r="38" spans="1:46" x14ac:dyDescent="0.35">
      <c r="A38" t="s">
        <v>587</v>
      </c>
      <c r="L38" s="34"/>
      <c r="N38" t="s">
        <v>587</v>
      </c>
      <c r="O38" s="88"/>
      <c r="P38" s="88"/>
      <c r="Q38" s="88"/>
      <c r="R38" s="88"/>
      <c r="S38" s="88"/>
      <c r="T38" s="88"/>
      <c r="U38" s="88"/>
      <c r="V38" s="88"/>
      <c r="W38" s="88"/>
      <c r="X38" s="88"/>
      <c r="Y38" s="34"/>
      <c r="AA38" t="s">
        <v>587</v>
      </c>
      <c r="AB38" s="88"/>
      <c r="AC38" s="88"/>
      <c r="AD38" s="88"/>
      <c r="AE38" s="88"/>
      <c r="AF38" s="88"/>
      <c r="AG38" s="88"/>
      <c r="AH38" s="34"/>
      <c r="AI38" t="s">
        <v>32</v>
      </c>
      <c r="AJ38" t="s">
        <v>625</v>
      </c>
      <c r="AK38" s="88" t="e">
        <f>AVERAGE(O39:O46)</f>
        <v>#DIV/0!</v>
      </c>
      <c r="AL38" s="88">
        <f t="shared" ref="AL38" si="53">AVERAGE(P39:P46)</f>
        <v>4.7948038527916337</v>
      </c>
      <c r="AM38" s="88">
        <f t="shared" ref="AM38" si="54">AVERAGE(Q39:Q46)</f>
        <v>4.1579343137727038</v>
      </c>
      <c r="AN38" s="88">
        <f t="shared" ref="AN38" si="55">AVERAGE(R39:R46)</f>
        <v>4.3753788831041325</v>
      </c>
      <c r="AO38" s="88">
        <f t="shared" ref="AO38" si="56">AVERAGE(S39:S46)</f>
        <v>4.2853732814823946</v>
      </c>
      <c r="AP38" s="88">
        <f t="shared" ref="AP38" si="57">AVERAGE(T39:T46)</f>
        <v>4.1314031880053399</v>
      </c>
      <c r="AQ38" s="88">
        <f t="shared" ref="AQ38" si="58">AVERAGE(U39:U46)</f>
        <v>4.1179686922995966</v>
      </c>
      <c r="AR38" s="88">
        <f t="shared" ref="AR38" si="59">AVERAGE(V39:V46)</f>
        <v>4.080696438885175</v>
      </c>
      <c r="AS38" s="88">
        <f t="shared" ref="AS38" si="60">AVERAGE(W39:W46)</f>
        <v>4.0803214620665882</v>
      </c>
      <c r="AT38" s="88">
        <f t="shared" ref="AT38" si="61">AVERAGE(X39:X46)</f>
        <v>4.0772762381622867</v>
      </c>
    </row>
    <row r="39" spans="1:46" x14ac:dyDescent="0.35">
      <c r="A39" s="90" t="s">
        <v>600</v>
      </c>
      <c r="B39" s="132">
        <v>0</v>
      </c>
      <c r="C39" s="130">
        <v>0</v>
      </c>
      <c r="D39" s="130">
        <v>0</v>
      </c>
      <c r="E39" s="88">
        <v>0</v>
      </c>
      <c r="F39" s="88">
        <v>0</v>
      </c>
      <c r="G39" s="88">
        <v>0</v>
      </c>
      <c r="H39" s="88">
        <v>0</v>
      </c>
      <c r="I39" s="88">
        <v>0</v>
      </c>
      <c r="J39" s="88">
        <v>0</v>
      </c>
      <c r="K39" s="88">
        <v>0</v>
      </c>
      <c r="L39" s="34" t="s">
        <v>279</v>
      </c>
      <c r="N39" s="90" t="s">
        <v>600</v>
      </c>
      <c r="O39" s="88" t="str">
        <f t="shared" ref="O39:O54" si="62">IFERROR(L_100km_to_mpg/B39, "")</f>
        <v/>
      </c>
      <c r="P39" s="88" t="str">
        <f t="shared" ref="P39:P54" si="63">IFERROR(L_100km_to_mpg/C39, "")</f>
        <v/>
      </c>
      <c r="Q39" s="88" t="str">
        <f t="shared" ref="Q39:Q54" si="64">IFERROR(L_100km_to_mpg/D39, "")</f>
        <v/>
      </c>
      <c r="R39" s="88" t="str">
        <f t="shared" ref="R39:R54" si="65">IFERROR(L_100km_to_mpg/E39, "")</f>
        <v/>
      </c>
      <c r="S39" s="88" t="str">
        <f t="shared" ref="S39:S54" si="66">IFERROR(L_100km_to_mpg/F39, "")</f>
        <v/>
      </c>
      <c r="T39" s="88" t="str">
        <f t="shared" ref="T39:T54" si="67">IFERROR(L_100km_to_mpg/G39, "")</f>
        <v/>
      </c>
      <c r="U39" s="88" t="str">
        <f t="shared" ref="U39:U54" si="68">IFERROR(L_100km_to_mpg/H39, "")</f>
        <v/>
      </c>
      <c r="V39" s="88" t="str">
        <f t="shared" ref="V39:V54" si="69">IFERROR(L_100km_to_mpg/I39, "")</f>
        <v/>
      </c>
      <c r="W39" s="88" t="str">
        <f t="shared" ref="W39:W54" si="70">IFERROR(L_100km_to_mpg/J39, "")</f>
        <v/>
      </c>
      <c r="X39" s="88" t="str">
        <f t="shared" ref="X39:X54" si="71">IFERROR(L_100km_to_mpg/K39, "")</f>
        <v/>
      </c>
      <c r="Y39" s="34" t="s">
        <v>279</v>
      </c>
      <c r="AA39" s="90" t="s">
        <v>600</v>
      </c>
      <c r="AB39" s="133" t="str">
        <f>IFERROR($D39/F39, "")</f>
        <v/>
      </c>
      <c r="AC39" s="133" t="str">
        <f t="shared" ref="AC39:AC54" si="72">IFERROR($D39/G39, "")</f>
        <v/>
      </c>
      <c r="AD39" s="133" t="str">
        <f t="shared" ref="AD39:AD54" si="73">IFERROR($D39/H39, "")</f>
        <v/>
      </c>
      <c r="AE39" s="133" t="str">
        <f t="shared" ref="AE39:AE54" si="74">IFERROR($D39/I39, "")</f>
        <v/>
      </c>
      <c r="AF39" s="133" t="str">
        <f t="shared" ref="AF39:AF54" si="75">IFERROR($D39/J39, "")</f>
        <v/>
      </c>
      <c r="AG39" s="133" t="str">
        <f t="shared" ref="AG39:AG54" si="76">IFERROR($D39/K39, "")</f>
        <v/>
      </c>
      <c r="AH39" s="34"/>
      <c r="AI39" t="s">
        <v>256</v>
      </c>
      <c r="AJ39" t="s">
        <v>625</v>
      </c>
      <c r="AK39" s="88" t="e">
        <f>AVERAGE(O47:O54)</f>
        <v>#DIV/0!</v>
      </c>
      <c r="AL39" s="88" t="e">
        <f t="shared" ref="AL39" si="77">AVERAGE(P47:P54)</f>
        <v>#DIV/0!</v>
      </c>
      <c r="AM39" s="88">
        <f t="shared" ref="AM39" si="78">AVERAGE(Q47:Q54)</f>
        <v>4.9810623456436272</v>
      </c>
      <c r="AN39" s="88">
        <f t="shared" ref="AN39" si="79">AVERAGE(R47:R54)</f>
        <v>4.9730321418284325</v>
      </c>
      <c r="AO39" s="88">
        <f t="shared" ref="AO39" si="80">AVERAGE(S47:S54)</f>
        <v>4.722644706679298</v>
      </c>
      <c r="AP39" s="88">
        <f t="shared" ref="AP39" si="81">AVERAGE(T47:T54)</f>
        <v>4.4808176446114754</v>
      </c>
      <c r="AQ39" s="88">
        <f t="shared" ref="AQ39" si="82">AVERAGE(U47:U54)</f>
        <v>4.4280830570172807</v>
      </c>
      <c r="AR39" s="88">
        <f t="shared" ref="AR39" si="83">AVERAGE(V47:V54)</f>
        <v>4.3752700757248419</v>
      </c>
      <c r="AS39" s="88">
        <f t="shared" ref="AS39" si="84">AVERAGE(W47:W54)</f>
        <v>4.3709632419173881</v>
      </c>
      <c r="AT39" s="88">
        <f t="shared" ref="AT39" si="85">AVERAGE(X47:X54)</f>
        <v>4.3691903880389056</v>
      </c>
    </row>
    <row r="40" spans="1:46" x14ac:dyDescent="0.35">
      <c r="A40" s="90" t="s">
        <v>601</v>
      </c>
      <c r="B40" s="132">
        <v>0</v>
      </c>
      <c r="C40" s="130">
        <v>0</v>
      </c>
      <c r="D40" s="130">
        <v>0</v>
      </c>
      <c r="E40" s="88">
        <v>0</v>
      </c>
      <c r="F40" s="88">
        <v>49.586123999999998</v>
      </c>
      <c r="G40" s="88">
        <v>51.573684999999998</v>
      </c>
      <c r="H40" s="88">
        <v>52.146422999999999</v>
      </c>
      <c r="I40" s="88">
        <v>52.901927999999998</v>
      </c>
      <c r="J40" s="88">
        <v>52.899498000000001</v>
      </c>
      <c r="K40" s="88">
        <v>52.886882999999997</v>
      </c>
      <c r="L40" s="34" t="s">
        <v>279</v>
      </c>
      <c r="N40" s="90" t="s">
        <v>601</v>
      </c>
      <c r="O40" s="88" t="str">
        <f t="shared" si="62"/>
        <v/>
      </c>
      <c r="P40" s="88" t="str">
        <f t="shared" si="63"/>
        <v/>
      </c>
      <c r="Q40" s="88" t="str">
        <f t="shared" si="64"/>
        <v/>
      </c>
      <c r="R40" s="88" t="str">
        <f t="shared" si="65"/>
        <v/>
      </c>
      <c r="S40" s="88">
        <f t="shared" si="66"/>
        <v>4.7435673585099769</v>
      </c>
      <c r="T40" s="88">
        <f t="shared" si="67"/>
        <v>4.5607584418570859</v>
      </c>
      <c r="U40" s="88">
        <f t="shared" si="68"/>
        <v>4.5106664217683381</v>
      </c>
      <c r="V40" s="88">
        <f t="shared" si="69"/>
        <v>4.446248523143205</v>
      </c>
      <c r="W40" s="88">
        <f t="shared" si="70"/>
        <v>4.4464527667432332</v>
      </c>
      <c r="X40" s="88">
        <f t="shared" si="71"/>
        <v>4.4475133700246268</v>
      </c>
      <c r="Y40" s="34" t="s">
        <v>279</v>
      </c>
      <c r="AA40" s="90" t="s">
        <v>601</v>
      </c>
      <c r="AB40" s="133">
        <f t="shared" ref="AB40:AB54" si="86">IFERROR($D40/F40, "")</f>
        <v>0</v>
      </c>
      <c r="AC40" s="133">
        <f t="shared" si="72"/>
        <v>0</v>
      </c>
      <c r="AD40" s="133">
        <f t="shared" si="73"/>
        <v>0</v>
      </c>
      <c r="AE40" s="133">
        <f t="shared" si="74"/>
        <v>0</v>
      </c>
      <c r="AF40" s="133">
        <f t="shared" si="75"/>
        <v>0</v>
      </c>
      <c r="AG40" s="133">
        <f t="shared" si="76"/>
        <v>0</v>
      </c>
      <c r="AH40" s="34"/>
    </row>
    <row r="41" spans="1:46" x14ac:dyDescent="0.35">
      <c r="A41" s="90" t="s">
        <v>602</v>
      </c>
      <c r="B41" s="132">
        <v>0</v>
      </c>
      <c r="C41" s="130">
        <v>59.438076000000002</v>
      </c>
      <c r="D41" s="130">
        <v>62.720359999999999</v>
      </c>
      <c r="E41" s="88">
        <v>60.758259000000002</v>
      </c>
      <c r="F41" s="88">
        <v>62.848269999999999</v>
      </c>
      <c r="G41" s="88">
        <v>65.012573000000003</v>
      </c>
      <c r="H41" s="88">
        <v>64.793273999999997</v>
      </c>
      <c r="I41" s="88">
        <v>65.039406</v>
      </c>
      <c r="J41" s="88">
        <v>64.947547999999998</v>
      </c>
      <c r="K41" s="88">
        <v>64.914375000000007</v>
      </c>
      <c r="L41" s="34">
        <v>2E-3</v>
      </c>
      <c r="N41" s="90" t="s">
        <v>602</v>
      </c>
      <c r="O41" s="88" t="str">
        <f t="shared" si="62"/>
        <v/>
      </c>
      <c r="P41" s="88">
        <f t="shared" si="63"/>
        <v>3.9573138141521964</v>
      </c>
      <c r="Q41" s="88">
        <f t="shared" si="64"/>
        <v>3.7502195338392212</v>
      </c>
      <c r="R41" s="88">
        <f t="shared" si="65"/>
        <v>3.871327505309659</v>
      </c>
      <c r="S41" s="88">
        <f t="shared" si="66"/>
        <v>3.7425870153852787</v>
      </c>
      <c r="T41" s="88">
        <f t="shared" si="67"/>
        <v>3.617994310753216</v>
      </c>
      <c r="U41" s="88">
        <f t="shared" si="68"/>
        <v>3.6302397566980202</v>
      </c>
      <c r="V41" s="88">
        <f t="shared" si="69"/>
        <v>3.6165016519589392</v>
      </c>
      <c r="W41" s="88">
        <f t="shared" si="70"/>
        <v>3.621616619636328</v>
      </c>
      <c r="X41" s="88">
        <f t="shared" si="71"/>
        <v>3.6234673636067223</v>
      </c>
      <c r="Y41" s="34">
        <v>2E-3</v>
      </c>
      <c r="AA41" s="90" t="s">
        <v>602</v>
      </c>
      <c r="AB41" s="133">
        <f t="shared" si="86"/>
        <v>0.99796478089213914</v>
      </c>
      <c r="AC41" s="133">
        <f t="shared" si="72"/>
        <v>0.96474200459655701</v>
      </c>
      <c r="AD41" s="133">
        <f t="shared" si="73"/>
        <v>0.96800726569242357</v>
      </c>
      <c r="AE41" s="133">
        <f t="shared" si="74"/>
        <v>0.96434398555238954</v>
      </c>
      <c r="AF41" s="133">
        <f t="shared" si="75"/>
        <v>0.96570789708643046</v>
      </c>
      <c r="AG41" s="133">
        <f t="shared" si="76"/>
        <v>0.9662013999210497</v>
      </c>
      <c r="AH41" s="34"/>
    </row>
    <row r="42" spans="1:46" x14ac:dyDescent="0.35">
      <c r="A42" s="90" t="s">
        <v>603</v>
      </c>
      <c r="B42" s="132">
        <v>0</v>
      </c>
      <c r="C42" s="130">
        <v>55.408481999999999</v>
      </c>
      <c r="D42" s="130">
        <v>66.898300000000006</v>
      </c>
      <c r="E42" s="88">
        <v>60.158645999999997</v>
      </c>
      <c r="F42" s="88">
        <v>62.031277000000003</v>
      </c>
      <c r="G42" s="88">
        <v>63.852795</v>
      </c>
      <c r="H42" s="88">
        <v>63.342751</v>
      </c>
      <c r="I42" s="88">
        <v>63.583117999999999</v>
      </c>
      <c r="J42" s="88">
        <v>63.454253999999999</v>
      </c>
      <c r="K42" s="88">
        <v>63.424171000000001</v>
      </c>
      <c r="L42" s="34">
        <v>1E-3</v>
      </c>
      <c r="N42" s="90" t="s">
        <v>603</v>
      </c>
      <c r="O42" s="88" t="str">
        <f t="shared" si="62"/>
        <v/>
      </c>
      <c r="P42" s="88">
        <f t="shared" si="63"/>
        <v>4.2451103288017915</v>
      </c>
      <c r="Q42" s="88">
        <f t="shared" si="64"/>
        <v>3.516010410450312</v>
      </c>
      <c r="R42" s="88">
        <f t="shared" si="65"/>
        <v>3.9099137843200151</v>
      </c>
      <c r="S42" s="88">
        <f t="shared" si="66"/>
        <v>3.7918793650085285</v>
      </c>
      <c r="T42" s="88">
        <f t="shared" si="67"/>
        <v>3.6837090567676505</v>
      </c>
      <c r="U42" s="88">
        <f t="shared" si="68"/>
        <v>3.7133707571593813</v>
      </c>
      <c r="V42" s="88">
        <f t="shared" si="69"/>
        <v>3.6993328833201944</v>
      </c>
      <c r="W42" s="88">
        <f t="shared" si="70"/>
        <v>3.7068455527257185</v>
      </c>
      <c r="X42" s="88">
        <f t="shared" si="71"/>
        <v>3.7086037630894402</v>
      </c>
      <c r="Y42" s="34">
        <v>1E-3</v>
      </c>
      <c r="AA42" s="90" t="s">
        <v>603</v>
      </c>
      <c r="AB42" s="133">
        <f t="shared" si="86"/>
        <v>1.078460790030165</v>
      </c>
      <c r="AC42" s="133">
        <f t="shared" si="72"/>
        <v>1.0476957195060921</v>
      </c>
      <c r="AD42" s="133">
        <f t="shared" si="73"/>
        <v>1.0561319005548087</v>
      </c>
      <c r="AE42" s="133">
        <f t="shared" si="74"/>
        <v>1.0521393430249835</v>
      </c>
      <c r="AF42" s="133">
        <f t="shared" si="75"/>
        <v>1.0542760458581706</v>
      </c>
      <c r="AG42" s="133">
        <f t="shared" si="76"/>
        <v>1.0547761042079684</v>
      </c>
      <c r="AH42" s="34"/>
    </row>
    <row r="43" spans="1:46" x14ac:dyDescent="0.35">
      <c r="A43" s="90" t="s">
        <v>604</v>
      </c>
      <c r="B43" s="132">
        <v>0</v>
      </c>
      <c r="C43" s="130">
        <v>46.064148000000003</v>
      </c>
      <c r="D43" s="130">
        <v>57.350589999999997</v>
      </c>
      <c r="E43" s="88">
        <v>54.348373000000002</v>
      </c>
      <c r="F43" s="88">
        <v>55.853237</v>
      </c>
      <c r="G43" s="88">
        <v>57.982491000000003</v>
      </c>
      <c r="H43" s="88">
        <v>57.817959000000002</v>
      </c>
      <c r="I43" s="88">
        <v>58.21172</v>
      </c>
      <c r="J43" s="88">
        <v>58.156013000000002</v>
      </c>
      <c r="K43" s="88">
        <v>58.190505999999999</v>
      </c>
      <c r="L43" s="34">
        <v>2E-3</v>
      </c>
      <c r="N43" s="90" t="s">
        <v>604</v>
      </c>
      <c r="O43" s="88" t="str">
        <f t="shared" si="62"/>
        <v/>
      </c>
      <c r="P43" s="88">
        <f t="shared" si="63"/>
        <v>5.1062513788690529</v>
      </c>
      <c r="Q43" s="88">
        <f t="shared" si="64"/>
        <v>4.101354828981326</v>
      </c>
      <c r="R43" s="88">
        <f t="shared" si="65"/>
        <v>4.3279146413716587</v>
      </c>
      <c r="S43" s="88">
        <f t="shared" si="66"/>
        <v>4.2113068440675718</v>
      </c>
      <c r="T43" s="88">
        <f t="shared" si="67"/>
        <v>4.0566577114016731</v>
      </c>
      <c r="U43" s="88">
        <f t="shared" si="68"/>
        <v>4.0682017025441546</v>
      </c>
      <c r="V43" s="88">
        <f t="shared" si="69"/>
        <v>4.0406832033382303</v>
      </c>
      <c r="W43" s="88">
        <f t="shared" si="70"/>
        <v>4.0445537289743045</v>
      </c>
      <c r="X43" s="88">
        <f t="shared" si="71"/>
        <v>4.0421562796073323</v>
      </c>
      <c r="Y43" s="34">
        <v>2E-3</v>
      </c>
      <c r="AA43" s="90" t="s">
        <v>604</v>
      </c>
      <c r="AB43" s="133">
        <f t="shared" si="86"/>
        <v>1.0268087058230841</v>
      </c>
      <c r="AC43" s="133">
        <f t="shared" si="72"/>
        <v>0.98910186525101162</v>
      </c>
      <c r="AD43" s="133">
        <f t="shared" si="73"/>
        <v>0.99191654274755692</v>
      </c>
      <c r="AE43" s="133">
        <f t="shared" si="74"/>
        <v>0.98520693083798239</v>
      </c>
      <c r="AF43" s="133">
        <f t="shared" si="75"/>
        <v>0.98615064963273869</v>
      </c>
      <c r="AG43" s="133">
        <f t="shared" si="76"/>
        <v>0.98556609904715375</v>
      </c>
      <c r="AH43" s="34"/>
    </row>
    <row r="44" spans="1:46" x14ac:dyDescent="0.35">
      <c r="A44" s="90" t="s">
        <v>605</v>
      </c>
      <c r="B44" s="132">
        <v>0</v>
      </c>
      <c r="C44" s="130">
        <v>45.241314000000003</v>
      </c>
      <c r="D44" s="130">
        <v>46.438496000000001</v>
      </c>
      <c r="E44" s="88">
        <v>44.024593000000003</v>
      </c>
      <c r="F44" s="88">
        <v>46.435004999999997</v>
      </c>
      <c r="G44" s="88">
        <v>48.588745000000003</v>
      </c>
      <c r="H44" s="88">
        <v>49.226844999999997</v>
      </c>
      <c r="I44" s="88">
        <v>49.91713</v>
      </c>
      <c r="J44" s="88">
        <v>50.043498999999997</v>
      </c>
      <c r="K44" s="88">
        <v>50.116249000000003</v>
      </c>
      <c r="L44" s="34">
        <v>5.0000000000000001E-3</v>
      </c>
      <c r="N44" s="90" t="s">
        <v>605</v>
      </c>
      <c r="O44" s="88" t="str">
        <f t="shared" si="62"/>
        <v/>
      </c>
      <c r="P44" s="88">
        <f t="shared" si="63"/>
        <v>5.1991221837948416</v>
      </c>
      <c r="Q44" s="88">
        <f t="shared" si="64"/>
        <v>5.0650890856032058</v>
      </c>
      <c r="R44" s="88">
        <f t="shared" si="65"/>
        <v>5.3428118970101126</v>
      </c>
      <c r="S44" s="88">
        <f t="shared" si="66"/>
        <v>5.0654698807812801</v>
      </c>
      <c r="T44" s="88">
        <f t="shared" si="67"/>
        <v>4.8409383539630033</v>
      </c>
      <c r="U44" s="88">
        <f t="shared" si="68"/>
        <v>4.7781879834352203</v>
      </c>
      <c r="V44" s="88">
        <f t="shared" si="69"/>
        <v>4.7121122396545667</v>
      </c>
      <c r="W44" s="88">
        <f t="shared" si="70"/>
        <v>4.7002132932676863</v>
      </c>
      <c r="X44" s="88">
        <f t="shared" si="71"/>
        <v>4.69339034614159</v>
      </c>
      <c r="Y44" s="34">
        <v>5.0000000000000001E-3</v>
      </c>
      <c r="AA44" s="90" t="s">
        <v>605</v>
      </c>
      <c r="AB44" s="133">
        <f t="shared" si="86"/>
        <v>1.0000751803515473</v>
      </c>
      <c r="AC44" s="133">
        <f t="shared" si="72"/>
        <v>0.95574594486850806</v>
      </c>
      <c r="AD44" s="133">
        <f t="shared" si="73"/>
        <v>0.94335714588249564</v>
      </c>
      <c r="AE44" s="133">
        <f t="shared" si="74"/>
        <v>0.93031181880849323</v>
      </c>
      <c r="AF44" s="133">
        <f t="shared" si="75"/>
        <v>0.92796261108760603</v>
      </c>
      <c r="AG44" s="133">
        <f t="shared" si="76"/>
        <v>0.92661555736144574</v>
      </c>
      <c r="AH44" s="34"/>
    </row>
    <row r="45" spans="1:46" x14ac:dyDescent="0.35">
      <c r="A45" s="90" t="s">
        <v>606</v>
      </c>
      <c r="C45" s="130">
        <v>50.192472185255752</v>
      </c>
      <c r="D45" s="130">
        <v>59.206268000000001</v>
      </c>
      <c r="E45" s="88">
        <v>56.049827999999998</v>
      </c>
      <c r="F45" s="88">
        <v>58.566563000000002</v>
      </c>
      <c r="G45" s="88">
        <v>60.79372</v>
      </c>
      <c r="H45" s="88">
        <v>60.754931999999997</v>
      </c>
      <c r="I45" s="88">
        <v>61.222042000000002</v>
      </c>
      <c r="J45" s="88">
        <v>61.241039000000001</v>
      </c>
      <c r="K45" s="88">
        <v>61.389118000000003</v>
      </c>
      <c r="L45" s="34">
        <v>3.0000000000000001E-3</v>
      </c>
      <c r="N45" s="90" t="s">
        <v>606</v>
      </c>
      <c r="O45" s="88" t="str">
        <f t="shared" si="62"/>
        <v/>
      </c>
      <c r="P45" s="88">
        <f t="shared" si="63"/>
        <v>4.6862628796858417</v>
      </c>
      <c r="Q45" s="88">
        <f t="shared" si="64"/>
        <v>3.972807731124484</v>
      </c>
      <c r="R45" s="88">
        <f t="shared" si="65"/>
        <v>4.1965359686996386</v>
      </c>
      <c r="S45" s="88">
        <f t="shared" si="66"/>
        <v>4.0162015182866053</v>
      </c>
      <c r="T45" s="88">
        <f t="shared" si="67"/>
        <v>3.8690693585032818</v>
      </c>
      <c r="U45" s="88">
        <f t="shared" si="68"/>
        <v>3.8715395030222099</v>
      </c>
      <c r="V45" s="88">
        <f t="shared" si="69"/>
        <v>3.8420005533534498</v>
      </c>
      <c r="W45" s="88">
        <f t="shared" si="70"/>
        <v>3.8408087629184107</v>
      </c>
      <c r="X45" s="88">
        <f t="shared" si="71"/>
        <v>3.8315442036718648</v>
      </c>
      <c r="Y45" s="34">
        <v>3.0000000000000001E-3</v>
      </c>
      <c r="AA45" s="90" t="s">
        <v>606</v>
      </c>
      <c r="AB45" s="133">
        <f t="shared" si="86"/>
        <v>1.0109227000396113</v>
      </c>
      <c r="AC45" s="133">
        <f t="shared" si="72"/>
        <v>0.97388789499968087</v>
      </c>
      <c r="AD45" s="133">
        <f t="shared" si="73"/>
        <v>0.97450965791550892</v>
      </c>
      <c r="AE45" s="133">
        <f t="shared" si="74"/>
        <v>0.96707437494489323</v>
      </c>
      <c r="AF45" s="133">
        <f t="shared" si="75"/>
        <v>0.96677438800474957</v>
      </c>
      <c r="AG45" s="133">
        <f t="shared" si="76"/>
        <v>0.96444239514892527</v>
      </c>
      <c r="AH45" s="34"/>
    </row>
    <row r="46" spans="1:46" x14ac:dyDescent="0.35">
      <c r="A46" s="90" t="s">
        <v>607</v>
      </c>
      <c r="C46" s="130">
        <v>42.19284999399143</v>
      </c>
      <c r="D46" s="130">
        <v>51.785266999999997</v>
      </c>
      <c r="E46" s="88">
        <v>51.091853999999998</v>
      </c>
      <c r="F46" s="88">
        <v>53.136733999999997</v>
      </c>
      <c r="G46" s="88">
        <v>54.819817</v>
      </c>
      <c r="H46" s="88">
        <v>55.298222000000003</v>
      </c>
      <c r="I46" s="88">
        <v>55.897182000000001</v>
      </c>
      <c r="J46" s="88">
        <v>55.980148</v>
      </c>
      <c r="K46" s="88">
        <v>56.080264999999997</v>
      </c>
      <c r="L46" s="34">
        <v>4.0000000000000001E-3</v>
      </c>
      <c r="N46" s="90" t="s">
        <v>607</v>
      </c>
      <c r="O46" s="88" t="str">
        <f t="shared" si="62"/>
        <v/>
      </c>
      <c r="P46" s="88">
        <f t="shared" si="63"/>
        <v>5.5747625314460745</v>
      </c>
      <c r="Q46" s="88">
        <f t="shared" si="64"/>
        <v>4.5421242926376753</v>
      </c>
      <c r="R46" s="88">
        <f t="shared" si="65"/>
        <v>4.603769501913713</v>
      </c>
      <c r="S46" s="88">
        <f t="shared" si="66"/>
        <v>4.4266009883375244</v>
      </c>
      <c r="T46" s="88">
        <f t="shared" si="67"/>
        <v>4.2906950827914683</v>
      </c>
      <c r="U46" s="88">
        <f t="shared" si="68"/>
        <v>4.2535747214698532</v>
      </c>
      <c r="V46" s="88">
        <f t="shared" si="69"/>
        <v>4.207996017427643</v>
      </c>
      <c r="W46" s="88">
        <f t="shared" si="70"/>
        <v>4.2017595102004401</v>
      </c>
      <c r="X46" s="88">
        <f t="shared" si="71"/>
        <v>4.1942583409944332</v>
      </c>
      <c r="Y46" s="34">
        <v>4.0000000000000001E-3</v>
      </c>
      <c r="AA46" s="90" t="s">
        <v>607</v>
      </c>
      <c r="AB46" s="133">
        <f t="shared" si="86"/>
        <v>0.97456623886594163</v>
      </c>
      <c r="AC46" s="133">
        <f t="shared" si="72"/>
        <v>0.94464501769496967</v>
      </c>
      <c r="AD46" s="133">
        <f t="shared" si="73"/>
        <v>0.93647255060027057</v>
      </c>
      <c r="AE46" s="133">
        <f t="shared" si="74"/>
        <v>0.92643788375592884</v>
      </c>
      <c r="AF46" s="133">
        <f t="shared" si="75"/>
        <v>0.92506484620226437</v>
      </c>
      <c r="AG46" s="133">
        <f t="shared" si="76"/>
        <v>0.92341337902023113</v>
      </c>
      <c r="AH46" s="34"/>
    </row>
    <row r="47" spans="1:46" x14ac:dyDescent="0.35">
      <c r="A47" s="90" t="s">
        <v>608</v>
      </c>
      <c r="B47" s="132">
        <v>0</v>
      </c>
      <c r="C47" s="130">
        <v>0</v>
      </c>
      <c r="D47" s="130">
        <v>0</v>
      </c>
      <c r="E47" s="88">
        <v>0</v>
      </c>
      <c r="F47" s="88">
        <v>0</v>
      </c>
      <c r="G47" s="88">
        <v>0</v>
      </c>
      <c r="H47" s="88">
        <v>0</v>
      </c>
      <c r="I47" s="88">
        <v>0</v>
      </c>
      <c r="J47" s="88">
        <v>0</v>
      </c>
      <c r="K47" s="88">
        <v>0</v>
      </c>
      <c r="L47" s="34" t="s">
        <v>279</v>
      </c>
      <c r="N47" s="90" t="s">
        <v>608</v>
      </c>
      <c r="O47" s="88" t="str">
        <f t="shared" si="62"/>
        <v/>
      </c>
      <c r="P47" s="88" t="str">
        <f t="shared" si="63"/>
        <v/>
      </c>
      <c r="Q47" s="88" t="str">
        <f t="shared" si="64"/>
        <v/>
      </c>
      <c r="R47" s="88" t="str">
        <f t="shared" si="65"/>
        <v/>
      </c>
      <c r="S47" s="88" t="str">
        <f t="shared" si="66"/>
        <v/>
      </c>
      <c r="T47" s="88" t="str">
        <f t="shared" si="67"/>
        <v/>
      </c>
      <c r="U47" s="88" t="str">
        <f t="shared" si="68"/>
        <v/>
      </c>
      <c r="V47" s="88" t="str">
        <f t="shared" si="69"/>
        <v/>
      </c>
      <c r="W47" s="88" t="str">
        <f t="shared" si="70"/>
        <v/>
      </c>
      <c r="X47" s="88" t="str">
        <f t="shared" si="71"/>
        <v/>
      </c>
      <c r="Y47" s="34" t="s">
        <v>279</v>
      </c>
      <c r="AA47" s="90" t="s">
        <v>608</v>
      </c>
      <c r="AB47" s="133" t="str">
        <f t="shared" si="86"/>
        <v/>
      </c>
      <c r="AC47" s="133" t="str">
        <f t="shared" si="72"/>
        <v/>
      </c>
      <c r="AD47" s="133" t="str">
        <f t="shared" si="73"/>
        <v/>
      </c>
      <c r="AE47" s="133" t="str">
        <f t="shared" si="74"/>
        <v/>
      </c>
      <c r="AF47" s="133" t="str">
        <f t="shared" si="75"/>
        <v/>
      </c>
      <c r="AG47" s="133" t="str">
        <f t="shared" si="76"/>
        <v/>
      </c>
      <c r="AH47" s="34"/>
    </row>
    <row r="48" spans="1:46" x14ac:dyDescent="0.35">
      <c r="A48" s="90" t="s">
        <v>609</v>
      </c>
      <c r="B48" s="132">
        <v>0</v>
      </c>
      <c r="C48" s="130">
        <v>0</v>
      </c>
      <c r="D48" s="130">
        <v>0</v>
      </c>
      <c r="E48" s="88">
        <v>0</v>
      </c>
      <c r="F48" s="88">
        <v>0</v>
      </c>
      <c r="G48" s="88">
        <v>0</v>
      </c>
      <c r="H48" s="88">
        <v>0</v>
      </c>
      <c r="I48" s="88">
        <v>0</v>
      </c>
      <c r="J48" s="88">
        <v>0</v>
      </c>
      <c r="K48" s="88">
        <v>0</v>
      </c>
      <c r="L48" s="34" t="s">
        <v>279</v>
      </c>
      <c r="N48" s="90" t="s">
        <v>609</v>
      </c>
      <c r="O48" s="88" t="str">
        <f t="shared" si="62"/>
        <v/>
      </c>
      <c r="P48" s="88" t="str">
        <f t="shared" si="63"/>
        <v/>
      </c>
      <c r="Q48" s="88" t="str">
        <f t="shared" si="64"/>
        <v/>
      </c>
      <c r="R48" s="88" t="str">
        <f t="shared" si="65"/>
        <v/>
      </c>
      <c r="S48" s="88" t="str">
        <f t="shared" si="66"/>
        <v/>
      </c>
      <c r="T48" s="88" t="str">
        <f t="shared" si="67"/>
        <v/>
      </c>
      <c r="U48" s="88" t="str">
        <f t="shared" si="68"/>
        <v/>
      </c>
      <c r="V48" s="88" t="str">
        <f t="shared" si="69"/>
        <v/>
      </c>
      <c r="W48" s="88" t="str">
        <f t="shared" si="70"/>
        <v/>
      </c>
      <c r="X48" s="88" t="str">
        <f t="shared" si="71"/>
        <v/>
      </c>
      <c r="Y48" s="34" t="s">
        <v>279</v>
      </c>
      <c r="AA48" s="90" t="s">
        <v>609</v>
      </c>
      <c r="AB48" s="133" t="str">
        <f t="shared" si="86"/>
        <v/>
      </c>
      <c r="AC48" s="133" t="str">
        <f t="shared" si="72"/>
        <v/>
      </c>
      <c r="AD48" s="133" t="str">
        <f t="shared" si="73"/>
        <v/>
      </c>
      <c r="AE48" s="133" t="str">
        <f t="shared" si="74"/>
        <v/>
      </c>
      <c r="AF48" s="133" t="str">
        <f t="shared" si="75"/>
        <v/>
      </c>
      <c r="AG48" s="133" t="str">
        <f t="shared" si="76"/>
        <v/>
      </c>
      <c r="AH48" s="34"/>
    </row>
    <row r="49" spans="1:46" x14ac:dyDescent="0.35">
      <c r="A49" s="90" t="s">
        <v>610</v>
      </c>
      <c r="B49" s="132">
        <v>0</v>
      </c>
      <c r="C49" s="130">
        <v>0</v>
      </c>
      <c r="D49" s="130">
        <v>49.898074999999999</v>
      </c>
      <c r="E49" s="88">
        <v>51.442501</v>
      </c>
      <c r="F49" s="88">
        <v>54.679400999999999</v>
      </c>
      <c r="G49" s="88">
        <v>58.671562000000002</v>
      </c>
      <c r="H49" s="88">
        <v>58.933453</v>
      </c>
      <c r="I49" s="88">
        <v>59.353991999999998</v>
      </c>
      <c r="J49" s="88">
        <v>59.364936999999998</v>
      </c>
      <c r="K49" s="88">
        <v>59.377197000000002</v>
      </c>
      <c r="L49" s="34">
        <v>6.0000000000000001E-3</v>
      </c>
      <c r="N49" s="90" t="s">
        <v>610</v>
      </c>
      <c r="O49" s="88" t="str">
        <f t="shared" si="62"/>
        <v/>
      </c>
      <c r="P49" s="88" t="str">
        <f t="shared" si="63"/>
        <v/>
      </c>
      <c r="Q49" s="88">
        <f t="shared" si="64"/>
        <v>4.7139116938164074</v>
      </c>
      <c r="R49" s="88">
        <f t="shared" si="65"/>
        <v>4.5723888743556254</v>
      </c>
      <c r="S49" s="88">
        <f t="shared" si="66"/>
        <v>4.3017135326963096</v>
      </c>
      <c r="T49" s="88">
        <f t="shared" si="67"/>
        <v>4.0090140985410976</v>
      </c>
      <c r="U49" s="88">
        <f t="shared" si="68"/>
        <v>3.991198670158155</v>
      </c>
      <c r="V49" s="88">
        <f t="shared" si="69"/>
        <v>3.9629199539169688</v>
      </c>
      <c r="W49" s="88">
        <f t="shared" si="70"/>
        <v>3.9621893179374239</v>
      </c>
      <c r="X49" s="88">
        <f t="shared" si="71"/>
        <v>3.9613712186755485</v>
      </c>
      <c r="Y49" s="34">
        <v>6.0000000000000001E-3</v>
      </c>
      <c r="AA49" s="90" t="s">
        <v>610</v>
      </c>
      <c r="AB49" s="133">
        <f t="shared" si="86"/>
        <v>0.91255708891178233</v>
      </c>
      <c r="AC49" s="133">
        <f t="shared" si="72"/>
        <v>0.85046440386230038</v>
      </c>
      <c r="AD49" s="133">
        <f t="shared" si="73"/>
        <v>0.84668507375598712</v>
      </c>
      <c r="AE49" s="133">
        <f t="shared" si="74"/>
        <v>0.84068608224363406</v>
      </c>
      <c r="AF49" s="133">
        <f t="shared" si="75"/>
        <v>0.84053108655703623</v>
      </c>
      <c r="AG49" s="133">
        <f t="shared" si="76"/>
        <v>0.84035753658092005</v>
      </c>
      <c r="AH49" s="34"/>
    </row>
    <row r="50" spans="1:46" x14ac:dyDescent="0.35">
      <c r="A50" s="90" t="s">
        <v>611</v>
      </c>
      <c r="B50" s="132">
        <v>0</v>
      </c>
      <c r="C50" s="130">
        <v>0</v>
      </c>
      <c r="D50" s="130">
        <v>0</v>
      </c>
      <c r="E50" s="88">
        <v>0</v>
      </c>
      <c r="F50" s="88">
        <v>0</v>
      </c>
      <c r="G50" s="88">
        <v>0</v>
      </c>
      <c r="H50" s="88">
        <v>0</v>
      </c>
      <c r="I50" s="88">
        <v>0</v>
      </c>
      <c r="J50" s="88">
        <v>0</v>
      </c>
      <c r="K50" s="88">
        <v>0</v>
      </c>
      <c r="L50" s="34" t="s">
        <v>279</v>
      </c>
      <c r="N50" s="90" t="s">
        <v>611</v>
      </c>
      <c r="O50" s="88" t="str">
        <f t="shared" si="62"/>
        <v/>
      </c>
      <c r="P50" s="88" t="str">
        <f t="shared" si="63"/>
        <v/>
      </c>
      <c r="Q50" s="88" t="str">
        <f t="shared" si="64"/>
        <v/>
      </c>
      <c r="R50" s="88" t="str">
        <f t="shared" si="65"/>
        <v/>
      </c>
      <c r="S50" s="88" t="str">
        <f t="shared" si="66"/>
        <v/>
      </c>
      <c r="T50" s="88" t="str">
        <f t="shared" si="67"/>
        <v/>
      </c>
      <c r="U50" s="88" t="str">
        <f t="shared" si="68"/>
        <v/>
      </c>
      <c r="V50" s="88" t="str">
        <f t="shared" si="69"/>
        <v/>
      </c>
      <c r="W50" s="88" t="str">
        <f t="shared" si="70"/>
        <v/>
      </c>
      <c r="X50" s="88" t="str">
        <f t="shared" si="71"/>
        <v/>
      </c>
      <c r="Y50" s="34" t="s">
        <v>279</v>
      </c>
      <c r="AA50" s="90" t="s">
        <v>611</v>
      </c>
      <c r="AB50" s="133" t="str">
        <f t="shared" si="86"/>
        <v/>
      </c>
      <c r="AC50" s="133" t="str">
        <f t="shared" si="72"/>
        <v/>
      </c>
      <c r="AD50" s="133" t="str">
        <f t="shared" si="73"/>
        <v/>
      </c>
      <c r="AE50" s="133" t="str">
        <f t="shared" si="74"/>
        <v/>
      </c>
      <c r="AF50" s="133" t="str">
        <f t="shared" si="75"/>
        <v/>
      </c>
      <c r="AG50" s="133" t="str">
        <f t="shared" si="76"/>
        <v/>
      </c>
      <c r="AH50" s="34"/>
    </row>
    <row r="51" spans="1:46" x14ac:dyDescent="0.35">
      <c r="A51" s="90" t="s">
        <v>612</v>
      </c>
      <c r="B51" s="132">
        <v>0</v>
      </c>
      <c r="C51" s="130">
        <v>0</v>
      </c>
      <c r="D51" s="130">
        <v>40.576649000000003</v>
      </c>
      <c r="E51" s="88">
        <v>42.086212000000003</v>
      </c>
      <c r="F51" s="88">
        <v>44.910243999999999</v>
      </c>
      <c r="G51" s="88">
        <v>47.176949</v>
      </c>
      <c r="H51" s="88">
        <v>48.109051000000001</v>
      </c>
      <c r="I51" s="88">
        <v>48.772979999999997</v>
      </c>
      <c r="J51" s="88">
        <v>48.870303999999997</v>
      </c>
      <c r="K51" s="88">
        <v>48.920208000000002</v>
      </c>
      <c r="L51" s="34">
        <v>6.0000000000000001E-3</v>
      </c>
      <c r="N51" s="90" t="s">
        <v>612</v>
      </c>
      <c r="O51" s="88" t="str">
        <f t="shared" si="62"/>
        <v/>
      </c>
      <c r="P51" s="88" t="str">
        <f t="shared" si="63"/>
        <v/>
      </c>
      <c r="Q51" s="88">
        <f t="shared" si="64"/>
        <v>5.7968098657291325</v>
      </c>
      <c r="R51" s="88">
        <f t="shared" si="65"/>
        <v>5.5888878581286461</v>
      </c>
      <c r="S51" s="88">
        <f t="shared" si="66"/>
        <v>5.2374491494953386</v>
      </c>
      <c r="T51" s="88">
        <f t="shared" si="67"/>
        <v>4.9858060817249577</v>
      </c>
      <c r="U51" s="88">
        <f t="shared" si="68"/>
        <v>4.8892072146970458</v>
      </c>
      <c r="V51" s="88">
        <f t="shared" si="69"/>
        <v>4.8226521988492017</v>
      </c>
      <c r="W51" s="88">
        <f t="shared" si="70"/>
        <v>4.8130480064422798</v>
      </c>
      <c r="X51" s="88">
        <f t="shared" si="71"/>
        <v>4.808138167389397</v>
      </c>
      <c r="Y51" s="34">
        <v>6.0000000000000001E-3</v>
      </c>
      <c r="AA51" s="90" t="s">
        <v>612</v>
      </c>
      <c r="AB51" s="133">
        <f t="shared" si="86"/>
        <v>0.90350542294982861</v>
      </c>
      <c r="AC51" s="133">
        <f t="shared" si="72"/>
        <v>0.86009481028542145</v>
      </c>
      <c r="AD51" s="133">
        <f t="shared" si="73"/>
        <v>0.84343066754736029</v>
      </c>
      <c r="AE51" s="133">
        <f t="shared" si="74"/>
        <v>0.83194934982443158</v>
      </c>
      <c r="AF51" s="133">
        <f t="shared" si="75"/>
        <v>0.83029254329991498</v>
      </c>
      <c r="AG51" s="133">
        <f t="shared" si="76"/>
        <v>0.82944555346126081</v>
      </c>
      <c r="AH51" s="34"/>
    </row>
    <row r="52" spans="1:46" x14ac:dyDescent="0.35">
      <c r="A52" s="90" t="s">
        <v>613</v>
      </c>
      <c r="B52" s="132">
        <v>0</v>
      </c>
      <c r="C52" s="130">
        <v>0</v>
      </c>
      <c r="D52" s="130">
        <v>0</v>
      </c>
      <c r="E52" s="88">
        <v>0</v>
      </c>
      <c r="F52" s="88">
        <v>0</v>
      </c>
      <c r="G52" s="88">
        <v>0</v>
      </c>
      <c r="H52" s="88">
        <v>0</v>
      </c>
      <c r="I52" s="88">
        <v>0</v>
      </c>
      <c r="J52" s="88">
        <v>0</v>
      </c>
      <c r="K52" s="88">
        <v>0</v>
      </c>
      <c r="L52" s="34" t="s">
        <v>279</v>
      </c>
      <c r="N52" s="90" t="s">
        <v>613</v>
      </c>
      <c r="O52" s="88" t="str">
        <f t="shared" si="62"/>
        <v/>
      </c>
      <c r="P52" s="88" t="str">
        <f t="shared" si="63"/>
        <v/>
      </c>
      <c r="Q52" s="88" t="str">
        <f t="shared" si="64"/>
        <v/>
      </c>
      <c r="R52" s="88" t="str">
        <f t="shared" si="65"/>
        <v/>
      </c>
      <c r="S52" s="88" t="str">
        <f t="shared" si="66"/>
        <v/>
      </c>
      <c r="T52" s="88" t="str">
        <f t="shared" si="67"/>
        <v/>
      </c>
      <c r="U52" s="88" t="str">
        <f t="shared" si="68"/>
        <v/>
      </c>
      <c r="V52" s="88" t="str">
        <f t="shared" si="69"/>
        <v/>
      </c>
      <c r="W52" s="88" t="str">
        <f t="shared" si="70"/>
        <v/>
      </c>
      <c r="X52" s="88" t="str">
        <f t="shared" si="71"/>
        <v/>
      </c>
      <c r="Y52" s="34" t="s">
        <v>279</v>
      </c>
      <c r="AA52" s="90" t="s">
        <v>613</v>
      </c>
      <c r="AB52" s="133" t="str">
        <f t="shared" si="86"/>
        <v/>
      </c>
      <c r="AC52" s="133" t="str">
        <f t="shared" si="72"/>
        <v/>
      </c>
      <c r="AD52" s="133" t="str">
        <f t="shared" si="73"/>
        <v/>
      </c>
      <c r="AE52" s="133" t="str">
        <f t="shared" si="74"/>
        <v/>
      </c>
      <c r="AF52" s="133" t="str">
        <f t="shared" si="75"/>
        <v/>
      </c>
      <c r="AG52" s="133" t="str">
        <f t="shared" si="76"/>
        <v/>
      </c>
      <c r="AH52" s="34"/>
    </row>
    <row r="53" spans="1:46" x14ac:dyDescent="0.35">
      <c r="A53" s="90" t="s">
        <v>614</v>
      </c>
      <c r="D53" s="130">
        <v>54.732284999999997</v>
      </c>
      <c r="E53" s="88">
        <v>53.998375000000003</v>
      </c>
      <c r="F53" s="88">
        <v>55.664684000000001</v>
      </c>
      <c r="G53" s="88">
        <v>58.263930999999999</v>
      </c>
      <c r="H53" s="88">
        <v>58.710811999999997</v>
      </c>
      <c r="I53" s="88">
        <v>59.479939000000002</v>
      </c>
      <c r="J53" s="88">
        <v>59.569603000000001</v>
      </c>
      <c r="K53" s="88">
        <v>59.648857</v>
      </c>
      <c r="L53" s="34">
        <v>4.0000000000000001E-3</v>
      </c>
      <c r="N53" s="90" t="s">
        <v>614</v>
      </c>
      <c r="O53" s="88" t="str">
        <f t="shared" si="62"/>
        <v/>
      </c>
      <c r="P53" s="88" t="str">
        <f t="shared" si="63"/>
        <v/>
      </c>
      <c r="Q53" s="88">
        <f t="shared" si="64"/>
        <v>4.2975570861225352</v>
      </c>
      <c r="R53" s="88">
        <f t="shared" si="65"/>
        <v>4.3559666238368866</v>
      </c>
      <c r="S53" s="88">
        <f t="shared" si="66"/>
        <v>4.2255718049423967</v>
      </c>
      <c r="T53" s="88">
        <f t="shared" si="67"/>
        <v>4.037062299168042</v>
      </c>
      <c r="U53" s="88">
        <f t="shared" si="68"/>
        <v>4.0063339481904654</v>
      </c>
      <c r="V53" s="88">
        <f t="shared" si="69"/>
        <v>3.9545285888983197</v>
      </c>
      <c r="W53" s="88">
        <f t="shared" si="70"/>
        <v>3.9485762435151388</v>
      </c>
      <c r="X53" s="88">
        <f t="shared" si="71"/>
        <v>3.9433298653388804</v>
      </c>
      <c r="Y53" s="34">
        <v>4.0000000000000001E-3</v>
      </c>
      <c r="AA53" s="90" t="s">
        <v>614</v>
      </c>
      <c r="AB53" s="133">
        <f t="shared" si="86"/>
        <v>0.98324972077448591</v>
      </c>
      <c r="AC53" s="133">
        <f t="shared" si="72"/>
        <v>0.93938538063969623</v>
      </c>
      <c r="AD53" s="133">
        <f t="shared" si="73"/>
        <v>0.93223519034279412</v>
      </c>
      <c r="AE53" s="133">
        <f t="shared" si="74"/>
        <v>0.92018058391082069</v>
      </c>
      <c r="AF53" s="133">
        <f t="shared" si="75"/>
        <v>0.91879553066687381</v>
      </c>
      <c r="AG53" s="133">
        <f t="shared" si="76"/>
        <v>0.91757474916912485</v>
      </c>
      <c r="AH53" s="34"/>
    </row>
    <row r="54" spans="1:46" x14ac:dyDescent="0.35">
      <c r="A54" s="90" t="s">
        <v>615</v>
      </c>
      <c r="D54" s="130">
        <v>45.976635000000002</v>
      </c>
      <c r="E54" s="88">
        <v>43.761887000000002</v>
      </c>
      <c r="F54" s="88">
        <v>45.888072999999999</v>
      </c>
      <c r="G54" s="88">
        <v>48.087600999999999</v>
      </c>
      <c r="H54" s="88">
        <v>48.743262999999999</v>
      </c>
      <c r="I54" s="88">
        <v>49.404774000000003</v>
      </c>
      <c r="J54" s="88">
        <v>49.414532000000001</v>
      </c>
      <c r="K54" s="88">
        <v>49.374256000000003</v>
      </c>
      <c r="L54" s="34">
        <v>4.0000000000000001E-3</v>
      </c>
      <c r="N54" s="90" t="s">
        <v>615</v>
      </c>
      <c r="O54" s="88" t="str">
        <f t="shared" si="62"/>
        <v/>
      </c>
      <c r="P54" s="88" t="str">
        <f t="shared" si="63"/>
        <v/>
      </c>
      <c r="Q54" s="88">
        <f t="shared" si="64"/>
        <v>5.1159707369064336</v>
      </c>
      <c r="R54" s="88">
        <f t="shared" si="65"/>
        <v>5.3748852109925727</v>
      </c>
      <c r="S54" s="88">
        <f t="shared" si="66"/>
        <v>5.1258443395831454</v>
      </c>
      <c r="T54" s="88">
        <f t="shared" si="67"/>
        <v>4.8913880990118042</v>
      </c>
      <c r="U54" s="88">
        <f t="shared" si="68"/>
        <v>4.8255923950234552</v>
      </c>
      <c r="V54" s="88">
        <f t="shared" si="69"/>
        <v>4.7609795612348744</v>
      </c>
      <c r="W54" s="88">
        <f t="shared" si="70"/>
        <v>4.7600393997747084</v>
      </c>
      <c r="X54" s="88">
        <f t="shared" si="71"/>
        <v>4.763922300751795</v>
      </c>
      <c r="Y54" s="34">
        <v>4.0000000000000001E-3</v>
      </c>
      <c r="AA54" s="90" t="s">
        <v>615</v>
      </c>
      <c r="AB54" s="133">
        <f t="shared" si="86"/>
        <v>1.001929956832138</v>
      </c>
      <c r="AC54" s="133">
        <f t="shared" si="72"/>
        <v>0.95610165705708638</v>
      </c>
      <c r="AD54" s="133">
        <f t="shared" si="73"/>
        <v>0.94324081258162795</v>
      </c>
      <c r="AE54" s="133">
        <f t="shared" si="74"/>
        <v>0.93061117939735938</v>
      </c>
      <c r="AF54" s="133">
        <f t="shared" si="75"/>
        <v>0.93042740949160463</v>
      </c>
      <c r="AG54" s="133">
        <f t="shared" si="76"/>
        <v>0.93118638587688285</v>
      </c>
      <c r="AH54" s="34"/>
    </row>
    <row r="55" spans="1:46" x14ac:dyDescent="0.35">
      <c r="A55" t="s">
        <v>588</v>
      </c>
      <c r="L55" s="34"/>
      <c r="N55" t="s">
        <v>588</v>
      </c>
      <c r="O55" s="88"/>
      <c r="P55" s="88"/>
      <c r="Q55" s="88"/>
      <c r="R55" s="88"/>
      <c r="S55" s="88"/>
      <c r="T55" s="88"/>
      <c r="U55" s="88"/>
      <c r="V55" s="88"/>
      <c r="W55" s="88"/>
      <c r="X55" s="88"/>
      <c r="Y55" s="34"/>
      <c r="AA55" t="s">
        <v>588</v>
      </c>
      <c r="AB55" s="88"/>
      <c r="AC55" s="88"/>
      <c r="AD55" s="88"/>
      <c r="AE55" s="88"/>
      <c r="AF55" s="88"/>
      <c r="AG55" s="88"/>
      <c r="AH55" s="34"/>
      <c r="AI55" t="s">
        <v>32</v>
      </c>
      <c r="AJ55" t="s">
        <v>626</v>
      </c>
      <c r="AK55" s="88" t="e">
        <f>AVERAGE(O56:O63)</f>
        <v>#DIV/0!</v>
      </c>
      <c r="AL55" s="88">
        <f t="shared" ref="AL55" si="87">AVERAGE(P56:P63)</f>
        <v>3.8198281362462922</v>
      </c>
      <c r="AM55" s="88">
        <f t="shared" ref="AM55" si="88">AVERAGE(Q56:Q63)</f>
        <v>3.3711474604397038</v>
      </c>
      <c r="AN55" s="88">
        <f t="shared" ref="AN55" si="89">AVERAGE(R56:R63)</f>
        <v>3.1797103146896557</v>
      </c>
      <c r="AO55" s="88">
        <f t="shared" ref="AO55" si="90">AVERAGE(S56:S63)</f>
        <v>3.0902217555695941</v>
      </c>
      <c r="AP55" s="88">
        <f t="shared" ref="AP55" si="91">AVERAGE(T56:T63)</f>
        <v>2.9995088804282837</v>
      </c>
      <c r="AQ55" s="88">
        <f t="shared" ref="AQ55" si="92">AVERAGE(U56:U63)</f>
        <v>2.9855725212824229</v>
      </c>
      <c r="AR55" s="88">
        <f t="shared" ref="AR55" si="93">AVERAGE(V56:V63)</f>
        <v>2.962538471906738</v>
      </c>
      <c r="AS55" s="88">
        <f t="shared" ref="AS55" si="94">AVERAGE(W56:W63)</f>
        <v>2.9614342072984465</v>
      </c>
      <c r="AT55" s="88">
        <f t="shared" ref="AT55" si="95">AVERAGE(X56:X63)</f>
        <v>2.9592281766432014</v>
      </c>
    </row>
    <row r="56" spans="1:46" x14ac:dyDescent="0.35">
      <c r="A56" s="90" t="s">
        <v>600</v>
      </c>
      <c r="B56" s="132">
        <v>0</v>
      </c>
      <c r="C56" s="130">
        <v>0</v>
      </c>
      <c r="D56" s="130">
        <v>0</v>
      </c>
      <c r="E56" s="88">
        <v>66.403769999999994</v>
      </c>
      <c r="F56" s="88">
        <v>68.201537999999999</v>
      </c>
      <c r="G56" s="88">
        <v>71.108986000000002</v>
      </c>
      <c r="H56" s="88">
        <v>72.348975999999993</v>
      </c>
      <c r="I56" s="88">
        <v>73.298409000000007</v>
      </c>
      <c r="J56" s="88">
        <v>73.389213999999996</v>
      </c>
      <c r="K56" s="88">
        <v>73.475037</v>
      </c>
      <c r="L56" s="34">
        <v>4.0000000000000001E-3</v>
      </c>
      <c r="N56" s="90" t="s">
        <v>600</v>
      </c>
      <c r="O56" s="88" t="str">
        <f t="shared" ref="O56:O71" si="96">IFERROR(L_100km_to_mpg/B56, "")</f>
        <v/>
      </c>
      <c r="P56" s="88" t="str">
        <f t="shared" ref="P56:P71" si="97">IFERROR(L_100km_to_mpg/C56, "")</f>
        <v/>
      </c>
      <c r="Q56" s="88" t="str">
        <f t="shared" ref="Q56:Q71" si="98">IFERROR(L_100km_to_mpg/D56, "")</f>
        <v/>
      </c>
      <c r="R56" s="88">
        <f t="shared" ref="R56:R71" si="99">IFERROR(L_100km_to_mpg/E56, "")</f>
        <v>3.5421952585136078</v>
      </c>
      <c r="S56" s="88">
        <f t="shared" ref="S56:S71" si="100">IFERROR(L_100km_to_mpg/F56, "")</f>
        <v>3.4488242661247339</v>
      </c>
      <c r="T56" s="88">
        <f t="shared" ref="T56:T71" si="101">IFERROR(L_100km_to_mpg/G56, "")</f>
        <v>3.3078114662108686</v>
      </c>
      <c r="U56" s="88">
        <f t="shared" ref="U56:U71" si="102">IFERROR(L_100km_to_mpg/H56, "")</f>
        <v>3.2511188443279164</v>
      </c>
      <c r="V56" s="88">
        <f t="shared" ref="V56:V71" si="103">IFERROR(L_100km_to_mpg/I56, "")</f>
        <v>3.2090071592335399</v>
      </c>
      <c r="W56" s="88">
        <f t="shared" ref="W56:W71" si="104">IFERROR(L_100km_to_mpg/J56, "")</f>
        <v>3.2050366316966978</v>
      </c>
      <c r="X56" s="88">
        <f t="shared" ref="X56:X71" si="105">IFERROR(L_100km_to_mpg/K56, "")</f>
        <v>3.2012929675888171</v>
      </c>
      <c r="Y56" s="34">
        <v>4.0000000000000001E-3</v>
      </c>
      <c r="AA56" s="90" t="s">
        <v>600</v>
      </c>
      <c r="AB56" s="133">
        <f>IFERROR($D56/F56, "")</f>
        <v>0</v>
      </c>
      <c r="AC56" s="133">
        <f t="shared" ref="AC56:AC71" si="106">IFERROR($D56/G56, "")</f>
        <v>0</v>
      </c>
      <c r="AD56" s="133">
        <f t="shared" ref="AD56:AD71" si="107">IFERROR($D56/H56, "")</f>
        <v>0</v>
      </c>
      <c r="AE56" s="133">
        <f t="shared" ref="AE56:AE71" si="108">IFERROR($D56/I56, "")</f>
        <v>0</v>
      </c>
      <c r="AF56" s="133">
        <f t="shared" ref="AF56:AF71" si="109">IFERROR($D56/J56, "")</f>
        <v>0</v>
      </c>
      <c r="AG56" s="133">
        <f t="shared" ref="AG56:AG71" si="110">IFERROR($D56/K56, "")</f>
        <v>0</v>
      </c>
      <c r="AH56" s="34"/>
      <c r="AI56" t="s">
        <v>256</v>
      </c>
      <c r="AJ56" t="s">
        <v>626</v>
      </c>
      <c r="AK56" s="88" t="e">
        <f>AVERAGE(O64:O71)</f>
        <v>#DIV/0!</v>
      </c>
      <c r="AL56" s="88" t="e">
        <f t="shared" ref="AL56" si="111">AVERAGE(P64:P71)</f>
        <v>#DIV/0!</v>
      </c>
      <c r="AM56" s="88">
        <f t="shared" ref="AM56" si="112">AVERAGE(Q64:Q71)</f>
        <v>4.3299709856672619</v>
      </c>
      <c r="AN56" s="88">
        <f t="shared" ref="AN56" si="113">AVERAGE(R64:R71)</f>
        <v>3.5186647440977068</v>
      </c>
      <c r="AO56" s="88">
        <f t="shared" ref="AO56" si="114">AVERAGE(S64:S71)</f>
        <v>3.3970576497843377</v>
      </c>
      <c r="AP56" s="88">
        <f t="shared" ref="AP56" si="115">AVERAGE(T64:T71)</f>
        <v>3.2725070122234188</v>
      </c>
      <c r="AQ56" s="88">
        <f t="shared" ref="AQ56" si="116">AVERAGE(U64:U71)</f>
        <v>3.2384957523995546</v>
      </c>
      <c r="AR56" s="88">
        <f t="shared" ref="AR56" si="117">AVERAGE(V64:V71)</f>
        <v>3.2052599627282428</v>
      </c>
      <c r="AS56" s="88">
        <f t="shared" ref="AS56" si="118">AVERAGE(W64:W71)</f>
        <v>3.2008029167914338</v>
      </c>
      <c r="AT56" s="88">
        <f t="shared" ref="AT56" si="119">AVERAGE(X64:X71)</f>
        <v>3.198444045011227</v>
      </c>
    </row>
    <row r="57" spans="1:46" x14ac:dyDescent="0.35">
      <c r="A57" s="90" t="s">
        <v>601</v>
      </c>
      <c r="B57" s="132">
        <v>0</v>
      </c>
      <c r="C57" s="130">
        <v>0</v>
      </c>
      <c r="D57" s="130">
        <v>67.421882999999994</v>
      </c>
      <c r="E57" s="88">
        <v>69.646095000000003</v>
      </c>
      <c r="F57" s="88">
        <v>71.771377999999999</v>
      </c>
      <c r="G57" s="88">
        <v>74.054778999999996</v>
      </c>
      <c r="H57" s="88">
        <v>74.665206999999995</v>
      </c>
      <c r="I57" s="88">
        <v>75.457595999999995</v>
      </c>
      <c r="J57" s="88">
        <v>75.461044000000001</v>
      </c>
      <c r="K57" s="88">
        <v>75.452988000000005</v>
      </c>
      <c r="L57" s="34">
        <v>3.0000000000000001E-3</v>
      </c>
      <c r="N57" s="90" t="s">
        <v>601</v>
      </c>
      <c r="O57" s="88" t="str">
        <f t="shared" si="96"/>
        <v/>
      </c>
      <c r="P57" s="88" t="str">
        <f t="shared" si="97"/>
        <v/>
      </c>
      <c r="Q57" s="88">
        <f t="shared" si="98"/>
        <v>3.4887058737506362</v>
      </c>
      <c r="R57" s="88">
        <f t="shared" si="99"/>
        <v>3.377290847985492</v>
      </c>
      <c r="S57" s="88">
        <f t="shared" si="100"/>
        <v>3.277283031146875</v>
      </c>
      <c r="T57" s="88">
        <f t="shared" si="101"/>
        <v>3.1762314656482622</v>
      </c>
      <c r="U57" s="88">
        <f t="shared" si="102"/>
        <v>3.15026407469048</v>
      </c>
      <c r="V57" s="88">
        <f t="shared" si="103"/>
        <v>3.1171827849038305</v>
      </c>
      <c r="W57" s="88">
        <f t="shared" si="104"/>
        <v>3.1170403531844606</v>
      </c>
      <c r="X57" s="88">
        <f t="shared" si="105"/>
        <v>3.1173731548103585</v>
      </c>
      <c r="Y57" s="34">
        <v>3.0000000000000001E-3</v>
      </c>
      <c r="AA57" s="90" t="s">
        <v>601</v>
      </c>
      <c r="AB57" s="133">
        <f t="shared" ref="AB57:AB71" si="120">IFERROR($D57/F57, "")</f>
        <v>0.93939791709168519</v>
      </c>
      <c r="AC57" s="133">
        <f t="shared" si="106"/>
        <v>0.9104325731631715</v>
      </c>
      <c r="AD57" s="133">
        <f t="shared" si="107"/>
        <v>0.90298929995600219</v>
      </c>
      <c r="AE57" s="133">
        <f t="shared" si="108"/>
        <v>0.89350690419556966</v>
      </c>
      <c r="AF57" s="133">
        <f t="shared" si="109"/>
        <v>0.89346607767578712</v>
      </c>
      <c r="AG57" s="133">
        <f t="shared" si="110"/>
        <v>0.89356147168088285</v>
      </c>
      <c r="AH57" s="34"/>
    </row>
    <row r="58" spans="1:46" x14ac:dyDescent="0.35">
      <c r="A58" s="90" t="s">
        <v>602</v>
      </c>
      <c r="B58" s="132">
        <v>0</v>
      </c>
      <c r="C58" s="130">
        <v>71.566940000000002</v>
      </c>
      <c r="D58" s="130">
        <v>76.793403999999995</v>
      </c>
      <c r="E58" s="88">
        <v>83.477463</v>
      </c>
      <c r="F58" s="88">
        <v>85.614593999999997</v>
      </c>
      <c r="G58" s="88">
        <v>87.890197999999998</v>
      </c>
      <c r="H58" s="88">
        <v>87.741767999999993</v>
      </c>
      <c r="I58" s="88">
        <v>88.078856999999999</v>
      </c>
      <c r="J58" s="88">
        <v>88.031218999999993</v>
      </c>
      <c r="K58" s="88">
        <v>88.029831000000001</v>
      </c>
      <c r="L58" s="34">
        <v>2E-3</v>
      </c>
      <c r="N58" s="90" t="s">
        <v>602</v>
      </c>
      <c r="O58" s="88" t="str">
        <f t="shared" si="96"/>
        <v/>
      </c>
      <c r="P58" s="88">
        <f t="shared" si="97"/>
        <v>3.2866449123216408</v>
      </c>
      <c r="Q58" s="88">
        <f t="shared" si="98"/>
        <v>3.0629599287124734</v>
      </c>
      <c r="R58" s="88">
        <f t="shared" si="99"/>
        <v>2.8177080470381344</v>
      </c>
      <c r="S58" s="88">
        <f t="shared" si="100"/>
        <v>2.7473717768424875</v>
      </c>
      <c r="T58" s="88">
        <f t="shared" si="101"/>
        <v>2.6762383587010254</v>
      </c>
      <c r="U58" s="88">
        <f t="shared" si="102"/>
        <v>2.6807656672866242</v>
      </c>
      <c r="V58" s="88">
        <f t="shared" si="103"/>
        <v>2.6705060357609787</v>
      </c>
      <c r="W58" s="88">
        <f t="shared" si="104"/>
        <v>2.6719511772457469</v>
      </c>
      <c r="X58" s="88">
        <f t="shared" si="105"/>
        <v>2.6719933069214701</v>
      </c>
      <c r="Y58" s="34">
        <v>2E-3</v>
      </c>
      <c r="AA58" s="90" t="s">
        <v>602</v>
      </c>
      <c r="AB58" s="133">
        <f t="shared" si="120"/>
        <v>0.89696628123938771</v>
      </c>
      <c r="AC58" s="133">
        <f t="shared" si="106"/>
        <v>0.87374253042415484</v>
      </c>
      <c r="AD58" s="133">
        <f t="shared" si="107"/>
        <v>0.87522061328875889</v>
      </c>
      <c r="AE58" s="133">
        <f t="shared" si="108"/>
        <v>0.87187103256800891</v>
      </c>
      <c r="AF58" s="133">
        <f t="shared" si="109"/>
        <v>0.87234284464469358</v>
      </c>
      <c r="AG58" s="133">
        <f t="shared" si="110"/>
        <v>0.87235659920782982</v>
      </c>
      <c r="AH58" s="34"/>
    </row>
    <row r="59" spans="1:46" x14ac:dyDescent="0.35">
      <c r="A59" s="90" t="s">
        <v>603</v>
      </c>
      <c r="B59" s="132">
        <v>0</v>
      </c>
      <c r="C59" s="130">
        <v>66.114768999999995</v>
      </c>
      <c r="D59" s="130">
        <v>79.525475</v>
      </c>
      <c r="E59" s="88">
        <v>82.581756999999996</v>
      </c>
      <c r="F59" s="88">
        <v>84.420569999999998</v>
      </c>
      <c r="G59" s="88">
        <v>86.338370999999995</v>
      </c>
      <c r="H59" s="88">
        <v>85.908409000000006</v>
      </c>
      <c r="I59" s="88">
        <v>86.209205999999995</v>
      </c>
      <c r="J59" s="88">
        <v>86.116020000000006</v>
      </c>
      <c r="K59" s="88">
        <v>86.113288999999995</v>
      </c>
      <c r="L59" s="34">
        <v>1E-3</v>
      </c>
      <c r="N59" s="90" t="s">
        <v>603</v>
      </c>
      <c r="O59" s="88" t="str">
        <f t="shared" si="96"/>
        <v/>
      </c>
      <c r="P59" s="88">
        <f t="shared" si="97"/>
        <v>3.5576789089504066</v>
      </c>
      <c r="Q59" s="88">
        <f t="shared" si="98"/>
        <v>2.9577329684786937</v>
      </c>
      <c r="R59" s="88">
        <f t="shared" si="99"/>
        <v>2.8482697363950269</v>
      </c>
      <c r="S59" s="88">
        <f t="shared" si="100"/>
        <v>2.786229934735434</v>
      </c>
      <c r="T59" s="88">
        <f t="shared" si="101"/>
        <v>2.7243404817242634</v>
      </c>
      <c r="U59" s="88">
        <f t="shared" si="102"/>
        <v>2.7379755018094691</v>
      </c>
      <c r="V59" s="88">
        <f t="shared" si="103"/>
        <v>2.72842228985879</v>
      </c>
      <c r="W59" s="88">
        <f t="shared" si="104"/>
        <v>2.7313747110169295</v>
      </c>
      <c r="X59" s="88">
        <f t="shared" si="105"/>
        <v>2.7314613339345124</v>
      </c>
      <c r="Y59" s="34">
        <v>1E-3</v>
      </c>
      <c r="AA59" s="90" t="s">
        <v>603</v>
      </c>
      <c r="AB59" s="133">
        <f t="shared" si="120"/>
        <v>0.94201537611034847</v>
      </c>
      <c r="AC59" s="133">
        <f t="shared" si="106"/>
        <v>0.92109075117944961</v>
      </c>
      <c r="AD59" s="133">
        <f t="shared" si="107"/>
        <v>0.92570070759894985</v>
      </c>
      <c r="AE59" s="133">
        <f t="shared" si="108"/>
        <v>0.92247079737632665</v>
      </c>
      <c r="AF59" s="133">
        <f t="shared" si="109"/>
        <v>0.92346900147034194</v>
      </c>
      <c r="AG59" s="133">
        <f t="shared" si="110"/>
        <v>0.92349828840006343</v>
      </c>
      <c r="AH59" s="34"/>
    </row>
    <row r="60" spans="1:46" x14ac:dyDescent="0.35">
      <c r="A60" s="90" t="s">
        <v>604</v>
      </c>
      <c r="B60" s="132">
        <v>0</v>
      </c>
      <c r="C60" s="130">
        <v>55.129261</v>
      </c>
      <c r="D60" s="130">
        <v>69.659064999999998</v>
      </c>
      <c r="E60" s="88">
        <v>76.590912000000003</v>
      </c>
      <c r="F60" s="88">
        <v>78.116348000000002</v>
      </c>
      <c r="G60" s="88">
        <v>80.306533999999999</v>
      </c>
      <c r="H60" s="88">
        <v>80.173157000000003</v>
      </c>
      <c r="I60" s="88">
        <v>80.599402999999995</v>
      </c>
      <c r="J60" s="88">
        <v>80.560783000000001</v>
      </c>
      <c r="K60" s="88">
        <v>80.609359999999995</v>
      </c>
      <c r="L60" s="34">
        <v>1E-3</v>
      </c>
      <c r="N60" s="90" t="s">
        <v>604</v>
      </c>
      <c r="O60" s="88" t="str">
        <f t="shared" si="96"/>
        <v/>
      </c>
      <c r="P60" s="88">
        <f t="shared" si="97"/>
        <v>4.2666111421560347</v>
      </c>
      <c r="Q60" s="88">
        <f t="shared" si="98"/>
        <v>3.3766620215391656</v>
      </c>
      <c r="R60" s="88">
        <f t="shared" si="99"/>
        <v>3.0710578200378151</v>
      </c>
      <c r="S60" s="88">
        <f t="shared" si="100"/>
        <v>3.0110869909257425</v>
      </c>
      <c r="T60" s="88">
        <f t="shared" si="101"/>
        <v>2.9289661441673993</v>
      </c>
      <c r="U60" s="88">
        <f t="shared" si="102"/>
        <v>2.9338388064402667</v>
      </c>
      <c r="V60" s="88">
        <f t="shared" si="103"/>
        <v>2.9183233434300768</v>
      </c>
      <c r="W60" s="88">
        <f t="shared" si="104"/>
        <v>2.919722357234638</v>
      </c>
      <c r="X60" s="88">
        <f t="shared" si="105"/>
        <v>2.917962867357192</v>
      </c>
      <c r="Y60" s="34">
        <v>1E-3</v>
      </c>
      <c r="AA60" s="90" t="s">
        <v>604</v>
      </c>
      <c r="AB60" s="133">
        <f t="shared" si="120"/>
        <v>0.89173478770410508</v>
      </c>
      <c r="AC60" s="133">
        <f t="shared" si="106"/>
        <v>0.86741466142717605</v>
      </c>
      <c r="AD60" s="133">
        <f t="shared" si="107"/>
        <v>0.86885770258491868</v>
      </c>
      <c r="AE60" s="133">
        <f t="shared" si="108"/>
        <v>0.86426279112762161</v>
      </c>
      <c r="AF60" s="133">
        <f t="shared" si="109"/>
        <v>0.86467710970485478</v>
      </c>
      <c r="AG60" s="133">
        <f t="shared" si="110"/>
        <v>0.86415603597398616</v>
      </c>
      <c r="AH60" s="34"/>
    </row>
    <row r="61" spans="1:46" x14ac:dyDescent="0.35">
      <c r="A61" s="90" t="s">
        <v>605</v>
      </c>
      <c r="B61" s="132">
        <v>0</v>
      </c>
      <c r="C61" s="130">
        <v>0</v>
      </c>
      <c r="D61" s="130">
        <v>62.447051999999999</v>
      </c>
      <c r="E61" s="88">
        <v>66.024673000000007</v>
      </c>
      <c r="F61" s="88">
        <v>68.838325999999995</v>
      </c>
      <c r="G61" s="88">
        <v>71.297591999999995</v>
      </c>
      <c r="H61" s="88">
        <v>71.997116000000005</v>
      </c>
      <c r="I61" s="88">
        <v>72.734809999999996</v>
      </c>
      <c r="J61" s="88">
        <v>72.867287000000005</v>
      </c>
      <c r="K61" s="88">
        <v>72.942100999999994</v>
      </c>
      <c r="L61" s="34">
        <v>4.0000000000000001E-3</v>
      </c>
      <c r="N61" s="90" t="s">
        <v>605</v>
      </c>
      <c r="O61" s="88" t="str">
        <f t="shared" si="96"/>
        <v/>
      </c>
      <c r="P61" s="88" t="str">
        <f t="shared" si="97"/>
        <v/>
      </c>
      <c r="Q61" s="88">
        <f t="shared" si="98"/>
        <v>3.7666328787054373</v>
      </c>
      <c r="R61" s="88">
        <f t="shared" si="99"/>
        <v>3.5625336492227402</v>
      </c>
      <c r="S61" s="88">
        <f t="shared" si="100"/>
        <v>3.416920964077891</v>
      </c>
      <c r="T61" s="88">
        <f t="shared" si="101"/>
        <v>3.2990611974865596</v>
      </c>
      <c r="U61" s="88">
        <f t="shared" si="102"/>
        <v>3.2670075179320812</v>
      </c>
      <c r="V61" s="88">
        <f t="shared" si="103"/>
        <v>3.2338727390836404</v>
      </c>
      <c r="W61" s="88">
        <f t="shared" si="104"/>
        <v>3.2279933688409193</v>
      </c>
      <c r="X61" s="88">
        <f t="shared" si="105"/>
        <v>3.2246825361039182</v>
      </c>
      <c r="Y61" s="34">
        <v>4.0000000000000001E-3</v>
      </c>
      <c r="AA61" s="90" t="s">
        <v>605</v>
      </c>
      <c r="AB61" s="133">
        <f t="shared" si="120"/>
        <v>0.90715529601925537</v>
      </c>
      <c r="AC61" s="133">
        <f t="shared" si="106"/>
        <v>0.87586481181580444</v>
      </c>
      <c r="AD61" s="133">
        <f t="shared" si="107"/>
        <v>0.86735490904941237</v>
      </c>
      <c r="AE61" s="133">
        <f t="shared" si="108"/>
        <v>0.85855798619670554</v>
      </c>
      <c r="AF61" s="133">
        <f t="shared" si="109"/>
        <v>0.856997077440251</v>
      </c>
      <c r="AG61" s="133">
        <f t="shared" si="110"/>
        <v>0.8561180874129195</v>
      </c>
      <c r="AH61" s="34"/>
    </row>
    <row r="62" spans="1:46" x14ac:dyDescent="0.35">
      <c r="A62" s="90" t="s">
        <v>606</v>
      </c>
      <c r="C62" s="130">
        <v>63.862077268387168</v>
      </c>
      <c r="D62" s="130">
        <v>72.625664</v>
      </c>
      <c r="E62" s="88">
        <v>78.564803999999995</v>
      </c>
      <c r="F62" s="88">
        <v>81.092865000000003</v>
      </c>
      <c r="G62" s="88">
        <v>83.385834000000003</v>
      </c>
      <c r="H62" s="88">
        <v>83.402336000000005</v>
      </c>
      <c r="I62" s="88">
        <v>83.915374999999997</v>
      </c>
      <c r="J62" s="88">
        <v>83.956703000000005</v>
      </c>
      <c r="K62" s="88">
        <v>84.118988000000002</v>
      </c>
      <c r="L62" s="34">
        <v>2E-3</v>
      </c>
      <c r="N62" s="90" t="s">
        <v>606</v>
      </c>
      <c r="O62" s="88" t="str">
        <f t="shared" si="96"/>
        <v/>
      </c>
      <c r="P62" s="88">
        <f t="shared" si="97"/>
        <v>3.6831736345329262</v>
      </c>
      <c r="Q62" s="88">
        <f t="shared" si="98"/>
        <v>3.2387327879222991</v>
      </c>
      <c r="R62" s="88">
        <f t="shared" si="99"/>
        <v>2.9938993959868867</v>
      </c>
      <c r="S62" s="88">
        <f t="shared" si="100"/>
        <v>2.900564917042062</v>
      </c>
      <c r="T62" s="88">
        <f t="shared" si="101"/>
        <v>2.8208043016206821</v>
      </c>
      <c r="U62" s="88">
        <f t="shared" si="102"/>
        <v>2.820246176814857</v>
      </c>
      <c r="V62" s="88">
        <f t="shared" si="103"/>
        <v>2.8030038505032975</v>
      </c>
      <c r="W62" s="88">
        <f t="shared" si="104"/>
        <v>2.8016240614097021</v>
      </c>
      <c r="X62" s="88">
        <f t="shared" si="105"/>
        <v>2.7962190800658244</v>
      </c>
      <c r="Y62" s="34">
        <v>2E-3</v>
      </c>
      <c r="AA62" s="90" t="s">
        <v>606</v>
      </c>
      <c r="AB62" s="133">
        <f t="shared" si="120"/>
        <v>0.8955863626226549</v>
      </c>
      <c r="AC62" s="133">
        <f t="shared" si="106"/>
        <v>0.87095925670060459</v>
      </c>
      <c r="AD62" s="133">
        <f t="shared" si="107"/>
        <v>0.87078692855797224</v>
      </c>
      <c r="AE62" s="133">
        <f t="shared" si="108"/>
        <v>0.86546314069382402</v>
      </c>
      <c r="AF62" s="133">
        <f t="shared" si="109"/>
        <v>0.86503711323680732</v>
      </c>
      <c r="AG62" s="133">
        <f t="shared" si="110"/>
        <v>0.86336825640365522</v>
      </c>
      <c r="AH62" s="34"/>
    </row>
    <row r="63" spans="1:46" x14ac:dyDescent="0.35">
      <c r="A63" s="90" t="s">
        <v>607</v>
      </c>
      <c r="C63" s="130">
        <v>54.637251172989998</v>
      </c>
      <c r="D63" s="130">
        <v>63.458359000000002</v>
      </c>
      <c r="E63" s="88">
        <v>72.941078000000005</v>
      </c>
      <c r="F63" s="88">
        <v>75.064850000000007</v>
      </c>
      <c r="G63" s="88">
        <v>76.801986999999997</v>
      </c>
      <c r="H63" s="88">
        <v>77.287880000000001</v>
      </c>
      <c r="I63" s="88">
        <v>77.886070000000004</v>
      </c>
      <c r="J63" s="88">
        <v>77.970200000000006</v>
      </c>
      <c r="K63" s="88">
        <v>78.070892000000001</v>
      </c>
      <c r="L63" s="34">
        <v>2E-3</v>
      </c>
      <c r="N63" s="90" t="s">
        <v>607</v>
      </c>
      <c r="O63" s="88" t="str">
        <f t="shared" si="96"/>
        <v/>
      </c>
      <c r="P63" s="88">
        <f t="shared" si="97"/>
        <v>4.3050320832704534</v>
      </c>
      <c r="Q63" s="88">
        <f t="shared" si="98"/>
        <v>3.7066057639692218</v>
      </c>
      <c r="R63" s="88">
        <f t="shared" si="99"/>
        <v>3.2247277623375421</v>
      </c>
      <c r="S63" s="88">
        <f t="shared" si="100"/>
        <v>3.1334921636615287</v>
      </c>
      <c r="T63" s="88">
        <f t="shared" si="101"/>
        <v>3.0626176278672079</v>
      </c>
      <c r="U63" s="88">
        <f t="shared" si="102"/>
        <v>3.0433635809576889</v>
      </c>
      <c r="V63" s="88">
        <f t="shared" si="103"/>
        <v>3.0199895724797532</v>
      </c>
      <c r="W63" s="88">
        <f t="shared" si="104"/>
        <v>3.0167309977584784</v>
      </c>
      <c r="X63" s="88">
        <f t="shared" si="105"/>
        <v>3.0128401663635165</v>
      </c>
      <c r="Y63" s="34">
        <v>2E-3</v>
      </c>
      <c r="AA63" s="90" t="s">
        <v>607</v>
      </c>
      <c r="AB63" s="133">
        <f t="shared" si="120"/>
        <v>0.84538048101075269</v>
      </c>
      <c r="AC63" s="133">
        <f t="shared" si="106"/>
        <v>0.82625933883715796</v>
      </c>
      <c r="AD63" s="133">
        <f t="shared" si="107"/>
        <v>0.8210648163722436</v>
      </c>
      <c r="AE63" s="133">
        <f t="shared" si="108"/>
        <v>0.81475877522129436</v>
      </c>
      <c r="AF63" s="133">
        <f t="shared" si="109"/>
        <v>0.81387964889149955</v>
      </c>
      <c r="AG63" s="133">
        <f t="shared" si="110"/>
        <v>0.81282994691542654</v>
      </c>
      <c r="AH63" s="34"/>
    </row>
    <row r="64" spans="1:46" x14ac:dyDescent="0.35">
      <c r="A64" s="90" t="s">
        <v>608</v>
      </c>
      <c r="B64" s="132">
        <v>0</v>
      </c>
      <c r="C64" s="130">
        <v>0</v>
      </c>
      <c r="D64" s="130">
        <v>57.394835999999998</v>
      </c>
      <c r="E64" s="88">
        <v>65.308616999999998</v>
      </c>
      <c r="F64" s="88">
        <v>67.915076999999997</v>
      </c>
      <c r="G64" s="88">
        <v>70.771056999999999</v>
      </c>
      <c r="H64" s="88">
        <v>71.442276000000007</v>
      </c>
      <c r="I64" s="88">
        <v>72.363265999999996</v>
      </c>
      <c r="J64" s="88">
        <v>72.568168999999997</v>
      </c>
      <c r="K64" s="88">
        <v>72.656906000000006</v>
      </c>
      <c r="L64" s="34">
        <v>4.0000000000000001E-3</v>
      </c>
      <c r="N64" s="90" t="s">
        <v>608</v>
      </c>
      <c r="O64" s="88" t="str">
        <f t="shared" si="96"/>
        <v/>
      </c>
      <c r="P64" s="88" t="str">
        <f t="shared" si="97"/>
        <v/>
      </c>
      <c r="Q64" s="88">
        <f t="shared" si="98"/>
        <v>4.0981930716106261</v>
      </c>
      <c r="R64" s="88">
        <f t="shared" si="99"/>
        <v>3.6015939403743329</v>
      </c>
      <c r="S64" s="88">
        <f t="shared" si="100"/>
        <v>3.463371163393191</v>
      </c>
      <c r="T64" s="88">
        <f t="shared" si="101"/>
        <v>3.3236061352231627</v>
      </c>
      <c r="U64" s="88">
        <f t="shared" si="102"/>
        <v>3.2923799801874751</v>
      </c>
      <c r="V64" s="88">
        <f t="shared" si="103"/>
        <v>3.2504768267566608</v>
      </c>
      <c r="W64" s="88">
        <f t="shared" si="104"/>
        <v>3.2412988019778775</v>
      </c>
      <c r="X64" s="88">
        <f t="shared" si="105"/>
        <v>3.2373401537553517</v>
      </c>
      <c r="Y64" s="34">
        <v>4.0000000000000001E-3</v>
      </c>
      <c r="AA64" s="90" t="s">
        <v>608</v>
      </c>
      <c r="AB64" s="133">
        <f t="shared" si="120"/>
        <v>0.84509712033456141</v>
      </c>
      <c r="AC64" s="133">
        <f t="shared" si="106"/>
        <v>0.81099305892803042</v>
      </c>
      <c r="AD64" s="133">
        <f t="shared" si="107"/>
        <v>0.80337356553422223</v>
      </c>
      <c r="AE64" s="133">
        <f t="shared" si="108"/>
        <v>0.79314877800015271</v>
      </c>
      <c r="AF64" s="133">
        <f t="shared" si="109"/>
        <v>0.79090924837858323</v>
      </c>
      <c r="AG64" s="133">
        <f t="shared" si="110"/>
        <v>0.78994329871409596</v>
      </c>
      <c r="AH64" s="34"/>
    </row>
    <row r="65" spans="1:46" x14ac:dyDescent="0.35">
      <c r="A65" s="90" t="s">
        <v>609</v>
      </c>
      <c r="B65" s="132">
        <v>0</v>
      </c>
      <c r="C65" s="130">
        <v>0</v>
      </c>
      <c r="D65" s="130">
        <v>0</v>
      </c>
      <c r="E65" s="88">
        <v>0</v>
      </c>
      <c r="F65" s="88">
        <v>0</v>
      </c>
      <c r="G65" s="88">
        <v>0</v>
      </c>
      <c r="H65" s="88">
        <v>0</v>
      </c>
      <c r="I65" s="88">
        <v>0</v>
      </c>
      <c r="J65" s="88">
        <v>0</v>
      </c>
      <c r="K65" s="88">
        <v>0</v>
      </c>
      <c r="L65" s="34" t="s">
        <v>279</v>
      </c>
      <c r="N65" s="90" t="s">
        <v>609</v>
      </c>
      <c r="O65" s="88" t="str">
        <f t="shared" si="96"/>
        <v/>
      </c>
      <c r="P65" s="88" t="str">
        <f t="shared" si="97"/>
        <v/>
      </c>
      <c r="Q65" s="88" t="str">
        <f t="shared" si="98"/>
        <v/>
      </c>
      <c r="R65" s="88" t="str">
        <f t="shared" si="99"/>
        <v/>
      </c>
      <c r="S65" s="88" t="str">
        <f t="shared" si="100"/>
        <v/>
      </c>
      <c r="T65" s="88" t="str">
        <f t="shared" si="101"/>
        <v/>
      </c>
      <c r="U65" s="88" t="str">
        <f t="shared" si="102"/>
        <v/>
      </c>
      <c r="V65" s="88" t="str">
        <f t="shared" si="103"/>
        <v/>
      </c>
      <c r="W65" s="88" t="str">
        <f t="shared" si="104"/>
        <v/>
      </c>
      <c r="X65" s="88" t="str">
        <f t="shared" si="105"/>
        <v/>
      </c>
      <c r="Y65" s="34" t="s">
        <v>279</v>
      </c>
      <c r="AA65" s="90" t="s">
        <v>609</v>
      </c>
      <c r="AB65" s="133" t="str">
        <f t="shared" si="120"/>
        <v/>
      </c>
      <c r="AC65" s="133" t="str">
        <f t="shared" si="106"/>
        <v/>
      </c>
      <c r="AD65" s="133" t="str">
        <f t="shared" si="107"/>
        <v/>
      </c>
      <c r="AE65" s="133" t="str">
        <f t="shared" si="108"/>
        <v/>
      </c>
      <c r="AF65" s="133" t="str">
        <f t="shared" si="109"/>
        <v/>
      </c>
      <c r="AG65" s="133" t="str">
        <f t="shared" si="110"/>
        <v/>
      </c>
      <c r="AH65" s="34"/>
    </row>
    <row r="66" spans="1:46" x14ac:dyDescent="0.35">
      <c r="A66" s="90" t="s">
        <v>610</v>
      </c>
      <c r="B66" s="132">
        <v>0</v>
      </c>
      <c r="C66" s="130">
        <v>0</v>
      </c>
      <c r="D66" s="130">
        <v>0</v>
      </c>
      <c r="E66" s="88">
        <v>0</v>
      </c>
      <c r="F66" s="88">
        <v>0</v>
      </c>
      <c r="G66" s="88">
        <v>0</v>
      </c>
      <c r="H66" s="88">
        <v>0</v>
      </c>
      <c r="I66" s="88">
        <v>0</v>
      </c>
      <c r="J66" s="88">
        <v>0</v>
      </c>
      <c r="K66" s="88">
        <v>0</v>
      </c>
      <c r="L66" s="34" t="s">
        <v>279</v>
      </c>
      <c r="N66" s="90" t="s">
        <v>610</v>
      </c>
      <c r="O66" s="88" t="str">
        <f t="shared" si="96"/>
        <v/>
      </c>
      <c r="P66" s="88" t="str">
        <f t="shared" si="97"/>
        <v/>
      </c>
      <c r="Q66" s="88" t="str">
        <f t="shared" si="98"/>
        <v/>
      </c>
      <c r="R66" s="88" t="str">
        <f t="shared" si="99"/>
        <v/>
      </c>
      <c r="S66" s="88" t="str">
        <f t="shared" si="100"/>
        <v/>
      </c>
      <c r="T66" s="88" t="str">
        <f t="shared" si="101"/>
        <v/>
      </c>
      <c r="U66" s="88" t="str">
        <f t="shared" si="102"/>
        <v/>
      </c>
      <c r="V66" s="88" t="str">
        <f t="shared" si="103"/>
        <v/>
      </c>
      <c r="W66" s="88" t="str">
        <f t="shared" si="104"/>
        <v/>
      </c>
      <c r="X66" s="88" t="str">
        <f t="shared" si="105"/>
        <v/>
      </c>
      <c r="Y66" s="34" t="s">
        <v>279</v>
      </c>
      <c r="AA66" s="90" t="s">
        <v>610</v>
      </c>
      <c r="AB66" s="133" t="str">
        <f t="shared" si="120"/>
        <v/>
      </c>
      <c r="AC66" s="133" t="str">
        <f t="shared" si="106"/>
        <v/>
      </c>
      <c r="AD66" s="133" t="str">
        <f t="shared" si="107"/>
        <v/>
      </c>
      <c r="AE66" s="133" t="str">
        <f t="shared" si="108"/>
        <v/>
      </c>
      <c r="AF66" s="133" t="str">
        <f t="shared" si="109"/>
        <v/>
      </c>
      <c r="AG66" s="133" t="str">
        <f t="shared" si="110"/>
        <v/>
      </c>
      <c r="AH66" s="34"/>
    </row>
    <row r="67" spans="1:46" x14ac:dyDescent="0.35">
      <c r="A67" s="90" t="s">
        <v>611</v>
      </c>
      <c r="B67" s="132">
        <v>0</v>
      </c>
      <c r="C67" s="130">
        <v>0</v>
      </c>
      <c r="D67" s="130">
        <v>53.472790000000003</v>
      </c>
      <c r="E67" s="88">
        <v>66.073761000000005</v>
      </c>
      <c r="F67" s="88">
        <v>67.897789000000003</v>
      </c>
      <c r="G67" s="88">
        <v>70.673302000000007</v>
      </c>
      <c r="H67" s="88">
        <v>71.519981000000001</v>
      </c>
      <c r="I67" s="88">
        <v>72.178100999999998</v>
      </c>
      <c r="J67" s="88">
        <v>72.271552999999997</v>
      </c>
      <c r="K67" s="88">
        <v>72.370543999999995</v>
      </c>
      <c r="L67" s="34">
        <v>4.0000000000000001E-3</v>
      </c>
      <c r="N67" s="90" t="s">
        <v>611</v>
      </c>
      <c r="O67" s="88" t="str">
        <f t="shared" si="96"/>
        <v/>
      </c>
      <c r="P67" s="88" t="str">
        <f t="shared" si="97"/>
        <v/>
      </c>
      <c r="Q67" s="88">
        <f t="shared" si="98"/>
        <v>4.3987814969338261</v>
      </c>
      <c r="R67" s="88">
        <f t="shared" si="99"/>
        <v>3.5598869457639641</v>
      </c>
      <c r="S67" s="88">
        <f t="shared" si="100"/>
        <v>3.4642530000708582</v>
      </c>
      <c r="T67" s="88">
        <f t="shared" si="101"/>
        <v>3.3282033325884237</v>
      </c>
      <c r="U67" s="88">
        <f t="shared" si="102"/>
        <v>3.2888028765196138</v>
      </c>
      <c r="V67" s="88">
        <f t="shared" si="103"/>
        <v>3.2588155684703888</v>
      </c>
      <c r="W67" s="88">
        <f t="shared" si="104"/>
        <v>3.2546016998061207</v>
      </c>
      <c r="X67" s="88">
        <f t="shared" si="105"/>
        <v>3.2501499400284755</v>
      </c>
      <c r="Y67" s="34">
        <v>4.0000000000000001E-3</v>
      </c>
      <c r="AA67" s="90" t="s">
        <v>611</v>
      </c>
      <c r="AB67" s="133">
        <f t="shared" si="120"/>
        <v>0.78754832502719641</v>
      </c>
      <c r="AC67" s="133">
        <f t="shared" si="106"/>
        <v>0.75661938082361002</v>
      </c>
      <c r="AD67" s="133">
        <f t="shared" si="107"/>
        <v>0.74766225119662721</v>
      </c>
      <c r="AE67" s="133">
        <f t="shared" si="108"/>
        <v>0.7408450660124738</v>
      </c>
      <c r="AF67" s="133">
        <f t="shared" si="109"/>
        <v>0.73988710329775265</v>
      </c>
      <c r="AG67" s="133">
        <f t="shared" si="110"/>
        <v>0.7388750594440745</v>
      </c>
      <c r="AH67" s="34"/>
    </row>
    <row r="68" spans="1:46" x14ac:dyDescent="0.35">
      <c r="A68" s="90" t="s">
        <v>612</v>
      </c>
      <c r="B68" s="132">
        <v>0</v>
      </c>
      <c r="C68" s="130">
        <v>0</v>
      </c>
      <c r="D68" s="130">
        <v>52.352179999999997</v>
      </c>
      <c r="E68" s="88">
        <v>63.164093000000001</v>
      </c>
      <c r="F68" s="88">
        <v>66.347549000000001</v>
      </c>
      <c r="G68" s="88">
        <v>68.832954000000001</v>
      </c>
      <c r="H68" s="88">
        <v>69.833122000000003</v>
      </c>
      <c r="I68" s="88">
        <v>70.540222</v>
      </c>
      <c r="J68" s="88">
        <v>70.643767999999994</v>
      </c>
      <c r="K68" s="88">
        <v>70.697356999999997</v>
      </c>
      <c r="L68" s="34">
        <v>5.0000000000000001E-3</v>
      </c>
      <c r="N68" s="90" t="s">
        <v>612</v>
      </c>
      <c r="O68" s="88" t="str">
        <f t="shared" si="96"/>
        <v/>
      </c>
      <c r="P68" s="88" t="str">
        <f t="shared" si="97"/>
        <v/>
      </c>
      <c r="Q68" s="88">
        <f t="shared" si="98"/>
        <v>4.4929383884573317</v>
      </c>
      <c r="R68" s="88">
        <f t="shared" si="99"/>
        <v>3.7238739301050066</v>
      </c>
      <c r="S68" s="88">
        <f t="shared" si="100"/>
        <v>3.5451968126422897</v>
      </c>
      <c r="T68" s="88">
        <f t="shared" si="101"/>
        <v>3.4171876343041756</v>
      </c>
      <c r="U68" s="88">
        <f t="shared" si="102"/>
        <v>3.3682457908931545</v>
      </c>
      <c r="V68" s="88">
        <f t="shared" si="103"/>
        <v>3.3344822651880532</v>
      </c>
      <c r="W68" s="88">
        <f t="shared" si="104"/>
        <v>3.3295947526670457</v>
      </c>
      <c r="X68" s="88">
        <f t="shared" si="105"/>
        <v>3.3270709008460972</v>
      </c>
      <c r="Y68" s="34">
        <v>5.0000000000000001E-3</v>
      </c>
      <c r="AA68" s="90" t="s">
        <v>612</v>
      </c>
      <c r="AB68" s="133">
        <f t="shared" si="120"/>
        <v>0.78905974356339814</v>
      </c>
      <c r="AC68" s="133">
        <f t="shared" si="106"/>
        <v>0.76056854976760113</v>
      </c>
      <c r="AD68" s="133">
        <f t="shared" si="107"/>
        <v>0.7496754906647306</v>
      </c>
      <c r="AE68" s="133">
        <f t="shared" si="108"/>
        <v>0.74216069237774718</v>
      </c>
      <c r="AF68" s="133">
        <f t="shared" si="109"/>
        <v>0.74107287142441214</v>
      </c>
      <c r="AG68" s="133">
        <f t="shared" si="110"/>
        <v>0.7405111339593643</v>
      </c>
      <c r="AH68" s="34"/>
    </row>
    <row r="69" spans="1:46" x14ac:dyDescent="0.35">
      <c r="A69" s="90" t="s">
        <v>613</v>
      </c>
      <c r="B69" s="132">
        <v>0</v>
      </c>
      <c r="C69" s="130">
        <v>0</v>
      </c>
      <c r="D69" s="130">
        <v>0</v>
      </c>
      <c r="E69" s="88">
        <v>0</v>
      </c>
      <c r="F69" s="88">
        <v>0</v>
      </c>
      <c r="G69" s="88">
        <v>0</v>
      </c>
      <c r="H69" s="88">
        <v>0</v>
      </c>
      <c r="I69" s="88">
        <v>0</v>
      </c>
      <c r="J69" s="88">
        <v>0</v>
      </c>
      <c r="K69" s="88">
        <v>0</v>
      </c>
      <c r="L69" s="34" t="s">
        <v>279</v>
      </c>
      <c r="N69" s="90" t="s">
        <v>613</v>
      </c>
      <c r="O69" s="88" t="str">
        <f t="shared" si="96"/>
        <v/>
      </c>
      <c r="P69" s="88" t="str">
        <f t="shared" si="97"/>
        <v/>
      </c>
      <c r="Q69" s="88" t="str">
        <f t="shared" si="98"/>
        <v/>
      </c>
      <c r="R69" s="88" t="str">
        <f t="shared" si="99"/>
        <v/>
      </c>
      <c r="S69" s="88" t="str">
        <f t="shared" si="100"/>
        <v/>
      </c>
      <c r="T69" s="88" t="str">
        <f t="shared" si="101"/>
        <v/>
      </c>
      <c r="U69" s="88" t="str">
        <f t="shared" si="102"/>
        <v/>
      </c>
      <c r="V69" s="88" t="str">
        <f t="shared" si="103"/>
        <v/>
      </c>
      <c r="W69" s="88" t="str">
        <f t="shared" si="104"/>
        <v/>
      </c>
      <c r="X69" s="88" t="str">
        <f t="shared" si="105"/>
        <v/>
      </c>
      <c r="Y69" s="34" t="s">
        <v>279</v>
      </c>
      <c r="AA69" s="90" t="s">
        <v>613</v>
      </c>
      <c r="AB69" s="133" t="str">
        <f t="shared" si="120"/>
        <v/>
      </c>
      <c r="AC69" s="133" t="str">
        <f t="shared" si="106"/>
        <v/>
      </c>
      <c r="AD69" s="133" t="str">
        <f t="shared" si="107"/>
        <v/>
      </c>
      <c r="AE69" s="133" t="str">
        <f t="shared" si="108"/>
        <v/>
      </c>
      <c r="AF69" s="133" t="str">
        <f t="shared" si="109"/>
        <v/>
      </c>
      <c r="AG69" s="133" t="str">
        <f t="shared" si="110"/>
        <v/>
      </c>
      <c r="AH69" s="34"/>
    </row>
    <row r="70" spans="1:46" x14ac:dyDescent="0.35">
      <c r="A70" s="90" t="s">
        <v>614</v>
      </c>
      <c r="D70" s="130">
        <v>0</v>
      </c>
      <c r="E70" s="88">
        <v>76.132003999999995</v>
      </c>
      <c r="F70" s="88">
        <v>77.844391000000002</v>
      </c>
      <c r="G70" s="88">
        <v>80.471160999999995</v>
      </c>
      <c r="H70" s="88">
        <v>80.936653000000007</v>
      </c>
      <c r="I70" s="88">
        <v>81.714866999999998</v>
      </c>
      <c r="J70" s="88">
        <v>81.812752000000003</v>
      </c>
      <c r="K70" s="88">
        <v>81.890777999999997</v>
      </c>
      <c r="L70" s="34">
        <v>3.0000000000000001E-3</v>
      </c>
      <c r="N70" s="90" t="s">
        <v>614</v>
      </c>
      <c r="O70" s="88" t="str">
        <f t="shared" si="96"/>
        <v/>
      </c>
      <c r="P70" s="88" t="str">
        <f t="shared" si="97"/>
        <v/>
      </c>
      <c r="Q70" s="88" t="str">
        <f t="shared" si="98"/>
        <v/>
      </c>
      <c r="R70" s="88">
        <f t="shared" si="99"/>
        <v>3.0895695224498247</v>
      </c>
      <c r="S70" s="88">
        <f t="shared" si="100"/>
        <v>3.0216065180782024</v>
      </c>
      <c r="T70" s="88">
        <f t="shared" si="101"/>
        <v>2.922974098030326</v>
      </c>
      <c r="U70" s="88">
        <f t="shared" si="102"/>
        <v>2.9061631599891848</v>
      </c>
      <c r="V70" s="88">
        <f t="shared" si="103"/>
        <v>2.8784862274991911</v>
      </c>
      <c r="W70" s="88">
        <f t="shared" si="104"/>
        <v>2.8750422579774377</v>
      </c>
      <c r="X70" s="88">
        <f t="shared" si="105"/>
        <v>2.8723029013282564</v>
      </c>
      <c r="Y70" s="34">
        <v>3.0000000000000001E-3</v>
      </c>
      <c r="AA70" s="90" t="s">
        <v>614</v>
      </c>
      <c r="AB70" s="133">
        <f t="shared" si="120"/>
        <v>0</v>
      </c>
      <c r="AC70" s="133">
        <f t="shared" si="106"/>
        <v>0</v>
      </c>
      <c r="AD70" s="133">
        <f t="shared" si="107"/>
        <v>0</v>
      </c>
      <c r="AE70" s="133">
        <f t="shared" si="108"/>
        <v>0</v>
      </c>
      <c r="AF70" s="133">
        <f t="shared" si="109"/>
        <v>0</v>
      </c>
      <c r="AG70" s="133">
        <f t="shared" si="110"/>
        <v>0</v>
      </c>
      <c r="AH70" s="34"/>
    </row>
    <row r="71" spans="1:46" x14ac:dyDescent="0.35">
      <c r="A71" s="90" t="s">
        <v>615</v>
      </c>
      <c r="D71" s="130">
        <v>0</v>
      </c>
      <c r="E71" s="88">
        <v>65.005295000000004</v>
      </c>
      <c r="F71" s="88">
        <v>67.380263999999997</v>
      </c>
      <c r="G71" s="88">
        <v>69.785094999999998</v>
      </c>
      <c r="H71" s="88">
        <v>70.489388000000005</v>
      </c>
      <c r="I71" s="88">
        <v>71.190178000000003</v>
      </c>
      <c r="J71" s="88">
        <v>71.202286000000001</v>
      </c>
      <c r="K71" s="88">
        <v>71.161804000000004</v>
      </c>
      <c r="L71" s="34">
        <v>3.0000000000000001E-3</v>
      </c>
      <c r="N71" s="90" t="s">
        <v>615</v>
      </c>
      <c r="O71" s="88" t="str">
        <f t="shared" si="96"/>
        <v/>
      </c>
      <c r="P71" s="88" t="str">
        <f t="shared" si="97"/>
        <v/>
      </c>
      <c r="Q71" s="88" t="str">
        <f t="shared" si="98"/>
        <v/>
      </c>
      <c r="R71" s="88">
        <f t="shared" si="99"/>
        <v>3.6183993817954079</v>
      </c>
      <c r="S71" s="88">
        <f t="shared" si="100"/>
        <v>3.4908607547371462</v>
      </c>
      <c r="T71" s="88">
        <f t="shared" si="101"/>
        <v>3.3705638609710018</v>
      </c>
      <c r="U71" s="88">
        <f t="shared" si="102"/>
        <v>3.3368869544083446</v>
      </c>
      <c r="V71" s="88">
        <f t="shared" si="103"/>
        <v>3.3040389257269189</v>
      </c>
      <c r="W71" s="88">
        <f t="shared" si="104"/>
        <v>3.3034770715286887</v>
      </c>
      <c r="X71" s="88">
        <f t="shared" si="105"/>
        <v>3.3053563290979544</v>
      </c>
      <c r="Y71" s="34">
        <v>3.0000000000000001E-3</v>
      </c>
      <c r="AA71" s="90" t="s">
        <v>615</v>
      </c>
      <c r="AB71" s="133">
        <f t="shared" si="120"/>
        <v>0</v>
      </c>
      <c r="AC71" s="133">
        <f t="shared" si="106"/>
        <v>0</v>
      </c>
      <c r="AD71" s="133">
        <f t="shared" si="107"/>
        <v>0</v>
      </c>
      <c r="AE71" s="133">
        <f t="shared" si="108"/>
        <v>0</v>
      </c>
      <c r="AF71" s="133">
        <f t="shared" si="109"/>
        <v>0</v>
      </c>
      <c r="AG71" s="133">
        <f t="shared" si="110"/>
        <v>0</v>
      </c>
      <c r="AH71" s="34"/>
    </row>
    <row r="72" spans="1:46" x14ac:dyDescent="0.35">
      <c r="A72" t="s">
        <v>589</v>
      </c>
      <c r="L72" s="34"/>
      <c r="N72" t="s">
        <v>589</v>
      </c>
      <c r="O72" s="88"/>
      <c r="P72" s="88"/>
      <c r="Q72" s="88"/>
      <c r="R72" s="88"/>
      <c r="S72" s="88"/>
      <c r="T72" s="88"/>
      <c r="U72" s="88"/>
      <c r="V72" s="88"/>
      <c r="W72" s="88"/>
      <c r="X72" s="88"/>
      <c r="Y72" s="34"/>
      <c r="AA72" t="s">
        <v>589</v>
      </c>
      <c r="AB72" s="88"/>
      <c r="AC72" s="88"/>
      <c r="AD72" s="88"/>
      <c r="AE72" s="88"/>
      <c r="AF72" s="88"/>
      <c r="AG72" s="88"/>
      <c r="AH72" s="34"/>
      <c r="AI72" t="s">
        <v>32</v>
      </c>
      <c r="AJ72" t="s">
        <v>239</v>
      </c>
      <c r="AK72" s="88">
        <f>AVERAGE(O73:O80)</f>
        <v>6.9272652405460944</v>
      </c>
      <c r="AL72" s="88">
        <f t="shared" ref="AL72" si="121">AVERAGE(P73:P80)</f>
        <v>7.1091907944540056</v>
      </c>
      <c r="AM72" s="88">
        <f t="shared" ref="AM72" si="122">AVERAGE(Q73:Q80)</f>
        <v>6.1991055365911212</v>
      </c>
      <c r="AN72" s="88">
        <f t="shared" ref="AN72" si="123">AVERAGE(R73:R80)</f>
        <v>5.8855992130456398</v>
      </c>
      <c r="AO72" s="88">
        <f t="shared" ref="AO72" si="124">AVERAGE(S73:S80)</f>
        <v>5.5871485579646487</v>
      </c>
      <c r="AP72" s="88">
        <f t="shared" ref="AP72" si="125">AVERAGE(T73:T80)</f>
        <v>5.3049003202134299</v>
      </c>
      <c r="AQ72" s="88">
        <f t="shared" ref="AQ72" si="126">AVERAGE(U73:U80)</f>
        <v>5.264528131890815</v>
      </c>
      <c r="AR72" s="88">
        <f t="shared" ref="AR72" si="127">AVERAGE(V73:V80)</f>
        <v>5.193371028417241</v>
      </c>
      <c r="AS72" s="88">
        <f t="shared" ref="AS72" si="128">AVERAGE(W73:W80)</f>
        <v>5.1941004259313326</v>
      </c>
      <c r="AT72" s="88">
        <f t="shared" ref="AT72" si="129">AVERAGE(X73:X80)</f>
        <v>5.1892832809544744</v>
      </c>
    </row>
    <row r="73" spans="1:46" x14ac:dyDescent="0.35">
      <c r="A73" s="90" t="s">
        <v>600</v>
      </c>
      <c r="B73" s="132">
        <v>0</v>
      </c>
      <c r="C73" s="130">
        <v>36.564297000000003</v>
      </c>
      <c r="D73" s="130">
        <v>36.616988999999997</v>
      </c>
      <c r="E73" s="88">
        <v>32.271976000000002</v>
      </c>
      <c r="F73" s="88">
        <v>33.785496000000002</v>
      </c>
      <c r="G73" s="88">
        <v>36.286942000000003</v>
      </c>
      <c r="H73" s="88">
        <v>37.362862</v>
      </c>
      <c r="I73" s="88">
        <v>38.202739999999999</v>
      </c>
      <c r="J73" s="88">
        <v>38.259158999999997</v>
      </c>
      <c r="K73" s="88">
        <v>38.338721999999997</v>
      </c>
      <c r="L73" s="34">
        <v>7.0000000000000001E-3</v>
      </c>
      <c r="N73" s="90" t="s">
        <v>600</v>
      </c>
      <c r="O73" s="88" t="str">
        <f t="shared" ref="O73:O88" si="130">IFERROR(L_100km_to_mpg/B73, "")</f>
        <v/>
      </c>
      <c r="P73" s="88">
        <f t="shared" ref="P73:P88" si="131">IFERROR(L_100km_to_mpg/C73, "")</f>
        <v>6.4329178608692548</v>
      </c>
      <c r="Q73" s="88">
        <f t="shared" ref="Q73:Q88" si="132">IFERROR(L_100km_to_mpg/D73, "")</f>
        <v>6.4236608652182783</v>
      </c>
      <c r="R73" s="88">
        <f t="shared" ref="R73:R88" si="133">IFERROR(L_100km_to_mpg/E73, "")</f>
        <v>7.2885254761415332</v>
      </c>
      <c r="S73" s="88">
        <f t="shared" ref="S73:S88" si="134">IFERROR(L_100km_to_mpg/F73, "")</f>
        <v>6.9620146835028889</v>
      </c>
      <c r="T73" s="88">
        <f t="shared" ref="T73:T88" si="135">IFERROR(L_100km_to_mpg/G73, "")</f>
        <v>6.482087116666599</v>
      </c>
      <c r="U73" s="88">
        <f t="shared" ref="U73:U88" si="136">IFERROR(L_100km_to_mpg/H73, "")</f>
        <v>6.2954256352585665</v>
      </c>
      <c r="V73" s="88">
        <f t="shared" ref="V73:V88" si="137">IFERROR(L_100km_to_mpg/I73, "")</f>
        <v>6.1570222251447975</v>
      </c>
      <c r="W73" s="88">
        <f t="shared" ref="W73:W88" si="138">IFERROR(L_100km_to_mpg/J73, "")</f>
        <v>6.1479427512096692</v>
      </c>
      <c r="X73" s="88">
        <f t="shared" ref="X73:X88" si="139">IFERROR(L_100km_to_mpg/K73, "")</f>
        <v>6.1351841420647295</v>
      </c>
      <c r="Y73" s="34">
        <v>7.0000000000000001E-3</v>
      </c>
      <c r="AA73" t="s">
        <v>600</v>
      </c>
      <c r="AB73" s="133">
        <f>IFERROR($D73/F73, "")</f>
        <v>1.0838079452792404</v>
      </c>
      <c r="AC73" s="133">
        <f t="shared" ref="AC73:AC88" si="140">IFERROR($D73/G73, "")</f>
        <v>1.0090954757223685</v>
      </c>
      <c r="AD73" s="133">
        <f t="shared" ref="AD73:AD88" si="141">IFERROR($D73/H73, "")</f>
        <v>0.98003704855372153</v>
      </c>
      <c r="AE73" s="133">
        <f t="shared" ref="AE73:AE88" si="142">IFERROR($D73/I73, "")</f>
        <v>0.95849117105212867</v>
      </c>
      <c r="AF73" s="133">
        <f t="shared" ref="AF73:AF88" si="143">IFERROR($D73/J73, "")</f>
        <v>0.95707772876032116</v>
      </c>
      <c r="AG73" s="133">
        <f t="shared" ref="AG73:AG88" si="144">IFERROR($D73/K73, "")</f>
        <v>0.95509153904504174</v>
      </c>
      <c r="AH73" s="34"/>
      <c r="AI73" t="s">
        <v>256</v>
      </c>
      <c r="AJ73" t="s">
        <v>239</v>
      </c>
      <c r="AK73" s="88">
        <f>AVERAGE(O81:O88)</f>
        <v>9.4153603526520904</v>
      </c>
      <c r="AL73" s="88">
        <f t="shared" ref="AL73" si="145">AVERAGE(P81:P88)</f>
        <v>8.5765310902831402</v>
      </c>
      <c r="AM73" s="88">
        <f t="shared" ref="AM73" si="146">AVERAGE(Q81:Q88)</f>
        <v>7.8826244802094596</v>
      </c>
      <c r="AN73" s="88">
        <f t="shared" ref="AN73" si="147">AVERAGE(R81:R88)</f>
        <v>7.178331245524503</v>
      </c>
      <c r="AO73" s="88">
        <f t="shared" ref="AO73" si="148">AVERAGE(S81:S88)</f>
        <v>6.7194519245362692</v>
      </c>
      <c r="AP73" s="88">
        <f t="shared" ref="AP73" si="149">AVERAGE(T81:T88)</f>
        <v>6.255489942405319</v>
      </c>
      <c r="AQ73" s="88">
        <f t="shared" ref="AQ73" si="150">AVERAGE(U81:U88)</f>
        <v>6.1337924729331963</v>
      </c>
      <c r="AR73" s="88">
        <f t="shared" ref="AR73" si="151">AVERAGE(V81:V88)</f>
        <v>6.0264037894265687</v>
      </c>
      <c r="AS73" s="88">
        <f t="shared" ref="AS73" si="152">AVERAGE(W81:W88)</f>
        <v>6.0143454490941517</v>
      </c>
      <c r="AT73" s="88">
        <f t="shared" ref="AT73" si="153">AVERAGE(X81:X88)</f>
        <v>6.0080090128514074</v>
      </c>
    </row>
    <row r="74" spans="1:46" x14ac:dyDescent="0.35">
      <c r="A74" s="90" t="s">
        <v>601</v>
      </c>
      <c r="B74" s="132">
        <v>0</v>
      </c>
      <c r="C74" s="130">
        <v>34.742438999999997</v>
      </c>
      <c r="D74" s="130">
        <v>36.209125999999998</v>
      </c>
      <c r="E74" s="88">
        <v>35.815891000000001</v>
      </c>
      <c r="F74" s="88">
        <v>37.598827</v>
      </c>
      <c r="G74" s="88">
        <v>39.547454999999999</v>
      </c>
      <c r="H74" s="88">
        <v>40.148128999999997</v>
      </c>
      <c r="I74" s="88">
        <v>40.968086</v>
      </c>
      <c r="J74" s="88">
        <v>40.956828999999999</v>
      </c>
      <c r="K74" s="88">
        <v>40.948115999999999</v>
      </c>
      <c r="L74" s="34">
        <v>5.0000000000000001E-3</v>
      </c>
      <c r="N74" s="90" t="s">
        <v>601</v>
      </c>
      <c r="O74" s="88" t="str">
        <f t="shared" si="130"/>
        <v/>
      </c>
      <c r="P74" s="88">
        <f t="shared" si="131"/>
        <v>6.7702535000904271</v>
      </c>
      <c r="Q74" s="88">
        <f t="shared" si="132"/>
        <v>6.4960175852194872</v>
      </c>
      <c r="R74" s="88">
        <f t="shared" si="133"/>
        <v>6.5673395991022012</v>
      </c>
      <c r="S74" s="88">
        <f t="shared" si="134"/>
        <v>6.2559164210476075</v>
      </c>
      <c r="T74" s="88">
        <f t="shared" si="135"/>
        <v>5.9476676625949292</v>
      </c>
      <c r="U74" s="88">
        <f t="shared" si="136"/>
        <v>5.8586819635213425</v>
      </c>
      <c r="V74" s="88">
        <f t="shared" si="137"/>
        <v>5.7414231956413131</v>
      </c>
      <c r="W74" s="88">
        <f t="shared" si="138"/>
        <v>5.7430012279863796</v>
      </c>
      <c r="X74" s="88">
        <f t="shared" si="139"/>
        <v>5.7442232321855329</v>
      </c>
      <c r="Y74" s="34">
        <v>5.0000000000000001E-3</v>
      </c>
      <c r="AA74" t="s">
        <v>601</v>
      </c>
      <c r="AB74" s="133">
        <f t="shared" ref="AB74:AB88" si="154">IFERROR($D74/F74, "")</f>
        <v>0.96303871394711327</v>
      </c>
      <c r="AC74" s="133">
        <f t="shared" si="140"/>
        <v>0.91558675520333732</v>
      </c>
      <c r="AD74" s="133">
        <f t="shared" si="141"/>
        <v>0.90188825486736879</v>
      </c>
      <c r="AE74" s="133">
        <f t="shared" si="142"/>
        <v>0.88383738503185139</v>
      </c>
      <c r="AF74" s="133">
        <f t="shared" si="143"/>
        <v>0.88408030807267812</v>
      </c>
      <c r="AG74" s="133">
        <f t="shared" si="144"/>
        <v>0.88426842397340089</v>
      </c>
      <c r="AH74" s="34"/>
    </row>
    <row r="75" spans="1:46" x14ac:dyDescent="0.35">
      <c r="A75" s="90" t="s">
        <v>602</v>
      </c>
      <c r="B75" s="132">
        <v>35.454799999999999</v>
      </c>
      <c r="C75" s="130">
        <v>39.580879000000003</v>
      </c>
      <c r="D75" s="130">
        <v>43.309254000000003</v>
      </c>
      <c r="E75" s="88">
        <v>50.399425999999998</v>
      </c>
      <c r="F75" s="88">
        <v>52.820847000000001</v>
      </c>
      <c r="G75" s="88">
        <v>55.165664999999997</v>
      </c>
      <c r="H75" s="88">
        <v>54.810841000000003</v>
      </c>
      <c r="I75" s="88">
        <v>54.958804999999998</v>
      </c>
      <c r="J75" s="88">
        <v>54.772891999999999</v>
      </c>
      <c r="K75" s="88">
        <v>54.684131999999998</v>
      </c>
      <c r="L75" s="34">
        <v>4.0000000000000001E-3</v>
      </c>
      <c r="N75" s="90" t="s">
        <v>602</v>
      </c>
      <c r="O75" s="88">
        <f t="shared" si="130"/>
        <v>6.6342249636559263</v>
      </c>
      <c r="P75" s="88">
        <f t="shared" si="131"/>
        <v>5.9426451656474866</v>
      </c>
      <c r="Q75" s="88">
        <f t="shared" si="132"/>
        <v>5.4310591274887381</v>
      </c>
      <c r="R75" s="88">
        <f t="shared" si="133"/>
        <v>4.6670198037856254</v>
      </c>
      <c r="S75" s="88">
        <f t="shared" si="134"/>
        <v>4.4530735987900414</v>
      </c>
      <c r="T75" s="88">
        <f t="shared" si="135"/>
        <v>4.2637955917222818</v>
      </c>
      <c r="U75" s="88">
        <f t="shared" si="136"/>
        <v>4.2913977408488977</v>
      </c>
      <c r="V75" s="88">
        <f t="shared" si="137"/>
        <v>4.2798441349193848</v>
      </c>
      <c r="W75" s="88">
        <f t="shared" si="138"/>
        <v>4.2943710045733603</v>
      </c>
      <c r="X75" s="88">
        <f t="shared" si="139"/>
        <v>4.3013413697675249</v>
      </c>
      <c r="Y75" s="34">
        <v>4.0000000000000001E-3</v>
      </c>
      <c r="AA75" t="s">
        <v>602</v>
      </c>
      <c r="AB75" s="133">
        <f t="shared" si="154"/>
        <v>0.81992729120757946</v>
      </c>
      <c r="AC75" s="133">
        <f t="shared" si="140"/>
        <v>0.78507626075023307</v>
      </c>
      <c r="AD75" s="133">
        <f t="shared" si="141"/>
        <v>0.79015853816218584</v>
      </c>
      <c r="AE75" s="133">
        <f t="shared" si="142"/>
        <v>0.78803121719986458</v>
      </c>
      <c r="AF75" s="133">
        <f t="shared" si="143"/>
        <v>0.79070599376056327</v>
      </c>
      <c r="AG75" s="133">
        <f t="shared" si="144"/>
        <v>0.79198942025814734</v>
      </c>
      <c r="AH75" s="34"/>
    </row>
    <row r="76" spans="1:46" x14ac:dyDescent="0.35">
      <c r="A76" s="90" t="s">
        <v>603</v>
      </c>
      <c r="B76" s="132">
        <v>36.109122999999997</v>
      </c>
      <c r="C76" s="130">
        <v>38.161472000000003</v>
      </c>
      <c r="D76" s="130">
        <v>47.028193999999999</v>
      </c>
      <c r="E76" s="88">
        <v>49.996521000000001</v>
      </c>
      <c r="F76" s="88">
        <v>52.199565999999997</v>
      </c>
      <c r="G76" s="88">
        <v>54.154434000000002</v>
      </c>
      <c r="H76" s="88">
        <v>53.422054000000003</v>
      </c>
      <c r="I76" s="88">
        <v>53.600178</v>
      </c>
      <c r="J76" s="88">
        <v>53.374122999999997</v>
      </c>
      <c r="K76" s="88">
        <v>53.286876999999997</v>
      </c>
      <c r="L76" s="34">
        <v>3.0000000000000001E-3</v>
      </c>
      <c r="N76" s="90" t="s">
        <v>603</v>
      </c>
      <c r="O76" s="88">
        <f t="shared" si="130"/>
        <v>6.5140080871370971</v>
      </c>
      <c r="P76" s="88">
        <f t="shared" si="131"/>
        <v>6.1636804586947829</v>
      </c>
      <c r="Q76" s="88">
        <f t="shared" si="132"/>
        <v>5.0015766976173515</v>
      </c>
      <c r="R76" s="88">
        <f t="shared" si="133"/>
        <v>4.7046297329653823</v>
      </c>
      <c r="S76" s="88">
        <f t="shared" si="134"/>
        <v>4.5060742313725015</v>
      </c>
      <c r="T76" s="88">
        <f t="shared" si="135"/>
        <v>4.3434138604685284</v>
      </c>
      <c r="U76" s="88">
        <f t="shared" si="136"/>
        <v>4.4029591082631931</v>
      </c>
      <c r="V76" s="88">
        <f t="shared" si="137"/>
        <v>4.3883272037161545</v>
      </c>
      <c r="W76" s="88">
        <f t="shared" si="138"/>
        <v>4.4069130511320651</v>
      </c>
      <c r="X76" s="88">
        <f t="shared" si="139"/>
        <v>4.4141284399426928</v>
      </c>
      <c r="Y76" s="34">
        <v>3.0000000000000001E-3</v>
      </c>
      <c r="AA76" t="s">
        <v>603</v>
      </c>
      <c r="AB76" s="133">
        <f t="shared" si="154"/>
        <v>0.90093074720199784</v>
      </c>
      <c r="AC76" s="133">
        <f t="shared" si="140"/>
        <v>0.86840892843603534</v>
      </c>
      <c r="AD76" s="133">
        <f t="shared" si="141"/>
        <v>0.88031422378480606</v>
      </c>
      <c r="AE76" s="133">
        <f t="shared" si="142"/>
        <v>0.87738876538805521</v>
      </c>
      <c r="AF76" s="133">
        <f t="shared" si="143"/>
        <v>0.88110476307029906</v>
      </c>
      <c r="AG76" s="133">
        <f t="shared" si="144"/>
        <v>0.88254738591642368</v>
      </c>
      <c r="AH76" s="34"/>
    </row>
    <row r="77" spans="1:46" x14ac:dyDescent="0.35">
      <c r="A77" s="90" t="s">
        <v>604</v>
      </c>
      <c r="B77" s="132">
        <v>30.813282000000001</v>
      </c>
      <c r="C77" s="130">
        <v>29.539711</v>
      </c>
      <c r="D77" s="130">
        <v>39.671337000000001</v>
      </c>
      <c r="E77" s="88">
        <v>43.688000000000002</v>
      </c>
      <c r="F77" s="88">
        <v>45.424446000000003</v>
      </c>
      <c r="G77" s="88">
        <v>47.734589</v>
      </c>
      <c r="H77" s="88">
        <v>47.459212999999998</v>
      </c>
      <c r="I77" s="88">
        <v>47.851776000000001</v>
      </c>
      <c r="J77" s="88">
        <v>47.750988</v>
      </c>
      <c r="K77" s="88">
        <v>47.764499999999998</v>
      </c>
      <c r="L77" s="34">
        <v>4.0000000000000001E-3</v>
      </c>
      <c r="N77" s="90" t="s">
        <v>604</v>
      </c>
      <c r="O77" s="88">
        <f t="shared" si="130"/>
        <v>7.6335626708452589</v>
      </c>
      <c r="P77" s="88">
        <f t="shared" si="131"/>
        <v>7.9626750323125419</v>
      </c>
      <c r="Q77" s="88">
        <f t="shared" si="132"/>
        <v>5.9290948334165829</v>
      </c>
      <c r="R77" s="88">
        <f t="shared" si="133"/>
        <v>5.3839754450061372</v>
      </c>
      <c r="S77" s="88">
        <f t="shared" si="134"/>
        <v>5.1781615397450995</v>
      </c>
      <c r="T77" s="88">
        <f t="shared" si="135"/>
        <v>4.9275614217905623</v>
      </c>
      <c r="U77" s="88">
        <f t="shared" si="136"/>
        <v>4.9561529653141987</v>
      </c>
      <c r="V77" s="88">
        <f t="shared" si="137"/>
        <v>4.9154940297603193</v>
      </c>
      <c r="W77" s="88">
        <f t="shared" si="138"/>
        <v>4.9258691619412804</v>
      </c>
      <c r="X77" s="88">
        <f t="shared" si="139"/>
        <v>4.9244756930655225</v>
      </c>
      <c r="Y77" s="34">
        <v>4.0000000000000001E-3</v>
      </c>
      <c r="AA77" t="s">
        <v>604</v>
      </c>
      <c r="AB77" s="133">
        <f t="shared" si="154"/>
        <v>0.87334773438953994</v>
      </c>
      <c r="AC77" s="133">
        <f t="shared" si="140"/>
        <v>0.83108156645069264</v>
      </c>
      <c r="AD77" s="133">
        <f t="shared" si="141"/>
        <v>0.83590381071005126</v>
      </c>
      <c r="AE77" s="133">
        <f t="shared" si="142"/>
        <v>0.82904628242011336</v>
      </c>
      <c r="AF77" s="133">
        <f t="shared" si="143"/>
        <v>0.83079615022834719</v>
      </c>
      <c r="AG77" s="133">
        <f t="shared" si="144"/>
        <v>0.83056112803441895</v>
      </c>
      <c r="AH77" s="34"/>
    </row>
    <row r="78" spans="1:46" x14ac:dyDescent="0.35">
      <c r="A78" s="90" t="s">
        <v>605</v>
      </c>
      <c r="B78" s="132">
        <v>0</v>
      </c>
      <c r="C78" s="130">
        <v>28.944372000000001</v>
      </c>
      <c r="D78" s="130">
        <v>30.270025</v>
      </c>
      <c r="E78" s="88">
        <v>31.588066000000001</v>
      </c>
      <c r="F78" s="88">
        <v>33.839717999999998</v>
      </c>
      <c r="G78" s="88">
        <v>35.881583999999997</v>
      </c>
      <c r="H78" s="88">
        <v>36.509956000000003</v>
      </c>
      <c r="I78" s="88">
        <v>37.226669000000001</v>
      </c>
      <c r="J78" s="88">
        <v>37.354908000000002</v>
      </c>
      <c r="K78" s="88">
        <v>37.432499</v>
      </c>
      <c r="L78" s="34">
        <v>7.0000000000000001E-3</v>
      </c>
      <c r="N78" s="90" t="s">
        <v>605</v>
      </c>
      <c r="O78" s="88" t="str">
        <f t="shared" si="130"/>
        <v/>
      </c>
      <c r="P78" s="88">
        <f t="shared" si="131"/>
        <v>8.1264544016165949</v>
      </c>
      <c r="Q78" s="88">
        <f t="shared" si="132"/>
        <v>7.7705624373097857</v>
      </c>
      <c r="R78" s="88">
        <f t="shared" si="133"/>
        <v>7.4463285989534187</v>
      </c>
      <c r="S78" s="88">
        <f t="shared" si="134"/>
        <v>6.9508593198509558</v>
      </c>
      <c r="T78" s="88">
        <f t="shared" si="135"/>
        <v>6.5553159314657945</v>
      </c>
      <c r="U78" s="88">
        <f t="shared" si="136"/>
        <v>6.4424925420734036</v>
      </c>
      <c r="V78" s="88">
        <f t="shared" si="137"/>
        <v>6.3184573199774636</v>
      </c>
      <c r="W78" s="88">
        <f t="shared" si="138"/>
        <v>6.2967661235152317</v>
      </c>
      <c r="X78" s="88">
        <f t="shared" si="139"/>
        <v>6.283714032595797</v>
      </c>
      <c r="Y78" s="34">
        <v>7.0000000000000001E-3</v>
      </c>
      <c r="AA78" t="s">
        <v>605</v>
      </c>
      <c r="AB78" s="133">
        <f t="shared" si="154"/>
        <v>0.89451173913446924</v>
      </c>
      <c r="AC78" s="133">
        <f t="shared" si="140"/>
        <v>0.84360893878040621</v>
      </c>
      <c r="AD78" s="133">
        <f t="shared" si="141"/>
        <v>0.82908960503814355</v>
      </c>
      <c r="AE78" s="133">
        <f t="shared" si="142"/>
        <v>0.81312741142646949</v>
      </c>
      <c r="AF78" s="133">
        <f t="shared" si="143"/>
        <v>0.81033595371189238</v>
      </c>
      <c r="AG78" s="133">
        <f t="shared" si="144"/>
        <v>0.80865626951596259</v>
      </c>
      <c r="AH78" s="34"/>
    </row>
    <row r="79" spans="1:46" x14ac:dyDescent="0.35">
      <c r="A79" s="90" t="s">
        <v>606</v>
      </c>
      <c r="C79" s="130">
        <v>32.740246456623147</v>
      </c>
      <c r="D79" s="130">
        <v>40.252628000000001</v>
      </c>
      <c r="E79" s="88">
        <v>44.759869000000002</v>
      </c>
      <c r="F79" s="88">
        <v>47.682048999999999</v>
      </c>
      <c r="G79" s="88">
        <v>50.152648999999997</v>
      </c>
      <c r="H79" s="88">
        <v>50.009739000000003</v>
      </c>
      <c r="I79" s="88">
        <v>50.464291000000003</v>
      </c>
      <c r="J79" s="88">
        <v>50.441611999999999</v>
      </c>
      <c r="K79" s="88">
        <v>50.588123000000003</v>
      </c>
      <c r="L79" s="34">
        <v>5.0000000000000001E-3</v>
      </c>
      <c r="N79" s="90" t="s">
        <v>606</v>
      </c>
      <c r="O79" s="88" t="str">
        <f t="shared" si="130"/>
        <v/>
      </c>
      <c r="P79" s="88">
        <f t="shared" si="131"/>
        <v>7.1842806544862032</v>
      </c>
      <c r="Q79" s="88">
        <f t="shared" si="132"/>
        <v>5.8434723626350094</v>
      </c>
      <c r="R79" s="88">
        <f t="shared" si="133"/>
        <v>5.2550448537154599</v>
      </c>
      <c r="S79" s="88">
        <f t="shared" si="134"/>
        <v>4.9329910139018596</v>
      </c>
      <c r="T79" s="88">
        <f t="shared" si="135"/>
        <v>4.6899839576056719</v>
      </c>
      <c r="U79" s="88">
        <f t="shared" si="136"/>
        <v>4.7033862592529854</v>
      </c>
      <c r="V79" s="88">
        <f t="shared" si="137"/>
        <v>4.6610209829645308</v>
      </c>
      <c r="W79" s="88">
        <f t="shared" si="138"/>
        <v>4.6631166196954243</v>
      </c>
      <c r="X79" s="88">
        <f t="shared" si="139"/>
        <v>4.6496115153635591</v>
      </c>
      <c r="Y79" s="34">
        <v>5.0000000000000001E-3</v>
      </c>
      <c r="AA79" t="s">
        <v>606</v>
      </c>
      <c r="AB79" s="133">
        <f t="shared" si="154"/>
        <v>0.8441883023944714</v>
      </c>
      <c r="AC79" s="133">
        <f t="shared" si="140"/>
        <v>0.80260223143946008</v>
      </c>
      <c r="AD79" s="133">
        <f t="shared" si="141"/>
        <v>0.80489578239950421</v>
      </c>
      <c r="AE79" s="133">
        <f t="shared" si="142"/>
        <v>0.79764576500242512</v>
      </c>
      <c r="AF79" s="133">
        <f t="shared" si="143"/>
        <v>0.79800439367401665</v>
      </c>
      <c r="AG79" s="133">
        <f t="shared" si="144"/>
        <v>0.79569324997490021</v>
      </c>
      <c r="AH79" s="34"/>
    </row>
    <row r="80" spans="1:46" x14ac:dyDescent="0.35">
      <c r="A80" s="90" t="s">
        <v>607</v>
      </c>
      <c r="C80" s="130">
        <v>28.371236362828661</v>
      </c>
      <c r="D80" s="130">
        <v>35.120361000000003</v>
      </c>
      <c r="E80" s="88">
        <v>40.751553000000001</v>
      </c>
      <c r="F80" s="88">
        <v>43.094707</v>
      </c>
      <c r="G80" s="88">
        <v>44.979568</v>
      </c>
      <c r="H80" s="88">
        <v>45.533771999999999</v>
      </c>
      <c r="I80" s="88">
        <v>46.253211999999998</v>
      </c>
      <c r="J80" s="88">
        <v>46.349418999999997</v>
      </c>
      <c r="K80" s="88">
        <v>46.470618999999999</v>
      </c>
      <c r="L80" s="34">
        <v>5.0000000000000001E-3</v>
      </c>
      <c r="N80" s="90" t="s">
        <v>607</v>
      </c>
      <c r="O80" s="88" t="str">
        <f t="shared" si="130"/>
        <v/>
      </c>
      <c r="P80" s="88">
        <f t="shared" si="131"/>
        <v>8.2906192819147488</v>
      </c>
      <c r="Q80" s="88">
        <f t="shared" si="132"/>
        <v>6.6974003838237346</v>
      </c>
      <c r="R80" s="88">
        <f t="shared" si="133"/>
        <v>5.7719301946953561</v>
      </c>
      <c r="S80" s="88">
        <f t="shared" si="134"/>
        <v>5.4580976555062355</v>
      </c>
      <c r="T80" s="88">
        <f t="shared" si="135"/>
        <v>5.2293770193930751</v>
      </c>
      <c r="U80" s="88">
        <f t="shared" si="136"/>
        <v>5.1657288405939257</v>
      </c>
      <c r="V80" s="88">
        <f t="shared" si="137"/>
        <v>5.0853791352139641</v>
      </c>
      <c r="W80" s="88">
        <f t="shared" si="138"/>
        <v>5.0748234673972537</v>
      </c>
      <c r="X80" s="88">
        <f t="shared" si="139"/>
        <v>5.0615878226504396</v>
      </c>
      <c r="Y80" s="34">
        <v>5.0000000000000001E-3</v>
      </c>
      <c r="AA80" t="s">
        <v>607</v>
      </c>
      <c r="AB80" s="133">
        <f t="shared" si="154"/>
        <v>0.81495764665484327</v>
      </c>
      <c r="AC80" s="133">
        <f t="shared" si="140"/>
        <v>0.78080698774163426</v>
      </c>
      <c r="AD80" s="133">
        <f t="shared" si="141"/>
        <v>0.77130357221448742</v>
      </c>
      <c r="AE80" s="133">
        <f t="shared" si="142"/>
        <v>0.75930642395170311</v>
      </c>
      <c r="AF80" s="133">
        <f t="shared" si="143"/>
        <v>0.7577303396187125</v>
      </c>
      <c r="AG80" s="133">
        <f t="shared" si="144"/>
        <v>0.75575410346911887</v>
      </c>
      <c r="AH80" s="34"/>
    </row>
    <row r="81" spans="1:46" x14ac:dyDescent="0.35">
      <c r="A81" s="90" t="s">
        <v>608</v>
      </c>
      <c r="B81" s="132">
        <v>24.259278999999999</v>
      </c>
      <c r="C81" s="130">
        <v>25.412034999999999</v>
      </c>
      <c r="D81" s="130">
        <v>30.050283</v>
      </c>
      <c r="E81" s="88">
        <v>33.231014000000002</v>
      </c>
      <c r="F81" s="88">
        <v>35.64846</v>
      </c>
      <c r="G81" s="88">
        <v>38.430045999999997</v>
      </c>
      <c r="H81" s="88">
        <v>39.113742999999999</v>
      </c>
      <c r="I81" s="88">
        <v>40.128951999999998</v>
      </c>
      <c r="J81" s="88">
        <v>40.360100000000003</v>
      </c>
      <c r="K81" s="88">
        <v>40.452117999999999</v>
      </c>
      <c r="L81" s="34">
        <v>8.0000000000000002E-3</v>
      </c>
      <c r="N81" s="90" t="s">
        <v>608</v>
      </c>
      <c r="O81" s="88">
        <f t="shared" si="130"/>
        <v>9.6958825215468334</v>
      </c>
      <c r="P81" s="88">
        <f t="shared" si="131"/>
        <v>9.2560520730208395</v>
      </c>
      <c r="Q81" s="88">
        <f t="shared" si="132"/>
        <v>7.8273844955612608</v>
      </c>
      <c r="R81" s="88">
        <f t="shared" si="133"/>
        <v>7.0781806189070284</v>
      </c>
      <c r="S81" s="88">
        <f t="shared" si="134"/>
        <v>6.5981845847317988</v>
      </c>
      <c r="T81" s="88">
        <f t="shared" si="135"/>
        <v>6.1206046758681518</v>
      </c>
      <c r="U81" s="88">
        <f t="shared" si="136"/>
        <v>6.0136182630598185</v>
      </c>
      <c r="V81" s="88">
        <f t="shared" si="137"/>
        <v>5.8614817362144951</v>
      </c>
      <c r="W81" s="88">
        <f t="shared" si="138"/>
        <v>5.8279122014422198</v>
      </c>
      <c r="X81" s="88">
        <f t="shared" si="139"/>
        <v>5.814655223774146</v>
      </c>
      <c r="Y81" s="34">
        <v>8.0000000000000002E-3</v>
      </c>
      <c r="AA81" t="s">
        <v>608</v>
      </c>
      <c r="AB81" s="133">
        <f t="shared" si="154"/>
        <v>0.84296160339044102</v>
      </c>
      <c r="AC81" s="133">
        <f t="shared" si="140"/>
        <v>0.7819476198389147</v>
      </c>
      <c r="AD81" s="133">
        <f t="shared" si="141"/>
        <v>0.76827939990299576</v>
      </c>
      <c r="AE81" s="133">
        <f t="shared" si="142"/>
        <v>0.74884295508140863</v>
      </c>
      <c r="AF81" s="133">
        <f t="shared" si="143"/>
        <v>0.74455422558417839</v>
      </c>
      <c r="AG81" s="133">
        <f t="shared" si="144"/>
        <v>0.74286055924191663</v>
      </c>
      <c r="AH81" s="34"/>
    </row>
    <row r="82" spans="1:46" x14ac:dyDescent="0.35">
      <c r="A82" s="90" t="s">
        <v>609</v>
      </c>
      <c r="B82" s="132">
        <v>26.653551</v>
      </c>
      <c r="C82" s="130">
        <v>23.580036</v>
      </c>
      <c r="D82" s="130">
        <v>27.920931</v>
      </c>
      <c r="E82" s="88">
        <v>27.235937</v>
      </c>
      <c r="F82" s="88">
        <v>28.622596999999999</v>
      </c>
      <c r="G82" s="88">
        <v>30.355566</v>
      </c>
      <c r="H82" s="88">
        <v>30.904540999999998</v>
      </c>
      <c r="I82" s="88">
        <v>31.356853000000001</v>
      </c>
      <c r="J82" s="88">
        <v>31.399977</v>
      </c>
      <c r="K82" s="88">
        <v>31.402343999999999</v>
      </c>
      <c r="L82" s="34">
        <v>6.0000000000000001E-3</v>
      </c>
      <c r="N82" s="90" t="s">
        <v>609</v>
      </c>
      <c r="O82" s="88">
        <f t="shared" si="130"/>
        <v>8.8249073919429399</v>
      </c>
      <c r="P82" s="88">
        <f t="shared" si="131"/>
        <v>9.9751806672995809</v>
      </c>
      <c r="Q82" s="88">
        <f t="shared" si="132"/>
        <v>8.4243293764605536</v>
      </c>
      <c r="R82" s="88">
        <f t="shared" si="133"/>
        <v>8.6362044104239235</v>
      </c>
      <c r="S82" s="88">
        <f t="shared" si="134"/>
        <v>8.217811935144395</v>
      </c>
      <c r="T82" s="88">
        <f t="shared" si="135"/>
        <v>7.7486652445033686</v>
      </c>
      <c r="U82" s="88">
        <f t="shared" si="136"/>
        <v>7.6110212813524125</v>
      </c>
      <c r="V82" s="88">
        <f t="shared" si="137"/>
        <v>7.5012348733282685</v>
      </c>
      <c r="W82" s="88">
        <f t="shared" si="138"/>
        <v>7.4909328513657236</v>
      </c>
      <c r="X82" s="88">
        <f t="shared" si="139"/>
        <v>7.4903682107752259</v>
      </c>
      <c r="Y82" s="34">
        <v>6.0000000000000001E-3</v>
      </c>
      <c r="AA82" t="s">
        <v>609</v>
      </c>
      <c r="AB82" s="133">
        <f t="shared" si="154"/>
        <v>0.97548559272940893</v>
      </c>
      <c r="AC82" s="133">
        <f t="shared" si="140"/>
        <v>0.91979609274951424</v>
      </c>
      <c r="AD82" s="133">
        <f t="shared" si="141"/>
        <v>0.90345722979674736</v>
      </c>
      <c r="AE82" s="133">
        <f t="shared" si="142"/>
        <v>0.89042516479571465</v>
      </c>
      <c r="AF82" s="133">
        <f t="shared" si="143"/>
        <v>0.88920227553032916</v>
      </c>
      <c r="AG82" s="133">
        <f t="shared" si="144"/>
        <v>0.88913525054053288</v>
      </c>
      <c r="AH82" s="34"/>
    </row>
    <row r="83" spans="1:46" x14ac:dyDescent="0.35">
      <c r="A83" s="90" t="s">
        <v>610</v>
      </c>
      <c r="B83" s="132">
        <v>26.727423000000002</v>
      </c>
      <c r="C83" s="130">
        <v>32.763702000000002</v>
      </c>
      <c r="D83" s="130">
        <v>33.274700000000003</v>
      </c>
      <c r="E83" s="88">
        <v>40.064259</v>
      </c>
      <c r="F83" s="88">
        <v>43.694217999999999</v>
      </c>
      <c r="G83" s="88">
        <v>48.326931000000002</v>
      </c>
      <c r="H83" s="88">
        <v>48.614952000000002</v>
      </c>
      <c r="I83" s="88">
        <v>49.098376999999999</v>
      </c>
      <c r="J83" s="88">
        <v>49.109631</v>
      </c>
      <c r="K83" s="88">
        <v>49.114887000000003</v>
      </c>
      <c r="L83" s="34">
        <v>8.9999999999999993E-3</v>
      </c>
      <c r="N83" s="90" t="s">
        <v>610</v>
      </c>
      <c r="O83" s="88">
        <f t="shared" si="130"/>
        <v>8.800516205450414</v>
      </c>
      <c r="P83" s="88">
        <f t="shared" si="131"/>
        <v>7.1791374259669478</v>
      </c>
      <c r="Q83" s="88">
        <f t="shared" si="132"/>
        <v>7.0688877507964945</v>
      </c>
      <c r="R83" s="88">
        <f t="shared" si="133"/>
        <v>5.8709464523336905</v>
      </c>
      <c r="S83" s="88">
        <f t="shared" si="134"/>
        <v>5.3832092667599207</v>
      </c>
      <c r="T83" s="88">
        <f t="shared" si="135"/>
        <v>4.8671644231128219</v>
      </c>
      <c r="U83" s="88">
        <f t="shared" si="136"/>
        <v>4.8383287356002764</v>
      </c>
      <c r="V83" s="88">
        <f t="shared" si="137"/>
        <v>4.7906903163301742</v>
      </c>
      <c r="W83" s="88">
        <f t="shared" si="138"/>
        <v>4.7895924781317971</v>
      </c>
      <c r="X83" s="88">
        <f t="shared" si="139"/>
        <v>4.7890799227824372</v>
      </c>
      <c r="Y83" s="34">
        <v>8.9999999999999993E-3</v>
      </c>
      <c r="AA83" t="s">
        <v>610</v>
      </c>
      <c r="AB83" s="133">
        <f t="shared" si="154"/>
        <v>0.76153554229989884</v>
      </c>
      <c r="AC83" s="133">
        <f t="shared" si="140"/>
        <v>0.68853327350747773</v>
      </c>
      <c r="AD83" s="133">
        <f t="shared" si="141"/>
        <v>0.68445403381247816</v>
      </c>
      <c r="AE83" s="133">
        <f t="shared" si="142"/>
        <v>0.6777148662164536</v>
      </c>
      <c r="AF83" s="133">
        <f t="shared" si="143"/>
        <v>0.67755956056766142</v>
      </c>
      <c r="AG83" s="133">
        <f t="shared" si="144"/>
        <v>0.67748705194007675</v>
      </c>
      <c r="AH83" s="34"/>
    </row>
    <row r="84" spans="1:46" x14ac:dyDescent="0.35">
      <c r="A84" s="90" t="s">
        <v>611</v>
      </c>
      <c r="B84" s="132">
        <v>26.52083</v>
      </c>
      <c r="C84" s="130">
        <v>27.046619</v>
      </c>
      <c r="D84" s="130">
        <v>29.479265000000002</v>
      </c>
      <c r="E84" s="88">
        <v>34.529983999999999</v>
      </c>
      <c r="F84" s="88">
        <v>36.389294</v>
      </c>
      <c r="G84" s="88">
        <v>39.281756999999999</v>
      </c>
      <c r="H84" s="88">
        <v>40.179329000000003</v>
      </c>
      <c r="I84" s="88">
        <v>40.952637000000003</v>
      </c>
      <c r="J84" s="88">
        <v>41.055706000000001</v>
      </c>
      <c r="K84" s="88">
        <v>41.169960000000003</v>
      </c>
      <c r="L84" s="34">
        <v>8.0000000000000002E-3</v>
      </c>
      <c r="N84" s="90" t="s">
        <v>611</v>
      </c>
      <c r="O84" s="88">
        <f t="shared" si="130"/>
        <v>8.8690708111860808</v>
      </c>
      <c r="P84" s="88">
        <f t="shared" si="131"/>
        <v>8.6966551805025301</v>
      </c>
      <c r="Q84" s="88">
        <f t="shared" si="132"/>
        <v>7.9790021644511198</v>
      </c>
      <c r="R84" s="88">
        <f t="shared" si="133"/>
        <v>6.8119093029822473</v>
      </c>
      <c r="S84" s="88">
        <f t="shared" si="134"/>
        <v>6.4638549800231946</v>
      </c>
      <c r="T84" s="88">
        <f t="shared" si="135"/>
        <v>5.9878971106467604</v>
      </c>
      <c r="U84" s="88">
        <f t="shared" si="136"/>
        <v>5.8541325874662595</v>
      </c>
      <c r="V84" s="88">
        <f t="shared" si="137"/>
        <v>5.7435890939435259</v>
      </c>
      <c r="W84" s="88">
        <f t="shared" si="138"/>
        <v>5.7291700023725847</v>
      </c>
      <c r="X84" s="88">
        <f t="shared" si="139"/>
        <v>5.7132705312666836</v>
      </c>
      <c r="Y84" s="34">
        <v>8.0000000000000002E-3</v>
      </c>
      <c r="AA84" t="s">
        <v>611</v>
      </c>
      <c r="AB84" s="133">
        <f t="shared" si="154"/>
        <v>0.81010818731465362</v>
      </c>
      <c r="AC84" s="133">
        <f t="shared" si="140"/>
        <v>0.75045688511336195</v>
      </c>
      <c r="AD84" s="133">
        <f t="shared" si="141"/>
        <v>0.73369231726094775</v>
      </c>
      <c r="AE84" s="133">
        <f t="shared" si="142"/>
        <v>0.71983801678021364</v>
      </c>
      <c r="AF84" s="133">
        <f t="shared" si="143"/>
        <v>0.71803088710738527</v>
      </c>
      <c r="AG84" s="133">
        <f t="shared" si="144"/>
        <v>0.71603822301503328</v>
      </c>
      <c r="AH84" s="34"/>
    </row>
    <row r="85" spans="1:46" x14ac:dyDescent="0.35">
      <c r="A85" s="90" t="s">
        <v>612</v>
      </c>
      <c r="B85" s="132">
        <v>29.315994</v>
      </c>
      <c r="C85" s="130">
        <v>33.548630000000003</v>
      </c>
      <c r="D85" s="130">
        <v>26.453655000000001</v>
      </c>
      <c r="E85" s="88">
        <v>31.614540000000002</v>
      </c>
      <c r="F85" s="88">
        <v>34.519694999999999</v>
      </c>
      <c r="G85" s="88">
        <v>36.915218000000003</v>
      </c>
      <c r="H85" s="88">
        <v>37.936947000000004</v>
      </c>
      <c r="I85" s="88">
        <v>38.695315999999998</v>
      </c>
      <c r="J85" s="88">
        <v>38.795493999999998</v>
      </c>
      <c r="K85" s="88">
        <v>38.846611000000003</v>
      </c>
      <c r="L85" s="34">
        <v>8.9999999999999993E-3</v>
      </c>
      <c r="N85" s="90" t="s">
        <v>612</v>
      </c>
      <c r="O85" s="88">
        <f t="shared" si="130"/>
        <v>8.0234400116683116</v>
      </c>
      <c r="P85" s="88">
        <f t="shared" si="131"/>
        <v>7.0111691369044911</v>
      </c>
      <c r="Q85" s="88">
        <f t="shared" si="132"/>
        <v>8.891592456370514</v>
      </c>
      <c r="R85" s="88">
        <f t="shared" si="133"/>
        <v>7.4400930471051652</v>
      </c>
      <c r="S85" s="88">
        <f t="shared" si="134"/>
        <v>6.8139396724515713</v>
      </c>
      <c r="T85" s="88">
        <f t="shared" si="135"/>
        <v>6.3717656832319971</v>
      </c>
      <c r="U85" s="88">
        <f t="shared" si="136"/>
        <v>6.200159418242805</v>
      </c>
      <c r="V85" s="88">
        <f t="shared" si="137"/>
        <v>6.0786457782494434</v>
      </c>
      <c r="W85" s="88">
        <f t="shared" si="138"/>
        <v>6.0629494559710508</v>
      </c>
      <c r="X85" s="88">
        <f t="shared" si="139"/>
        <v>6.0549714167196758</v>
      </c>
      <c r="Y85" s="34">
        <v>8.9999999999999993E-3</v>
      </c>
      <c r="AA85" t="s">
        <v>612</v>
      </c>
      <c r="AB85" s="133">
        <f t="shared" si="154"/>
        <v>0.76633513129244046</v>
      </c>
      <c r="AC85" s="133">
        <f t="shared" si="140"/>
        <v>0.7166056827837235</v>
      </c>
      <c r="AD85" s="133">
        <f t="shared" si="141"/>
        <v>0.69730584804306994</v>
      </c>
      <c r="AE85" s="133">
        <f t="shared" si="142"/>
        <v>0.68363972011496177</v>
      </c>
      <c r="AF85" s="133">
        <f t="shared" si="143"/>
        <v>0.68187442077680471</v>
      </c>
      <c r="AG85" s="133">
        <f t="shared" si="144"/>
        <v>0.68097716426279753</v>
      </c>
      <c r="AH85" s="34"/>
    </row>
    <row r="86" spans="1:46" x14ac:dyDescent="0.35">
      <c r="A86" s="90" t="s">
        <v>613</v>
      </c>
      <c r="B86" s="132">
        <v>24.654592999999998</v>
      </c>
      <c r="C86" s="130">
        <v>25.641940999999999</v>
      </c>
      <c r="D86" s="130">
        <v>25.906466999999999</v>
      </c>
      <c r="E86" s="88">
        <v>25.816472999999998</v>
      </c>
      <c r="F86" s="88">
        <v>27.790624999999999</v>
      </c>
      <c r="G86" s="88">
        <v>29.888603</v>
      </c>
      <c r="H86" s="88">
        <v>30.766565</v>
      </c>
      <c r="I86" s="88">
        <v>31.235123000000002</v>
      </c>
      <c r="J86" s="88">
        <v>31.286016</v>
      </c>
      <c r="K86" s="88">
        <v>31.331823</v>
      </c>
      <c r="L86" s="34">
        <v>8.9999999999999993E-3</v>
      </c>
      <c r="N86" s="90" t="s">
        <v>613</v>
      </c>
      <c r="O86" s="88">
        <f t="shared" si="130"/>
        <v>9.5404178540456197</v>
      </c>
      <c r="P86" s="88">
        <f t="shared" si="131"/>
        <v>9.1730621812688895</v>
      </c>
      <c r="Q86" s="88">
        <f t="shared" si="132"/>
        <v>9.0793977905759267</v>
      </c>
      <c r="R86" s="88">
        <f t="shared" si="133"/>
        <v>9.1110477888063244</v>
      </c>
      <c r="S86" s="88">
        <f t="shared" si="134"/>
        <v>8.4638297714221302</v>
      </c>
      <c r="T86" s="88">
        <f t="shared" si="135"/>
        <v>7.869726104007877</v>
      </c>
      <c r="U86" s="88">
        <f t="shared" si="136"/>
        <v>7.6451537323529015</v>
      </c>
      <c r="V86" s="88">
        <f t="shared" si="137"/>
        <v>7.5304688008248961</v>
      </c>
      <c r="W86" s="88">
        <f t="shared" si="138"/>
        <v>7.5182189781347724</v>
      </c>
      <c r="X86" s="88">
        <f t="shared" si="139"/>
        <v>7.5072273720373097</v>
      </c>
      <c r="Y86" s="34">
        <v>8.9999999999999993E-3</v>
      </c>
      <c r="AA86" t="s">
        <v>613</v>
      </c>
      <c r="AB86" s="133">
        <f t="shared" si="154"/>
        <v>0.9322016687282132</v>
      </c>
      <c r="AC86" s="133">
        <f t="shared" si="140"/>
        <v>0.8667674096377137</v>
      </c>
      <c r="AD86" s="133">
        <f t="shared" si="141"/>
        <v>0.84203312914522632</v>
      </c>
      <c r="AE86" s="133">
        <f t="shared" si="142"/>
        <v>0.82940179233486599</v>
      </c>
      <c r="AF86" s="133">
        <f t="shared" si="143"/>
        <v>0.82805260343790654</v>
      </c>
      <c r="AG86" s="133">
        <f t="shared" si="144"/>
        <v>0.82684199384121371</v>
      </c>
      <c r="AH86" s="34"/>
    </row>
    <row r="87" spans="1:46" x14ac:dyDescent="0.35">
      <c r="A87" s="90" t="s">
        <v>614</v>
      </c>
      <c r="B87" s="132">
        <v>23.583313442264444</v>
      </c>
      <c r="C87" s="130">
        <v>29.303683542368546</v>
      </c>
      <c r="D87" s="130">
        <v>37.307322999999997</v>
      </c>
      <c r="E87" s="88">
        <v>43.144607999999998</v>
      </c>
      <c r="F87" s="88">
        <v>45.065300000000001</v>
      </c>
      <c r="G87" s="88">
        <v>48.059513000000003</v>
      </c>
      <c r="H87" s="88">
        <v>48.532989999999998</v>
      </c>
      <c r="I87" s="88">
        <v>49.388409000000003</v>
      </c>
      <c r="J87" s="88">
        <v>49.469372</v>
      </c>
      <c r="K87" s="88">
        <v>49.575507999999999</v>
      </c>
      <c r="L87" s="34">
        <v>6.0000000000000001E-3</v>
      </c>
      <c r="N87" s="90" t="s">
        <v>614</v>
      </c>
      <c r="O87" s="88">
        <f t="shared" si="130"/>
        <v>9.9737943871742498</v>
      </c>
      <c r="P87" s="88">
        <f t="shared" si="131"/>
        <v>8.0268106533891501</v>
      </c>
      <c r="Q87" s="88">
        <f t="shared" si="132"/>
        <v>6.3047975659209898</v>
      </c>
      <c r="R87" s="88">
        <f t="shared" si="133"/>
        <v>5.4517848265402744</v>
      </c>
      <c r="S87" s="88">
        <f t="shared" si="134"/>
        <v>5.2194286788599689</v>
      </c>
      <c r="T87" s="88">
        <f t="shared" si="135"/>
        <v>4.8942468318692312</v>
      </c>
      <c r="U87" s="88">
        <f t="shared" si="136"/>
        <v>4.8464996539761538</v>
      </c>
      <c r="V87" s="88">
        <f t="shared" si="137"/>
        <v>4.7625571263376418</v>
      </c>
      <c r="W87" s="88">
        <f t="shared" si="138"/>
        <v>4.7547625880803208</v>
      </c>
      <c r="X87" s="88">
        <f t="shared" si="139"/>
        <v>4.7445831365243532</v>
      </c>
      <c r="Y87" s="34">
        <v>6.0000000000000001E-3</v>
      </c>
      <c r="AA87" t="s">
        <v>614</v>
      </c>
      <c r="AB87" s="133">
        <f t="shared" si="154"/>
        <v>0.82785031942536713</v>
      </c>
      <c r="AC87" s="133">
        <f t="shared" si="140"/>
        <v>0.77627342998669158</v>
      </c>
      <c r="AD87" s="133">
        <f t="shared" si="141"/>
        <v>0.76870027995390344</v>
      </c>
      <c r="AE87" s="133">
        <f t="shared" si="142"/>
        <v>0.75538620812830792</v>
      </c>
      <c r="AF87" s="133">
        <f t="shared" si="143"/>
        <v>0.7541499212886712</v>
      </c>
      <c r="AG87" s="133">
        <f t="shared" si="144"/>
        <v>0.75253536484184891</v>
      </c>
      <c r="AH87" s="34"/>
    </row>
    <row r="88" spans="1:46" x14ac:dyDescent="0.35">
      <c r="A88" s="90" t="s">
        <v>615</v>
      </c>
      <c r="B88" s="132">
        <v>20.286165447267958</v>
      </c>
      <c r="C88" s="130">
        <v>25.307782258522142</v>
      </c>
      <c r="D88" s="130">
        <v>31.422329000000001</v>
      </c>
      <c r="E88" s="88">
        <v>33.47551</v>
      </c>
      <c r="F88" s="88">
        <v>35.663746000000003</v>
      </c>
      <c r="G88" s="88">
        <v>38.037005999999998</v>
      </c>
      <c r="H88" s="88">
        <v>38.805244000000002</v>
      </c>
      <c r="I88" s="88">
        <v>39.581429</v>
      </c>
      <c r="J88" s="88">
        <v>39.590339999999998</v>
      </c>
      <c r="K88" s="88">
        <v>39.532508999999997</v>
      </c>
      <c r="L88" s="34">
        <v>7.0000000000000001E-3</v>
      </c>
      <c r="N88" s="90" t="s">
        <v>615</v>
      </c>
      <c r="O88" s="88">
        <f t="shared" si="130"/>
        <v>11.594853638202274</v>
      </c>
      <c r="P88" s="88">
        <f t="shared" si="131"/>
        <v>9.2941814039126953</v>
      </c>
      <c r="Q88" s="88">
        <f t="shared" si="132"/>
        <v>7.485604241538816</v>
      </c>
      <c r="R88" s="88">
        <f t="shared" si="133"/>
        <v>7.0264835170973692</v>
      </c>
      <c r="S88" s="88">
        <f t="shared" si="134"/>
        <v>6.5953565068971756</v>
      </c>
      <c r="T88" s="88">
        <f t="shared" si="135"/>
        <v>6.1838494660023491</v>
      </c>
      <c r="U88" s="88">
        <f t="shared" si="136"/>
        <v>6.0614261114149448</v>
      </c>
      <c r="V88" s="88">
        <f t="shared" si="137"/>
        <v>5.9425625901841022</v>
      </c>
      <c r="W88" s="88">
        <f t="shared" si="138"/>
        <v>5.9412250372547488</v>
      </c>
      <c r="X88" s="88">
        <f t="shared" si="139"/>
        <v>5.9499162889314245</v>
      </c>
      <c r="Y88" s="34">
        <v>7.0000000000000001E-3</v>
      </c>
      <c r="AA88" t="s">
        <v>615</v>
      </c>
      <c r="AB88" s="133">
        <f t="shared" si="154"/>
        <v>0.88107202759911984</v>
      </c>
      <c r="AC88" s="133">
        <f t="shared" si="140"/>
        <v>0.82609890484019699</v>
      </c>
      <c r="AD88" s="133">
        <f t="shared" si="141"/>
        <v>0.80974439949404775</v>
      </c>
      <c r="AE88" s="133">
        <f t="shared" si="142"/>
        <v>0.79386545139641118</v>
      </c>
      <c r="AF88" s="133">
        <f t="shared" si="143"/>
        <v>0.79368676803482874</v>
      </c>
      <c r="AG88" s="133">
        <f t="shared" si="144"/>
        <v>0.79484783017440164</v>
      </c>
      <c r="AH88" s="34"/>
    </row>
    <row r="89" spans="1:46" x14ac:dyDescent="0.35">
      <c r="A89" t="s">
        <v>278</v>
      </c>
      <c r="L89" s="34"/>
      <c r="N89" t="s">
        <v>278</v>
      </c>
      <c r="O89" s="88"/>
      <c r="P89" s="88"/>
      <c r="Q89" s="88"/>
      <c r="R89" s="88"/>
      <c r="S89" s="88"/>
      <c r="T89" s="88"/>
      <c r="U89" s="88"/>
      <c r="V89" s="88"/>
      <c r="W89" s="88"/>
      <c r="X89" s="88"/>
      <c r="Y89" s="34"/>
      <c r="AA89" t="s">
        <v>278</v>
      </c>
      <c r="AB89" s="88"/>
      <c r="AC89" s="88"/>
      <c r="AD89" s="88"/>
      <c r="AE89" s="88"/>
      <c r="AF89" s="88"/>
      <c r="AG89" s="88"/>
      <c r="AH89" s="34"/>
      <c r="AI89" t="s">
        <v>32</v>
      </c>
      <c r="AJ89" t="s">
        <v>240</v>
      </c>
      <c r="AK89" s="88">
        <f>AVERAGE(O90:O97)</f>
        <v>6.6715115132563136</v>
      </c>
      <c r="AL89" s="88">
        <f t="shared" ref="AL89" si="155">AVERAGE(P90:P97)</f>
        <v>6.5020245849091038</v>
      </c>
      <c r="AM89" s="88">
        <f t="shared" ref="AM89" si="156">AVERAGE(Q90:Q97)</f>
        <v>5.3528653928421388</v>
      </c>
      <c r="AN89" s="88">
        <f t="shared" ref="AN89" si="157">AVERAGE(R90:R97)</f>
        <v>4.7364689721336246</v>
      </c>
      <c r="AO89" s="88">
        <f t="shared" ref="AO89" si="158">AVERAGE(S90:S97)</f>
        <v>4.5407739105281042</v>
      </c>
      <c r="AP89" s="88">
        <f t="shared" ref="AP89" si="159">AVERAGE(T90:T97)</f>
        <v>4.3298526575921503</v>
      </c>
      <c r="AQ89" s="88">
        <f t="shared" ref="AQ89" si="160">AVERAGE(U90:U97)</f>
        <v>4.3693393571066625</v>
      </c>
      <c r="AR89" s="88">
        <f t="shared" ref="AR89" si="161">AVERAGE(V90:V97)</f>
        <v>4.3567400951359527</v>
      </c>
      <c r="AS89" s="88">
        <f t="shared" ref="AS89" si="162">AVERAGE(W90:W97)</f>
        <v>4.3694289847349541</v>
      </c>
      <c r="AT89" s="88">
        <f t="shared" ref="AT89" si="163">AVERAGE(X90:X97)</f>
        <v>4.3720220448714286</v>
      </c>
    </row>
    <row r="90" spans="1:46" x14ac:dyDescent="0.35">
      <c r="A90" s="90" t="s">
        <v>600</v>
      </c>
      <c r="B90" s="132">
        <v>0</v>
      </c>
      <c r="C90" s="130">
        <v>0</v>
      </c>
      <c r="D90" s="130">
        <v>0</v>
      </c>
      <c r="E90" s="88">
        <v>0</v>
      </c>
      <c r="F90" s="88">
        <v>0</v>
      </c>
      <c r="G90" s="88">
        <v>0</v>
      </c>
      <c r="H90" s="88">
        <v>0</v>
      </c>
      <c r="I90" s="88">
        <v>0</v>
      </c>
      <c r="J90" s="88">
        <v>0</v>
      </c>
      <c r="K90" s="88">
        <v>0</v>
      </c>
      <c r="L90" s="34" t="s">
        <v>279</v>
      </c>
      <c r="N90" s="90" t="s">
        <v>600</v>
      </c>
      <c r="O90" s="88" t="str">
        <f t="shared" ref="O90:O105" si="164">IFERROR(L_100km_to_mpg/B90, "")</f>
        <v/>
      </c>
      <c r="P90" s="88" t="str">
        <f t="shared" ref="P90:P105" si="165">IFERROR(L_100km_to_mpg/C90, "")</f>
        <v/>
      </c>
      <c r="Q90" s="88" t="str">
        <f t="shared" ref="Q90:Q105" si="166">IFERROR(L_100km_to_mpg/D90, "")</f>
        <v/>
      </c>
      <c r="R90" s="88" t="str">
        <f t="shared" ref="R90:R105" si="167">IFERROR(L_100km_to_mpg/E90, "")</f>
        <v/>
      </c>
      <c r="S90" s="88" t="str">
        <f t="shared" ref="S90:S105" si="168">IFERROR(L_100km_to_mpg/F90, "")</f>
        <v/>
      </c>
      <c r="T90" s="88" t="str">
        <f t="shared" ref="T90:T105" si="169">IFERROR(L_100km_to_mpg/G90, "")</f>
        <v/>
      </c>
      <c r="U90" s="88" t="str">
        <f t="shared" ref="U90:U105" si="170">IFERROR(L_100km_to_mpg/H90, "")</f>
        <v/>
      </c>
      <c r="V90" s="88" t="str">
        <f t="shared" ref="V90:V105" si="171">IFERROR(L_100km_to_mpg/I90, "")</f>
        <v/>
      </c>
      <c r="W90" s="88" t="str">
        <f t="shared" ref="W90:W105" si="172">IFERROR(L_100km_to_mpg/J90, "")</f>
        <v/>
      </c>
      <c r="X90" s="88" t="str">
        <f t="shared" ref="X90:X105" si="173">IFERROR(L_100km_to_mpg/K90, "")</f>
        <v/>
      </c>
      <c r="Y90" s="34" t="s">
        <v>279</v>
      </c>
      <c r="AA90" s="90" t="s">
        <v>600</v>
      </c>
      <c r="AB90" s="133" t="str">
        <f>IFERROR($D90/F90, "")</f>
        <v/>
      </c>
      <c r="AC90" s="133" t="str">
        <f t="shared" ref="AC90:AC105" si="174">IFERROR($D90/G90, "")</f>
        <v/>
      </c>
      <c r="AD90" s="133" t="str">
        <f t="shared" ref="AD90:AD105" si="175">IFERROR($D90/H90, "")</f>
        <v/>
      </c>
      <c r="AE90" s="133" t="str">
        <f t="shared" ref="AE90:AE105" si="176">IFERROR($D90/I90, "")</f>
        <v/>
      </c>
      <c r="AF90" s="133" t="str">
        <f t="shared" ref="AF90:AF105" si="177">IFERROR($D90/J90, "")</f>
        <v/>
      </c>
      <c r="AG90" s="133" t="str">
        <f t="shared" ref="AG90:AG105" si="178">IFERROR($D90/K90, "")</f>
        <v/>
      </c>
      <c r="AH90" s="34"/>
      <c r="AI90" t="s">
        <v>256</v>
      </c>
      <c r="AJ90" t="s">
        <v>240</v>
      </c>
      <c r="AK90" s="88">
        <f>AVERAGE(O98:O105)</f>
        <v>8.2735734528422231</v>
      </c>
      <c r="AL90" s="88">
        <f t="shared" ref="AL90" si="179">AVERAGE(P98:P105)</f>
        <v>8.7308122200655536</v>
      </c>
      <c r="AM90" s="88">
        <f t="shared" ref="AM90" si="180">AVERAGE(Q98:Q105)</f>
        <v>7.7051204776624953</v>
      </c>
      <c r="AN90" s="88">
        <f t="shared" ref="AN90" si="181">AVERAGE(R98:R105)</f>
        <v>7.256210248496096</v>
      </c>
      <c r="AO90" s="88">
        <f t="shared" ref="AO90" si="182">AVERAGE(S98:S105)</f>
        <v>6.8901423676825191</v>
      </c>
      <c r="AP90" s="88">
        <f t="shared" ref="AP90" si="183">AVERAGE(T98:T105)</f>
        <v>6.449063174141795</v>
      </c>
      <c r="AQ90" s="88">
        <f t="shared" ref="AQ90" si="184">AVERAGE(U98:U105)</f>
        <v>6.3302216541144407</v>
      </c>
      <c r="AR90" s="88">
        <f t="shared" ref="AR90" si="185">AVERAGE(V98:V105)</f>
        <v>6.2274560338798546</v>
      </c>
      <c r="AS90" s="88">
        <f t="shared" ref="AS90" si="186">AVERAGE(W98:W105)</f>
        <v>6.2138747799314196</v>
      </c>
      <c r="AT90" s="88">
        <f t="shared" ref="AT90" si="187">AVERAGE(X98:X105)</f>
        <v>6.2053635909405962</v>
      </c>
    </row>
    <row r="91" spans="1:46" x14ac:dyDescent="0.35">
      <c r="A91" s="90" t="s">
        <v>601</v>
      </c>
      <c r="B91" s="132">
        <v>0</v>
      </c>
      <c r="C91" s="130">
        <v>0</v>
      </c>
      <c r="D91" s="130">
        <v>0</v>
      </c>
      <c r="E91" s="88">
        <v>0</v>
      </c>
      <c r="F91" s="88">
        <v>0</v>
      </c>
      <c r="G91" s="88">
        <v>0</v>
      </c>
      <c r="H91" s="88">
        <v>0</v>
      </c>
      <c r="I91" s="88">
        <v>0</v>
      </c>
      <c r="J91" s="88">
        <v>0</v>
      </c>
      <c r="K91" s="88">
        <v>0</v>
      </c>
      <c r="L91" s="34" t="s">
        <v>279</v>
      </c>
      <c r="N91" s="90" t="s">
        <v>601</v>
      </c>
      <c r="O91" s="88" t="str">
        <f t="shared" si="164"/>
        <v/>
      </c>
      <c r="P91" s="88" t="str">
        <f t="shared" si="165"/>
        <v/>
      </c>
      <c r="Q91" s="88" t="str">
        <f t="shared" si="166"/>
        <v/>
      </c>
      <c r="R91" s="88" t="str">
        <f t="shared" si="167"/>
        <v/>
      </c>
      <c r="S91" s="88" t="str">
        <f t="shared" si="168"/>
        <v/>
      </c>
      <c r="T91" s="88" t="str">
        <f t="shared" si="169"/>
        <v/>
      </c>
      <c r="U91" s="88" t="str">
        <f t="shared" si="170"/>
        <v/>
      </c>
      <c r="V91" s="88" t="str">
        <f t="shared" si="171"/>
        <v/>
      </c>
      <c r="W91" s="88" t="str">
        <f t="shared" si="172"/>
        <v/>
      </c>
      <c r="X91" s="88" t="str">
        <f t="shared" si="173"/>
        <v/>
      </c>
      <c r="Y91" s="34" t="s">
        <v>279</v>
      </c>
      <c r="AA91" s="90" t="s">
        <v>601</v>
      </c>
      <c r="AB91" s="133" t="str">
        <f t="shared" ref="AB91:AB105" si="188">IFERROR($D91/F91, "")</f>
        <v/>
      </c>
      <c r="AC91" s="133" t="str">
        <f t="shared" si="174"/>
        <v/>
      </c>
      <c r="AD91" s="133" t="str">
        <f t="shared" si="175"/>
        <v/>
      </c>
      <c r="AE91" s="133" t="str">
        <f t="shared" si="176"/>
        <v/>
      </c>
      <c r="AF91" s="133" t="str">
        <f t="shared" si="177"/>
        <v/>
      </c>
      <c r="AG91" s="133" t="str">
        <f t="shared" si="178"/>
        <v/>
      </c>
      <c r="AH91" s="34"/>
    </row>
    <row r="92" spans="1:46" x14ac:dyDescent="0.35">
      <c r="A92" s="90" t="s">
        <v>602</v>
      </c>
      <c r="B92" s="132">
        <v>37.912067</v>
      </c>
      <c r="C92" s="130">
        <v>42.324108000000003</v>
      </c>
      <c r="D92" s="130">
        <v>45.945014999999998</v>
      </c>
      <c r="E92" s="88">
        <v>53.318775000000002</v>
      </c>
      <c r="F92" s="88">
        <v>55.930008000000001</v>
      </c>
      <c r="G92" s="88">
        <v>58.449905000000001</v>
      </c>
      <c r="H92" s="88">
        <v>57.944381999999997</v>
      </c>
      <c r="I92" s="88">
        <v>57.995426000000002</v>
      </c>
      <c r="J92" s="88">
        <v>57.780853</v>
      </c>
      <c r="K92" s="88">
        <v>57.669262000000003</v>
      </c>
      <c r="L92" s="34">
        <v>3.0000000000000001E-3</v>
      </c>
      <c r="N92" s="90" t="s">
        <v>602</v>
      </c>
      <c r="O92" s="88">
        <f t="shared" si="164"/>
        <v>6.2042283065554864</v>
      </c>
      <c r="P92" s="88">
        <f t="shared" si="165"/>
        <v>5.5574737509276773</v>
      </c>
      <c r="Q92" s="88">
        <f t="shared" si="166"/>
        <v>5.1194916193068636</v>
      </c>
      <c r="R92" s="88">
        <f t="shared" si="167"/>
        <v>4.4114876840555342</v>
      </c>
      <c r="S92" s="88">
        <f t="shared" si="168"/>
        <v>4.2055262935315181</v>
      </c>
      <c r="T92" s="88">
        <f t="shared" si="169"/>
        <v>4.0242173061090201</v>
      </c>
      <c r="U92" s="88">
        <f t="shared" si="170"/>
        <v>4.0593257037658654</v>
      </c>
      <c r="V92" s="88">
        <f t="shared" si="171"/>
        <v>4.0557529354371518</v>
      </c>
      <c r="W92" s="88">
        <f t="shared" si="172"/>
        <v>4.0708142408598249</v>
      </c>
      <c r="X92" s="88">
        <f t="shared" si="173"/>
        <v>4.0786913354540264</v>
      </c>
      <c r="Y92" s="34">
        <v>3.0000000000000001E-3</v>
      </c>
      <c r="AA92" s="90" t="s">
        <v>602</v>
      </c>
      <c r="AB92" s="133">
        <f t="shared" si="188"/>
        <v>0.8214734208512896</v>
      </c>
      <c r="AC92" s="133">
        <f t="shared" si="174"/>
        <v>0.78605799273754162</v>
      </c>
      <c r="AD92" s="133">
        <f t="shared" si="175"/>
        <v>0.79291578258613582</v>
      </c>
      <c r="AE92" s="133">
        <f t="shared" si="176"/>
        <v>0.79221790697769845</v>
      </c>
      <c r="AF92" s="133">
        <f t="shared" si="177"/>
        <v>0.79515986030874275</v>
      </c>
      <c r="AG92" s="133">
        <f t="shared" si="178"/>
        <v>0.79669850812379039</v>
      </c>
      <c r="AH92" s="34"/>
    </row>
    <row r="93" spans="1:46" x14ac:dyDescent="0.35">
      <c r="A93" s="90" t="s">
        <v>603</v>
      </c>
      <c r="B93" s="132">
        <v>0</v>
      </c>
      <c r="C93" s="130">
        <v>0</v>
      </c>
      <c r="D93" s="130">
        <v>0</v>
      </c>
      <c r="E93" s="88">
        <v>0</v>
      </c>
      <c r="F93" s="88">
        <v>0</v>
      </c>
      <c r="G93" s="88">
        <v>0</v>
      </c>
      <c r="H93" s="88">
        <v>0</v>
      </c>
      <c r="I93" s="88">
        <v>0</v>
      </c>
      <c r="J93" s="88">
        <v>0</v>
      </c>
      <c r="K93" s="88">
        <v>0</v>
      </c>
      <c r="L93" s="34" t="s">
        <v>279</v>
      </c>
      <c r="N93" s="90" t="s">
        <v>603</v>
      </c>
      <c r="O93" s="88" t="str">
        <f t="shared" si="164"/>
        <v/>
      </c>
      <c r="P93" s="88" t="str">
        <f t="shared" si="165"/>
        <v/>
      </c>
      <c r="Q93" s="88" t="str">
        <f t="shared" si="166"/>
        <v/>
      </c>
      <c r="R93" s="88" t="str">
        <f t="shared" si="167"/>
        <v/>
      </c>
      <c r="S93" s="88" t="str">
        <f t="shared" si="168"/>
        <v/>
      </c>
      <c r="T93" s="88" t="str">
        <f t="shared" si="169"/>
        <v/>
      </c>
      <c r="U93" s="88" t="str">
        <f t="shared" si="170"/>
        <v/>
      </c>
      <c r="V93" s="88" t="str">
        <f t="shared" si="171"/>
        <v/>
      </c>
      <c r="W93" s="88" t="str">
        <f t="shared" si="172"/>
        <v/>
      </c>
      <c r="X93" s="88" t="str">
        <f t="shared" si="173"/>
        <v/>
      </c>
      <c r="Y93" s="34" t="s">
        <v>279</v>
      </c>
      <c r="AA93" s="90" t="s">
        <v>603</v>
      </c>
      <c r="AB93" s="133" t="str">
        <f t="shared" si="188"/>
        <v/>
      </c>
      <c r="AC93" s="133" t="str">
        <f t="shared" si="174"/>
        <v/>
      </c>
      <c r="AD93" s="133" t="str">
        <f t="shared" si="175"/>
        <v/>
      </c>
      <c r="AE93" s="133" t="str">
        <f t="shared" si="176"/>
        <v/>
      </c>
      <c r="AF93" s="133" t="str">
        <f t="shared" si="177"/>
        <v/>
      </c>
      <c r="AG93" s="133" t="str">
        <f t="shared" si="178"/>
        <v/>
      </c>
      <c r="AH93" s="34"/>
    </row>
    <row r="94" spans="1:46" x14ac:dyDescent="0.35">
      <c r="A94" s="90" t="s">
        <v>604</v>
      </c>
      <c r="B94" s="132">
        <v>32.948855999999999</v>
      </c>
      <c r="C94" s="130">
        <v>31.587019000000002</v>
      </c>
      <c r="D94" s="130">
        <v>42.106166999999999</v>
      </c>
      <c r="E94" s="88">
        <v>46.471882000000001</v>
      </c>
      <c r="F94" s="88">
        <v>48.239147000000003</v>
      </c>
      <c r="G94" s="88">
        <v>50.742255999999998</v>
      </c>
      <c r="H94" s="88">
        <v>50.266590000000001</v>
      </c>
      <c r="I94" s="88">
        <v>50.499977000000001</v>
      </c>
      <c r="J94" s="88">
        <v>50.388370999999999</v>
      </c>
      <c r="K94" s="88">
        <v>50.417434999999998</v>
      </c>
      <c r="L94" s="34">
        <v>3.0000000000000001E-3</v>
      </c>
      <c r="N94" s="90" t="s">
        <v>604</v>
      </c>
      <c r="O94" s="88">
        <f t="shared" si="164"/>
        <v>7.1387947199571409</v>
      </c>
      <c r="P94" s="88">
        <f t="shared" si="165"/>
        <v>7.4465754188905304</v>
      </c>
      <c r="Q94" s="88">
        <f t="shared" si="166"/>
        <v>5.5862391663774131</v>
      </c>
      <c r="R94" s="88">
        <f t="shared" si="167"/>
        <v>5.0614502602117151</v>
      </c>
      <c r="S94" s="88">
        <f t="shared" si="168"/>
        <v>4.8760215275246912</v>
      </c>
      <c r="T94" s="88">
        <f t="shared" si="169"/>
        <v>4.6354880090752797</v>
      </c>
      <c r="U94" s="88">
        <f t="shared" si="170"/>
        <v>4.6793530104474588</v>
      </c>
      <c r="V94" s="88">
        <f t="shared" si="171"/>
        <v>4.6577272548347528</v>
      </c>
      <c r="W94" s="88">
        <f t="shared" si="172"/>
        <v>4.6680437286100824</v>
      </c>
      <c r="X94" s="88">
        <f t="shared" si="173"/>
        <v>4.6653527542888318</v>
      </c>
      <c r="Y94" s="34">
        <v>3.0000000000000001E-3</v>
      </c>
      <c r="AA94" s="90" t="s">
        <v>604</v>
      </c>
      <c r="AB94" s="133">
        <f t="shared" si="188"/>
        <v>0.87286300895826363</v>
      </c>
      <c r="AC94" s="133">
        <f t="shared" si="174"/>
        <v>0.82980478834051052</v>
      </c>
      <c r="AD94" s="133">
        <f t="shared" si="175"/>
        <v>0.83765711976881663</v>
      </c>
      <c r="AE94" s="133">
        <f t="shared" si="176"/>
        <v>0.83378586489257212</v>
      </c>
      <c r="AF94" s="133">
        <f t="shared" si="177"/>
        <v>0.8356326303940248</v>
      </c>
      <c r="AG94" s="133">
        <f t="shared" si="178"/>
        <v>0.83515091555133658</v>
      </c>
      <c r="AH94" s="34"/>
    </row>
    <row r="95" spans="1:46" x14ac:dyDescent="0.35">
      <c r="A95" s="90" t="s">
        <v>605</v>
      </c>
      <c r="B95" s="132">
        <v>0</v>
      </c>
      <c r="C95" s="130">
        <v>0</v>
      </c>
      <c r="D95" s="130">
        <v>0</v>
      </c>
      <c r="E95" s="88">
        <v>0</v>
      </c>
      <c r="F95" s="88">
        <v>0</v>
      </c>
      <c r="G95" s="88">
        <v>0</v>
      </c>
      <c r="H95" s="88">
        <v>0</v>
      </c>
      <c r="I95" s="88">
        <v>0</v>
      </c>
      <c r="J95" s="88">
        <v>0</v>
      </c>
      <c r="K95" s="88">
        <v>0</v>
      </c>
      <c r="L95" s="34" t="s">
        <v>279</v>
      </c>
      <c r="N95" s="90" t="s">
        <v>605</v>
      </c>
      <c r="O95" s="88" t="str">
        <f t="shared" si="164"/>
        <v/>
      </c>
      <c r="P95" s="88" t="str">
        <f t="shared" si="165"/>
        <v/>
      </c>
      <c r="Q95" s="88" t="str">
        <f t="shared" si="166"/>
        <v/>
      </c>
      <c r="R95" s="88" t="str">
        <f t="shared" si="167"/>
        <v/>
      </c>
      <c r="S95" s="88" t="str">
        <f t="shared" si="168"/>
        <v/>
      </c>
      <c r="T95" s="88" t="str">
        <f t="shared" si="169"/>
        <v/>
      </c>
      <c r="U95" s="88" t="str">
        <f t="shared" si="170"/>
        <v/>
      </c>
      <c r="V95" s="88" t="str">
        <f t="shared" si="171"/>
        <v/>
      </c>
      <c r="W95" s="88" t="str">
        <f t="shared" si="172"/>
        <v/>
      </c>
      <c r="X95" s="88" t="str">
        <f t="shared" si="173"/>
        <v/>
      </c>
      <c r="Y95" s="34" t="s">
        <v>279</v>
      </c>
      <c r="AA95" s="90" t="s">
        <v>605</v>
      </c>
      <c r="AB95" s="133" t="str">
        <f t="shared" si="188"/>
        <v/>
      </c>
      <c r="AC95" s="133" t="str">
        <f t="shared" si="174"/>
        <v/>
      </c>
      <c r="AD95" s="133" t="str">
        <f t="shared" si="175"/>
        <v/>
      </c>
      <c r="AE95" s="133" t="str">
        <f t="shared" si="176"/>
        <v/>
      </c>
      <c r="AF95" s="133" t="str">
        <f t="shared" si="177"/>
        <v/>
      </c>
      <c r="AG95" s="133" t="str">
        <f t="shared" si="178"/>
        <v/>
      </c>
      <c r="AH95" s="34"/>
    </row>
    <row r="96" spans="1:46" x14ac:dyDescent="0.35">
      <c r="A96" s="90" t="s">
        <v>606</v>
      </c>
      <c r="D96" s="130">
        <v>0</v>
      </c>
      <c r="E96" s="88">
        <v>0</v>
      </c>
      <c r="F96" s="88">
        <v>0</v>
      </c>
      <c r="G96" s="88">
        <v>0</v>
      </c>
      <c r="H96" s="88">
        <v>0</v>
      </c>
      <c r="I96" s="88">
        <v>0</v>
      </c>
      <c r="J96" s="88">
        <v>0</v>
      </c>
      <c r="K96" s="88">
        <v>0</v>
      </c>
      <c r="L96" s="34" t="s">
        <v>279</v>
      </c>
      <c r="N96" s="90" t="s">
        <v>606</v>
      </c>
      <c r="O96" s="88" t="str">
        <f t="shared" si="164"/>
        <v/>
      </c>
      <c r="P96" s="88" t="str">
        <f t="shared" si="165"/>
        <v/>
      </c>
      <c r="Q96" s="88" t="str">
        <f t="shared" si="166"/>
        <v/>
      </c>
      <c r="R96" s="88" t="str">
        <f t="shared" si="167"/>
        <v/>
      </c>
      <c r="S96" s="88" t="str">
        <f t="shared" si="168"/>
        <v/>
      </c>
      <c r="T96" s="88" t="str">
        <f t="shared" si="169"/>
        <v/>
      </c>
      <c r="U96" s="88" t="str">
        <f t="shared" si="170"/>
        <v/>
      </c>
      <c r="V96" s="88" t="str">
        <f t="shared" si="171"/>
        <v/>
      </c>
      <c r="W96" s="88" t="str">
        <f t="shared" si="172"/>
        <v/>
      </c>
      <c r="X96" s="88" t="str">
        <f t="shared" si="173"/>
        <v/>
      </c>
      <c r="Y96" s="34" t="s">
        <v>279</v>
      </c>
      <c r="AA96" s="90" t="s">
        <v>606</v>
      </c>
      <c r="AB96" s="133" t="str">
        <f t="shared" si="188"/>
        <v/>
      </c>
      <c r="AC96" s="133" t="str">
        <f t="shared" si="174"/>
        <v/>
      </c>
      <c r="AD96" s="133" t="str">
        <f t="shared" si="175"/>
        <v/>
      </c>
      <c r="AE96" s="133" t="str">
        <f t="shared" si="176"/>
        <v/>
      </c>
      <c r="AF96" s="133" t="str">
        <f t="shared" si="177"/>
        <v/>
      </c>
      <c r="AG96" s="133" t="str">
        <f t="shared" si="178"/>
        <v/>
      </c>
      <c r="AH96" s="34"/>
    </row>
    <row r="97" spans="1:34" x14ac:dyDescent="0.35">
      <c r="A97" s="90" t="s">
        <v>607</v>
      </c>
      <c r="D97" s="130">
        <v>0</v>
      </c>
      <c r="E97" s="88">
        <v>0</v>
      </c>
      <c r="F97" s="88">
        <v>0</v>
      </c>
      <c r="G97" s="88">
        <v>0</v>
      </c>
      <c r="H97" s="88">
        <v>0</v>
      </c>
      <c r="I97" s="88">
        <v>0</v>
      </c>
      <c r="J97" s="88">
        <v>0</v>
      </c>
      <c r="K97" s="88">
        <v>0</v>
      </c>
      <c r="L97" s="34" t="s">
        <v>279</v>
      </c>
      <c r="N97" s="90" t="s">
        <v>607</v>
      </c>
      <c r="O97" s="88" t="str">
        <f t="shared" si="164"/>
        <v/>
      </c>
      <c r="P97" s="88" t="str">
        <f t="shared" si="165"/>
        <v/>
      </c>
      <c r="Q97" s="88" t="str">
        <f t="shared" si="166"/>
        <v/>
      </c>
      <c r="R97" s="88" t="str">
        <f t="shared" si="167"/>
        <v/>
      </c>
      <c r="S97" s="88" t="str">
        <f t="shared" si="168"/>
        <v/>
      </c>
      <c r="T97" s="88" t="str">
        <f t="shared" si="169"/>
        <v/>
      </c>
      <c r="U97" s="88" t="str">
        <f t="shared" si="170"/>
        <v/>
      </c>
      <c r="V97" s="88" t="str">
        <f t="shared" si="171"/>
        <v/>
      </c>
      <c r="W97" s="88" t="str">
        <f t="shared" si="172"/>
        <v/>
      </c>
      <c r="X97" s="88" t="str">
        <f t="shared" si="173"/>
        <v/>
      </c>
      <c r="Y97" s="34" t="s">
        <v>279</v>
      </c>
      <c r="AA97" s="90" t="s">
        <v>607</v>
      </c>
      <c r="AB97" s="133" t="str">
        <f t="shared" si="188"/>
        <v/>
      </c>
      <c r="AC97" s="133" t="str">
        <f t="shared" si="174"/>
        <v/>
      </c>
      <c r="AD97" s="133" t="str">
        <f t="shared" si="175"/>
        <v/>
      </c>
      <c r="AE97" s="133" t="str">
        <f t="shared" si="176"/>
        <v/>
      </c>
      <c r="AF97" s="133" t="str">
        <f t="shared" si="177"/>
        <v/>
      </c>
      <c r="AG97" s="133" t="str">
        <f t="shared" si="178"/>
        <v/>
      </c>
      <c r="AH97" s="34"/>
    </row>
    <row r="98" spans="1:34" x14ac:dyDescent="0.35">
      <c r="A98" s="90" t="s">
        <v>608</v>
      </c>
      <c r="B98" s="132">
        <v>0</v>
      </c>
      <c r="C98" s="130">
        <v>0</v>
      </c>
      <c r="D98" s="130">
        <v>0</v>
      </c>
      <c r="E98" s="88">
        <v>0</v>
      </c>
      <c r="F98" s="88">
        <v>0</v>
      </c>
      <c r="G98" s="88">
        <v>0</v>
      </c>
      <c r="H98" s="88">
        <v>0</v>
      </c>
      <c r="I98" s="88">
        <v>0</v>
      </c>
      <c r="J98" s="88">
        <v>0</v>
      </c>
      <c r="K98" s="88">
        <v>0</v>
      </c>
      <c r="L98" s="34" t="s">
        <v>279</v>
      </c>
      <c r="N98" s="90" t="s">
        <v>608</v>
      </c>
      <c r="O98" s="88" t="str">
        <f t="shared" si="164"/>
        <v/>
      </c>
      <c r="P98" s="88" t="str">
        <f t="shared" si="165"/>
        <v/>
      </c>
      <c r="Q98" s="88" t="str">
        <f t="shared" si="166"/>
        <v/>
      </c>
      <c r="R98" s="88" t="str">
        <f t="shared" si="167"/>
        <v/>
      </c>
      <c r="S98" s="88" t="str">
        <f t="shared" si="168"/>
        <v/>
      </c>
      <c r="T98" s="88" t="str">
        <f t="shared" si="169"/>
        <v/>
      </c>
      <c r="U98" s="88" t="str">
        <f t="shared" si="170"/>
        <v/>
      </c>
      <c r="V98" s="88" t="str">
        <f t="shared" si="171"/>
        <v/>
      </c>
      <c r="W98" s="88" t="str">
        <f t="shared" si="172"/>
        <v/>
      </c>
      <c r="X98" s="88" t="str">
        <f t="shared" si="173"/>
        <v/>
      </c>
      <c r="Y98" s="34" t="s">
        <v>279</v>
      </c>
      <c r="AA98" s="90" t="s">
        <v>608</v>
      </c>
      <c r="AB98" s="133" t="str">
        <f t="shared" si="188"/>
        <v/>
      </c>
      <c r="AC98" s="133" t="str">
        <f t="shared" si="174"/>
        <v/>
      </c>
      <c r="AD98" s="133" t="str">
        <f t="shared" si="175"/>
        <v/>
      </c>
      <c r="AE98" s="133" t="str">
        <f t="shared" si="176"/>
        <v/>
      </c>
      <c r="AF98" s="133" t="str">
        <f t="shared" si="177"/>
        <v/>
      </c>
      <c r="AG98" s="133" t="str">
        <f t="shared" si="178"/>
        <v/>
      </c>
      <c r="AH98" s="34"/>
    </row>
    <row r="99" spans="1:34" x14ac:dyDescent="0.35">
      <c r="A99" s="90" t="s">
        <v>609</v>
      </c>
      <c r="B99" s="132">
        <v>28.500826</v>
      </c>
      <c r="C99" s="130">
        <v>25.214290999999999</v>
      </c>
      <c r="D99" s="130">
        <v>29.732116999999999</v>
      </c>
      <c r="E99" s="88">
        <v>29.038277000000001</v>
      </c>
      <c r="F99" s="88">
        <v>30.508343</v>
      </c>
      <c r="G99" s="88">
        <v>32.348968999999997</v>
      </c>
      <c r="H99" s="88">
        <v>32.900889999999997</v>
      </c>
      <c r="I99" s="88">
        <v>33.388106999999998</v>
      </c>
      <c r="J99" s="88">
        <v>33.431255</v>
      </c>
      <c r="K99" s="88">
        <v>33.438488</v>
      </c>
      <c r="L99" s="34">
        <v>6.0000000000000001E-3</v>
      </c>
      <c r="N99" s="90" t="s">
        <v>609</v>
      </c>
      <c r="O99" s="88">
        <f t="shared" si="164"/>
        <v>8.25292288867095</v>
      </c>
      <c r="P99" s="88">
        <f t="shared" si="165"/>
        <v>9.3286430001711391</v>
      </c>
      <c r="Q99" s="88">
        <f t="shared" si="166"/>
        <v>7.9111460257413944</v>
      </c>
      <c r="R99" s="88">
        <f t="shared" si="167"/>
        <v>8.1001747879678998</v>
      </c>
      <c r="S99" s="88">
        <f t="shared" si="168"/>
        <v>7.709862159391224</v>
      </c>
      <c r="T99" s="88">
        <f t="shared" si="169"/>
        <v>7.271178232648718</v>
      </c>
      <c r="U99" s="88">
        <f t="shared" si="170"/>
        <v>7.1492023237495452</v>
      </c>
      <c r="V99" s="88">
        <f t="shared" si="171"/>
        <v>7.0448773643090385</v>
      </c>
      <c r="W99" s="88">
        <f t="shared" si="172"/>
        <v>7.0357849037204296</v>
      </c>
      <c r="X99" s="88">
        <f t="shared" si="173"/>
        <v>7.0342630097816663</v>
      </c>
      <c r="Y99" s="34">
        <v>6.0000000000000001E-3</v>
      </c>
      <c r="AA99" s="90" t="s">
        <v>609</v>
      </c>
      <c r="AB99" s="133">
        <f t="shared" si="188"/>
        <v>0.97455692693634655</v>
      </c>
      <c r="AC99" s="133">
        <f t="shared" si="174"/>
        <v>0.91910555171016428</v>
      </c>
      <c r="AD99" s="133">
        <f t="shared" si="175"/>
        <v>0.90368731666529389</v>
      </c>
      <c r="AE99" s="133">
        <f t="shared" si="176"/>
        <v>0.89050023111522913</v>
      </c>
      <c r="AF99" s="133">
        <f t="shared" si="177"/>
        <v>0.88935090830422003</v>
      </c>
      <c r="AG99" s="133">
        <f t="shared" si="178"/>
        <v>0.88915853491940189</v>
      </c>
      <c r="AH99" s="34"/>
    </row>
    <row r="100" spans="1:34" x14ac:dyDescent="0.35">
      <c r="A100" s="90" t="s">
        <v>610</v>
      </c>
      <c r="B100" s="132">
        <v>0</v>
      </c>
      <c r="C100" s="130">
        <v>0</v>
      </c>
      <c r="D100" s="130">
        <v>0</v>
      </c>
      <c r="E100" s="88">
        <v>0</v>
      </c>
      <c r="F100" s="88">
        <v>0</v>
      </c>
      <c r="G100" s="88">
        <v>0</v>
      </c>
      <c r="H100" s="88">
        <v>0</v>
      </c>
      <c r="I100" s="88">
        <v>0</v>
      </c>
      <c r="J100" s="88">
        <v>0</v>
      </c>
      <c r="K100" s="88">
        <v>0</v>
      </c>
      <c r="L100" s="34" t="s">
        <v>279</v>
      </c>
      <c r="N100" s="90" t="s">
        <v>610</v>
      </c>
      <c r="O100" s="88" t="str">
        <f t="shared" si="164"/>
        <v/>
      </c>
      <c r="P100" s="88" t="str">
        <f t="shared" si="165"/>
        <v/>
      </c>
      <c r="Q100" s="88" t="str">
        <f t="shared" si="166"/>
        <v/>
      </c>
      <c r="R100" s="88" t="str">
        <f t="shared" si="167"/>
        <v/>
      </c>
      <c r="S100" s="88" t="str">
        <f t="shared" si="168"/>
        <v/>
      </c>
      <c r="T100" s="88" t="str">
        <f t="shared" si="169"/>
        <v/>
      </c>
      <c r="U100" s="88" t="str">
        <f t="shared" si="170"/>
        <v/>
      </c>
      <c r="V100" s="88" t="str">
        <f t="shared" si="171"/>
        <v/>
      </c>
      <c r="W100" s="88" t="str">
        <f t="shared" si="172"/>
        <v/>
      </c>
      <c r="X100" s="88" t="str">
        <f t="shared" si="173"/>
        <v/>
      </c>
      <c r="Y100" s="34" t="s">
        <v>279</v>
      </c>
      <c r="AA100" s="90" t="s">
        <v>610</v>
      </c>
      <c r="AB100" s="133" t="str">
        <f t="shared" si="188"/>
        <v/>
      </c>
      <c r="AC100" s="133" t="str">
        <f t="shared" si="174"/>
        <v/>
      </c>
      <c r="AD100" s="133" t="str">
        <f t="shared" si="175"/>
        <v/>
      </c>
      <c r="AE100" s="133" t="str">
        <f t="shared" si="176"/>
        <v/>
      </c>
      <c r="AF100" s="133" t="str">
        <f t="shared" si="177"/>
        <v/>
      </c>
      <c r="AG100" s="133" t="str">
        <f t="shared" si="178"/>
        <v/>
      </c>
      <c r="AH100" s="34"/>
    </row>
    <row r="101" spans="1:34" x14ac:dyDescent="0.35">
      <c r="A101" s="90" t="s">
        <v>611</v>
      </c>
      <c r="B101" s="132">
        <v>28.358906000000001</v>
      </c>
      <c r="C101" s="130">
        <v>28.921143000000001</v>
      </c>
      <c r="D101" s="130">
        <v>31.365801000000001</v>
      </c>
      <c r="E101" s="88">
        <v>36.682175000000001</v>
      </c>
      <c r="F101" s="88">
        <v>38.747734000000001</v>
      </c>
      <c r="G101" s="88">
        <v>41.801544</v>
      </c>
      <c r="H101" s="88">
        <v>42.679156999999996</v>
      </c>
      <c r="I101" s="88">
        <v>43.477561999999999</v>
      </c>
      <c r="J101" s="88">
        <v>43.623268000000003</v>
      </c>
      <c r="K101" s="88">
        <v>43.749034999999999</v>
      </c>
      <c r="L101" s="34">
        <v>8.0000000000000002E-3</v>
      </c>
      <c r="N101" s="90" t="s">
        <v>611</v>
      </c>
      <c r="O101" s="88">
        <f t="shared" si="164"/>
        <v>8.2942240170134962</v>
      </c>
      <c r="P101" s="88">
        <f t="shared" si="165"/>
        <v>8.132981439959968</v>
      </c>
      <c r="Q101" s="88">
        <f t="shared" si="166"/>
        <v>7.4990949295835971</v>
      </c>
      <c r="R101" s="88">
        <f t="shared" si="167"/>
        <v>6.4122457090242913</v>
      </c>
      <c r="S101" s="88">
        <f t="shared" si="168"/>
        <v>6.0704225759738142</v>
      </c>
      <c r="T101" s="88">
        <f t="shared" si="169"/>
        <v>5.6269481156348711</v>
      </c>
      <c r="U101" s="88">
        <f t="shared" si="170"/>
        <v>5.5112409844793362</v>
      </c>
      <c r="V101" s="88">
        <f t="shared" si="171"/>
        <v>5.4100347034506706</v>
      </c>
      <c r="W101" s="88">
        <f t="shared" si="172"/>
        <v>5.3919646561424086</v>
      </c>
      <c r="X101" s="88">
        <f t="shared" si="173"/>
        <v>5.3764641720995252</v>
      </c>
      <c r="Y101" s="34">
        <v>8.0000000000000002E-3</v>
      </c>
      <c r="AA101" s="90" t="s">
        <v>611</v>
      </c>
      <c r="AB101" s="133">
        <f t="shared" si="188"/>
        <v>0.80948736253841325</v>
      </c>
      <c r="AC101" s="133">
        <f t="shared" si="174"/>
        <v>0.75035029806554521</v>
      </c>
      <c r="AD101" s="133">
        <f t="shared" si="175"/>
        <v>0.73492081860942104</v>
      </c>
      <c r="AE101" s="133">
        <f t="shared" si="176"/>
        <v>0.72142501918575841</v>
      </c>
      <c r="AF101" s="133">
        <f t="shared" si="177"/>
        <v>0.71901538875996174</v>
      </c>
      <c r="AG101" s="133">
        <f t="shared" si="178"/>
        <v>0.71694840811917337</v>
      </c>
      <c r="AH101" s="34"/>
    </row>
    <row r="102" spans="1:34" x14ac:dyDescent="0.35">
      <c r="A102" s="90" t="s">
        <v>612</v>
      </c>
      <c r="B102" s="132">
        <v>0</v>
      </c>
      <c r="C102" s="130">
        <v>0</v>
      </c>
      <c r="D102" s="130">
        <v>0</v>
      </c>
      <c r="E102" s="88">
        <v>0</v>
      </c>
      <c r="F102" s="88">
        <v>0</v>
      </c>
      <c r="G102" s="88">
        <v>0</v>
      </c>
      <c r="H102" s="88">
        <v>0</v>
      </c>
      <c r="I102" s="88">
        <v>0</v>
      </c>
      <c r="J102" s="88">
        <v>0</v>
      </c>
      <c r="K102" s="88">
        <v>0</v>
      </c>
      <c r="L102" s="34" t="s">
        <v>279</v>
      </c>
      <c r="N102" s="90" t="s">
        <v>612</v>
      </c>
      <c r="O102" s="88" t="str">
        <f t="shared" si="164"/>
        <v/>
      </c>
      <c r="P102" s="88" t="str">
        <f t="shared" si="165"/>
        <v/>
      </c>
      <c r="Q102" s="88" t="str">
        <f t="shared" si="166"/>
        <v/>
      </c>
      <c r="R102" s="88" t="str">
        <f t="shared" si="167"/>
        <v/>
      </c>
      <c r="S102" s="88" t="str">
        <f t="shared" si="168"/>
        <v/>
      </c>
      <c r="T102" s="88" t="str">
        <f t="shared" si="169"/>
        <v/>
      </c>
      <c r="U102" s="88" t="str">
        <f t="shared" si="170"/>
        <v/>
      </c>
      <c r="V102" s="88" t="str">
        <f t="shared" si="171"/>
        <v/>
      </c>
      <c r="W102" s="88" t="str">
        <f t="shared" si="172"/>
        <v/>
      </c>
      <c r="X102" s="88" t="str">
        <f t="shared" si="173"/>
        <v/>
      </c>
      <c r="Y102" s="34" t="s">
        <v>279</v>
      </c>
      <c r="AA102" s="90" t="s">
        <v>612</v>
      </c>
      <c r="AB102" s="133" t="str">
        <f t="shared" si="188"/>
        <v/>
      </c>
      <c r="AC102" s="133" t="str">
        <f t="shared" si="174"/>
        <v/>
      </c>
      <c r="AD102" s="133" t="str">
        <f t="shared" si="175"/>
        <v/>
      </c>
      <c r="AE102" s="133" t="str">
        <f t="shared" si="176"/>
        <v/>
      </c>
      <c r="AF102" s="133" t="str">
        <f t="shared" si="177"/>
        <v/>
      </c>
      <c r="AG102" s="133" t="str">
        <f t="shared" si="178"/>
        <v/>
      </c>
      <c r="AH102" s="34"/>
    </row>
    <row r="103" spans="1:34" x14ac:dyDescent="0.35">
      <c r="A103" s="90" t="s">
        <v>613</v>
      </c>
      <c r="B103" s="132">
        <v>0</v>
      </c>
      <c r="C103" s="130">
        <v>0</v>
      </c>
      <c r="D103" s="130">
        <v>0</v>
      </c>
      <c r="E103" s="88">
        <v>0</v>
      </c>
      <c r="F103" s="88">
        <v>0</v>
      </c>
      <c r="G103" s="88">
        <v>0</v>
      </c>
      <c r="H103" s="88">
        <v>0</v>
      </c>
      <c r="I103" s="88">
        <v>0</v>
      </c>
      <c r="J103" s="88">
        <v>0</v>
      </c>
      <c r="K103" s="88">
        <v>0</v>
      </c>
      <c r="L103" s="34" t="s">
        <v>279</v>
      </c>
      <c r="N103" s="90" t="s">
        <v>613</v>
      </c>
      <c r="O103" s="88" t="str">
        <f t="shared" si="164"/>
        <v/>
      </c>
      <c r="P103" s="88" t="str">
        <f t="shared" si="165"/>
        <v/>
      </c>
      <c r="Q103" s="88" t="str">
        <f t="shared" si="166"/>
        <v/>
      </c>
      <c r="R103" s="88" t="str">
        <f t="shared" si="167"/>
        <v/>
      </c>
      <c r="S103" s="88" t="str">
        <f t="shared" si="168"/>
        <v/>
      </c>
      <c r="T103" s="88" t="str">
        <f t="shared" si="169"/>
        <v/>
      </c>
      <c r="U103" s="88" t="str">
        <f t="shared" si="170"/>
        <v/>
      </c>
      <c r="V103" s="88" t="str">
        <f t="shared" si="171"/>
        <v/>
      </c>
      <c r="W103" s="88" t="str">
        <f t="shared" si="172"/>
        <v/>
      </c>
      <c r="X103" s="88" t="str">
        <f t="shared" si="173"/>
        <v/>
      </c>
      <c r="Y103" s="34" t="s">
        <v>279</v>
      </c>
      <c r="AA103" s="90" t="s">
        <v>613</v>
      </c>
      <c r="AB103" s="133" t="str">
        <f t="shared" si="188"/>
        <v/>
      </c>
      <c r="AC103" s="133" t="str">
        <f t="shared" si="174"/>
        <v/>
      </c>
      <c r="AD103" s="133" t="str">
        <f t="shared" si="175"/>
        <v/>
      </c>
      <c r="AE103" s="133" t="str">
        <f t="shared" si="176"/>
        <v/>
      </c>
      <c r="AF103" s="133" t="str">
        <f t="shared" si="177"/>
        <v/>
      </c>
      <c r="AG103" s="133" t="str">
        <f t="shared" si="178"/>
        <v/>
      </c>
      <c r="AH103" s="34"/>
    </row>
    <row r="104" spans="1:34" x14ac:dyDescent="0.35">
      <c r="A104" s="90" t="s">
        <v>614</v>
      </c>
      <c r="D104" s="130">
        <v>0</v>
      </c>
      <c r="E104" s="88">
        <v>0</v>
      </c>
      <c r="F104" s="88">
        <v>0</v>
      </c>
      <c r="G104" s="88">
        <v>0</v>
      </c>
      <c r="H104" s="88">
        <v>0</v>
      </c>
      <c r="I104" s="88">
        <v>0</v>
      </c>
      <c r="J104" s="88">
        <v>0</v>
      </c>
      <c r="K104" s="88">
        <v>0</v>
      </c>
      <c r="L104" s="34" t="s">
        <v>279</v>
      </c>
      <c r="N104" s="90" t="s">
        <v>614</v>
      </c>
      <c r="O104" s="88" t="str">
        <f t="shared" si="164"/>
        <v/>
      </c>
      <c r="P104" s="88" t="str">
        <f t="shared" si="165"/>
        <v/>
      </c>
      <c r="Q104" s="88" t="str">
        <f t="shared" si="166"/>
        <v/>
      </c>
      <c r="R104" s="88" t="str">
        <f t="shared" si="167"/>
        <v/>
      </c>
      <c r="S104" s="88" t="str">
        <f t="shared" si="168"/>
        <v/>
      </c>
      <c r="T104" s="88" t="str">
        <f t="shared" si="169"/>
        <v/>
      </c>
      <c r="U104" s="88" t="str">
        <f t="shared" si="170"/>
        <v/>
      </c>
      <c r="V104" s="88" t="str">
        <f t="shared" si="171"/>
        <v/>
      </c>
      <c r="W104" s="88" t="str">
        <f t="shared" si="172"/>
        <v/>
      </c>
      <c r="X104" s="88" t="str">
        <f t="shared" si="173"/>
        <v/>
      </c>
      <c r="Y104" s="34" t="s">
        <v>279</v>
      </c>
      <c r="AA104" s="90" t="s">
        <v>614</v>
      </c>
      <c r="AB104" s="133" t="str">
        <f t="shared" si="188"/>
        <v/>
      </c>
      <c r="AC104" s="133" t="str">
        <f t="shared" si="174"/>
        <v/>
      </c>
      <c r="AD104" s="133" t="str">
        <f t="shared" si="175"/>
        <v/>
      </c>
      <c r="AE104" s="133" t="str">
        <f t="shared" si="176"/>
        <v/>
      </c>
      <c r="AF104" s="133" t="str">
        <f t="shared" si="177"/>
        <v/>
      </c>
      <c r="AG104" s="133" t="str">
        <f t="shared" si="178"/>
        <v/>
      </c>
      <c r="AH104" s="34"/>
    </row>
    <row r="105" spans="1:34" x14ac:dyDescent="0.35">
      <c r="A105" s="90" t="s">
        <v>615</v>
      </c>
      <c r="D105" s="130">
        <v>0</v>
      </c>
      <c r="E105" s="88">
        <v>0</v>
      </c>
      <c r="F105" s="88">
        <v>0</v>
      </c>
      <c r="G105" s="88">
        <v>0</v>
      </c>
      <c r="H105" s="88">
        <v>0</v>
      </c>
      <c r="I105" s="88">
        <v>0</v>
      </c>
      <c r="J105" s="88">
        <v>0</v>
      </c>
      <c r="K105" s="88">
        <v>0</v>
      </c>
      <c r="L105" s="34" t="s">
        <v>279</v>
      </c>
      <c r="N105" s="90" t="s">
        <v>615</v>
      </c>
      <c r="O105" s="88" t="str">
        <f t="shared" si="164"/>
        <v/>
      </c>
      <c r="P105" s="88" t="str">
        <f t="shared" si="165"/>
        <v/>
      </c>
      <c r="Q105" s="88" t="str">
        <f t="shared" si="166"/>
        <v/>
      </c>
      <c r="R105" s="88" t="str">
        <f t="shared" si="167"/>
        <v/>
      </c>
      <c r="S105" s="88" t="str">
        <f t="shared" si="168"/>
        <v/>
      </c>
      <c r="T105" s="88" t="str">
        <f t="shared" si="169"/>
        <v/>
      </c>
      <c r="U105" s="88" t="str">
        <f t="shared" si="170"/>
        <v/>
      </c>
      <c r="V105" s="88" t="str">
        <f t="shared" si="171"/>
        <v/>
      </c>
      <c r="W105" s="88" t="str">
        <f t="shared" si="172"/>
        <v/>
      </c>
      <c r="X105" s="88" t="str">
        <f t="shared" si="173"/>
        <v/>
      </c>
      <c r="Y105" s="34" t="s">
        <v>279</v>
      </c>
      <c r="AA105" s="90" t="s">
        <v>615</v>
      </c>
      <c r="AB105" s="133" t="str">
        <f t="shared" si="188"/>
        <v/>
      </c>
      <c r="AC105" s="133" t="str">
        <f t="shared" si="174"/>
        <v/>
      </c>
      <c r="AD105" s="133" t="str">
        <f t="shared" si="175"/>
        <v/>
      </c>
      <c r="AE105" s="133" t="str">
        <f t="shared" si="176"/>
        <v/>
      </c>
      <c r="AF105" s="133" t="str">
        <f t="shared" si="177"/>
        <v/>
      </c>
      <c r="AG105" s="133" t="str">
        <f t="shared" si="178"/>
        <v/>
      </c>
      <c r="AH105" s="34"/>
    </row>
    <row r="106" spans="1:34" x14ac:dyDescent="0.35">
      <c r="A106" t="s">
        <v>590</v>
      </c>
      <c r="L106" s="34"/>
      <c r="N106" t="s">
        <v>590</v>
      </c>
      <c r="O106" s="88"/>
      <c r="P106" s="88"/>
      <c r="Q106" s="88"/>
      <c r="R106" s="88"/>
      <c r="S106" s="88"/>
      <c r="T106" s="88"/>
      <c r="U106" s="88"/>
      <c r="V106" s="88"/>
      <c r="W106" s="88"/>
      <c r="X106" s="88"/>
      <c r="Y106" s="34"/>
      <c r="AA106" t="s">
        <v>590</v>
      </c>
      <c r="AB106" s="88"/>
      <c r="AC106" s="88"/>
      <c r="AD106" s="88"/>
      <c r="AE106" s="88"/>
      <c r="AF106" s="88"/>
      <c r="AG106" s="88"/>
      <c r="AH106" s="34"/>
    </row>
    <row r="107" spans="1:34" x14ac:dyDescent="0.35">
      <c r="A107" s="90" t="s">
        <v>600</v>
      </c>
      <c r="B107" s="132">
        <v>0</v>
      </c>
      <c r="C107" s="130">
        <v>0</v>
      </c>
      <c r="D107" s="130">
        <v>0</v>
      </c>
      <c r="E107" s="88">
        <v>0</v>
      </c>
      <c r="F107" s="88">
        <v>0</v>
      </c>
      <c r="G107" s="88">
        <v>0</v>
      </c>
      <c r="H107" s="88">
        <v>0</v>
      </c>
      <c r="I107" s="88">
        <v>0</v>
      </c>
      <c r="J107" s="88">
        <v>0</v>
      </c>
      <c r="K107" s="88">
        <v>0</v>
      </c>
      <c r="L107" s="34" t="s">
        <v>279</v>
      </c>
      <c r="N107" s="90" t="s">
        <v>600</v>
      </c>
      <c r="O107" s="88" t="str">
        <f t="shared" ref="O107:O122" si="189">IFERROR(L_100km_to_mpg/B107, "")</f>
        <v/>
      </c>
      <c r="P107" s="88" t="str">
        <f t="shared" ref="P107:P122" si="190">IFERROR(L_100km_to_mpg/C107, "")</f>
        <v/>
      </c>
      <c r="Q107" s="88" t="str">
        <f t="shared" ref="Q107:Q122" si="191">IFERROR(L_100km_to_mpg/D107, "")</f>
        <v/>
      </c>
      <c r="R107" s="88" t="str">
        <f t="shared" ref="R107:R122" si="192">IFERROR(L_100km_to_mpg/E107, "")</f>
        <v/>
      </c>
      <c r="S107" s="88" t="str">
        <f t="shared" ref="S107:S122" si="193">IFERROR(L_100km_to_mpg/F107, "")</f>
        <v/>
      </c>
      <c r="T107" s="88" t="str">
        <f t="shared" ref="T107:T122" si="194">IFERROR(L_100km_to_mpg/G107, "")</f>
        <v/>
      </c>
      <c r="U107" s="88" t="str">
        <f t="shared" ref="U107:U122" si="195">IFERROR(L_100km_to_mpg/H107, "")</f>
        <v/>
      </c>
      <c r="V107" s="88" t="str">
        <f t="shared" ref="V107:V122" si="196">IFERROR(L_100km_to_mpg/I107, "")</f>
        <v/>
      </c>
      <c r="W107" s="88" t="str">
        <f t="shared" ref="W107:W122" si="197">IFERROR(L_100km_to_mpg/J107, "")</f>
        <v/>
      </c>
      <c r="X107" s="88" t="str">
        <f t="shared" ref="X107:X122" si="198">IFERROR(L_100km_to_mpg/K107, "")</f>
        <v/>
      </c>
      <c r="Y107" s="34" t="s">
        <v>279</v>
      </c>
      <c r="AA107" s="90" t="s">
        <v>600</v>
      </c>
      <c r="AB107" s="133" t="str">
        <f>IFERROR($D107/F107, "")</f>
        <v/>
      </c>
      <c r="AC107" s="133" t="str">
        <f t="shared" ref="AC107:AC122" si="199">IFERROR($D107/G107, "")</f>
        <v/>
      </c>
      <c r="AD107" s="133" t="str">
        <f t="shared" ref="AD107:AD122" si="200">IFERROR($D107/H107, "")</f>
        <v/>
      </c>
      <c r="AE107" s="133" t="str">
        <f t="shared" ref="AE107:AE122" si="201">IFERROR($D107/I107, "")</f>
        <v/>
      </c>
      <c r="AF107" s="133" t="str">
        <f t="shared" ref="AF107:AF122" si="202">IFERROR($D107/J107, "")</f>
        <v/>
      </c>
      <c r="AG107" s="133" t="str">
        <f t="shared" ref="AG107:AG122" si="203">IFERROR($D107/K107, "")</f>
        <v/>
      </c>
      <c r="AH107" s="34"/>
    </row>
    <row r="108" spans="1:34" x14ac:dyDescent="0.35">
      <c r="A108" s="90" t="s">
        <v>601</v>
      </c>
      <c r="B108" s="132">
        <v>0</v>
      </c>
      <c r="C108" s="130">
        <v>0</v>
      </c>
      <c r="D108" s="130">
        <v>0</v>
      </c>
      <c r="E108" s="88">
        <v>0</v>
      </c>
      <c r="F108" s="88">
        <v>0</v>
      </c>
      <c r="G108" s="88">
        <v>0</v>
      </c>
      <c r="H108" s="88">
        <v>0</v>
      </c>
      <c r="I108" s="88">
        <v>0</v>
      </c>
      <c r="J108" s="88">
        <v>0</v>
      </c>
      <c r="K108" s="88">
        <v>0</v>
      </c>
      <c r="L108" s="34" t="s">
        <v>279</v>
      </c>
      <c r="N108" s="90" t="s">
        <v>601</v>
      </c>
      <c r="O108" s="88" t="str">
        <f t="shared" si="189"/>
        <v/>
      </c>
      <c r="P108" s="88" t="str">
        <f t="shared" si="190"/>
        <v/>
      </c>
      <c r="Q108" s="88" t="str">
        <f t="shared" si="191"/>
        <v/>
      </c>
      <c r="R108" s="88" t="str">
        <f t="shared" si="192"/>
        <v/>
      </c>
      <c r="S108" s="88" t="str">
        <f t="shared" si="193"/>
        <v/>
      </c>
      <c r="T108" s="88" t="str">
        <f t="shared" si="194"/>
        <v/>
      </c>
      <c r="U108" s="88" t="str">
        <f t="shared" si="195"/>
        <v/>
      </c>
      <c r="V108" s="88" t="str">
        <f t="shared" si="196"/>
        <v/>
      </c>
      <c r="W108" s="88" t="str">
        <f t="shared" si="197"/>
        <v/>
      </c>
      <c r="X108" s="88" t="str">
        <f t="shared" si="198"/>
        <v/>
      </c>
      <c r="Y108" s="34" t="s">
        <v>279</v>
      </c>
      <c r="AA108" s="90" t="s">
        <v>601</v>
      </c>
      <c r="AB108" s="133" t="str">
        <f t="shared" ref="AB108:AB122" si="204">IFERROR($D108/F108, "")</f>
        <v/>
      </c>
      <c r="AC108" s="133" t="str">
        <f t="shared" si="199"/>
        <v/>
      </c>
      <c r="AD108" s="133" t="str">
        <f t="shared" si="200"/>
        <v/>
      </c>
      <c r="AE108" s="133" t="str">
        <f t="shared" si="201"/>
        <v/>
      </c>
      <c r="AF108" s="133" t="str">
        <f t="shared" si="202"/>
        <v/>
      </c>
      <c r="AG108" s="133" t="str">
        <f t="shared" si="203"/>
        <v/>
      </c>
      <c r="AH108" s="34"/>
    </row>
    <row r="109" spans="1:34" x14ac:dyDescent="0.35">
      <c r="A109" s="90" t="s">
        <v>602</v>
      </c>
      <c r="B109" s="132">
        <v>35.103760000000001</v>
      </c>
      <c r="C109" s="130">
        <v>39.188991999999999</v>
      </c>
      <c r="D109" s="130">
        <v>42.786273999999999</v>
      </c>
      <c r="E109" s="88">
        <v>49.676299999999998</v>
      </c>
      <c r="F109" s="88">
        <v>52.079749999999997</v>
      </c>
      <c r="G109" s="88">
        <v>54.403412000000003</v>
      </c>
      <c r="H109" s="88">
        <v>53.981892000000002</v>
      </c>
      <c r="I109" s="88">
        <v>54.210476</v>
      </c>
      <c r="J109" s="88">
        <v>54.027068999999997</v>
      </c>
      <c r="K109" s="88">
        <v>53.946838</v>
      </c>
      <c r="L109" s="34">
        <v>4.0000000000000001E-3</v>
      </c>
      <c r="N109" s="90" t="s">
        <v>602</v>
      </c>
      <c r="O109" s="88">
        <f t="shared" si="189"/>
        <v>6.7005676668661174</v>
      </c>
      <c r="P109" s="88">
        <f t="shared" si="190"/>
        <v>6.0020711745131932</v>
      </c>
      <c r="Q109" s="88">
        <f t="shared" si="191"/>
        <v>5.4974433913415348</v>
      </c>
      <c r="R109" s="88">
        <f t="shared" si="192"/>
        <v>4.7349564931653152</v>
      </c>
      <c r="S109" s="88">
        <f t="shared" si="193"/>
        <v>4.516441020577636</v>
      </c>
      <c r="T109" s="88">
        <f t="shared" si="194"/>
        <v>4.3235361642653611</v>
      </c>
      <c r="U109" s="88">
        <f t="shared" si="195"/>
        <v>4.3572966883307487</v>
      </c>
      <c r="V109" s="88">
        <f t="shared" si="196"/>
        <v>4.3389237025225187</v>
      </c>
      <c r="W109" s="88">
        <f t="shared" si="197"/>
        <v>4.3536531519307138</v>
      </c>
      <c r="X109" s="88">
        <f t="shared" si="198"/>
        <v>4.3601280067874999</v>
      </c>
      <c r="Y109" s="34">
        <v>4.0000000000000001E-3</v>
      </c>
      <c r="AA109" s="90" t="s">
        <v>602</v>
      </c>
      <c r="AB109" s="133">
        <f t="shared" si="204"/>
        <v>0.82155298364527485</v>
      </c>
      <c r="AC109" s="133">
        <f t="shared" si="199"/>
        <v>0.78646306227999074</v>
      </c>
      <c r="AD109" s="133">
        <f t="shared" si="200"/>
        <v>0.7926041940138</v>
      </c>
      <c r="AE109" s="133">
        <f t="shared" si="201"/>
        <v>0.78926209760637411</v>
      </c>
      <c r="AF109" s="133">
        <f t="shared" si="202"/>
        <v>0.79194142476986862</v>
      </c>
      <c r="AG109" s="133">
        <f t="shared" si="203"/>
        <v>0.79311921859071699</v>
      </c>
      <c r="AH109" s="34"/>
    </row>
    <row r="110" spans="1:34" x14ac:dyDescent="0.35">
      <c r="A110" s="90" t="s">
        <v>603</v>
      </c>
      <c r="B110" s="132">
        <v>0</v>
      </c>
      <c r="C110" s="130">
        <v>0</v>
      </c>
      <c r="D110" s="130">
        <v>0</v>
      </c>
      <c r="E110" s="88">
        <v>0</v>
      </c>
      <c r="F110" s="88">
        <v>0</v>
      </c>
      <c r="G110" s="88">
        <v>0</v>
      </c>
      <c r="H110" s="88">
        <v>0</v>
      </c>
      <c r="I110" s="88">
        <v>0</v>
      </c>
      <c r="J110" s="88">
        <v>0</v>
      </c>
      <c r="K110" s="88">
        <v>0</v>
      </c>
      <c r="L110" s="34" t="s">
        <v>279</v>
      </c>
      <c r="N110" s="90" t="s">
        <v>603</v>
      </c>
      <c r="O110" s="88" t="str">
        <f t="shared" si="189"/>
        <v/>
      </c>
      <c r="P110" s="88" t="str">
        <f t="shared" si="190"/>
        <v/>
      </c>
      <c r="Q110" s="88" t="str">
        <f t="shared" si="191"/>
        <v/>
      </c>
      <c r="R110" s="88" t="str">
        <f t="shared" si="192"/>
        <v/>
      </c>
      <c r="S110" s="88" t="str">
        <f t="shared" si="193"/>
        <v/>
      </c>
      <c r="T110" s="88" t="str">
        <f t="shared" si="194"/>
        <v/>
      </c>
      <c r="U110" s="88" t="str">
        <f t="shared" si="195"/>
        <v/>
      </c>
      <c r="V110" s="88" t="str">
        <f t="shared" si="196"/>
        <v/>
      </c>
      <c r="W110" s="88" t="str">
        <f t="shared" si="197"/>
        <v/>
      </c>
      <c r="X110" s="88" t="str">
        <f t="shared" si="198"/>
        <v/>
      </c>
      <c r="Y110" s="34" t="s">
        <v>279</v>
      </c>
      <c r="AA110" s="90" t="s">
        <v>603</v>
      </c>
      <c r="AB110" s="133" t="str">
        <f t="shared" si="204"/>
        <v/>
      </c>
      <c r="AC110" s="133" t="str">
        <f t="shared" si="199"/>
        <v/>
      </c>
      <c r="AD110" s="133" t="str">
        <f t="shared" si="200"/>
        <v/>
      </c>
      <c r="AE110" s="133" t="str">
        <f t="shared" si="201"/>
        <v/>
      </c>
      <c r="AF110" s="133" t="str">
        <f t="shared" si="202"/>
        <v/>
      </c>
      <c r="AG110" s="133" t="str">
        <f t="shared" si="203"/>
        <v/>
      </c>
      <c r="AH110" s="34"/>
    </row>
    <row r="111" spans="1:34" x14ac:dyDescent="0.35">
      <c r="A111" s="90" t="s">
        <v>604</v>
      </c>
      <c r="B111" s="132">
        <v>30.508196000000002</v>
      </c>
      <c r="C111" s="130">
        <v>29.247237999999999</v>
      </c>
      <c r="D111" s="130">
        <v>39.194088000000001</v>
      </c>
      <c r="E111" s="88">
        <v>43.177399000000001</v>
      </c>
      <c r="F111" s="88">
        <v>44.873576999999997</v>
      </c>
      <c r="G111" s="88">
        <v>47.133220999999999</v>
      </c>
      <c r="H111" s="88">
        <v>46.838706999999999</v>
      </c>
      <c r="I111" s="88">
        <v>47.261276000000002</v>
      </c>
      <c r="J111" s="88">
        <v>47.163040000000002</v>
      </c>
      <c r="K111" s="88">
        <v>47.186638000000002</v>
      </c>
      <c r="L111" s="34">
        <v>4.0000000000000001E-3</v>
      </c>
      <c r="N111" s="90" t="s">
        <v>604</v>
      </c>
      <c r="O111" s="88">
        <f t="shared" si="189"/>
        <v>7.7098993084162739</v>
      </c>
      <c r="P111" s="88">
        <f t="shared" si="190"/>
        <v>8.0423019514330942</v>
      </c>
      <c r="Q111" s="88">
        <f t="shared" si="191"/>
        <v>6.0012907875654138</v>
      </c>
      <c r="R111" s="88">
        <f t="shared" si="192"/>
        <v>5.447644478108284</v>
      </c>
      <c r="S111" s="88">
        <f t="shared" si="193"/>
        <v>5.241728762595149</v>
      </c>
      <c r="T111" s="88">
        <f t="shared" si="194"/>
        <v>4.9904316796305546</v>
      </c>
      <c r="U111" s="88">
        <f t="shared" si="195"/>
        <v>5.0218106840871624</v>
      </c>
      <c r="V111" s="88">
        <f t="shared" si="196"/>
        <v>4.9769100445241499</v>
      </c>
      <c r="W111" s="88">
        <f t="shared" si="197"/>
        <v>4.9872764614288672</v>
      </c>
      <c r="X111" s="88">
        <f t="shared" si="198"/>
        <v>4.9847823284512902</v>
      </c>
      <c r="Y111" s="34">
        <v>4.0000000000000001E-3</v>
      </c>
      <c r="AA111" s="90" t="s">
        <v>604</v>
      </c>
      <c r="AB111" s="133">
        <f t="shared" si="204"/>
        <v>0.87343355756997043</v>
      </c>
      <c r="AC111" s="133">
        <f t="shared" si="199"/>
        <v>0.83155971878094226</v>
      </c>
      <c r="AD111" s="133">
        <f t="shared" si="200"/>
        <v>0.83678842799823661</v>
      </c>
      <c r="AE111" s="133">
        <f t="shared" si="201"/>
        <v>0.82930659764666526</v>
      </c>
      <c r="AF111" s="133">
        <f t="shared" si="202"/>
        <v>0.83103396218733994</v>
      </c>
      <c r="AG111" s="133">
        <f t="shared" si="203"/>
        <v>0.83061836276617118</v>
      </c>
      <c r="AH111" s="34"/>
    </row>
    <row r="112" spans="1:34" x14ac:dyDescent="0.35">
      <c r="A112" s="90" t="s">
        <v>605</v>
      </c>
      <c r="B112" s="132">
        <v>0</v>
      </c>
      <c r="C112" s="130">
        <v>0</v>
      </c>
      <c r="D112" s="130">
        <v>0</v>
      </c>
      <c r="E112" s="88">
        <v>0</v>
      </c>
      <c r="F112" s="88">
        <v>0</v>
      </c>
      <c r="G112" s="88">
        <v>0</v>
      </c>
      <c r="H112" s="88">
        <v>0</v>
      </c>
      <c r="I112" s="88">
        <v>0</v>
      </c>
      <c r="J112" s="88">
        <v>0</v>
      </c>
      <c r="K112" s="88">
        <v>0</v>
      </c>
      <c r="L112" s="34" t="s">
        <v>279</v>
      </c>
      <c r="N112" s="90" t="s">
        <v>605</v>
      </c>
      <c r="O112" s="88" t="str">
        <f t="shared" si="189"/>
        <v/>
      </c>
      <c r="P112" s="88" t="str">
        <f t="shared" si="190"/>
        <v/>
      </c>
      <c r="Q112" s="88" t="str">
        <f t="shared" si="191"/>
        <v/>
      </c>
      <c r="R112" s="88" t="str">
        <f t="shared" si="192"/>
        <v/>
      </c>
      <c r="S112" s="88" t="str">
        <f t="shared" si="193"/>
        <v/>
      </c>
      <c r="T112" s="88" t="str">
        <f t="shared" si="194"/>
        <v/>
      </c>
      <c r="U112" s="88" t="str">
        <f t="shared" si="195"/>
        <v/>
      </c>
      <c r="V112" s="88" t="str">
        <f t="shared" si="196"/>
        <v/>
      </c>
      <c r="W112" s="88" t="str">
        <f t="shared" si="197"/>
        <v/>
      </c>
      <c r="X112" s="88" t="str">
        <f t="shared" si="198"/>
        <v/>
      </c>
      <c r="Y112" s="34" t="s">
        <v>279</v>
      </c>
      <c r="AA112" s="90" t="s">
        <v>605</v>
      </c>
      <c r="AB112" s="133" t="str">
        <f t="shared" si="204"/>
        <v/>
      </c>
      <c r="AC112" s="133" t="str">
        <f t="shared" si="199"/>
        <v/>
      </c>
      <c r="AD112" s="133" t="str">
        <f t="shared" si="200"/>
        <v/>
      </c>
      <c r="AE112" s="133" t="str">
        <f t="shared" si="201"/>
        <v/>
      </c>
      <c r="AF112" s="133" t="str">
        <f t="shared" si="202"/>
        <v/>
      </c>
      <c r="AG112" s="133" t="str">
        <f t="shared" si="203"/>
        <v/>
      </c>
      <c r="AH112" s="34"/>
    </row>
    <row r="113" spans="1:46" x14ac:dyDescent="0.35">
      <c r="A113" s="90" t="s">
        <v>606</v>
      </c>
      <c r="D113" s="130">
        <v>0</v>
      </c>
      <c r="E113" s="88">
        <v>0</v>
      </c>
      <c r="F113" s="88">
        <v>0</v>
      </c>
      <c r="G113" s="88">
        <v>0</v>
      </c>
      <c r="H113" s="88">
        <v>0</v>
      </c>
      <c r="I113" s="88">
        <v>0</v>
      </c>
      <c r="J113" s="88">
        <v>0</v>
      </c>
      <c r="K113" s="88">
        <v>0</v>
      </c>
      <c r="L113" s="34" t="s">
        <v>279</v>
      </c>
      <c r="N113" s="90" t="s">
        <v>606</v>
      </c>
      <c r="O113" s="88" t="str">
        <f t="shared" si="189"/>
        <v/>
      </c>
      <c r="P113" s="88" t="str">
        <f t="shared" si="190"/>
        <v/>
      </c>
      <c r="Q113" s="88" t="str">
        <f t="shared" si="191"/>
        <v/>
      </c>
      <c r="R113" s="88" t="str">
        <f t="shared" si="192"/>
        <v/>
      </c>
      <c r="S113" s="88" t="str">
        <f t="shared" si="193"/>
        <v/>
      </c>
      <c r="T113" s="88" t="str">
        <f t="shared" si="194"/>
        <v/>
      </c>
      <c r="U113" s="88" t="str">
        <f t="shared" si="195"/>
        <v/>
      </c>
      <c r="V113" s="88" t="str">
        <f t="shared" si="196"/>
        <v/>
      </c>
      <c r="W113" s="88" t="str">
        <f t="shared" si="197"/>
        <v/>
      </c>
      <c r="X113" s="88" t="str">
        <f t="shared" si="198"/>
        <v/>
      </c>
      <c r="Y113" s="34" t="s">
        <v>279</v>
      </c>
      <c r="AA113" s="90" t="s">
        <v>606</v>
      </c>
      <c r="AB113" s="133" t="str">
        <f t="shared" si="204"/>
        <v/>
      </c>
      <c r="AC113" s="133" t="str">
        <f t="shared" si="199"/>
        <v/>
      </c>
      <c r="AD113" s="133" t="str">
        <f t="shared" si="200"/>
        <v/>
      </c>
      <c r="AE113" s="133" t="str">
        <f t="shared" si="201"/>
        <v/>
      </c>
      <c r="AF113" s="133" t="str">
        <f t="shared" si="202"/>
        <v/>
      </c>
      <c r="AG113" s="133" t="str">
        <f t="shared" si="203"/>
        <v/>
      </c>
      <c r="AH113" s="34"/>
    </row>
    <row r="114" spans="1:46" x14ac:dyDescent="0.35">
      <c r="A114" s="90" t="s">
        <v>607</v>
      </c>
      <c r="D114" s="130">
        <v>0</v>
      </c>
      <c r="E114" s="88">
        <v>0</v>
      </c>
      <c r="F114" s="88">
        <v>0</v>
      </c>
      <c r="G114" s="88">
        <v>0</v>
      </c>
      <c r="H114" s="88">
        <v>0</v>
      </c>
      <c r="I114" s="88">
        <v>0</v>
      </c>
      <c r="J114" s="88">
        <v>0</v>
      </c>
      <c r="K114" s="88">
        <v>0</v>
      </c>
      <c r="L114" s="34" t="s">
        <v>279</v>
      </c>
      <c r="N114" s="90" t="s">
        <v>607</v>
      </c>
      <c r="O114" s="88" t="str">
        <f t="shared" si="189"/>
        <v/>
      </c>
      <c r="P114" s="88" t="str">
        <f t="shared" si="190"/>
        <v/>
      </c>
      <c r="Q114" s="88" t="str">
        <f t="shared" si="191"/>
        <v/>
      </c>
      <c r="R114" s="88" t="str">
        <f t="shared" si="192"/>
        <v/>
      </c>
      <c r="S114" s="88" t="str">
        <f t="shared" si="193"/>
        <v/>
      </c>
      <c r="T114" s="88" t="str">
        <f t="shared" si="194"/>
        <v/>
      </c>
      <c r="U114" s="88" t="str">
        <f t="shared" si="195"/>
        <v/>
      </c>
      <c r="V114" s="88" t="str">
        <f t="shared" si="196"/>
        <v/>
      </c>
      <c r="W114" s="88" t="str">
        <f t="shared" si="197"/>
        <v/>
      </c>
      <c r="X114" s="88" t="str">
        <f t="shared" si="198"/>
        <v/>
      </c>
      <c r="Y114" s="34" t="s">
        <v>279</v>
      </c>
      <c r="AA114" s="90" t="s">
        <v>607</v>
      </c>
      <c r="AB114" s="133" t="str">
        <f t="shared" si="204"/>
        <v/>
      </c>
      <c r="AC114" s="133" t="str">
        <f t="shared" si="199"/>
        <v/>
      </c>
      <c r="AD114" s="133" t="str">
        <f t="shared" si="200"/>
        <v/>
      </c>
      <c r="AE114" s="133" t="str">
        <f t="shared" si="201"/>
        <v/>
      </c>
      <c r="AF114" s="133" t="str">
        <f t="shared" si="202"/>
        <v/>
      </c>
      <c r="AG114" s="133" t="str">
        <f t="shared" si="203"/>
        <v/>
      </c>
      <c r="AH114" s="34"/>
    </row>
    <row r="115" spans="1:46" x14ac:dyDescent="0.35">
      <c r="A115" s="90" t="s">
        <v>608</v>
      </c>
      <c r="B115" s="132">
        <v>0</v>
      </c>
      <c r="C115" s="130">
        <v>0</v>
      </c>
      <c r="D115" s="130">
        <v>0</v>
      </c>
      <c r="E115" s="88">
        <v>0</v>
      </c>
      <c r="F115" s="88">
        <v>0</v>
      </c>
      <c r="G115" s="88">
        <v>0</v>
      </c>
      <c r="H115" s="88">
        <v>0</v>
      </c>
      <c r="I115" s="88">
        <v>0</v>
      </c>
      <c r="J115" s="88">
        <v>0</v>
      </c>
      <c r="K115" s="88">
        <v>0</v>
      </c>
      <c r="L115" s="34" t="s">
        <v>279</v>
      </c>
      <c r="N115" s="90" t="s">
        <v>608</v>
      </c>
      <c r="O115" s="88" t="str">
        <f t="shared" si="189"/>
        <v/>
      </c>
      <c r="P115" s="88" t="str">
        <f t="shared" si="190"/>
        <v/>
      </c>
      <c r="Q115" s="88" t="str">
        <f t="shared" si="191"/>
        <v/>
      </c>
      <c r="R115" s="88" t="str">
        <f t="shared" si="192"/>
        <v/>
      </c>
      <c r="S115" s="88" t="str">
        <f t="shared" si="193"/>
        <v/>
      </c>
      <c r="T115" s="88" t="str">
        <f t="shared" si="194"/>
        <v/>
      </c>
      <c r="U115" s="88" t="str">
        <f t="shared" si="195"/>
        <v/>
      </c>
      <c r="V115" s="88" t="str">
        <f t="shared" si="196"/>
        <v/>
      </c>
      <c r="W115" s="88" t="str">
        <f t="shared" si="197"/>
        <v/>
      </c>
      <c r="X115" s="88" t="str">
        <f t="shared" si="198"/>
        <v/>
      </c>
      <c r="Y115" s="34" t="s">
        <v>279</v>
      </c>
      <c r="AA115" s="90" t="s">
        <v>608</v>
      </c>
      <c r="AB115" s="133" t="str">
        <f t="shared" si="204"/>
        <v/>
      </c>
      <c r="AC115" s="133" t="str">
        <f t="shared" si="199"/>
        <v/>
      </c>
      <c r="AD115" s="133" t="str">
        <f t="shared" si="200"/>
        <v/>
      </c>
      <c r="AE115" s="133" t="str">
        <f t="shared" si="201"/>
        <v/>
      </c>
      <c r="AF115" s="133" t="str">
        <f t="shared" si="202"/>
        <v/>
      </c>
      <c r="AG115" s="133" t="str">
        <f t="shared" si="203"/>
        <v/>
      </c>
      <c r="AH115" s="34"/>
    </row>
    <row r="116" spans="1:46" x14ac:dyDescent="0.35">
      <c r="A116" s="90" t="s">
        <v>609</v>
      </c>
      <c r="B116" s="132">
        <v>26.389654</v>
      </c>
      <c r="C116" s="130">
        <v>23.346568999999999</v>
      </c>
      <c r="D116" s="130">
        <v>27.623425000000001</v>
      </c>
      <c r="E116" s="88">
        <v>26.948605000000001</v>
      </c>
      <c r="F116" s="88">
        <v>28.313548999999998</v>
      </c>
      <c r="G116" s="88">
        <v>30.030542000000001</v>
      </c>
      <c r="H116" s="88">
        <v>30.591434</v>
      </c>
      <c r="I116" s="88">
        <v>31.036584999999999</v>
      </c>
      <c r="J116" s="88">
        <v>31.082242999999998</v>
      </c>
      <c r="K116" s="88">
        <v>31.081329</v>
      </c>
      <c r="L116" s="34">
        <v>6.0000000000000001E-3</v>
      </c>
      <c r="N116" s="90" t="s">
        <v>609</v>
      </c>
      <c r="O116" s="88">
        <f t="shared" si="189"/>
        <v>8.9131566196899801</v>
      </c>
      <c r="P116" s="88">
        <f t="shared" si="190"/>
        <v>10.074933033690225</v>
      </c>
      <c r="Q116" s="88">
        <f t="shared" si="191"/>
        <v>8.5150599261832358</v>
      </c>
      <c r="R116" s="88">
        <f t="shared" si="192"/>
        <v>8.7282855361688725</v>
      </c>
      <c r="S116" s="88">
        <f t="shared" si="193"/>
        <v>8.307510981453726</v>
      </c>
      <c r="T116" s="88">
        <f t="shared" si="194"/>
        <v>7.8325299370696717</v>
      </c>
      <c r="U116" s="88">
        <f t="shared" si="195"/>
        <v>7.6889209979966333</v>
      </c>
      <c r="V116" s="88">
        <f t="shared" si="196"/>
        <v>7.5786404735388304</v>
      </c>
      <c r="W116" s="88">
        <f t="shared" si="197"/>
        <v>7.5675078932182647</v>
      </c>
      <c r="X116" s="88">
        <f t="shared" si="198"/>
        <v>7.5677304288187983</v>
      </c>
      <c r="Y116" s="34">
        <v>6.0000000000000001E-3</v>
      </c>
      <c r="AA116" s="90" t="s">
        <v>609</v>
      </c>
      <c r="AB116" s="133">
        <f t="shared" si="204"/>
        <v>0.97562566246993632</v>
      </c>
      <c r="AC116" s="133">
        <f t="shared" si="199"/>
        <v>0.9198443704412661</v>
      </c>
      <c r="AD116" s="133">
        <f t="shared" si="200"/>
        <v>0.90297908231434987</v>
      </c>
      <c r="AE116" s="133">
        <f t="shared" si="201"/>
        <v>0.89002784939129098</v>
      </c>
      <c r="AF116" s="133">
        <f t="shared" si="202"/>
        <v>0.88872045045140413</v>
      </c>
      <c r="AG116" s="133">
        <f t="shared" si="203"/>
        <v>0.88874658480658919</v>
      </c>
      <c r="AH116" s="34"/>
    </row>
    <row r="117" spans="1:46" x14ac:dyDescent="0.35">
      <c r="A117" s="90" t="s">
        <v>610</v>
      </c>
      <c r="B117" s="132">
        <v>0</v>
      </c>
      <c r="C117" s="130">
        <v>0</v>
      </c>
      <c r="D117" s="130">
        <v>0</v>
      </c>
      <c r="E117" s="88">
        <v>0</v>
      </c>
      <c r="F117" s="88">
        <v>0</v>
      </c>
      <c r="G117" s="88">
        <v>0</v>
      </c>
      <c r="H117" s="88">
        <v>0</v>
      </c>
      <c r="I117" s="88">
        <v>0</v>
      </c>
      <c r="J117" s="88">
        <v>0</v>
      </c>
      <c r="K117" s="88">
        <v>0</v>
      </c>
      <c r="L117" s="34" t="s">
        <v>279</v>
      </c>
      <c r="N117" s="90" t="s">
        <v>610</v>
      </c>
      <c r="O117" s="88" t="str">
        <f t="shared" si="189"/>
        <v/>
      </c>
      <c r="P117" s="88" t="str">
        <f t="shared" si="190"/>
        <v/>
      </c>
      <c r="Q117" s="88" t="str">
        <f t="shared" si="191"/>
        <v/>
      </c>
      <c r="R117" s="88" t="str">
        <f t="shared" si="192"/>
        <v/>
      </c>
      <c r="S117" s="88" t="str">
        <f t="shared" si="193"/>
        <v/>
      </c>
      <c r="T117" s="88" t="str">
        <f t="shared" si="194"/>
        <v/>
      </c>
      <c r="U117" s="88" t="str">
        <f t="shared" si="195"/>
        <v/>
      </c>
      <c r="V117" s="88" t="str">
        <f t="shared" si="196"/>
        <v/>
      </c>
      <c r="W117" s="88" t="str">
        <f t="shared" si="197"/>
        <v/>
      </c>
      <c r="X117" s="88" t="str">
        <f t="shared" si="198"/>
        <v/>
      </c>
      <c r="Y117" s="34" t="s">
        <v>279</v>
      </c>
      <c r="AA117" s="90" t="s">
        <v>610</v>
      </c>
      <c r="AB117" s="133" t="str">
        <f t="shared" si="204"/>
        <v/>
      </c>
      <c r="AC117" s="133" t="str">
        <f t="shared" si="199"/>
        <v/>
      </c>
      <c r="AD117" s="133" t="str">
        <f t="shared" si="200"/>
        <v/>
      </c>
      <c r="AE117" s="133" t="str">
        <f t="shared" si="201"/>
        <v/>
      </c>
      <c r="AF117" s="133" t="str">
        <f t="shared" si="202"/>
        <v/>
      </c>
      <c r="AG117" s="133" t="str">
        <f t="shared" si="203"/>
        <v/>
      </c>
      <c r="AH117" s="34"/>
    </row>
    <row r="118" spans="1:46" x14ac:dyDescent="0.35">
      <c r="A118" s="90" t="s">
        <v>611</v>
      </c>
      <c r="B118" s="132">
        <v>26.258247000000001</v>
      </c>
      <c r="C118" s="130">
        <v>26.778831</v>
      </c>
      <c r="D118" s="130">
        <v>29.167860000000001</v>
      </c>
      <c r="E118" s="88">
        <v>34.179523000000003</v>
      </c>
      <c r="F118" s="88">
        <v>36.003914000000002</v>
      </c>
      <c r="G118" s="88">
        <v>38.844147</v>
      </c>
      <c r="H118" s="88">
        <v>39.758232</v>
      </c>
      <c r="I118" s="88">
        <v>40.540661</v>
      </c>
      <c r="J118" s="88">
        <v>40.649451999999997</v>
      </c>
      <c r="K118" s="88">
        <v>40.763396999999998</v>
      </c>
      <c r="L118" s="34">
        <v>8.0000000000000002E-3</v>
      </c>
      <c r="N118" s="90" t="s">
        <v>611</v>
      </c>
      <c r="O118" s="88">
        <f t="shared" si="189"/>
        <v>8.9577616983124635</v>
      </c>
      <c r="P118" s="88">
        <f t="shared" si="190"/>
        <v>8.7836216316323945</v>
      </c>
      <c r="Q118" s="88">
        <f t="shared" si="191"/>
        <v>8.0641884334822009</v>
      </c>
      <c r="R118" s="88">
        <f t="shared" si="192"/>
        <v>6.8817554663190625</v>
      </c>
      <c r="S118" s="88">
        <f t="shared" si="193"/>
        <v>6.5330430253063074</v>
      </c>
      <c r="T118" s="88">
        <f t="shared" si="194"/>
        <v>6.0553555016004896</v>
      </c>
      <c r="U118" s="88">
        <f t="shared" si="195"/>
        <v>5.9161362920118821</v>
      </c>
      <c r="V118" s="88">
        <f t="shared" si="196"/>
        <v>5.8019557017441858</v>
      </c>
      <c r="W118" s="88">
        <f t="shared" si="197"/>
        <v>5.7864278032930967</v>
      </c>
      <c r="X118" s="88">
        <f t="shared" si="198"/>
        <v>5.7702531327658528</v>
      </c>
      <c r="Y118" s="34">
        <v>8.0000000000000002E-3</v>
      </c>
      <c r="AA118" s="90" t="s">
        <v>611</v>
      </c>
      <c r="AB118" s="133">
        <f t="shared" si="204"/>
        <v>0.81013025417181028</v>
      </c>
      <c r="AC118" s="133">
        <f t="shared" si="199"/>
        <v>0.75089459423578031</v>
      </c>
      <c r="AD118" s="133">
        <f t="shared" si="200"/>
        <v>0.73363071074186603</v>
      </c>
      <c r="AE118" s="133">
        <f t="shared" si="201"/>
        <v>0.71947174220962995</v>
      </c>
      <c r="AF118" s="133">
        <f t="shared" si="202"/>
        <v>0.71754620455892004</v>
      </c>
      <c r="AG118" s="133">
        <f t="shared" si="203"/>
        <v>0.71554046391177861</v>
      </c>
      <c r="AH118" s="34"/>
    </row>
    <row r="119" spans="1:46" x14ac:dyDescent="0.35">
      <c r="A119" s="90" t="s">
        <v>612</v>
      </c>
      <c r="B119" s="132">
        <v>0</v>
      </c>
      <c r="C119" s="130">
        <v>0</v>
      </c>
      <c r="D119" s="130">
        <v>0</v>
      </c>
      <c r="E119" s="88">
        <v>0</v>
      </c>
      <c r="F119" s="88">
        <v>0</v>
      </c>
      <c r="G119" s="88">
        <v>0</v>
      </c>
      <c r="H119" s="88">
        <v>0</v>
      </c>
      <c r="I119" s="88">
        <v>0</v>
      </c>
      <c r="J119" s="88">
        <v>0</v>
      </c>
      <c r="K119" s="88">
        <v>0</v>
      </c>
      <c r="L119" s="34" t="s">
        <v>279</v>
      </c>
      <c r="N119" s="90" t="s">
        <v>612</v>
      </c>
      <c r="O119" s="88" t="str">
        <f t="shared" si="189"/>
        <v/>
      </c>
      <c r="P119" s="88" t="str">
        <f t="shared" si="190"/>
        <v/>
      </c>
      <c r="Q119" s="88" t="str">
        <f t="shared" si="191"/>
        <v/>
      </c>
      <c r="R119" s="88" t="str">
        <f t="shared" si="192"/>
        <v/>
      </c>
      <c r="S119" s="88" t="str">
        <f t="shared" si="193"/>
        <v/>
      </c>
      <c r="T119" s="88" t="str">
        <f t="shared" si="194"/>
        <v/>
      </c>
      <c r="U119" s="88" t="str">
        <f t="shared" si="195"/>
        <v/>
      </c>
      <c r="V119" s="88" t="str">
        <f t="shared" si="196"/>
        <v/>
      </c>
      <c r="W119" s="88" t="str">
        <f t="shared" si="197"/>
        <v/>
      </c>
      <c r="X119" s="88" t="str">
        <f t="shared" si="198"/>
        <v/>
      </c>
      <c r="Y119" s="34" t="s">
        <v>279</v>
      </c>
      <c r="AA119" s="90" t="s">
        <v>612</v>
      </c>
      <c r="AB119" s="133" t="str">
        <f t="shared" si="204"/>
        <v/>
      </c>
      <c r="AC119" s="133" t="str">
        <f t="shared" si="199"/>
        <v/>
      </c>
      <c r="AD119" s="133" t="str">
        <f t="shared" si="200"/>
        <v/>
      </c>
      <c r="AE119" s="133" t="str">
        <f t="shared" si="201"/>
        <v/>
      </c>
      <c r="AF119" s="133" t="str">
        <f t="shared" si="202"/>
        <v/>
      </c>
      <c r="AG119" s="133" t="str">
        <f t="shared" si="203"/>
        <v/>
      </c>
      <c r="AH119" s="34"/>
    </row>
    <row r="120" spans="1:46" x14ac:dyDescent="0.35">
      <c r="A120" s="90" t="s">
        <v>613</v>
      </c>
      <c r="B120" s="132">
        <v>0</v>
      </c>
      <c r="C120" s="130">
        <v>0</v>
      </c>
      <c r="D120" s="130">
        <v>0</v>
      </c>
      <c r="E120" s="88">
        <v>0</v>
      </c>
      <c r="F120" s="88">
        <v>0</v>
      </c>
      <c r="G120" s="88">
        <v>0</v>
      </c>
      <c r="H120" s="88">
        <v>0</v>
      </c>
      <c r="I120" s="88">
        <v>0</v>
      </c>
      <c r="J120" s="88">
        <v>0</v>
      </c>
      <c r="K120" s="88">
        <v>0</v>
      </c>
      <c r="L120" s="34" t="s">
        <v>279</v>
      </c>
      <c r="N120" s="90" t="s">
        <v>613</v>
      </c>
      <c r="O120" s="88" t="str">
        <f t="shared" si="189"/>
        <v/>
      </c>
      <c r="P120" s="88" t="str">
        <f t="shared" si="190"/>
        <v/>
      </c>
      <c r="Q120" s="88" t="str">
        <f t="shared" si="191"/>
        <v/>
      </c>
      <c r="R120" s="88" t="str">
        <f t="shared" si="192"/>
        <v/>
      </c>
      <c r="S120" s="88" t="str">
        <f t="shared" si="193"/>
        <v/>
      </c>
      <c r="T120" s="88" t="str">
        <f t="shared" si="194"/>
        <v/>
      </c>
      <c r="U120" s="88" t="str">
        <f t="shared" si="195"/>
        <v/>
      </c>
      <c r="V120" s="88" t="str">
        <f t="shared" si="196"/>
        <v/>
      </c>
      <c r="W120" s="88" t="str">
        <f t="shared" si="197"/>
        <v/>
      </c>
      <c r="X120" s="88" t="str">
        <f t="shared" si="198"/>
        <v/>
      </c>
      <c r="Y120" s="34" t="s">
        <v>279</v>
      </c>
      <c r="AA120" s="90" t="s">
        <v>613</v>
      </c>
      <c r="AB120" s="133" t="str">
        <f t="shared" si="204"/>
        <v/>
      </c>
      <c r="AC120" s="133" t="str">
        <f t="shared" si="199"/>
        <v/>
      </c>
      <c r="AD120" s="133" t="str">
        <f t="shared" si="200"/>
        <v/>
      </c>
      <c r="AE120" s="133" t="str">
        <f t="shared" si="201"/>
        <v/>
      </c>
      <c r="AF120" s="133" t="str">
        <f t="shared" si="202"/>
        <v/>
      </c>
      <c r="AG120" s="133" t="str">
        <f t="shared" si="203"/>
        <v/>
      </c>
      <c r="AH120" s="34"/>
    </row>
    <row r="121" spans="1:46" x14ac:dyDescent="0.35">
      <c r="A121" s="90" t="s">
        <v>614</v>
      </c>
      <c r="D121" s="130">
        <v>0</v>
      </c>
      <c r="E121" s="88">
        <v>0</v>
      </c>
      <c r="F121" s="88">
        <v>0</v>
      </c>
      <c r="G121" s="88">
        <v>0</v>
      </c>
      <c r="H121" s="88">
        <v>0</v>
      </c>
      <c r="I121" s="88">
        <v>0</v>
      </c>
      <c r="J121" s="88">
        <v>0</v>
      </c>
      <c r="K121" s="88">
        <v>0</v>
      </c>
      <c r="L121" s="34" t="s">
        <v>279</v>
      </c>
      <c r="N121" s="90" t="s">
        <v>614</v>
      </c>
      <c r="O121" s="88" t="str">
        <f t="shared" si="189"/>
        <v/>
      </c>
      <c r="P121" s="88" t="str">
        <f t="shared" si="190"/>
        <v/>
      </c>
      <c r="Q121" s="88" t="str">
        <f t="shared" si="191"/>
        <v/>
      </c>
      <c r="R121" s="88" t="str">
        <f t="shared" si="192"/>
        <v/>
      </c>
      <c r="S121" s="88" t="str">
        <f t="shared" si="193"/>
        <v/>
      </c>
      <c r="T121" s="88" t="str">
        <f t="shared" si="194"/>
        <v/>
      </c>
      <c r="U121" s="88" t="str">
        <f t="shared" si="195"/>
        <v/>
      </c>
      <c r="V121" s="88" t="str">
        <f t="shared" si="196"/>
        <v/>
      </c>
      <c r="W121" s="88" t="str">
        <f t="shared" si="197"/>
        <v/>
      </c>
      <c r="X121" s="88" t="str">
        <f t="shared" si="198"/>
        <v/>
      </c>
      <c r="Y121" s="34" t="s">
        <v>279</v>
      </c>
      <c r="AA121" s="90" t="s">
        <v>614</v>
      </c>
      <c r="AB121" s="133" t="str">
        <f t="shared" si="204"/>
        <v/>
      </c>
      <c r="AC121" s="133" t="str">
        <f t="shared" si="199"/>
        <v/>
      </c>
      <c r="AD121" s="133" t="str">
        <f t="shared" si="200"/>
        <v/>
      </c>
      <c r="AE121" s="133" t="str">
        <f t="shared" si="201"/>
        <v/>
      </c>
      <c r="AF121" s="133" t="str">
        <f t="shared" si="202"/>
        <v/>
      </c>
      <c r="AG121" s="133" t="str">
        <f t="shared" si="203"/>
        <v/>
      </c>
      <c r="AH121" s="34"/>
    </row>
    <row r="122" spans="1:46" x14ac:dyDescent="0.35">
      <c r="A122" s="90" t="s">
        <v>615</v>
      </c>
      <c r="D122" s="130">
        <v>0</v>
      </c>
      <c r="E122" s="88">
        <v>0</v>
      </c>
      <c r="F122" s="88">
        <v>0</v>
      </c>
      <c r="G122" s="88">
        <v>0</v>
      </c>
      <c r="H122" s="88">
        <v>0</v>
      </c>
      <c r="I122" s="88">
        <v>0</v>
      </c>
      <c r="J122" s="88">
        <v>0</v>
      </c>
      <c r="K122" s="88">
        <v>0</v>
      </c>
      <c r="L122" s="34" t="s">
        <v>279</v>
      </c>
      <c r="N122" s="90" t="s">
        <v>615</v>
      </c>
      <c r="O122" s="88" t="str">
        <f t="shared" si="189"/>
        <v/>
      </c>
      <c r="P122" s="88" t="str">
        <f t="shared" si="190"/>
        <v/>
      </c>
      <c r="Q122" s="88" t="str">
        <f t="shared" si="191"/>
        <v/>
      </c>
      <c r="R122" s="88" t="str">
        <f t="shared" si="192"/>
        <v/>
      </c>
      <c r="S122" s="88" t="str">
        <f t="shared" si="193"/>
        <v/>
      </c>
      <c r="T122" s="88" t="str">
        <f t="shared" si="194"/>
        <v/>
      </c>
      <c r="U122" s="88" t="str">
        <f t="shared" si="195"/>
        <v/>
      </c>
      <c r="V122" s="88" t="str">
        <f t="shared" si="196"/>
        <v/>
      </c>
      <c r="W122" s="88" t="str">
        <f t="shared" si="197"/>
        <v/>
      </c>
      <c r="X122" s="88" t="str">
        <f t="shared" si="198"/>
        <v/>
      </c>
      <c r="Y122" s="34" t="s">
        <v>279</v>
      </c>
      <c r="AA122" s="90" t="s">
        <v>615</v>
      </c>
      <c r="AB122" s="133" t="str">
        <f t="shared" si="204"/>
        <v/>
      </c>
      <c r="AC122" s="133" t="str">
        <f t="shared" si="199"/>
        <v/>
      </c>
      <c r="AD122" s="133" t="str">
        <f t="shared" si="200"/>
        <v/>
      </c>
      <c r="AE122" s="133" t="str">
        <f t="shared" si="201"/>
        <v/>
      </c>
      <c r="AF122" s="133" t="str">
        <f t="shared" si="202"/>
        <v/>
      </c>
      <c r="AG122" s="133" t="str">
        <f t="shared" si="203"/>
        <v/>
      </c>
      <c r="AH122" s="34"/>
    </row>
    <row r="123" spans="1:46" x14ac:dyDescent="0.35">
      <c r="A123" t="s">
        <v>40</v>
      </c>
      <c r="L123" s="34"/>
      <c r="N123" t="s">
        <v>40</v>
      </c>
      <c r="O123" s="88"/>
      <c r="P123" s="88"/>
      <c r="Q123" s="88"/>
      <c r="R123" s="88"/>
      <c r="S123" s="88"/>
      <c r="T123" s="88"/>
      <c r="U123" s="88"/>
      <c r="V123" s="88"/>
      <c r="W123" s="88"/>
      <c r="X123" s="88"/>
      <c r="Y123" s="34"/>
      <c r="AA123" t="s">
        <v>40</v>
      </c>
      <c r="AB123" s="88"/>
      <c r="AC123" s="88"/>
      <c r="AD123" s="88"/>
      <c r="AE123" s="88"/>
      <c r="AF123" s="88"/>
      <c r="AG123" s="88"/>
      <c r="AH123" s="34"/>
      <c r="AI123" t="s">
        <v>32</v>
      </c>
      <c r="AJ123" t="s">
        <v>231</v>
      </c>
      <c r="AK123" s="88">
        <f>AVERAGE(O124:O131)</f>
        <v>7.413363981297592</v>
      </c>
      <c r="AL123" s="88">
        <f t="shared" ref="AL123" si="205">AVERAGE(P124:P131)</f>
        <v>7.7329820151154349</v>
      </c>
      <c r="AM123" s="88">
        <f t="shared" ref="AM123" si="206">AVERAGE(Q124:Q131)</f>
        <v>5.775804726146923</v>
      </c>
      <c r="AN123" s="88">
        <f t="shared" ref="AN123" si="207">AVERAGE(R124:R131)</f>
        <v>5.2424966739795718</v>
      </c>
      <c r="AO123" s="88">
        <f t="shared" ref="AO123" si="208">AVERAGE(S124:S131)</f>
        <v>5.045174991573214</v>
      </c>
      <c r="AP123" s="88">
        <f t="shared" ref="AP123" si="209">AVERAGE(T124:T131)</f>
        <v>4.7994054841400891</v>
      </c>
      <c r="AQ123" s="88">
        <f t="shared" ref="AQ123" si="210">AVERAGE(U124:U131)</f>
        <v>4.8343301047296485</v>
      </c>
      <c r="AR123" s="88">
        <f t="shared" ref="AR123" si="211">AVERAGE(V124:V131)</f>
        <v>4.801340942236644</v>
      </c>
      <c r="AS123" s="88">
        <f t="shared" ref="AS123" si="212">AVERAGE(W124:W131)</f>
        <v>4.8113323985676599</v>
      </c>
      <c r="AT123" s="88">
        <f t="shared" ref="AT123" si="213">AVERAGE(X124:X131)</f>
        <v>4.8102923668395041</v>
      </c>
    </row>
    <row r="124" spans="1:46" x14ac:dyDescent="0.35">
      <c r="A124" s="90" t="s">
        <v>600</v>
      </c>
      <c r="B124" s="132">
        <v>0</v>
      </c>
      <c r="C124" s="130">
        <v>0</v>
      </c>
      <c r="D124" s="130">
        <v>0</v>
      </c>
      <c r="E124" s="88">
        <v>0</v>
      </c>
      <c r="F124" s="88">
        <v>0</v>
      </c>
      <c r="G124" s="88">
        <v>0</v>
      </c>
      <c r="H124" s="88">
        <v>0</v>
      </c>
      <c r="I124" s="88">
        <v>0</v>
      </c>
      <c r="J124" s="88">
        <v>0</v>
      </c>
      <c r="K124" s="88">
        <v>0</v>
      </c>
      <c r="L124" s="34" t="s">
        <v>279</v>
      </c>
      <c r="N124" s="90" t="s">
        <v>600</v>
      </c>
      <c r="O124" s="88" t="str">
        <f t="shared" ref="O124:O139" si="214">IFERROR(L_100km_to_mpg/B124, "")</f>
        <v/>
      </c>
      <c r="P124" s="88" t="str">
        <f t="shared" ref="P124:P139" si="215">IFERROR(L_100km_to_mpg/C124, "")</f>
        <v/>
      </c>
      <c r="Q124" s="88" t="str">
        <f t="shared" ref="Q124:Q139" si="216">IFERROR(L_100km_to_mpg/D124, "")</f>
        <v/>
      </c>
      <c r="R124" s="88" t="str">
        <f t="shared" ref="R124:R139" si="217">IFERROR(L_100km_to_mpg/E124, "")</f>
        <v/>
      </c>
      <c r="S124" s="88" t="str">
        <f t="shared" ref="S124:S139" si="218">IFERROR(L_100km_to_mpg/F124, "")</f>
        <v/>
      </c>
      <c r="T124" s="88" t="str">
        <f t="shared" ref="T124:T139" si="219">IFERROR(L_100km_to_mpg/G124, "")</f>
        <v/>
      </c>
      <c r="U124" s="88" t="str">
        <f t="shared" ref="U124:U139" si="220">IFERROR(L_100km_to_mpg/H124, "")</f>
        <v/>
      </c>
      <c r="V124" s="88" t="str">
        <f t="shared" ref="V124:V139" si="221">IFERROR(L_100km_to_mpg/I124, "")</f>
        <v/>
      </c>
      <c r="W124" s="88" t="str">
        <f t="shared" ref="W124:W139" si="222">IFERROR(L_100km_to_mpg/J124, "")</f>
        <v/>
      </c>
      <c r="X124" s="88" t="str">
        <f t="shared" ref="X124:X139" si="223">IFERROR(L_100km_to_mpg/K124, "")</f>
        <v/>
      </c>
      <c r="Y124" s="34" t="s">
        <v>279</v>
      </c>
      <c r="AA124" s="90" t="s">
        <v>600</v>
      </c>
      <c r="AB124" s="133" t="str">
        <f>IFERROR($D124/F124, "")</f>
        <v/>
      </c>
      <c r="AC124" s="133" t="str">
        <f t="shared" ref="AC124:AC139" si="224">IFERROR($D124/G124, "")</f>
        <v/>
      </c>
      <c r="AD124" s="133" t="str">
        <f t="shared" ref="AD124:AD139" si="225">IFERROR($D124/H124, "")</f>
        <v/>
      </c>
      <c r="AE124" s="133" t="str">
        <f t="shared" ref="AE124:AE139" si="226">IFERROR($D124/I124, "")</f>
        <v/>
      </c>
      <c r="AF124" s="133" t="str">
        <f t="shared" ref="AF124:AF139" si="227">IFERROR($D124/J124, "")</f>
        <v/>
      </c>
      <c r="AG124" s="133" t="str">
        <f t="shared" ref="AG124:AG139" si="228">IFERROR($D124/K124, "")</f>
        <v/>
      </c>
      <c r="AH124" s="34"/>
      <c r="AI124" t="s">
        <v>256</v>
      </c>
      <c r="AJ124" t="s">
        <v>231</v>
      </c>
      <c r="AK124" s="88">
        <f>AVERAGE(O132:O139)</f>
        <v>8.5917878135119228</v>
      </c>
      <c r="AL124" s="88">
        <f t="shared" ref="AL124" si="229">AVERAGE(P132:P139)</f>
        <v>9.0666134547125523</v>
      </c>
      <c r="AM124" s="88">
        <f t="shared" ref="AM124" si="230">AVERAGE(Q132:Q139)</f>
        <v>7.9822851912644177</v>
      </c>
      <c r="AN124" s="88">
        <f t="shared" ref="AN124" si="231">AVERAGE(R132:R139)</f>
        <v>7.5161357402054447</v>
      </c>
      <c r="AO124" s="88">
        <f t="shared" ref="AO124" si="232">AVERAGE(S132:S139)</f>
        <v>7.1401188848138109</v>
      </c>
      <c r="AP124" s="88">
        <f t="shared" ref="AP124" si="233">AVERAGE(T132:T139)</f>
        <v>6.6808817261122808</v>
      </c>
      <c r="AQ124" s="88">
        <f t="shared" ref="AQ124" si="234">AVERAGE(U132:U139)</f>
        <v>6.5526586767510917</v>
      </c>
      <c r="AR124" s="88">
        <f t="shared" ref="AR124" si="235">AVERAGE(V132:V139)</f>
        <v>6.4462023267626805</v>
      </c>
      <c r="AS124" s="88">
        <f t="shared" ref="AS124" si="236">AVERAGE(W132:W139)</f>
        <v>6.4333469638247669</v>
      </c>
      <c r="AT124" s="88">
        <f t="shared" ref="AT124" si="237">AVERAGE(X132:X139)</f>
        <v>6.4251068119943646</v>
      </c>
    </row>
    <row r="125" spans="1:46" x14ac:dyDescent="0.35">
      <c r="A125" s="90" t="s">
        <v>601</v>
      </c>
      <c r="B125" s="132">
        <v>0</v>
      </c>
      <c r="C125" s="130">
        <v>0</v>
      </c>
      <c r="D125" s="130">
        <v>0</v>
      </c>
      <c r="E125" s="88">
        <v>0</v>
      </c>
      <c r="F125" s="88">
        <v>0</v>
      </c>
      <c r="G125" s="88">
        <v>0</v>
      </c>
      <c r="H125" s="88">
        <v>0</v>
      </c>
      <c r="I125" s="88">
        <v>0</v>
      </c>
      <c r="J125" s="88">
        <v>0</v>
      </c>
      <c r="K125" s="88">
        <v>0</v>
      </c>
      <c r="L125" s="34" t="s">
        <v>279</v>
      </c>
      <c r="N125" s="90" t="s">
        <v>601</v>
      </c>
      <c r="O125" s="88" t="str">
        <f t="shared" si="214"/>
        <v/>
      </c>
      <c r="P125" s="88" t="str">
        <f t="shared" si="215"/>
        <v/>
      </c>
      <c r="Q125" s="88" t="str">
        <f t="shared" si="216"/>
        <v/>
      </c>
      <c r="R125" s="88" t="str">
        <f t="shared" si="217"/>
        <v/>
      </c>
      <c r="S125" s="88" t="str">
        <f t="shared" si="218"/>
        <v/>
      </c>
      <c r="T125" s="88" t="str">
        <f t="shared" si="219"/>
        <v/>
      </c>
      <c r="U125" s="88" t="str">
        <f t="shared" si="220"/>
        <v/>
      </c>
      <c r="V125" s="88" t="str">
        <f t="shared" si="221"/>
        <v/>
      </c>
      <c r="W125" s="88" t="str">
        <f t="shared" si="222"/>
        <v/>
      </c>
      <c r="X125" s="88" t="str">
        <f t="shared" si="223"/>
        <v/>
      </c>
      <c r="Y125" s="34" t="s">
        <v>279</v>
      </c>
      <c r="AA125" s="90" t="s">
        <v>601</v>
      </c>
      <c r="AB125" s="133" t="str">
        <f t="shared" ref="AB125:AB139" si="238">IFERROR($D125/F125, "")</f>
        <v/>
      </c>
      <c r="AC125" s="133" t="str">
        <f t="shared" si="224"/>
        <v/>
      </c>
      <c r="AD125" s="133" t="str">
        <f t="shared" si="225"/>
        <v/>
      </c>
      <c r="AE125" s="133" t="str">
        <f t="shared" si="226"/>
        <v/>
      </c>
      <c r="AF125" s="133" t="str">
        <f t="shared" si="227"/>
        <v/>
      </c>
      <c r="AG125" s="133" t="str">
        <f t="shared" si="228"/>
        <v/>
      </c>
      <c r="AH125" s="34"/>
    </row>
    <row r="126" spans="1:46" x14ac:dyDescent="0.35">
      <c r="A126" s="90" t="s">
        <v>602</v>
      </c>
      <c r="B126" s="132">
        <v>0</v>
      </c>
      <c r="C126" s="130">
        <v>0</v>
      </c>
      <c r="D126" s="130">
        <v>0</v>
      </c>
      <c r="E126" s="88">
        <v>0</v>
      </c>
      <c r="F126" s="88">
        <v>0</v>
      </c>
      <c r="G126" s="88">
        <v>0</v>
      </c>
      <c r="H126" s="88">
        <v>0</v>
      </c>
      <c r="I126" s="88">
        <v>0</v>
      </c>
      <c r="J126" s="88">
        <v>0</v>
      </c>
      <c r="K126" s="88">
        <v>0</v>
      </c>
      <c r="L126" s="34" t="s">
        <v>279</v>
      </c>
      <c r="N126" s="90" t="s">
        <v>602</v>
      </c>
      <c r="O126" s="88" t="str">
        <f t="shared" si="214"/>
        <v/>
      </c>
      <c r="P126" s="88" t="str">
        <f t="shared" si="215"/>
        <v/>
      </c>
      <c r="Q126" s="88" t="str">
        <f t="shared" si="216"/>
        <v/>
      </c>
      <c r="R126" s="88" t="str">
        <f t="shared" si="217"/>
        <v/>
      </c>
      <c r="S126" s="88" t="str">
        <f t="shared" si="218"/>
        <v/>
      </c>
      <c r="T126" s="88" t="str">
        <f t="shared" si="219"/>
        <v/>
      </c>
      <c r="U126" s="88" t="str">
        <f t="shared" si="220"/>
        <v/>
      </c>
      <c r="V126" s="88" t="str">
        <f t="shared" si="221"/>
        <v/>
      </c>
      <c r="W126" s="88" t="str">
        <f t="shared" si="222"/>
        <v/>
      </c>
      <c r="X126" s="88" t="str">
        <f t="shared" si="223"/>
        <v/>
      </c>
      <c r="Y126" s="34" t="s">
        <v>279</v>
      </c>
      <c r="AA126" s="90" t="s">
        <v>602</v>
      </c>
      <c r="AB126" s="133" t="str">
        <f t="shared" si="238"/>
        <v/>
      </c>
      <c r="AC126" s="133" t="str">
        <f t="shared" si="224"/>
        <v/>
      </c>
      <c r="AD126" s="133" t="str">
        <f t="shared" si="225"/>
        <v/>
      </c>
      <c r="AE126" s="133" t="str">
        <f t="shared" si="226"/>
        <v/>
      </c>
      <c r="AF126" s="133" t="str">
        <f t="shared" si="227"/>
        <v/>
      </c>
      <c r="AG126" s="133" t="str">
        <f t="shared" si="228"/>
        <v/>
      </c>
      <c r="AH126" s="34"/>
    </row>
    <row r="127" spans="1:46" x14ac:dyDescent="0.35">
      <c r="A127" s="90" t="s">
        <v>603</v>
      </c>
      <c r="B127" s="132">
        <v>0</v>
      </c>
      <c r="C127" s="130">
        <v>0</v>
      </c>
      <c r="D127" s="130">
        <v>0</v>
      </c>
      <c r="E127" s="88">
        <v>0</v>
      </c>
      <c r="F127" s="88">
        <v>0</v>
      </c>
      <c r="G127" s="88">
        <v>0</v>
      </c>
      <c r="H127" s="88">
        <v>0</v>
      </c>
      <c r="I127" s="88">
        <v>0</v>
      </c>
      <c r="J127" s="88">
        <v>0</v>
      </c>
      <c r="K127" s="88">
        <v>0</v>
      </c>
      <c r="L127" s="34" t="s">
        <v>279</v>
      </c>
      <c r="N127" s="90" t="s">
        <v>603</v>
      </c>
      <c r="O127" s="88" t="str">
        <f t="shared" si="214"/>
        <v/>
      </c>
      <c r="P127" s="88" t="str">
        <f t="shared" si="215"/>
        <v/>
      </c>
      <c r="Q127" s="88" t="str">
        <f t="shared" si="216"/>
        <v/>
      </c>
      <c r="R127" s="88" t="str">
        <f t="shared" si="217"/>
        <v/>
      </c>
      <c r="S127" s="88" t="str">
        <f t="shared" si="218"/>
        <v/>
      </c>
      <c r="T127" s="88" t="str">
        <f t="shared" si="219"/>
        <v/>
      </c>
      <c r="U127" s="88" t="str">
        <f t="shared" si="220"/>
        <v/>
      </c>
      <c r="V127" s="88" t="str">
        <f t="shared" si="221"/>
        <v/>
      </c>
      <c r="W127" s="88" t="str">
        <f t="shared" si="222"/>
        <v/>
      </c>
      <c r="X127" s="88" t="str">
        <f t="shared" si="223"/>
        <v/>
      </c>
      <c r="Y127" s="34" t="s">
        <v>279</v>
      </c>
      <c r="AA127" s="90" t="s">
        <v>603</v>
      </c>
      <c r="AB127" s="133" t="str">
        <f t="shared" si="238"/>
        <v/>
      </c>
      <c r="AC127" s="133" t="str">
        <f t="shared" si="224"/>
        <v/>
      </c>
      <c r="AD127" s="133" t="str">
        <f t="shared" si="225"/>
        <v/>
      </c>
      <c r="AE127" s="133" t="str">
        <f t="shared" si="226"/>
        <v/>
      </c>
      <c r="AF127" s="133" t="str">
        <f t="shared" si="227"/>
        <v/>
      </c>
      <c r="AG127" s="133" t="str">
        <f t="shared" si="228"/>
        <v/>
      </c>
      <c r="AH127" s="34"/>
    </row>
    <row r="128" spans="1:46" x14ac:dyDescent="0.35">
      <c r="A128" s="90" t="s">
        <v>604</v>
      </c>
      <c r="B128" s="132">
        <v>31.728527</v>
      </c>
      <c r="C128" s="130">
        <v>30.41713</v>
      </c>
      <c r="D128" s="130">
        <v>40.724215999999998</v>
      </c>
      <c r="E128" s="88">
        <v>44.867004000000001</v>
      </c>
      <c r="F128" s="88">
        <v>46.621796000000003</v>
      </c>
      <c r="G128" s="88">
        <v>49.009219999999999</v>
      </c>
      <c r="H128" s="88">
        <v>48.655163000000002</v>
      </c>
      <c r="I128" s="88">
        <v>48.989463999999998</v>
      </c>
      <c r="J128" s="88">
        <v>48.887729999999998</v>
      </c>
      <c r="K128" s="88">
        <v>48.898299999999999</v>
      </c>
      <c r="L128" s="34">
        <v>4.0000000000000001E-3</v>
      </c>
      <c r="N128" s="90" t="s">
        <v>604</v>
      </c>
      <c r="O128" s="88">
        <f t="shared" si="214"/>
        <v>7.413363981297592</v>
      </c>
      <c r="P128" s="88">
        <f t="shared" si="215"/>
        <v>7.7329820151154349</v>
      </c>
      <c r="Q128" s="88">
        <f t="shared" si="216"/>
        <v>5.775804726146923</v>
      </c>
      <c r="R128" s="88">
        <f t="shared" si="217"/>
        <v>5.2424966739795718</v>
      </c>
      <c r="S128" s="88">
        <f t="shared" si="218"/>
        <v>5.045174991573214</v>
      </c>
      <c r="T128" s="88">
        <f t="shared" si="219"/>
        <v>4.7994054841400891</v>
      </c>
      <c r="U128" s="88">
        <f t="shared" si="220"/>
        <v>4.8343301047296485</v>
      </c>
      <c r="V128" s="88">
        <f t="shared" si="221"/>
        <v>4.801340942236644</v>
      </c>
      <c r="W128" s="88">
        <f t="shared" si="222"/>
        <v>4.8113323985676599</v>
      </c>
      <c r="X128" s="88">
        <f t="shared" si="223"/>
        <v>4.8102923668395041</v>
      </c>
      <c r="Y128" s="34">
        <v>4.0000000000000001E-3</v>
      </c>
      <c r="AA128" s="90" t="s">
        <v>604</v>
      </c>
      <c r="AB128" s="133">
        <f t="shared" si="238"/>
        <v>0.87350165574916927</v>
      </c>
      <c r="AC128" s="133">
        <f t="shared" si="224"/>
        <v>0.8309500946964673</v>
      </c>
      <c r="AD128" s="133">
        <f t="shared" si="225"/>
        <v>0.83699680545721322</v>
      </c>
      <c r="AE128" s="133">
        <f t="shared" si="226"/>
        <v>0.83128519226093189</v>
      </c>
      <c r="AF128" s="133">
        <f t="shared" si="227"/>
        <v>0.8330150735164018</v>
      </c>
      <c r="AG128" s="133">
        <f t="shared" si="228"/>
        <v>0.83283500653396947</v>
      </c>
      <c r="AH128" s="34"/>
    </row>
    <row r="129" spans="1:34" x14ac:dyDescent="0.35">
      <c r="A129" s="90" t="s">
        <v>605</v>
      </c>
      <c r="B129" s="132">
        <v>0</v>
      </c>
      <c r="C129" s="130">
        <v>0</v>
      </c>
      <c r="D129" s="130">
        <v>0</v>
      </c>
      <c r="E129" s="88">
        <v>0</v>
      </c>
      <c r="F129" s="88">
        <v>0</v>
      </c>
      <c r="G129" s="88">
        <v>0</v>
      </c>
      <c r="H129" s="88">
        <v>0</v>
      </c>
      <c r="I129" s="88">
        <v>0</v>
      </c>
      <c r="J129" s="88">
        <v>0</v>
      </c>
      <c r="K129" s="88">
        <v>0</v>
      </c>
      <c r="L129" s="34" t="s">
        <v>279</v>
      </c>
      <c r="N129" s="90" t="s">
        <v>605</v>
      </c>
      <c r="O129" s="88" t="str">
        <f t="shared" si="214"/>
        <v/>
      </c>
      <c r="P129" s="88" t="str">
        <f t="shared" si="215"/>
        <v/>
      </c>
      <c r="Q129" s="88" t="str">
        <f t="shared" si="216"/>
        <v/>
      </c>
      <c r="R129" s="88" t="str">
        <f t="shared" si="217"/>
        <v/>
      </c>
      <c r="S129" s="88" t="str">
        <f t="shared" si="218"/>
        <v/>
      </c>
      <c r="T129" s="88" t="str">
        <f t="shared" si="219"/>
        <v/>
      </c>
      <c r="U129" s="88" t="str">
        <f t="shared" si="220"/>
        <v/>
      </c>
      <c r="V129" s="88" t="str">
        <f t="shared" si="221"/>
        <v/>
      </c>
      <c r="W129" s="88" t="str">
        <f t="shared" si="222"/>
        <v/>
      </c>
      <c r="X129" s="88" t="str">
        <f t="shared" si="223"/>
        <v/>
      </c>
      <c r="Y129" s="34" t="s">
        <v>279</v>
      </c>
      <c r="AA129" s="90" t="s">
        <v>605</v>
      </c>
      <c r="AB129" s="133" t="str">
        <f t="shared" si="238"/>
        <v/>
      </c>
      <c r="AC129" s="133" t="str">
        <f t="shared" si="224"/>
        <v/>
      </c>
      <c r="AD129" s="133" t="str">
        <f t="shared" si="225"/>
        <v/>
      </c>
      <c r="AE129" s="133" t="str">
        <f t="shared" si="226"/>
        <v/>
      </c>
      <c r="AF129" s="133" t="str">
        <f t="shared" si="227"/>
        <v/>
      </c>
      <c r="AG129" s="133" t="str">
        <f t="shared" si="228"/>
        <v/>
      </c>
      <c r="AH129" s="34"/>
    </row>
    <row r="130" spans="1:34" x14ac:dyDescent="0.35">
      <c r="A130" s="90" t="s">
        <v>606</v>
      </c>
      <c r="D130" s="130">
        <v>0</v>
      </c>
      <c r="E130" s="88">
        <v>0</v>
      </c>
      <c r="F130" s="88">
        <v>0</v>
      </c>
      <c r="G130" s="88">
        <v>0</v>
      </c>
      <c r="H130" s="88">
        <v>0</v>
      </c>
      <c r="I130" s="88">
        <v>0</v>
      </c>
      <c r="J130" s="88">
        <v>0</v>
      </c>
      <c r="K130" s="88">
        <v>0</v>
      </c>
      <c r="L130" s="34" t="s">
        <v>279</v>
      </c>
      <c r="N130" s="90" t="s">
        <v>606</v>
      </c>
      <c r="O130" s="88" t="str">
        <f t="shared" si="214"/>
        <v/>
      </c>
      <c r="P130" s="88" t="str">
        <f t="shared" si="215"/>
        <v/>
      </c>
      <c r="Q130" s="88" t="str">
        <f t="shared" si="216"/>
        <v/>
      </c>
      <c r="R130" s="88" t="str">
        <f t="shared" si="217"/>
        <v/>
      </c>
      <c r="S130" s="88" t="str">
        <f t="shared" si="218"/>
        <v/>
      </c>
      <c r="T130" s="88" t="str">
        <f t="shared" si="219"/>
        <v/>
      </c>
      <c r="U130" s="88" t="str">
        <f t="shared" si="220"/>
        <v/>
      </c>
      <c r="V130" s="88" t="str">
        <f t="shared" si="221"/>
        <v/>
      </c>
      <c r="W130" s="88" t="str">
        <f t="shared" si="222"/>
        <v/>
      </c>
      <c r="X130" s="88" t="str">
        <f t="shared" si="223"/>
        <v/>
      </c>
      <c r="Y130" s="34" t="s">
        <v>279</v>
      </c>
      <c r="AA130" s="90" t="s">
        <v>606</v>
      </c>
      <c r="AB130" s="133" t="str">
        <f t="shared" si="238"/>
        <v/>
      </c>
      <c r="AC130" s="133" t="str">
        <f t="shared" si="224"/>
        <v/>
      </c>
      <c r="AD130" s="133" t="str">
        <f t="shared" si="225"/>
        <v/>
      </c>
      <c r="AE130" s="133" t="str">
        <f t="shared" si="226"/>
        <v/>
      </c>
      <c r="AF130" s="133" t="str">
        <f t="shared" si="227"/>
        <v/>
      </c>
      <c r="AG130" s="133" t="str">
        <f t="shared" si="228"/>
        <v/>
      </c>
      <c r="AH130" s="34"/>
    </row>
    <row r="131" spans="1:34" x14ac:dyDescent="0.35">
      <c r="A131" s="90" t="s">
        <v>607</v>
      </c>
      <c r="D131" s="130">
        <v>0</v>
      </c>
      <c r="E131" s="88">
        <v>0</v>
      </c>
      <c r="F131" s="88">
        <v>0</v>
      </c>
      <c r="G131" s="88">
        <v>0</v>
      </c>
      <c r="H131" s="88">
        <v>0</v>
      </c>
      <c r="I131" s="88">
        <v>0</v>
      </c>
      <c r="J131" s="88">
        <v>0</v>
      </c>
      <c r="K131" s="88">
        <v>0</v>
      </c>
      <c r="L131" s="34" t="s">
        <v>279</v>
      </c>
      <c r="N131" s="90" t="s">
        <v>607</v>
      </c>
      <c r="O131" s="88" t="str">
        <f t="shared" si="214"/>
        <v/>
      </c>
      <c r="P131" s="88" t="str">
        <f t="shared" si="215"/>
        <v/>
      </c>
      <c r="Q131" s="88" t="str">
        <f t="shared" si="216"/>
        <v/>
      </c>
      <c r="R131" s="88" t="str">
        <f t="shared" si="217"/>
        <v/>
      </c>
      <c r="S131" s="88" t="str">
        <f t="shared" si="218"/>
        <v/>
      </c>
      <c r="T131" s="88" t="str">
        <f t="shared" si="219"/>
        <v/>
      </c>
      <c r="U131" s="88" t="str">
        <f t="shared" si="220"/>
        <v/>
      </c>
      <c r="V131" s="88" t="str">
        <f t="shared" si="221"/>
        <v/>
      </c>
      <c r="W131" s="88" t="str">
        <f t="shared" si="222"/>
        <v/>
      </c>
      <c r="X131" s="88" t="str">
        <f t="shared" si="223"/>
        <v/>
      </c>
      <c r="Y131" s="34" t="s">
        <v>279</v>
      </c>
      <c r="AA131" s="90" t="s">
        <v>607</v>
      </c>
      <c r="AB131" s="133" t="str">
        <f t="shared" si="238"/>
        <v/>
      </c>
      <c r="AC131" s="133" t="str">
        <f t="shared" si="224"/>
        <v/>
      </c>
      <c r="AD131" s="133" t="str">
        <f t="shared" si="225"/>
        <v/>
      </c>
      <c r="AE131" s="133" t="str">
        <f t="shared" si="226"/>
        <v/>
      </c>
      <c r="AF131" s="133" t="str">
        <f t="shared" si="227"/>
        <v/>
      </c>
      <c r="AG131" s="133" t="str">
        <f t="shared" si="228"/>
        <v/>
      </c>
      <c r="AH131" s="34"/>
    </row>
    <row r="132" spans="1:34" x14ac:dyDescent="0.35">
      <c r="A132" s="90" t="s">
        <v>608</v>
      </c>
      <c r="B132" s="132">
        <v>0</v>
      </c>
      <c r="C132" s="130">
        <v>0</v>
      </c>
      <c r="D132" s="130">
        <v>0</v>
      </c>
      <c r="E132" s="88">
        <v>0</v>
      </c>
      <c r="F132" s="88">
        <v>0</v>
      </c>
      <c r="G132" s="88">
        <v>0</v>
      </c>
      <c r="H132" s="88">
        <v>0</v>
      </c>
      <c r="I132" s="88">
        <v>0</v>
      </c>
      <c r="J132" s="88">
        <v>0</v>
      </c>
      <c r="K132" s="88">
        <v>0</v>
      </c>
      <c r="L132" s="34" t="s">
        <v>279</v>
      </c>
      <c r="N132" s="90" t="s">
        <v>608</v>
      </c>
      <c r="O132" s="88" t="str">
        <f t="shared" si="214"/>
        <v/>
      </c>
      <c r="P132" s="88" t="str">
        <f t="shared" si="215"/>
        <v/>
      </c>
      <c r="Q132" s="88" t="str">
        <f t="shared" si="216"/>
        <v/>
      </c>
      <c r="R132" s="88" t="str">
        <f t="shared" si="217"/>
        <v/>
      </c>
      <c r="S132" s="88" t="str">
        <f t="shared" si="218"/>
        <v/>
      </c>
      <c r="T132" s="88" t="str">
        <f t="shared" si="219"/>
        <v/>
      </c>
      <c r="U132" s="88" t="str">
        <f t="shared" si="220"/>
        <v/>
      </c>
      <c r="V132" s="88" t="str">
        <f t="shared" si="221"/>
        <v/>
      </c>
      <c r="W132" s="88" t="str">
        <f t="shared" si="222"/>
        <v/>
      </c>
      <c r="X132" s="88" t="str">
        <f t="shared" si="223"/>
        <v/>
      </c>
      <c r="Y132" s="34" t="s">
        <v>279</v>
      </c>
      <c r="AA132" s="90" t="s">
        <v>608</v>
      </c>
      <c r="AB132" s="133" t="str">
        <f t="shared" si="238"/>
        <v/>
      </c>
      <c r="AC132" s="133" t="str">
        <f t="shared" si="224"/>
        <v/>
      </c>
      <c r="AD132" s="133" t="str">
        <f t="shared" si="225"/>
        <v/>
      </c>
      <c r="AE132" s="133" t="str">
        <f t="shared" si="226"/>
        <v/>
      </c>
      <c r="AF132" s="133" t="str">
        <f t="shared" si="227"/>
        <v/>
      </c>
      <c r="AG132" s="133" t="str">
        <f t="shared" si="228"/>
        <v/>
      </c>
      <c r="AH132" s="34"/>
    </row>
    <row r="133" spans="1:34" x14ac:dyDescent="0.35">
      <c r="A133" s="90" t="s">
        <v>609</v>
      </c>
      <c r="B133" s="132">
        <v>27.445238</v>
      </c>
      <c r="C133" s="130">
        <v>24.280428000000001</v>
      </c>
      <c r="D133" s="130">
        <v>28.698505000000001</v>
      </c>
      <c r="E133" s="88">
        <v>28.007959</v>
      </c>
      <c r="F133" s="88">
        <v>29.433202999999999</v>
      </c>
      <c r="G133" s="88">
        <v>31.213614</v>
      </c>
      <c r="H133" s="88">
        <v>31.761375000000001</v>
      </c>
      <c r="I133" s="88">
        <v>32.229205999999998</v>
      </c>
      <c r="J133" s="88">
        <v>32.273955999999998</v>
      </c>
      <c r="K133" s="88">
        <v>32.279815999999997</v>
      </c>
      <c r="L133" s="34">
        <v>6.0000000000000001E-3</v>
      </c>
      <c r="N133" s="90" t="s">
        <v>609</v>
      </c>
      <c r="O133" s="88">
        <f t="shared" si="214"/>
        <v>8.5703435780527073</v>
      </c>
      <c r="P133" s="88">
        <f t="shared" si="215"/>
        <v>9.6874371094870373</v>
      </c>
      <c r="Q133" s="88">
        <f t="shared" si="216"/>
        <v>8.1960756924943698</v>
      </c>
      <c r="R133" s="88">
        <f t="shared" si="217"/>
        <v>8.3981527979753228</v>
      </c>
      <c r="S133" s="88">
        <f t="shared" si="218"/>
        <v>7.9914890418629652</v>
      </c>
      <c r="T133" s="88">
        <f t="shared" si="219"/>
        <v>7.5356579741592284</v>
      </c>
      <c r="U133" s="88">
        <f t="shared" si="220"/>
        <v>7.4056969901784209</v>
      </c>
      <c r="V133" s="88">
        <f t="shared" si="221"/>
        <v>7.2981977663808459</v>
      </c>
      <c r="W133" s="88">
        <f t="shared" si="222"/>
        <v>7.288078326729706</v>
      </c>
      <c r="X133" s="88">
        <f t="shared" si="223"/>
        <v>7.2867552665550557</v>
      </c>
      <c r="Y133" s="34">
        <v>6.0000000000000001E-3</v>
      </c>
      <c r="AA133" s="90" t="s">
        <v>609</v>
      </c>
      <c r="AB133" s="133">
        <f t="shared" si="238"/>
        <v>0.97503846251459625</v>
      </c>
      <c r="AC133" s="133">
        <f t="shared" si="224"/>
        <v>0.9194226916498679</v>
      </c>
      <c r="AD133" s="133">
        <f t="shared" si="225"/>
        <v>0.90356620265967702</v>
      </c>
      <c r="AE133" s="133">
        <f t="shared" si="226"/>
        <v>0.89045026427272211</v>
      </c>
      <c r="AF133" s="133">
        <f t="shared" si="227"/>
        <v>0.88921559538595152</v>
      </c>
      <c r="AG133" s="133">
        <f t="shared" si="228"/>
        <v>0.88905416932983772</v>
      </c>
      <c r="AH133" s="34"/>
    </row>
    <row r="134" spans="1:34" x14ac:dyDescent="0.35">
      <c r="A134" s="90" t="s">
        <v>610</v>
      </c>
      <c r="B134" s="132">
        <v>0</v>
      </c>
      <c r="C134" s="130">
        <v>0</v>
      </c>
      <c r="D134" s="130">
        <v>0</v>
      </c>
      <c r="E134" s="88">
        <v>0</v>
      </c>
      <c r="F134" s="88">
        <v>0</v>
      </c>
      <c r="G134" s="88">
        <v>0</v>
      </c>
      <c r="H134" s="88">
        <v>0</v>
      </c>
      <c r="I134" s="88">
        <v>0</v>
      </c>
      <c r="J134" s="88">
        <v>0</v>
      </c>
      <c r="K134" s="88">
        <v>0</v>
      </c>
      <c r="L134" s="34" t="s">
        <v>279</v>
      </c>
      <c r="N134" s="90" t="s">
        <v>610</v>
      </c>
      <c r="O134" s="88" t="str">
        <f t="shared" si="214"/>
        <v/>
      </c>
      <c r="P134" s="88" t="str">
        <f t="shared" si="215"/>
        <v/>
      </c>
      <c r="Q134" s="88" t="str">
        <f t="shared" si="216"/>
        <v/>
      </c>
      <c r="R134" s="88" t="str">
        <f t="shared" si="217"/>
        <v/>
      </c>
      <c r="S134" s="88" t="str">
        <f t="shared" si="218"/>
        <v/>
      </c>
      <c r="T134" s="88" t="str">
        <f t="shared" si="219"/>
        <v/>
      </c>
      <c r="U134" s="88" t="str">
        <f t="shared" si="220"/>
        <v/>
      </c>
      <c r="V134" s="88" t="str">
        <f t="shared" si="221"/>
        <v/>
      </c>
      <c r="W134" s="88" t="str">
        <f t="shared" si="222"/>
        <v/>
      </c>
      <c r="X134" s="88" t="str">
        <f t="shared" si="223"/>
        <v/>
      </c>
      <c r="Y134" s="34" t="s">
        <v>279</v>
      </c>
      <c r="AA134" s="90" t="s">
        <v>610</v>
      </c>
      <c r="AB134" s="133" t="str">
        <f t="shared" si="238"/>
        <v/>
      </c>
      <c r="AC134" s="133" t="str">
        <f t="shared" si="224"/>
        <v/>
      </c>
      <c r="AD134" s="133" t="str">
        <f t="shared" si="225"/>
        <v/>
      </c>
      <c r="AE134" s="133" t="str">
        <f t="shared" si="226"/>
        <v/>
      </c>
      <c r="AF134" s="133" t="str">
        <f t="shared" si="227"/>
        <v/>
      </c>
      <c r="AG134" s="133" t="str">
        <f t="shared" si="228"/>
        <v/>
      </c>
      <c r="AH134" s="34"/>
    </row>
    <row r="135" spans="1:34" x14ac:dyDescent="0.35">
      <c r="A135" s="90" t="s">
        <v>611</v>
      </c>
      <c r="B135" s="132">
        <v>27.308578000000001</v>
      </c>
      <c r="C135" s="130">
        <v>27.849985</v>
      </c>
      <c r="D135" s="130">
        <v>30.278082000000001</v>
      </c>
      <c r="E135" s="88">
        <v>35.455368</v>
      </c>
      <c r="F135" s="88">
        <v>37.402531000000003</v>
      </c>
      <c r="G135" s="88">
        <v>40.372616000000001</v>
      </c>
      <c r="H135" s="88">
        <v>41.268559000000003</v>
      </c>
      <c r="I135" s="88">
        <v>42.046196000000002</v>
      </c>
      <c r="J135" s="88">
        <v>42.163708</v>
      </c>
      <c r="K135" s="88">
        <v>42.278579999999998</v>
      </c>
      <c r="L135" s="34">
        <v>8.0000000000000002E-3</v>
      </c>
      <c r="N135" s="90" t="s">
        <v>611</v>
      </c>
      <c r="O135" s="88">
        <f t="shared" si="214"/>
        <v>8.6132320489711383</v>
      </c>
      <c r="P135" s="88">
        <f t="shared" si="215"/>
        <v>8.4457897999380656</v>
      </c>
      <c r="Q135" s="88">
        <f t="shared" si="216"/>
        <v>7.7684946900344656</v>
      </c>
      <c r="R135" s="88">
        <f t="shared" si="217"/>
        <v>6.6341186824355667</v>
      </c>
      <c r="S135" s="88">
        <f t="shared" si="218"/>
        <v>6.2887487277646565</v>
      </c>
      <c r="T135" s="88">
        <f t="shared" si="219"/>
        <v>5.8261054780653332</v>
      </c>
      <c r="U135" s="88">
        <f t="shared" si="220"/>
        <v>5.6996203633237625</v>
      </c>
      <c r="V135" s="88">
        <f t="shared" si="221"/>
        <v>5.5942068871445141</v>
      </c>
      <c r="W135" s="88">
        <f t="shared" si="222"/>
        <v>5.5786156009198278</v>
      </c>
      <c r="X135" s="88">
        <f t="shared" si="223"/>
        <v>5.5634583574336736</v>
      </c>
      <c r="Y135" s="34">
        <v>8.0000000000000002E-3</v>
      </c>
      <c r="AA135" s="90" t="s">
        <v>611</v>
      </c>
      <c r="AB135" s="133">
        <f t="shared" si="238"/>
        <v>0.80951960176170967</v>
      </c>
      <c r="AC135" s="133">
        <f t="shared" si="224"/>
        <v>0.74996581841513565</v>
      </c>
      <c r="AD135" s="133">
        <f t="shared" si="225"/>
        <v>0.73368401353679447</v>
      </c>
      <c r="AE135" s="133">
        <f t="shared" si="226"/>
        <v>0.72011465674564235</v>
      </c>
      <c r="AF135" s="133">
        <f t="shared" si="227"/>
        <v>0.71810766738067733</v>
      </c>
      <c r="AG135" s="133">
        <f t="shared" si="228"/>
        <v>0.71615655019634061</v>
      </c>
      <c r="AH135" s="34"/>
    </row>
    <row r="136" spans="1:34" x14ac:dyDescent="0.35">
      <c r="A136" s="90" t="s">
        <v>612</v>
      </c>
      <c r="B136" s="132">
        <v>0</v>
      </c>
      <c r="C136" s="130">
        <v>0</v>
      </c>
      <c r="D136" s="130">
        <v>0</v>
      </c>
      <c r="E136" s="88">
        <v>0</v>
      </c>
      <c r="F136" s="88">
        <v>0</v>
      </c>
      <c r="G136" s="88">
        <v>0</v>
      </c>
      <c r="H136" s="88">
        <v>0</v>
      </c>
      <c r="I136" s="88">
        <v>0</v>
      </c>
      <c r="J136" s="88">
        <v>0</v>
      </c>
      <c r="K136" s="88">
        <v>0</v>
      </c>
      <c r="L136" s="34" t="s">
        <v>279</v>
      </c>
      <c r="N136" s="90" t="s">
        <v>612</v>
      </c>
      <c r="O136" s="88" t="str">
        <f t="shared" si="214"/>
        <v/>
      </c>
      <c r="P136" s="88" t="str">
        <f t="shared" si="215"/>
        <v/>
      </c>
      <c r="Q136" s="88" t="str">
        <f t="shared" si="216"/>
        <v/>
      </c>
      <c r="R136" s="88" t="str">
        <f t="shared" si="217"/>
        <v/>
      </c>
      <c r="S136" s="88" t="str">
        <f t="shared" si="218"/>
        <v/>
      </c>
      <c r="T136" s="88" t="str">
        <f t="shared" si="219"/>
        <v/>
      </c>
      <c r="U136" s="88" t="str">
        <f t="shared" si="220"/>
        <v/>
      </c>
      <c r="V136" s="88" t="str">
        <f t="shared" si="221"/>
        <v/>
      </c>
      <c r="W136" s="88" t="str">
        <f t="shared" si="222"/>
        <v/>
      </c>
      <c r="X136" s="88" t="str">
        <f t="shared" si="223"/>
        <v/>
      </c>
      <c r="Y136" s="34" t="s">
        <v>279</v>
      </c>
      <c r="AA136" s="90" t="s">
        <v>612</v>
      </c>
      <c r="AB136" s="133" t="str">
        <f t="shared" si="238"/>
        <v/>
      </c>
      <c r="AC136" s="133" t="str">
        <f t="shared" si="224"/>
        <v/>
      </c>
      <c r="AD136" s="133" t="str">
        <f t="shared" si="225"/>
        <v/>
      </c>
      <c r="AE136" s="133" t="str">
        <f t="shared" si="226"/>
        <v/>
      </c>
      <c r="AF136" s="133" t="str">
        <f t="shared" si="227"/>
        <v/>
      </c>
      <c r="AG136" s="133" t="str">
        <f t="shared" si="228"/>
        <v/>
      </c>
      <c r="AH136" s="34"/>
    </row>
    <row r="137" spans="1:34" x14ac:dyDescent="0.35">
      <c r="A137" s="90" t="s">
        <v>613</v>
      </c>
      <c r="B137" s="132">
        <v>0</v>
      </c>
      <c r="C137" s="130">
        <v>0</v>
      </c>
      <c r="D137" s="130">
        <v>0</v>
      </c>
      <c r="E137" s="88">
        <v>0</v>
      </c>
      <c r="F137" s="88">
        <v>0</v>
      </c>
      <c r="G137" s="88">
        <v>0</v>
      </c>
      <c r="H137" s="88">
        <v>0</v>
      </c>
      <c r="I137" s="88">
        <v>0</v>
      </c>
      <c r="J137" s="88">
        <v>0</v>
      </c>
      <c r="K137" s="88">
        <v>0</v>
      </c>
      <c r="L137" s="34" t="s">
        <v>279</v>
      </c>
      <c r="N137" s="90" t="s">
        <v>613</v>
      </c>
      <c r="O137" s="88" t="str">
        <f t="shared" si="214"/>
        <v/>
      </c>
      <c r="P137" s="88" t="str">
        <f t="shared" si="215"/>
        <v/>
      </c>
      <c r="Q137" s="88" t="str">
        <f t="shared" si="216"/>
        <v/>
      </c>
      <c r="R137" s="88" t="str">
        <f t="shared" si="217"/>
        <v/>
      </c>
      <c r="S137" s="88" t="str">
        <f t="shared" si="218"/>
        <v/>
      </c>
      <c r="T137" s="88" t="str">
        <f t="shared" si="219"/>
        <v/>
      </c>
      <c r="U137" s="88" t="str">
        <f t="shared" si="220"/>
        <v/>
      </c>
      <c r="V137" s="88" t="str">
        <f t="shared" si="221"/>
        <v/>
      </c>
      <c r="W137" s="88" t="str">
        <f t="shared" si="222"/>
        <v/>
      </c>
      <c r="X137" s="88" t="str">
        <f t="shared" si="223"/>
        <v/>
      </c>
      <c r="Y137" s="34" t="s">
        <v>279</v>
      </c>
      <c r="AA137" s="90" t="s">
        <v>613</v>
      </c>
      <c r="AB137" s="133" t="str">
        <f t="shared" si="238"/>
        <v/>
      </c>
      <c r="AC137" s="133" t="str">
        <f t="shared" si="224"/>
        <v/>
      </c>
      <c r="AD137" s="133" t="str">
        <f t="shared" si="225"/>
        <v/>
      </c>
      <c r="AE137" s="133" t="str">
        <f t="shared" si="226"/>
        <v/>
      </c>
      <c r="AF137" s="133" t="str">
        <f t="shared" si="227"/>
        <v/>
      </c>
      <c r="AG137" s="133" t="str">
        <f t="shared" si="228"/>
        <v/>
      </c>
      <c r="AH137" s="34"/>
    </row>
    <row r="138" spans="1:34" x14ac:dyDescent="0.35">
      <c r="A138" s="90" t="s">
        <v>614</v>
      </c>
      <c r="D138" s="130">
        <v>0</v>
      </c>
      <c r="E138" s="88">
        <v>0</v>
      </c>
      <c r="F138" s="88">
        <v>0</v>
      </c>
      <c r="G138" s="88">
        <v>0</v>
      </c>
      <c r="H138" s="88">
        <v>0</v>
      </c>
      <c r="I138" s="88">
        <v>0</v>
      </c>
      <c r="J138" s="88">
        <v>0</v>
      </c>
      <c r="K138" s="88">
        <v>0</v>
      </c>
      <c r="L138" s="34" t="s">
        <v>279</v>
      </c>
      <c r="N138" s="90" t="s">
        <v>614</v>
      </c>
      <c r="O138" s="88" t="str">
        <f t="shared" si="214"/>
        <v/>
      </c>
      <c r="P138" s="88" t="str">
        <f t="shared" si="215"/>
        <v/>
      </c>
      <c r="Q138" s="88" t="str">
        <f t="shared" si="216"/>
        <v/>
      </c>
      <c r="R138" s="88" t="str">
        <f t="shared" si="217"/>
        <v/>
      </c>
      <c r="S138" s="88" t="str">
        <f t="shared" si="218"/>
        <v/>
      </c>
      <c r="T138" s="88" t="str">
        <f t="shared" si="219"/>
        <v/>
      </c>
      <c r="U138" s="88" t="str">
        <f t="shared" si="220"/>
        <v/>
      </c>
      <c r="V138" s="88" t="str">
        <f t="shared" si="221"/>
        <v/>
      </c>
      <c r="W138" s="88" t="str">
        <f t="shared" si="222"/>
        <v/>
      </c>
      <c r="X138" s="88" t="str">
        <f t="shared" si="223"/>
        <v/>
      </c>
      <c r="Y138" s="34" t="s">
        <v>279</v>
      </c>
      <c r="AA138" s="90" t="s">
        <v>614</v>
      </c>
      <c r="AB138" s="133" t="str">
        <f t="shared" si="238"/>
        <v/>
      </c>
      <c r="AC138" s="133" t="str">
        <f t="shared" si="224"/>
        <v/>
      </c>
      <c r="AD138" s="133" t="str">
        <f t="shared" si="225"/>
        <v/>
      </c>
      <c r="AE138" s="133" t="str">
        <f t="shared" si="226"/>
        <v/>
      </c>
      <c r="AF138" s="133" t="str">
        <f t="shared" si="227"/>
        <v/>
      </c>
      <c r="AG138" s="133" t="str">
        <f t="shared" si="228"/>
        <v/>
      </c>
      <c r="AH138" s="34"/>
    </row>
    <row r="139" spans="1:34" x14ac:dyDescent="0.35">
      <c r="A139" s="90" t="s">
        <v>615</v>
      </c>
      <c r="D139" s="130">
        <v>0</v>
      </c>
      <c r="E139" s="88">
        <v>0</v>
      </c>
      <c r="F139" s="88">
        <v>0</v>
      </c>
      <c r="G139" s="88">
        <v>0</v>
      </c>
      <c r="H139" s="88">
        <v>0</v>
      </c>
      <c r="I139" s="88">
        <v>0</v>
      </c>
      <c r="J139" s="88">
        <v>0</v>
      </c>
      <c r="K139" s="88">
        <v>0</v>
      </c>
      <c r="L139" s="34" t="s">
        <v>279</v>
      </c>
      <c r="N139" s="90" t="s">
        <v>615</v>
      </c>
      <c r="O139" s="88" t="str">
        <f t="shared" si="214"/>
        <v/>
      </c>
      <c r="P139" s="88" t="str">
        <f t="shared" si="215"/>
        <v/>
      </c>
      <c r="Q139" s="88" t="str">
        <f t="shared" si="216"/>
        <v/>
      </c>
      <c r="R139" s="88" t="str">
        <f t="shared" si="217"/>
        <v/>
      </c>
      <c r="S139" s="88" t="str">
        <f t="shared" si="218"/>
        <v/>
      </c>
      <c r="T139" s="88" t="str">
        <f t="shared" si="219"/>
        <v/>
      </c>
      <c r="U139" s="88" t="str">
        <f t="shared" si="220"/>
        <v/>
      </c>
      <c r="V139" s="88" t="str">
        <f t="shared" si="221"/>
        <v/>
      </c>
      <c r="W139" s="88" t="str">
        <f t="shared" si="222"/>
        <v/>
      </c>
      <c r="X139" s="88" t="str">
        <f t="shared" si="223"/>
        <v/>
      </c>
      <c r="Y139" s="34" t="s">
        <v>279</v>
      </c>
      <c r="AA139" s="90" t="s">
        <v>615</v>
      </c>
      <c r="AB139" s="133" t="str">
        <f t="shared" si="238"/>
        <v/>
      </c>
      <c r="AC139" s="133" t="str">
        <f t="shared" si="224"/>
        <v/>
      </c>
      <c r="AD139" s="133" t="str">
        <f t="shared" si="225"/>
        <v/>
      </c>
      <c r="AE139" s="133" t="str">
        <f t="shared" si="226"/>
        <v/>
      </c>
      <c r="AF139" s="133" t="str">
        <f t="shared" si="227"/>
        <v/>
      </c>
      <c r="AG139" s="133" t="str">
        <f t="shared" si="228"/>
        <v/>
      </c>
      <c r="AH139" s="34"/>
    </row>
    <row r="140" spans="1:34" x14ac:dyDescent="0.35">
      <c r="A140" t="s">
        <v>591</v>
      </c>
      <c r="L140" s="34"/>
      <c r="N140" t="s">
        <v>591</v>
      </c>
      <c r="O140" s="88"/>
      <c r="P140" s="88"/>
      <c r="Q140" s="88"/>
      <c r="R140" s="88"/>
      <c r="S140" s="88"/>
      <c r="T140" s="88"/>
      <c r="U140" s="88"/>
      <c r="V140" s="88"/>
      <c r="W140" s="88"/>
      <c r="X140" s="88"/>
      <c r="Y140" s="34"/>
      <c r="AA140" t="s">
        <v>591</v>
      </c>
      <c r="AB140" s="88"/>
      <c r="AC140" s="88"/>
      <c r="AD140" s="88"/>
      <c r="AE140" s="88"/>
      <c r="AF140" s="88"/>
      <c r="AG140" s="88"/>
      <c r="AH140" s="34"/>
    </row>
    <row r="141" spans="1:34" x14ac:dyDescent="0.35">
      <c r="A141" s="90" t="s">
        <v>600</v>
      </c>
      <c r="B141" s="132">
        <v>0</v>
      </c>
      <c r="C141" s="130">
        <v>0</v>
      </c>
      <c r="D141" s="130">
        <v>0</v>
      </c>
      <c r="E141" s="88">
        <v>0</v>
      </c>
      <c r="F141" s="88">
        <v>0</v>
      </c>
      <c r="G141" s="88">
        <v>0</v>
      </c>
      <c r="H141" s="88">
        <v>0</v>
      </c>
      <c r="I141" s="88">
        <v>0</v>
      </c>
      <c r="J141" s="88">
        <v>0</v>
      </c>
      <c r="K141" s="88">
        <v>0</v>
      </c>
      <c r="L141" s="34" t="s">
        <v>279</v>
      </c>
      <c r="N141" s="90" t="s">
        <v>600</v>
      </c>
      <c r="O141" s="88" t="str">
        <f t="shared" ref="O141:O156" si="239">IFERROR(L_100km_to_mpg/B141, "")</f>
        <v/>
      </c>
      <c r="P141" s="88" t="str">
        <f t="shared" ref="P141:P156" si="240">IFERROR(L_100km_to_mpg/C141, "")</f>
        <v/>
      </c>
      <c r="Q141" s="88" t="str">
        <f t="shared" ref="Q141:Q156" si="241">IFERROR(L_100km_to_mpg/D141, "")</f>
        <v/>
      </c>
      <c r="R141" s="88" t="str">
        <f t="shared" ref="R141:R156" si="242">IFERROR(L_100km_to_mpg/E141, "")</f>
        <v/>
      </c>
      <c r="S141" s="88" t="str">
        <f t="shared" ref="S141:S156" si="243">IFERROR(L_100km_to_mpg/F141, "")</f>
        <v/>
      </c>
      <c r="T141" s="88" t="str">
        <f t="shared" ref="T141:T156" si="244">IFERROR(L_100km_to_mpg/G141, "")</f>
        <v/>
      </c>
      <c r="U141" s="88" t="str">
        <f t="shared" ref="U141:U156" si="245">IFERROR(L_100km_to_mpg/H141, "")</f>
        <v/>
      </c>
      <c r="V141" s="88" t="str">
        <f t="shared" ref="V141:V156" si="246">IFERROR(L_100km_to_mpg/I141, "")</f>
        <v/>
      </c>
      <c r="W141" s="88" t="str">
        <f t="shared" ref="W141:W156" si="247">IFERROR(L_100km_to_mpg/J141, "")</f>
        <v/>
      </c>
      <c r="X141" s="88" t="str">
        <f t="shared" ref="X141:X156" si="248">IFERROR(L_100km_to_mpg/K141, "")</f>
        <v/>
      </c>
      <c r="Y141" s="34" t="s">
        <v>279</v>
      </c>
      <c r="AA141" s="90" t="s">
        <v>600</v>
      </c>
      <c r="AB141" s="133" t="str">
        <f>IFERROR($D141/F141, "")</f>
        <v/>
      </c>
      <c r="AC141" s="133" t="str">
        <f t="shared" ref="AC141:AC156" si="249">IFERROR($D141/G141, "")</f>
        <v/>
      </c>
      <c r="AD141" s="133" t="str">
        <f t="shared" ref="AD141:AD156" si="250">IFERROR($D141/H141, "")</f>
        <v/>
      </c>
      <c r="AE141" s="133" t="str">
        <f t="shared" ref="AE141:AE156" si="251">IFERROR($D141/I141, "")</f>
        <v/>
      </c>
      <c r="AF141" s="133" t="str">
        <f t="shared" ref="AF141:AF156" si="252">IFERROR($D141/J141, "")</f>
        <v/>
      </c>
      <c r="AG141" s="133" t="str">
        <f t="shared" ref="AG141:AG156" si="253">IFERROR($D141/K141, "")</f>
        <v/>
      </c>
      <c r="AH141" s="34"/>
    </row>
    <row r="142" spans="1:34" x14ac:dyDescent="0.35">
      <c r="A142" s="90" t="s">
        <v>601</v>
      </c>
      <c r="B142" s="132">
        <v>0</v>
      </c>
      <c r="C142" s="130">
        <v>0</v>
      </c>
      <c r="D142" s="130">
        <v>0</v>
      </c>
      <c r="E142" s="88">
        <v>0</v>
      </c>
      <c r="F142" s="88">
        <v>0</v>
      </c>
      <c r="G142" s="88">
        <v>0</v>
      </c>
      <c r="H142" s="88">
        <v>0</v>
      </c>
      <c r="I142" s="88">
        <v>0</v>
      </c>
      <c r="J142" s="88">
        <v>0</v>
      </c>
      <c r="K142" s="88">
        <v>0</v>
      </c>
      <c r="L142" s="34" t="s">
        <v>279</v>
      </c>
      <c r="N142" s="90" t="s">
        <v>601</v>
      </c>
      <c r="O142" s="88" t="str">
        <f t="shared" si="239"/>
        <v/>
      </c>
      <c r="P142" s="88" t="str">
        <f t="shared" si="240"/>
        <v/>
      </c>
      <c r="Q142" s="88" t="str">
        <f t="shared" si="241"/>
        <v/>
      </c>
      <c r="R142" s="88" t="str">
        <f t="shared" si="242"/>
        <v/>
      </c>
      <c r="S142" s="88" t="str">
        <f t="shared" si="243"/>
        <v/>
      </c>
      <c r="T142" s="88" t="str">
        <f t="shared" si="244"/>
        <v/>
      </c>
      <c r="U142" s="88" t="str">
        <f t="shared" si="245"/>
        <v/>
      </c>
      <c r="V142" s="88" t="str">
        <f t="shared" si="246"/>
        <v/>
      </c>
      <c r="W142" s="88" t="str">
        <f t="shared" si="247"/>
        <v/>
      </c>
      <c r="X142" s="88" t="str">
        <f t="shared" si="248"/>
        <v/>
      </c>
      <c r="Y142" s="34" t="s">
        <v>279</v>
      </c>
      <c r="AA142" s="90" t="s">
        <v>601</v>
      </c>
      <c r="AB142" s="133" t="str">
        <f t="shared" ref="AB142:AB156" si="254">IFERROR($D142/F142, "")</f>
        <v/>
      </c>
      <c r="AC142" s="133" t="str">
        <f t="shared" si="249"/>
        <v/>
      </c>
      <c r="AD142" s="133" t="str">
        <f t="shared" si="250"/>
        <v/>
      </c>
      <c r="AE142" s="133" t="str">
        <f t="shared" si="251"/>
        <v/>
      </c>
      <c r="AF142" s="133" t="str">
        <f t="shared" si="252"/>
        <v/>
      </c>
      <c r="AG142" s="133" t="str">
        <f t="shared" si="253"/>
        <v/>
      </c>
      <c r="AH142" s="34"/>
    </row>
    <row r="143" spans="1:34" x14ac:dyDescent="0.35">
      <c r="A143" s="90" t="s">
        <v>602</v>
      </c>
      <c r="B143" s="132">
        <v>35.103760000000001</v>
      </c>
      <c r="C143" s="130">
        <v>39.188991999999999</v>
      </c>
      <c r="D143" s="130">
        <v>42.856304000000002</v>
      </c>
      <c r="E143" s="88">
        <v>49.858176999999998</v>
      </c>
      <c r="F143" s="88">
        <v>52.229213999999999</v>
      </c>
      <c r="G143" s="88">
        <v>54.526145999999997</v>
      </c>
      <c r="H143" s="88">
        <v>54.181804999999997</v>
      </c>
      <c r="I143" s="88">
        <v>54.351452000000002</v>
      </c>
      <c r="J143" s="88">
        <v>54.169021999999998</v>
      </c>
      <c r="K143" s="88">
        <v>54.076507999999997</v>
      </c>
      <c r="L143" s="34">
        <v>4.0000000000000001E-3</v>
      </c>
      <c r="N143" s="90" t="s">
        <v>602</v>
      </c>
      <c r="O143" s="88">
        <f t="shared" si="239"/>
        <v>6.7005676668661174</v>
      </c>
      <c r="P143" s="88">
        <f t="shared" si="240"/>
        <v>6.0020711745131932</v>
      </c>
      <c r="Q143" s="88">
        <f t="shared" si="241"/>
        <v>5.4884602097611621</v>
      </c>
      <c r="R143" s="88">
        <f t="shared" si="242"/>
        <v>4.7176839065220566</v>
      </c>
      <c r="S143" s="88">
        <f t="shared" si="243"/>
        <v>4.5035163508573604</v>
      </c>
      <c r="T143" s="88">
        <f t="shared" si="244"/>
        <v>4.3138042296521037</v>
      </c>
      <c r="U143" s="88">
        <f t="shared" si="245"/>
        <v>4.3412196998868557</v>
      </c>
      <c r="V143" s="88">
        <f t="shared" si="246"/>
        <v>4.3276694657840631</v>
      </c>
      <c r="W143" s="88">
        <f t="shared" si="247"/>
        <v>4.3422441564743064</v>
      </c>
      <c r="X143" s="88">
        <f t="shared" si="248"/>
        <v>4.3496728605594903</v>
      </c>
      <c r="Y143" s="34">
        <v>4.0000000000000001E-3</v>
      </c>
      <c r="AA143" s="90" t="s">
        <v>602</v>
      </c>
      <c r="AB143" s="133">
        <f t="shared" si="254"/>
        <v>0.82054277133100262</v>
      </c>
      <c r="AC143" s="133">
        <f t="shared" si="249"/>
        <v>0.78597713471258368</v>
      </c>
      <c r="AD143" s="133">
        <f t="shared" si="250"/>
        <v>0.7909722461257982</v>
      </c>
      <c r="AE143" s="133">
        <f t="shared" si="251"/>
        <v>0.78850338717721835</v>
      </c>
      <c r="AF143" s="133">
        <f t="shared" si="252"/>
        <v>0.79115890259196486</v>
      </c>
      <c r="AG143" s="133">
        <f t="shared" si="253"/>
        <v>0.79251241592744859</v>
      </c>
      <c r="AH143" s="34"/>
    </row>
    <row r="144" spans="1:34" x14ac:dyDescent="0.35">
      <c r="A144" s="90" t="s">
        <v>603</v>
      </c>
      <c r="B144" s="132">
        <v>35.751606000000002</v>
      </c>
      <c r="C144" s="130">
        <v>37.783638000000003</v>
      </c>
      <c r="D144" s="130">
        <v>46.533867000000001</v>
      </c>
      <c r="E144" s="88">
        <v>49.437201999999999</v>
      </c>
      <c r="F144" s="88">
        <v>51.621032999999997</v>
      </c>
      <c r="G144" s="88">
        <v>53.530949</v>
      </c>
      <c r="H144" s="88">
        <v>52.818156999999999</v>
      </c>
      <c r="I144" s="88">
        <v>53.019367000000003</v>
      </c>
      <c r="J144" s="88">
        <v>52.798862</v>
      </c>
      <c r="K144" s="88">
        <v>52.705849000000001</v>
      </c>
      <c r="L144" s="34">
        <v>3.0000000000000001E-3</v>
      </c>
      <c r="N144" s="90" t="s">
        <v>603</v>
      </c>
      <c r="O144" s="88">
        <f t="shared" si="239"/>
        <v>6.5791483392781887</v>
      </c>
      <c r="P144" s="88">
        <f t="shared" si="240"/>
        <v>6.2253168750300887</v>
      </c>
      <c r="Q144" s="88">
        <f t="shared" si="241"/>
        <v>5.0547082029831767</v>
      </c>
      <c r="R144" s="88">
        <f t="shared" si="242"/>
        <v>4.7578566287272519</v>
      </c>
      <c r="S144" s="88">
        <f t="shared" si="243"/>
        <v>4.5565752092064518</v>
      </c>
      <c r="T144" s="88">
        <f t="shared" si="244"/>
        <v>4.3940024160869662</v>
      </c>
      <c r="U144" s="88">
        <f t="shared" si="245"/>
        <v>4.4533003914057083</v>
      </c>
      <c r="V144" s="88">
        <f t="shared" si="246"/>
        <v>4.4363999902418323</v>
      </c>
      <c r="W144" s="88">
        <f t="shared" si="247"/>
        <v>4.4549278210092513</v>
      </c>
      <c r="X144" s="88">
        <f t="shared" si="248"/>
        <v>4.4627896847165509</v>
      </c>
      <c r="Y144" s="34">
        <v>3.0000000000000001E-3</v>
      </c>
      <c r="AA144" s="90" t="s">
        <v>603</v>
      </c>
      <c r="AB144" s="133">
        <f t="shared" si="254"/>
        <v>0.90145168152679167</v>
      </c>
      <c r="AC144" s="133">
        <f t="shared" si="249"/>
        <v>0.86928903502159094</v>
      </c>
      <c r="AD144" s="133">
        <f t="shared" si="250"/>
        <v>0.8810202711162376</v>
      </c>
      <c r="AE144" s="133">
        <f t="shared" si="251"/>
        <v>0.87767677422478463</v>
      </c>
      <c r="AF144" s="133">
        <f t="shared" si="252"/>
        <v>0.88134223423224545</v>
      </c>
      <c r="AG144" s="133">
        <f t="shared" si="253"/>
        <v>0.88289758884255898</v>
      </c>
      <c r="AH144" s="34"/>
    </row>
    <row r="145" spans="1:46" x14ac:dyDescent="0.35">
      <c r="A145" s="90" t="s">
        <v>604</v>
      </c>
      <c r="B145" s="132">
        <v>30.508196000000002</v>
      </c>
      <c r="C145" s="130">
        <v>29.247237999999999</v>
      </c>
      <c r="D145" s="130">
        <v>39.278182999999999</v>
      </c>
      <c r="E145" s="88">
        <v>43.219684999999998</v>
      </c>
      <c r="F145" s="88">
        <v>44.942447999999999</v>
      </c>
      <c r="G145" s="88">
        <v>47.207267999999999</v>
      </c>
      <c r="H145" s="88">
        <v>46.964148999999999</v>
      </c>
      <c r="I145" s="88">
        <v>47.377372999999999</v>
      </c>
      <c r="J145" s="88">
        <v>47.272647999999997</v>
      </c>
      <c r="K145" s="88">
        <v>47.281910000000003</v>
      </c>
      <c r="L145" s="34">
        <v>4.0000000000000001E-3</v>
      </c>
      <c r="N145" s="90" t="s">
        <v>604</v>
      </c>
      <c r="O145" s="88">
        <f t="shared" si="239"/>
        <v>7.7098993084162739</v>
      </c>
      <c r="P145" s="88">
        <f t="shared" si="240"/>
        <v>8.0423019514330942</v>
      </c>
      <c r="Q145" s="88">
        <f t="shared" si="241"/>
        <v>5.9884419613154751</v>
      </c>
      <c r="R145" s="88">
        <f t="shared" si="242"/>
        <v>5.4423145203725607</v>
      </c>
      <c r="S145" s="88">
        <f t="shared" si="243"/>
        <v>5.2336961983341039</v>
      </c>
      <c r="T145" s="88">
        <f t="shared" si="244"/>
        <v>4.9826039338143469</v>
      </c>
      <c r="U145" s="88">
        <f t="shared" si="245"/>
        <v>5.0083973466958414</v>
      </c>
      <c r="V145" s="88">
        <f t="shared" si="246"/>
        <v>4.9647142580368087</v>
      </c>
      <c r="W145" s="88">
        <f t="shared" si="247"/>
        <v>4.97571278937935</v>
      </c>
      <c r="X145" s="88">
        <f t="shared" si="248"/>
        <v>4.9747381026153157</v>
      </c>
      <c r="Y145" s="34">
        <v>4.0000000000000001E-3</v>
      </c>
      <c r="AA145" s="90" t="s">
        <v>604</v>
      </c>
      <c r="AB145" s="133">
        <f t="shared" si="254"/>
        <v>0.87396625568771868</v>
      </c>
      <c r="AC145" s="133">
        <f t="shared" si="249"/>
        <v>0.83203677450684077</v>
      </c>
      <c r="AD145" s="133">
        <f t="shared" si="250"/>
        <v>0.83634397378306591</v>
      </c>
      <c r="AE145" s="133">
        <f t="shared" si="251"/>
        <v>0.82904940719275422</v>
      </c>
      <c r="AF145" s="133">
        <f t="shared" si="252"/>
        <v>0.83088603371657965</v>
      </c>
      <c r="AG145" s="133">
        <f t="shared" si="253"/>
        <v>0.83072327238895372</v>
      </c>
      <c r="AH145" s="34"/>
    </row>
    <row r="146" spans="1:46" x14ac:dyDescent="0.35">
      <c r="A146" s="90" t="s">
        <v>605</v>
      </c>
      <c r="B146" s="132">
        <v>0</v>
      </c>
      <c r="C146" s="130">
        <v>0</v>
      </c>
      <c r="D146" s="130">
        <v>0</v>
      </c>
      <c r="E146" s="88">
        <v>0</v>
      </c>
      <c r="F146" s="88">
        <v>0</v>
      </c>
      <c r="G146" s="88">
        <v>0</v>
      </c>
      <c r="H146" s="88">
        <v>0</v>
      </c>
      <c r="I146" s="88">
        <v>0</v>
      </c>
      <c r="J146" s="88">
        <v>0</v>
      </c>
      <c r="K146" s="88">
        <v>0</v>
      </c>
      <c r="L146" s="34" t="s">
        <v>279</v>
      </c>
      <c r="N146" s="90" t="s">
        <v>605</v>
      </c>
      <c r="O146" s="88" t="str">
        <f t="shared" si="239"/>
        <v/>
      </c>
      <c r="P146" s="88" t="str">
        <f t="shared" si="240"/>
        <v/>
      </c>
      <c r="Q146" s="88" t="str">
        <f t="shared" si="241"/>
        <v/>
      </c>
      <c r="R146" s="88" t="str">
        <f t="shared" si="242"/>
        <v/>
      </c>
      <c r="S146" s="88" t="str">
        <f t="shared" si="243"/>
        <v/>
      </c>
      <c r="T146" s="88" t="str">
        <f t="shared" si="244"/>
        <v/>
      </c>
      <c r="U146" s="88" t="str">
        <f t="shared" si="245"/>
        <v/>
      </c>
      <c r="V146" s="88" t="str">
        <f t="shared" si="246"/>
        <v/>
      </c>
      <c r="W146" s="88" t="str">
        <f t="shared" si="247"/>
        <v/>
      </c>
      <c r="X146" s="88" t="str">
        <f t="shared" si="248"/>
        <v/>
      </c>
      <c r="Y146" s="34" t="s">
        <v>279</v>
      </c>
      <c r="AA146" s="90" t="s">
        <v>605</v>
      </c>
      <c r="AB146" s="133" t="str">
        <f t="shared" si="254"/>
        <v/>
      </c>
      <c r="AC146" s="133" t="str">
        <f t="shared" si="249"/>
        <v/>
      </c>
      <c r="AD146" s="133" t="str">
        <f t="shared" si="250"/>
        <v/>
      </c>
      <c r="AE146" s="133" t="str">
        <f t="shared" si="251"/>
        <v/>
      </c>
      <c r="AF146" s="133" t="str">
        <f t="shared" si="252"/>
        <v/>
      </c>
      <c r="AG146" s="133" t="str">
        <f t="shared" si="253"/>
        <v/>
      </c>
      <c r="AH146" s="34"/>
    </row>
    <row r="147" spans="1:46" x14ac:dyDescent="0.35">
      <c r="A147" s="90" t="s">
        <v>606</v>
      </c>
      <c r="D147" s="130">
        <v>0</v>
      </c>
      <c r="E147" s="88">
        <v>0</v>
      </c>
      <c r="F147" s="88">
        <v>0</v>
      </c>
      <c r="G147" s="88">
        <v>0</v>
      </c>
      <c r="H147" s="88">
        <v>0</v>
      </c>
      <c r="I147" s="88">
        <v>0</v>
      </c>
      <c r="J147" s="88">
        <v>0</v>
      </c>
      <c r="K147" s="88">
        <v>0</v>
      </c>
      <c r="L147" s="34" t="s">
        <v>279</v>
      </c>
      <c r="N147" s="90" t="s">
        <v>606</v>
      </c>
      <c r="O147" s="88" t="str">
        <f t="shared" si="239"/>
        <v/>
      </c>
      <c r="P147" s="88" t="str">
        <f t="shared" si="240"/>
        <v/>
      </c>
      <c r="Q147" s="88" t="str">
        <f t="shared" si="241"/>
        <v/>
      </c>
      <c r="R147" s="88" t="str">
        <f t="shared" si="242"/>
        <v/>
      </c>
      <c r="S147" s="88" t="str">
        <f t="shared" si="243"/>
        <v/>
      </c>
      <c r="T147" s="88" t="str">
        <f t="shared" si="244"/>
        <v/>
      </c>
      <c r="U147" s="88" t="str">
        <f t="shared" si="245"/>
        <v/>
      </c>
      <c r="V147" s="88" t="str">
        <f t="shared" si="246"/>
        <v/>
      </c>
      <c r="W147" s="88" t="str">
        <f t="shared" si="247"/>
        <v/>
      </c>
      <c r="X147" s="88" t="str">
        <f t="shared" si="248"/>
        <v/>
      </c>
      <c r="Y147" s="34" t="s">
        <v>279</v>
      </c>
      <c r="AA147" s="90" t="s">
        <v>606</v>
      </c>
      <c r="AB147" s="133" t="str">
        <f t="shared" si="254"/>
        <v/>
      </c>
      <c r="AC147" s="133" t="str">
        <f t="shared" si="249"/>
        <v/>
      </c>
      <c r="AD147" s="133" t="str">
        <f t="shared" si="250"/>
        <v/>
      </c>
      <c r="AE147" s="133" t="str">
        <f t="shared" si="251"/>
        <v/>
      </c>
      <c r="AF147" s="133" t="str">
        <f t="shared" si="252"/>
        <v/>
      </c>
      <c r="AG147" s="133" t="str">
        <f t="shared" si="253"/>
        <v/>
      </c>
      <c r="AH147" s="34"/>
    </row>
    <row r="148" spans="1:46" x14ac:dyDescent="0.35">
      <c r="A148" s="90" t="s">
        <v>607</v>
      </c>
      <c r="D148" s="130">
        <v>0</v>
      </c>
      <c r="E148" s="88">
        <v>0</v>
      </c>
      <c r="F148" s="88">
        <v>0</v>
      </c>
      <c r="G148" s="88">
        <v>0</v>
      </c>
      <c r="H148" s="88">
        <v>0</v>
      </c>
      <c r="I148" s="88">
        <v>0</v>
      </c>
      <c r="J148" s="88">
        <v>0</v>
      </c>
      <c r="K148" s="88">
        <v>0</v>
      </c>
      <c r="L148" s="34" t="s">
        <v>279</v>
      </c>
      <c r="N148" s="90" t="s">
        <v>607</v>
      </c>
      <c r="O148" s="88" t="str">
        <f t="shared" si="239"/>
        <v/>
      </c>
      <c r="P148" s="88" t="str">
        <f t="shared" si="240"/>
        <v/>
      </c>
      <c r="Q148" s="88" t="str">
        <f t="shared" si="241"/>
        <v/>
      </c>
      <c r="R148" s="88" t="str">
        <f t="shared" si="242"/>
        <v/>
      </c>
      <c r="S148" s="88" t="str">
        <f t="shared" si="243"/>
        <v/>
      </c>
      <c r="T148" s="88" t="str">
        <f t="shared" si="244"/>
        <v/>
      </c>
      <c r="U148" s="88" t="str">
        <f t="shared" si="245"/>
        <v/>
      </c>
      <c r="V148" s="88" t="str">
        <f t="shared" si="246"/>
        <v/>
      </c>
      <c r="W148" s="88" t="str">
        <f t="shared" si="247"/>
        <v/>
      </c>
      <c r="X148" s="88" t="str">
        <f t="shared" si="248"/>
        <v/>
      </c>
      <c r="Y148" s="34" t="s">
        <v>279</v>
      </c>
      <c r="AA148" s="90" t="s">
        <v>607</v>
      </c>
      <c r="AB148" s="133" t="str">
        <f t="shared" si="254"/>
        <v/>
      </c>
      <c r="AC148" s="133" t="str">
        <f t="shared" si="249"/>
        <v/>
      </c>
      <c r="AD148" s="133" t="str">
        <f t="shared" si="250"/>
        <v/>
      </c>
      <c r="AE148" s="133" t="str">
        <f t="shared" si="251"/>
        <v/>
      </c>
      <c r="AF148" s="133" t="str">
        <f t="shared" si="252"/>
        <v/>
      </c>
      <c r="AG148" s="133" t="str">
        <f t="shared" si="253"/>
        <v/>
      </c>
      <c r="AH148" s="34"/>
    </row>
    <row r="149" spans="1:46" x14ac:dyDescent="0.35">
      <c r="A149" s="90" t="s">
        <v>608</v>
      </c>
      <c r="B149" s="132">
        <v>0</v>
      </c>
      <c r="C149" s="130">
        <v>0</v>
      </c>
      <c r="D149" s="130">
        <v>0</v>
      </c>
      <c r="E149" s="88">
        <v>0</v>
      </c>
      <c r="F149" s="88">
        <v>0</v>
      </c>
      <c r="G149" s="88">
        <v>0</v>
      </c>
      <c r="H149" s="88">
        <v>0</v>
      </c>
      <c r="I149" s="88">
        <v>0</v>
      </c>
      <c r="J149" s="88">
        <v>0</v>
      </c>
      <c r="K149" s="88">
        <v>0</v>
      </c>
      <c r="L149" s="34" t="s">
        <v>279</v>
      </c>
      <c r="N149" s="90" t="s">
        <v>608</v>
      </c>
      <c r="O149" s="88" t="str">
        <f t="shared" si="239"/>
        <v/>
      </c>
      <c r="P149" s="88" t="str">
        <f t="shared" si="240"/>
        <v/>
      </c>
      <c r="Q149" s="88" t="str">
        <f t="shared" si="241"/>
        <v/>
      </c>
      <c r="R149" s="88" t="str">
        <f t="shared" si="242"/>
        <v/>
      </c>
      <c r="S149" s="88" t="str">
        <f t="shared" si="243"/>
        <v/>
      </c>
      <c r="T149" s="88" t="str">
        <f t="shared" si="244"/>
        <v/>
      </c>
      <c r="U149" s="88" t="str">
        <f t="shared" si="245"/>
        <v/>
      </c>
      <c r="V149" s="88" t="str">
        <f t="shared" si="246"/>
        <v/>
      </c>
      <c r="W149" s="88" t="str">
        <f t="shared" si="247"/>
        <v/>
      </c>
      <c r="X149" s="88" t="str">
        <f t="shared" si="248"/>
        <v/>
      </c>
      <c r="Y149" s="34" t="s">
        <v>279</v>
      </c>
      <c r="AA149" s="90" t="s">
        <v>608</v>
      </c>
      <c r="AB149" s="133" t="str">
        <f t="shared" si="254"/>
        <v/>
      </c>
      <c r="AC149" s="133" t="str">
        <f t="shared" si="249"/>
        <v/>
      </c>
      <c r="AD149" s="133" t="str">
        <f t="shared" si="250"/>
        <v/>
      </c>
      <c r="AE149" s="133" t="str">
        <f t="shared" si="251"/>
        <v/>
      </c>
      <c r="AF149" s="133" t="str">
        <f t="shared" si="252"/>
        <v/>
      </c>
      <c r="AG149" s="133" t="str">
        <f t="shared" si="253"/>
        <v/>
      </c>
      <c r="AH149" s="34"/>
    </row>
    <row r="150" spans="1:46" x14ac:dyDescent="0.35">
      <c r="A150" s="90" t="s">
        <v>609</v>
      </c>
      <c r="B150" s="132">
        <v>26.389654</v>
      </c>
      <c r="C150" s="130">
        <v>23.346568999999999</v>
      </c>
      <c r="D150" s="130">
        <v>27.652339999999999</v>
      </c>
      <c r="E150" s="88">
        <v>26.966778000000001</v>
      </c>
      <c r="F150" s="88">
        <v>28.339646999999999</v>
      </c>
      <c r="G150" s="88">
        <v>30.060092999999998</v>
      </c>
      <c r="H150" s="88">
        <v>30.616453</v>
      </c>
      <c r="I150" s="88">
        <v>31.069262999999999</v>
      </c>
      <c r="J150" s="88">
        <v>31.116018</v>
      </c>
      <c r="K150" s="88">
        <v>31.116432</v>
      </c>
      <c r="L150" s="34">
        <v>6.0000000000000001E-3</v>
      </c>
      <c r="N150" s="90" t="s">
        <v>609</v>
      </c>
      <c r="O150" s="88">
        <f t="shared" si="239"/>
        <v>8.9131566196899801</v>
      </c>
      <c r="P150" s="88">
        <f t="shared" si="240"/>
        <v>10.074933033690225</v>
      </c>
      <c r="Q150" s="88">
        <f t="shared" si="241"/>
        <v>8.5061560519445418</v>
      </c>
      <c r="R150" s="88">
        <f t="shared" si="242"/>
        <v>8.7224035159642774</v>
      </c>
      <c r="S150" s="88">
        <f t="shared" si="243"/>
        <v>8.2998605889984489</v>
      </c>
      <c r="T150" s="88">
        <f t="shared" si="244"/>
        <v>7.8248300576258414</v>
      </c>
      <c r="U150" s="88">
        <f t="shared" si="245"/>
        <v>7.6826378039751422</v>
      </c>
      <c r="V150" s="88">
        <f t="shared" si="246"/>
        <v>7.5706694182423364</v>
      </c>
      <c r="W150" s="88">
        <f t="shared" si="247"/>
        <v>7.5592937130139255</v>
      </c>
      <c r="X150" s="88">
        <f t="shared" si="248"/>
        <v>7.5591931376138541</v>
      </c>
      <c r="Y150" s="34">
        <v>6.0000000000000001E-3</v>
      </c>
      <c r="AA150" s="90" t="s">
        <v>609</v>
      </c>
      <c r="AB150" s="133">
        <f t="shared" si="254"/>
        <v>0.97574751019305217</v>
      </c>
      <c r="AC150" s="133">
        <f t="shared" si="249"/>
        <v>0.91990201094853563</v>
      </c>
      <c r="AD150" s="133">
        <f t="shared" si="250"/>
        <v>0.90318561722352353</v>
      </c>
      <c r="AE150" s="133">
        <f t="shared" si="251"/>
        <v>0.89002239930828098</v>
      </c>
      <c r="AF150" s="133">
        <f t="shared" si="252"/>
        <v>0.88868504961013961</v>
      </c>
      <c r="AG150" s="133">
        <f t="shared" si="253"/>
        <v>0.88867322577344343</v>
      </c>
      <c r="AH150" s="34"/>
    </row>
    <row r="151" spans="1:46" x14ac:dyDescent="0.35">
      <c r="A151" s="90" t="s">
        <v>610</v>
      </c>
      <c r="B151" s="132">
        <v>0</v>
      </c>
      <c r="C151" s="130">
        <v>0</v>
      </c>
      <c r="D151" s="130">
        <v>0</v>
      </c>
      <c r="E151" s="88">
        <v>0</v>
      </c>
      <c r="F151" s="88">
        <v>0</v>
      </c>
      <c r="G151" s="88">
        <v>0</v>
      </c>
      <c r="H151" s="88">
        <v>0</v>
      </c>
      <c r="I151" s="88">
        <v>0</v>
      </c>
      <c r="J151" s="88">
        <v>0</v>
      </c>
      <c r="K151" s="88">
        <v>0</v>
      </c>
      <c r="L151" s="34" t="s">
        <v>279</v>
      </c>
      <c r="N151" s="90" t="s">
        <v>610</v>
      </c>
      <c r="O151" s="88" t="str">
        <f t="shared" si="239"/>
        <v/>
      </c>
      <c r="P151" s="88" t="str">
        <f t="shared" si="240"/>
        <v/>
      </c>
      <c r="Q151" s="88" t="str">
        <f t="shared" si="241"/>
        <v/>
      </c>
      <c r="R151" s="88" t="str">
        <f t="shared" si="242"/>
        <v/>
      </c>
      <c r="S151" s="88" t="str">
        <f t="shared" si="243"/>
        <v/>
      </c>
      <c r="T151" s="88" t="str">
        <f t="shared" si="244"/>
        <v/>
      </c>
      <c r="U151" s="88" t="str">
        <f t="shared" si="245"/>
        <v/>
      </c>
      <c r="V151" s="88" t="str">
        <f t="shared" si="246"/>
        <v/>
      </c>
      <c r="W151" s="88" t="str">
        <f t="shared" si="247"/>
        <v/>
      </c>
      <c r="X151" s="88" t="str">
        <f t="shared" si="248"/>
        <v/>
      </c>
      <c r="Y151" s="34" t="s">
        <v>279</v>
      </c>
      <c r="AA151" s="90" t="s">
        <v>610</v>
      </c>
      <c r="AB151" s="133" t="str">
        <f t="shared" si="254"/>
        <v/>
      </c>
      <c r="AC151" s="133" t="str">
        <f t="shared" si="249"/>
        <v/>
      </c>
      <c r="AD151" s="133" t="str">
        <f t="shared" si="250"/>
        <v/>
      </c>
      <c r="AE151" s="133" t="str">
        <f t="shared" si="251"/>
        <v/>
      </c>
      <c r="AF151" s="133" t="str">
        <f t="shared" si="252"/>
        <v/>
      </c>
      <c r="AG151" s="133" t="str">
        <f t="shared" si="253"/>
        <v/>
      </c>
      <c r="AH151" s="34"/>
    </row>
    <row r="152" spans="1:46" x14ac:dyDescent="0.35">
      <c r="A152" s="90" t="s">
        <v>611</v>
      </c>
      <c r="B152" s="132">
        <v>26.258247000000001</v>
      </c>
      <c r="C152" s="130">
        <v>26.778831</v>
      </c>
      <c r="D152" s="130">
        <v>29.170290000000001</v>
      </c>
      <c r="E152" s="88">
        <v>34.203280999999997</v>
      </c>
      <c r="F152" s="88">
        <v>36.030875999999999</v>
      </c>
      <c r="G152" s="88">
        <v>38.900402</v>
      </c>
      <c r="H152" s="88">
        <v>39.804192</v>
      </c>
      <c r="I152" s="88">
        <v>40.582355</v>
      </c>
      <c r="J152" s="88">
        <v>40.691380000000002</v>
      </c>
      <c r="K152" s="88">
        <v>40.805892999999998</v>
      </c>
      <c r="L152" s="34">
        <v>8.0000000000000002E-3</v>
      </c>
      <c r="N152" s="90" t="s">
        <v>611</v>
      </c>
      <c r="O152" s="88">
        <f t="shared" si="239"/>
        <v>8.9577616983124635</v>
      </c>
      <c r="P152" s="88">
        <f t="shared" si="240"/>
        <v>8.7836216316323945</v>
      </c>
      <c r="Q152" s="88">
        <f t="shared" si="241"/>
        <v>8.0635166548371</v>
      </c>
      <c r="R152" s="88">
        <f t="shared" si="242"/>
        <v>6.8769753182868092</v>
      </c>
      <c r="S152" s="88">
        <f t="shared" si="243"/>
        <v>6.5281543318965696</v>
      </c>
      <c r="T152" s="88">
        <f t="shared" si="244"/>
        <v>6.0465986763177444</v>
      </c>
      <c r="U152" s="88">
        <f t="shared" si="245"/>
        <v>5.9093052119090403</v>
      </c>
      <c r="V152" s="88">
        <f t="shared" si="246"/>
        <v>5.7959948169944333</v>
      </c>
      <c r="W152" s="88">
        <f t="shared" si="247"/>
        <v>5.7804655246744669</v>
      </c>
      <c r="X152" s="88">
        <f t="shared" si="248"/>
        <v>5.7642438860835163</v>
      </c>
      <c r="Y152" s="34">
        <v>8.0000000000000002E-3</v>
      </c>
      <c r="AA152" s="90" t="s">
        <v>611</v>
      </c>
      <c r="AB152" s="133">
        <f t="shared" si="254"/>
        <v>0.80959147371271245</v>
      </c>
      <c r="AC152" s="133">
        <f t="shared" si="249"/>
        <v>0.74987117099715328</v>
      </c>
      <c r="AD152" s="133">
        <f t="shared" si="250"/>
        <v>0.73284467123462782</v>
      </c>
      <c r="AE152" s="133">
        <f t="shared" si="251"/>
        <v>0.7187924407048335</v>
      </c>
      <c r="AF152" s="133">
        <f t="shared" si="252"/>
        <v>0.71686656977472873</v>
      </c>
      <c r="AG152" s="133">
        <f t="shared" si="253"/>
        <v>0.71485483726578425</v>
      </c>
      <c r="AH152" s="34"/>
    </row>
    <row r="153" spans="1:46" x14ac:dyDescent="0.35">
      <c r="A153" s="90" t="s">
        <v>612</v>
      </c>
      <c r="B153" s="132">
        <v>0</v>
      </c>
      <c r="C153" s="130">
        <v>0</v>
      </c>
      <c r="D153" s="130">
        <v>0</v>
      </c>
      <c r="E153" s="88">
        <v>0</v>
      </c>
      <c r="F153" s="88">
        <v>0</v>
      </c>
      <c r="G153" s="88">
        <v>0</v>
      </c>
      <c r="H153" s="88">
        <v>0</v>
      </c>
      <c r="I153" s="88">
        <v>0</v>
      </c>
      <c r="J153" s="88">
        <v>0</v>
      </c>
      <c r="K153" s="88">
        <v>0</v>
      </c>
      <c r="L153" s="34" t="s">
        <v>279</v>
      </c>
      <c r="N153" s="90" t="s">
        <v>612</v>
      </c>
      <c r="O153" s="88" t="str">
        <f t="shared" si="239"/>
        <v/>
      </c>
      <c r="P153" s="88" t="str">
        <f t="shared" si="240"/>
        <v/>
      </c>
      <c r="Q153" s="88" t="str">
        <f t="shared" si="241"/>
        <v/>
      </c>
      <c r="R153" s="88" t="str">
        <f t="shared" si="242"/>
        <v/>
      </c>
      <c r="S153" s="88" t="str">
        <f t="shared" si="243"/>
        <v/>
      </c>
      <c r="T153" s="88" t="str">
        <f t="shared" si="244"/>
        <v/>
      </c>
      <c r="U153" s="88" t="str">
        <f t="shared" si="245"/>
        <v/>
      </c>
      <c r="V153" s="88" t="str">
        <f t="shared" si="246"/>
        <v/>
      </c>
      <c r="W153" s="88" t="str">
        <f t="shared" si="247"/>
        <v/>
      </c>
      <c r="X153" s="88" t="str">
        <f t="shared" si="248"/>
        <v/>
      </c>
      <c r="Y153" s="34" t="s">
        <v>279</v>
      </c>
      <c r="AA153" s="90" t="s">
        <v>612</v>
      </c>
      <c r="AB153" s="133" t="str">
        <f t="shared" si="254"/>
        <v/>
      </c>
      <c r="AC153" s="133" t="str">
        <f t="shared" si="249"/>
        <v/>
      </c>
      <c r="AD153" s="133" t="str">
        <f t="shared" si="250"/>
        <v/>
      </c>
      <c r="AE153" s="133" t="str">
        <f t="shared" si="251"/>
        <v/>
      </c>
      <c r="AF153" s="133" t="str">
        <f t="shared" si="252"/>
        <v/>
      </c>
      <c r="AG153" s="133" t="str">
        <f t="shared" si="253"/>
        <v/>
      </c>
      <c r="AH153" s="34"/>
    </row>
    <row r="154" spans="1:46" x14ac:dyDescent="0.35">
      <c r="A154" s="90" t="s">
        <v>613</v>
      </c>
      <c r="B154" s="132">
        <v>0</v>
      </c>
      <c r="C154" s="130">
        <v>0</v>
      </c>
      <c r="D154" s="130">
        <v>0</v>
      </c>
      <c r="E154" s="88">
        <v>0</v>
      </c>
      <c r="F154" s="88">
        <v>0</v>
      </c>
      <c r="G154" s="88">
        <v>0</v>
      </c>
      <c r="H154" s="88">
        <v>0</v>
      </c>
      <c r="I154" s="88">
        <v>0</v>
      </c>
      <c r="J154" s="88">
        <v>0</v>
      </c>
      <c r="K154" s="88">
        <v>0</v>
      </c>
      <c r="L154" s="34" t="s">
        <v>279</v>
      </c>
      <c r="N154" s="90" t="s">
        <v>613</v>
      </c>
      <c r="O154" s="88" t="str">
        <f t="shared" si="239"/>
        <v/>
      </c>
      <c r="P154" s="88" t="str">
        <f t="shared" si="240"/>
        <v/>
      </c>
      <c r="Q154" s="88" t="str">
        <f t="shared" si="241"/>
        <v/>
      </c>
      <c r="R154" s="88" t="str">
        <f t="shared" si="242"/>
        <v/>
      </c>
      <c r="S154" s="88" t="str">
        <f t="shared" si="243"/>
        <v/>
      </c>
      <c r="T154" s="88" t="str">
        <f t="shared" si="244"/>
        <v/>
      </c>
      <c r="U154" s="88" t="str">
        <f t="shared" si="245"/>
        <v/>
      </c>
      <c r="V154" s="88" t="str">
        <f t="shared" si="246"/>
        <v/>
      </c>
      <c r="W154" s="88" t="str">
        <f t="shared" si="247"/>
        <v/>
      </c>
      <c r="X154" s="88" t="str">
        <f t="shared" si="248"/>
        <v/>
      </c>
      <c r="Y154" s="34" t="s">
        <v>279</v>
      </c>
      <c r="AA154" s="90" t="s">
        <v>613</v>
      </c>
      <c r="AB154" s="133" t="str">
        <f t="shared" si="254"/>
        <v/>
      </c>
      <c r="AC154" s="133" t="str">
        <f t="shared" si="249"/>
        <v/>
      </c>
      <c r="AD154" s="133" t="str">
        <f t="shared" si="250"/>
        <v/>
      </c>
      <c r="AE154" s="133" t="str">
        <f t="shared" si="251"/>
        <v/>
      </c>
      <c r="AF154" s="133" t="str">
        <f t="shared" si="252"/>
        <v/>
      </c>
      <c r="AG154" s="133" t="str">
        <f t="shared" si="253"/>
        <v/>
      </c>
      <c r="AH154" s="34"/>
    </row>
    <row r="155" spans="1:46" x14ac:dyDescent="0.35">
      <c r="A155" s="90" t="s">
        <v>614</v>
      </c>
      <c r="D155" s="130">
        <v>0</v>
      </c>
      <c r="E155" s="88">
        <v>0</v>
      </c>
      <c r="F155" s="88">
        <v>0</v>
      </c>
      <c r="G155" s="88">
        <v>0</v>
      </c>
      <c r="H155" s="88">
        <v>0</v>
      </c>
      <c r="I155" s="88">
        <v>0</v>
      </c>
      <c r="J155" s="88">
        <v>0</v>
      </c>
      <c r="K155" s="88">
        <v>0</v>
      </c>
      <c r="L155" s="34" t="s">
        <v>279</v>
      </c>
      <c r="N155" s="90" t="s">
        <v>614</v>
      </c>
      <c r="O155" s="88" t="str">
        <f t="shared" si="239"/>
        <v/>
      </c>
      <c r="P155" s="88" t="str">
        <f t="shared" si="240"/>
        <v/>
      </c>
      <c r="Q155" s="88" t="str">
        <f t="shared" si="241"/>
        <v/>
      </c>
      <c r="R155" s="88" t="str">
        <f t="shared" si="242"/>
        <v/>
      </c>
      <c r="S155" s="88" t="str">
        <f t="shared" si="243"/>
        <v/>
      </c>
      <c r="T155" s="88" t="str">
        <f t="shared" si="244"/>
        <v/>
      </c>
      <c r="U155" s="88" t="str">
        <f t="shared" si="245"/>
        <v/>
      </c>
      <c r="V155" s="88" t="str">
        <f t="shared" si="246"/>
        <v/>
      </c>
      <c r="W155" s="88" t="str">
        <f t="shared" si="247"/>
        <v/>
      </c>
      <c r="X155" s="88" t="str">
        <f t="shared" si="248"/>
        <v/>
      </c>
      <c r="Y155" s="34" t="s">
        <v>279</v>
      </c>
      <c r="AA155" s="90" t="s">
        <v>614</v>
      </c>
      <c r="AB155" s="133" t="str">
        <f t="shared" si="254"/>
        <v/>
      </c>
      <c r="AC155" s="133" t="str">
        <f t="shared" si="249"/>
        <v/>
      </c>
      <c r="AD155" s="133" t="str">
        <f t="shared" si="250"/>
        <v/>
      </c>
      <c r="AE155" s="133" t="str">
        <f t="shared" si="251"/>
        <v/>
      </c>
      <c r="AF155" s="133" t="str">
        <f t="shared" si="252"/>
        <v/>
      </c>
      <c r="AG155" s="133" t="str">
        <f t="shared" si="253"/>
        <v/>
      </c>
      <c r="AH155" s="34"/>
    </row>
    <row r="156" spans="1:46" x14ac:dyDescent="0.35">
      <c r="A156" s="90" t="s">
        <v>615</v>
      </c>
      <c r="D156" s="130">
        <v>0</v>
      </c>
      <c r="E156" s="88">
        <v>0</v>
      </c>
      <c r="F156" s="88">
        <v>0</v>
      </c>
      <c r="G156" s="88">
        <v>0</v>
      </c>
      <c r="H156" s="88">
        <v>0</v>
      </c>
      <c r="I156" s="88">
        <v>0</v>
      </c>
      <c r="J156" s="88">
        <v>0</v>
      </c>
      <c r="K156" s="88">
        <v>0</v>
      </c>
      <c r="L156" s="34" t="s">
        <v>279</v>
      </c>
      <c r="N156" s="90" t="s">
        <v>615</v>
      </c>
      <c r="O156" s="88" t="str">
        <f t="shared" si="239"/>
        <v/>
      </c>
      <c r="P156" s="88" t="str">
        <f t="shared" si="240"/>
        <v/>
      </c>
      <c r="Q156" s="88" t="str">
        <f t="shared" si="241"/>
        <v/>
      </c>
      <c r="R156" s="88" t="str">
        <f t="shared" si="242"/>
        <v/>
      </c>
      <c r="S156" s="88" t="str">
        <f t="shared" si="243"/>
        <v/>
      </c>
      <c r="T156" s="88" t="str">
        <f t="shared" si="244"/>
        <v/>
      </c>
      <c r="U156" s="88" t="str">
        <f t="shared" si="245"/>
        <v/>
      </c>
      <c r="V156" s="88" t="str">
        <f t="shared" si="246"/>
        <v/>
      </c>
      <c r="W156" s="88" t="str">
        <f t="shared" si="247"/>
        <v/>
      </c>
      <c r="X156" s="88" t="str">
        <f t="shared" si="248"/>
        <v/>
      </c>
      <c r="Y156" s="34" t="s">
        <v>279</v>
      </c>
      <c r="AA156" s="90" t="s">
        <v>615</v>
      </c>
      <c r="AB156" s="133" t="str">
        <f t="shared" si="254"/>
        <v/>
      </c>
      <c r="AC156" s="133" t="str">
        <f t="shared" si="249"/>
        <v/>
      </c>
      <c r="AD156" s="133" t="str">
        <f t="shared" si="250"/>
        <v/>
      </c>
      <c r="AE156" s="133" t="str">
        <f t="shared" si="251"/>
        <v/>
      </c>
      <c r="AF156" s="133" t="str">
        <f t="shared" si="252"/>
        <v/>
      </c>
      <c r="AG156" s="133" t="str">
        <f t="shared" si="253"/>
        <v/>
      </c>
      <c r="AH156" s="34"/>
    </row>
    <row r="157" spans="1:46" x14ac:dyDescent="0.35">
      <c r="A157" t="s">
        <v>592</v>
      </c>
      <c r="L157" s="34"/>
      <c r="N157" t="s">
        <v>592</v>
      </c>
      <c r="O157" s="88"/>
      <c r="P157" s="88"/>
      <c r="Q157" s="88"/>
      <c r="R157" s="88"/>
      <c r="S157" s="88"/>
      <c r="T157" s="88"/>
      <c r="U157" s="88"/>
      <c r="V157" s="88"/>
      <c r="W157" s="88"/>
      <c r="X157" s="88"/>
      <c r="Y157" s="34"/>
      <c r="AA157" t="s">
        <v>592</v>
      </c>
      <c r="AB157" s="88"/>
      <c r="AC157" s="88"/>
      <c r="AD157" s="88"/>
      <c r="AE157" s="88"/>
      <c r="AF157" s="88"/>
      <c r="AG157" s="88"/>
      <c r="AH157" s="34"/>
      <c r="AI157" t="s">
        <v>32</v>
      </c>
      <c r="AJ157" t="s">
        <v>622</v>
      </c>
      <c r="AK157" s="88">
        <f>AVERAGE(O158:O165)</f>
        <v>1.6465659294067223</v>
      </c>
      <c r="AL157" s="88">
        <f t="shared" ref="AL157" si="255">AVERAGE(P158:P165)</f>
        <v>2.3799219457136127</v>
      </c>
      <c r="AM157" s="88">
        <f t="shared" ref="AM157" si="256">AVERAGE(Q158:Q165)</f>
        <v>2.2000687288768384</v>
      </c>
      <c r="AN157" s="88">
        <f t="shared" ref="AN157" si="257">AVERAGE(R158:R165)</f>
        <v>2.4801384175128525</v>
      </c>
      <c r="AO157" s="88">
        <f t="shared" ref="AO157" si="258">AVERAGE(S158:S165)</f>
        <v>2.4070598753430761</v>
      </c>
      <c r="AP157" s="88">
        <f t="shared" ref="AP157" si="259">AVERAGE(T158:T165)</f>
        <v>2.3704118959376013</v>
      </c>
      <c r="AQ157" s="88">
        <f t="shared" ref="AQ157" si="260">AVERAGE(U158:U165)</f>
        <v>2.3700882109880168</v>
      </c>
      <c r="AR157" s="88">
        <f t="shared" ref="AR157" si="261">AVERAGE(V158:V165)</f>
        <v>2.3700029791090955</v>
      </c>
      <c r="AS157" s="88">
        <f t="shared" ref="AS157" si="262">AVERAGE(W158:W165)</f>
        <v>2.3702548218688224</v>
      </c>
      <c r="AT157" s="88">
        <f t="shared" ref="AT157" si="263">AVERAGE(X158:X165)</f>
        <v>2.3704923183695152</v>
      </c>
    </row>
    <row r="158" spans="1:46" x14ac:dyDescent="0.35">
      <c r="A158" s="90" t="s">
        <v>600</v>
      </c>
      <c r="B158" s="132">
        <v>0</v>
      </c>
      <c r="C158" s="130">
        <v>109.897339</v>
      </c>
      <c r="D158" s="130">
        <v>116.613266</v>
      </c>
      <c r="E158" s="88">
        <v>96.155524999999997</v>
      </c>
      <c r="F158" s="88">
        <v>99.696494999999999</v>
      </c>
      <c r="G158" s="88">
        <v>101.230194</v>
      </c>
      <c r="H158" s="88">
        <v>101.034691</v>
      </c>
      <c r="I158" s="88">
        <v>100.860687</v>
      </c>
      <c r="J158" s="88">
        <v>100.806358</v>
      </c>
      <c r="K158" s="88">
        <v>100.80487100000001</v>
      </c>
      <c r="L158" s="34">
        <v>2E-3</v>
      </c>
      <c r="N158" s="90" t="s">
        <v>600</v>
      </c>
      <c r="O158" s="88" t="str">
        <f t="shared" ref="O158:O173" si="264">IFERROR(L_100km_to_mpg/B158, "")</f>
        <v/>
      </c>
      <c r="P158" s="88">
        <f t="shared" ref="P158:P173" si="265">IFERROR(L_100km_to_mpg/C158, "")</f>
        <v>2.1403167845713549</v>
      </c>
      <c r="Q158" s="88">
        <f t="shared" ref="Q158:Q173" si="266">IFERROR(L_100km_to_mpg/D158, "")</f>
        <v>2.0170528389233877</v>
      </c>
      <c r="R158" s="88">
        <f t="shared" ref="R158:R173" si="267">IFERROR(L_100km_to_mpg/E158, "")</f>
        <v>2.4461945295543668</v>
      </c>
      <c r="S158" s="88">
        <f t="shared" ref="S158:S173" si="268">IFERROR(L_100km_to_mpg/F158, "")</f>
        <v>2.3593118217589106</v>
      </c>
      <c r="T158" s="88">
        <f t="shared" ref="T158:T173" si="269">IFERROR(L_100km_to_mpg/G158, "")</f>
        <v>2.3235668128960429</v>
      </c>
      <c r="U158" s="88">
        <f t="shared" ref="U158:U173" si="270">IFERROR(L_100km_to_mpg/H158, "")</f>
        <v>2.3280629347540454</v>
      </c>
      <c r="V158" s="88">
        <f t="shared" ref="V158:V173" si="271">IFERROR(L_100km_to_mpg/I158, "")</f>
        <v>2.3320792891429356</v>
      </c>
      <c r="W158" s="88">
        <f t="shared" ref="W158:W173" si="272">IFERROR(L_100km_to_mpg/J158, "")</f>
        <v>2.3333361497042491</v>
      </c>
      <c r="X158" s="88">
        <f>IFERROR(L_100km_to_mpg/K158, "")</f>
        <v>2.3333705693788165</v>
      </c>
      <c r="Y158" s="34">
        <v>2E-3</v>
      </c>
      <c r="AA158" s="90" t="s">
        <v>600</v>
      </c>
      <c r="AB158" s="133">
        <f>IFERROR($D158/F158, "")</f>
        <v>1.1696827054953136</v>
      </c>
      <c r="AC158" s="133">
        <f t="shared" ref="AC158:AC173" si="273">IFERROR($D158/G158, "")</f>
        <v>1.1519613011904333</v>
      </c>
      <c r="AD158" s="133">
        <f t="shared" ref="AD158:AD173" si="274">IFERROR($D158/H158, "")</f>
        <v>1.1541903562609006</v>
      </c>
      <c r="AE158" s="133">
        <f t="shared" ref="AE158:AE173" si="275">IFERROR($D158/I158, "")</f>
        <v>1.1561815556540875</v>
      </c>
      <c r="AF158" s="133">
        <f t="shared" ref="AF158:AF173" si="276">IFERROR($D158/J158, "")</f>
        <v>1.1568046729750914</v>
      </c>
      <c r="AG158" s="133">
        <f t="shared" ref="AG158:AG173" si="277">IFERROR($D158/K158, "")</f>
        <v>1.1568217373146581</v>
      </c>
      <c r="AH158" s="34"/>
      <c r="AI158" t="s">
        <v>256</v>
      </c>
      <c r="AJ158" t="s">
        <v>622</v>
      </c>
      <c r="AK158" s="88">
        <f>AVERAGE(O166:O173)</f>
        <v>2.3184706533101127</v>
      </c>
      <c r="AL158" s="88">
        <f t="shared" ref="AL158" si="278">AVERAGE(P166:P173)</f>
        <v>2.737634143643394</v>
      </c>
      <c r="AM158" s="88" t="e">
        <f t="shared" ref="AM158" si="279">AVERAGE(Q166:Q173)</f>
        <v>#DIV/0!</v>
      </c>
      <c r="AN158" s="88" t="e">
        <f t="shared" ref="AN158" si="280">AVERAGE(R166:R173)</f>
        <v>#DIV/0!</v>
      </c>
      <c r="AO158" s="88" t="e">
        <f t="shared" ref="AO158" si="281">AVERAGE(S166:S173)</f>
        <v>#DIV/0!</v>
      </c>
      <c r="AP158" s="88" t="e">
        <f t="shared" ref="AP158" si="282">AVERAGE(T166:T173)</f>
        <v>#DIV/0!</v>
      </c>
      <c r="AQ158" s="88" t="e">
        <f t="shared" ref="AQ158" si="283">AVERAGE(U166:U173)</f>
        <v>#DIV/0!</v>
      </c>
      <c r="AR158" s="88" t="e">
        <f t="shared" ref="AR158" si="284">AVERAGE(V166:V173)</f>
        <v>#DIV/0!</v>
      </c>
      <c r="AS158" s="88" t="e">
        <f t="shared" ref="AS158" si="285">AVERAGE(W166:W173)</f>
        <v>#DIV/0!</v>
      </c>
      <c r="AT158" s="88" t="e">
        <f t="shared" ref="AT158" si="286">AVERAGE(X166:X173)</f>
        <v>#DIV/0!</v>
      </c>
    </row>
    <row r="159" spans="1:46" x14ac:dyDescent="0.35">
      <c r="A159" s="90" t="s">
        <v>601</v>
      </c>
      <c r="B159" s="132">
        <v>142.85192900000001</v>
      </c>
      <c r="C159" s="130">
        <v>99.528694000000002</v>
      </c>
      <c r="D159" s="130">
        <v>104.242447</v>
      </c>
      <c r="E159" s="88">
        <v>96.764488</v>
      </c>
      <c r="F159" s="88">
        <v>99.947059999999993</v>
      </c>
      <c r="G159" s="88">
        <v>101.521027</v>
      </c>
      <c r="H159" s="88">
        <v>101.50949900000001</v>
      </c>
      <c r="I159" s="88">
        <v>101.509399</v>
      </c>
      <c r="J159" s="88">
        <v>101.50762899999999</v>
      </c>
      <c r="K159" s="88">
        <v>101.509331</v>
      </c>
      <c r="L159" s="34">
        <v>2E-3</v>
      </c>
      <c r="N159" s="90" t="s">
        <v>601</v>
      </c>
      <c r="O159" s="88">
        <f t="shared" si="264"/>
        <v>1.6465659294067223</v>
      </c>
      <c r="P159" s="88">
        <f t="shared" si="265"/>
        <v>2.3632895177086133</v>
      </c>
      <c r="Q159" s="88">
        <f t="shared" si="266"/>
        <v>2.2564236163933118</v>
      </c>
      <c r="R159" s="88">
        <f t="shared" si="267"/>
        <v>2.4308000187158343</v>
      </c>
      <c r="S159" s="88">
        <f t="shared" si="268"/>
        <v>2.3533970808288722</v>
      </c>
      <c r="T159" s="88">
        <f t="shared" si="269"/>
        <v>2.3169103602687957</v>
      </c>
      <c r="U159" s="88">
        <f t="shared" si="270"/>
        <v>2.3171734818770817</v>
      </c>
      <c r="V159" s="88">
        <f t="shared" si="271"/>
        <v>2.3171757645952384</v>
      </c>
      <c r="W159" s="88">
        <f t="shared" si="272"/>
        <v>2.3172161694509499</v>
      </c>
      <c r="X159" s="88">
        <f t="shared" ref="X159:X173" si="287">IFERROR(L_100km_to_mpg/K159, "")</f>
        <v>2.3171773168461542</v>
      </c>
      <c r="Y159" s="34">
        <v>2E-3</v>
      </c>
      <c r="AA159" s="90" t="s">
        <v>601</v>
      </c>
      <c r="AB159" s="133">
        <f t="shared" ref="AB159:AB173" si="288">IFERROR($D159/F159, "")</f>
        <v>1.0429766218235934</v>
      </c>
      <c r="AC159" s="133">
        <f t="shared" si="273"/>
        <v>1.0268064664081855</v>
      </c>
      <c r="AD159" s="133">
        <f t="shared" si="274"/>
        <v>1.0269230764305122</v>
      </c>
      <c r="AE159" s="133">
        <f t="shared" si="275"/>
        <v>1.0269240880837054</v>
      </c>
      <c r="AF159" s="133">
        <f t="shared" si="276"/>
        <v>1.0269419946750997</v>
      </c>
      <c r="AG159" s="133">
        <f t="shared" si="277"/>
        <v>1.0269247760090152</v>
      </c>
      <c r="AH159" s="34"/>
    </row>
    <row r="160" spans="1:46" x14ac:dyDescent="0.35">
      <c r="A160" s="90" t="s">
        <v>602</v>
      </c>
      <c r="B160" s="132">
        <v>0</v>
      </c>
      <c r="C160" s="130">
        <v>104.755493</v>
      </c>
      <c r="D160" s="130">
        <v>112.449654</v>
      </c>
      <c r="E160" s="88">
        <v>94.030945000000003</v>
      </c>
      <c r="F160" s="88">
        <v>96.642189000000002</v>
      </c>
      <c r="G160" s="88">
        <v>98.165267999999998</v>
      </c>
      <c r="H160" s="88">
        <v>98.226768000000007</v>
      </c>
      <c r="I160" s="88">
        <v>98.333786000000003</v>
      </c>
      <c r="J160" s="88">
        <v>98.363975999999994</v>
      </c>
      <c r="K160" s="88">
        <v>98.332901000000007</v>
      </c>
      <c r="L160" s="34">
        <v>2E-3</v>
      </c>
      <c r="N160" s="90" t="s">
        <v>602</v>
      </c>
      <c r="O160" s="88" t="str">
        <f t="shared" si="264"/>
        <v/>
      </c>
      <c r="P160" s="88">
        <f t="shared" si="265"/>
        <v>2.2453726530734586</v>
      </c>
      <c r="Q160" s="88">
        <f t="shared" si="266"/>
        <v>2.0917371541350245</v>
      </c>
      <c r="R160" s="88">
        <f t="shared" si="267"/>
        <v>2.5014650149631925</v>
      </c>
      <c r="S160" s="88">
        <f t="shared" si="268"/>
        <v>2.4338761536271507</v>
      </c>
      <c r="T160" s="88">
        <f t="shared" si="269"/>
        <v>2.3961134526870356</v>
      </c>
      <c r="U160" s="88">
        <f t="shared" si="270"/>
        <v>2.3946132406741523</v>
      </c>
      <c r="V160" s="88">
        <f t="shared" si="271"/>
        <v>2.3920071504358442</v>
      </c>
      <c r="W160" s="88">
        <f t="shared" si="272"/>
        <v>2.3912729924767189</v>
      </c>
      <c r="X160" s="88">
        <f t="shared" si="287"/>
        <v>2.392028678594849</v>
      </c>
      <c r="Y160" s="34">
        <v>2E-3</v>
      </c>
      <c r="AA160" s="90" t="s">
        <v>602</v>
      </c>
      <c r="AB160" s="133">
        <f t="shared" si="288"/>
        <v>1.1635669179637476</v>
      </c>
      <c r="AC160" s="133">
        <f t="shared" si="273"/>
        <v>1.1455136454168291</v>
      </c>
      <c r="AD160" s="133">
        <f t="shared" si="274"/>
        <v>1.1447964367513344</v>
      </c>
      <c r="AE160" s="133">
        <f t="shared" si="275"/>
        <v>1.1435505391809078</v>
      </c>
      <c r="AF160" s="133">
        <f t="shared" si="276"/>
        <v>1.1431995591556812</v>
      </c>
      <c r="AG160" s="133">
        <f t="shared" si="277"/>
        <v>1.1435608311810102</v>
      </c>
      <c r="AH160" s="34"/>
    </row>
    <row r="161" spans="1:46" x14ac:dyDescent="0.35">
      <c r="A161" s="90" t="s">
        <v>603</v>
      </c>
      <c r="B161" s="132">
        <v>0</v>
      </c>
      <c r="C161" s="130">
        <v>95.250373999999994</v>
      </c>
      <c r="D161" s="130">
        <v>110.291832</v>
      </c>
      <c r="E161" s="88">
        <v>95.880591999999993</v>
      </c>
      <c r="F161" s="88">
        <v>99.228294000000005</v>
      </c>
      <c r="G161" s="88">
        <v>100.773651</v>
      </c>
      <c r="H161" s="88">
        <v>100.70549800000001</v>
      </c>
      <c r="I161" s="88">
        <v>100.554298</v>
      </c>
      <c r="J161" s="88">
        <v>100.493309</v>
      </c>
      <c r="K161" s="88">
        <v>100.436409</v>
      </c>
      <c r="L161" s="34">
        <v>2E-3</v>
      </c>
      <c r="N161" s="90" t="s">
        <v>603</v>
      </c>
      <c r="O161" s="88" t="str">
        <f t="shared" si="264"/>
        <v/>
      </c>
      <c r="P161" s="88">
        <f t="shared" si="265"/>
        <v>2.4694403744958331</v>
      </c>
      <c r="Q161" s="88">
        <f t="shared" si="266"/>
        <v>2.132661276688451</v>
      </c>
      <c r="R161" s="88">
        <f t="shared" si="267"/>
        <v>2.453208875070652</v>
      </c>
      <c r="S161" s="88">
        <f t="shared" si="268"/>
        <v>2.3704440513854661</v>
      </c>
      <c r="T161" s="88">
        <f t="shared" si="269"/>
        <v>2.3340934550582886</v>
      </c>
      <c r="U161" s="88">
        <f t="shared" si="270"/>
        <v>2.3356730656495848</v>
      </c>
      <c r="V161" s="88">
        <f t="shared" si="271"/>
        <v>2.339185135989196</v>
      </c>
      <c r="W161" s="88">
        <f t="shared" si="272"/>
        <v>2.3406047783880632</v>
      </c>
      <c r="X161" s="88">
        <f t="shared" si="287"/>
        <v>2.3419307956483006</v>
      </c>
      <c r="Y161" s="34">
        <v>2E-3</v>
      </c>
      <c r="AA161" s="90" t="s">
        <v>603</v>
      </c>
      <c r="AB161" s="133">
        <f t="shared" si="288"/>
        <v>1.1114957997766242</v>
      </c>
      <c r="AC161" s="133">
        <f t="shared" si="273"/>
        <v>1.0944510882115406</v>
      </c>
      <c r="AD161" s="133">
        <f t="shared" si="274"/>
        <v>1.0951917640087534</v>
      </c>
      <c r="AE161" s="133">
        <f t="shared" si="275"/>
        <v>1.0968385657667263</v>
      </c>
      <c r="AF161" s="133">
        <f t="shared" si="276"/>
        <v>1.0975042328439997</v>
      </c>
      <c r="AG161" s="133">
        <f t="shared" si="277"/>
        <v>1.0981259993076813</v>
      </c>
      <c r="AH161" s="34"/>
    </row>
    <row r="162" spans="1:46" x14ac:dyDescent="0.35">
      <c r="A162" s="90" t="s">
        <v>604</v>
      </c>
      <c r="B162" s="132">
        <v>0</v>
      </c>
      <c r="C162" s="130">
        <v>0</v>
      </c>
      <c r="D162" s="130">
        <v>0</v>
      </c>
      <c r="E162" s="88">
        <v>0</v>
      </c>
      <c r="F162" s="88">
        <v>0</v>
      </c>
      <c r="G162" s="88">
        <v>0</v>
      </c>
      <c r="H162" s="88">
        <v>0</v>
      </c>
      <c r="I162" s="88">
        <v>0</v>
      </c>
      <c r="J162" s="88">
        <v>0</v>
      </c>
      <c r="K162" s="88">
        <v>0</v>
      </c>
      <c r="L162" s="34" t="s">
        <v>279</v>
      </c>
      <c r="N162" s="90" t="s">
        <v>604</v>
      </c>
      <c r="O162" s="88" t="str">
        <f t="shared" si="264"/>
        <v/>
      </c>
      <c r="P162" s="88" t="str">
        <f t="shared" si="265"/>
        <v/>
      </c>
      <c r="Q162" s="88" t="str">
        <f t="shared" si="266"/>
        <v/>
      </c>
      <c r="R162" s="88" t="str">
        <f t="shared" si="267"/>
        <v/>
      </c>
      <c r="S162" s="88" t="str">
        <f t="shared" si="268"/>
        <v/>
      </c>
      <c r="T162" s="88" t="str">
        <f t="shared" si="269"/>
        <v/>
      </c>
      <c r="U162" s="88" t="str">
        <f t="shared" si="270"/>
        <v/>
      </c>
      <c r="V162" s="88" t="str">
        <f t="shared" si="271"/>
        <v/>
      </c>
      <c r="W162" s="88" t="str">
        <f t="shared" si="272"/>
        <v/>
      </c>
      <c r="X162" s="88" t="str">
        <f t="shared" si="287"/>
        <v/>
      </c>
      <c r="Y162" s="34" t="s">
        <v>279</v>
      </c>
      <c r="AA162" s="90" t="s">
        <v>604</v>
      </c>
      <c r="AB162" s="133" t="str">
        <f t="shared" si="288"/>
        <v/>
      </c>
      <c r="AC162" s="133" t="str">
        <f t="shared" si="273"/>
        <v/>
      </c>
      <c r="AD162" s="133" t="str">
        <f t="shared" si="274"/>
        <v/>
      </c>
      <c r="AE162" s="133" t="str">
        <f t="shared" si="275"/>
        <v/>
      </c>
      <c r="AF162" s="133" t="str">
        <f t="shared" si="276"/>
        <v/>
      </c>
      <c r="AG162" s="133" t="str">
        <f t="shared" si="277"/>
        <v/>
      </c>
      <c r="AH162" s="34"/>
    </row>
    <row r="163" spans="1:46" x14ac:dyDescent="0.35">
      <c r="A163" s="90" t="s">
        <v>605</v>
      </c>
      <c r="B163" s="132">
        <v>0</v>
      </c>
      <c r="C163" s="130">
        <v>99.723206000000005</v>
      </c>
      <c r="D163" s="130">
        <v>111.40428900000001</v>
      </c>
      <c r="E163" s="88">
        <v>95.456260999999998</v>
      </c>
      <c r="F163" s="88">
        <v>98.660483999999997</v>
      </c>
      <c r="G163" s="88">
        <v>100.197433</v>
      </c>
      <c r="H163" s="88">
        <v>100.181145</v>
      </c>
      <c r="I163" s="88">
        <v>100.21663700000001</v>
      </c>
      <c r="J163" s="88">
        <v>100.232086</v>
      </c>
      <c r="K163" s="88">
        <v>100.250938</v>
      </c>
      <c r="L163" s="34">
        <v>2E-3</v>
      </c>
      <c r="N163" s="90" t="s">
        <v>605</v>
      </c>
      <c r="O163" s="88" t="str">
        <f t="shared" si="264"/>
        <v/>
      </c>
      <c r="P163" s="88">
        <f t="shared" si="265"/>
        <v>2.3586798767924502</v>
      </c>
      <c r="Q163" s="88">
        <f t="shared" si="266"/>
        <v>2.11136502331098</v>
      </c>
      <c r="R163" s="88">
        <f t="shared" si="267"/>
        <v>2.4641141060556326</v>
      </c>
      <c r="S163" s="88">
        <f t="shared" si="268"/>
        <v>2.3840864113481155</v>
      </c>
      <c r="T163" s="88">
        <f t="shared" si="269"/>
        <v>2.3475164203201508</v>
      </c>
      <c r="U163" s="88">
        <f t="shared" si="270"/>
        <v>2.3478980924147765</v>
      </c>
      <c r="V163" s="88">
        <f t="shared" si="271"/>
        <v>2.3470665777921496</v>
      </c>
      <c r="W163" s="88">
        <f t="shared" si="272"/>
        <v>2.3467048190678996</v>
      </c>
      <c r="X163" s="88">
        <f t="shared" si="287"/>
        <v>2.3462635256482898</v>
      </c>
      <c r="Y163" s="34">
        <v>2E-3</v>
      </c>
      <c r="AA163" s="90" t="s">
        <v>605</v>
      </c>
      <c r="AB163" s="133">
        <f t="shared" si="288"/>
        <v>1.1291682797745044</v>
      </c>
      <c r="AC163" s="133">
        <f t="shared" si="273"/>
        <v>1.1118477356600542</v>
      </c>
      <c r="AD163" s="133">
        <f t="shared" si="274"/>
        <v>1.1120285059628736</v>
      </c>
      <c r="AE163" s="133">
        <f t="shared" si="275"/>
        <v>1.1116346779826587</v>
      </c>
      <c r="AF163" s="133">
        <f t="shared" si="276"/>
        <v>1.1114633391945969</v>
      </c>
      <c r="AG163" s="133">
        <f t="shared" si="277"/>
        <v>1.1112543306078593</v>
      </c>
      <c r="AH163" s="34"/>
    </row>
    <row r="164" spans="1:46" x14ac:dyDescent="0.35">
      <c r="A164" s="90" t="s">
        <v>606</v>
      </c>
      <c r="C164" s="130">
        <v>98.911356076514863</v>
      </c>
      <c r="D164" s="130">
        <v>105.597176</v>
      </c>
      <c r="E164" s="88">
        <v>96.368865999999997</v>
      </c>
      <c r="F164" s="88">
        <v>99.878281000000001</v>
      </c>
      <c r="G164" s="88">
        <v>101.39812499999999</v>
      </c>
      <c r="H164" s="88">
        <v>101.251312</v>
      </c>
      <c r="I164" s="88">
        <v>101.073723</v>
      </c>
      <c r="J164" s="88">
        <v>101.015106</v>
      </c>
      <c r="K164" s="88">
        <v>100.96221199999999</v>
      </c>
      <c r="L164" s="34">
        <v>2E-3</v>
      </c>
      <c r="N164" s="90" t="s">
        <v>606</v>
      </c>
      <c r="O164" s="88" t="str">
        <f t="shared" si="264"/>
        <v/>
      </c>
      <c r="P164" s="88">
        <f t="shared" si="265"/>
        <v>2.3780395757537969</v>
      </c>
      <c r="Q164" s="88">
        <f t="shared" si="266"/>
        <v>2.2274754700014716</v>
      </c>
      <c r="R164" s="88">
        <f t="shared" si="267"/>
        <v>2.4407791541453663</v>
      </c>
      <c r="S164" s="88">
        <f t="shared" si="268"/>
        <v>2.3550176964041674</v>
      </c>
      <c r="T164" s="88">
        <f t="shared" si="269"/>
        <v>2.319718626369355</v>
      </c>
      <c r="U164" s="88">
        <f t="shared" si="270"/>
        <v>2.3230821862478992</v>
      </c>
      <c r="V164" s="88">
        <f t="shared" si="271"/>
        <v>2.3271638983895757</v>
      </c>
      <c r="W164" s="88">
        <f t="shared" si="272"/>
        <v>2.3285143040034839</v>
      </c>
      <c r="X164" s="88">
        <f t="shared" si="287"/>
        <v>2.329734210274911</v>
      </c>
      <c r="Y164" s="34">
        <v>2E-3</v>
      </c>
      <c r="AA164" s="90" t="s">
        <v>606</v>
      </c>
      <c r="AB164" s="133">
        <f t="shared" si="288"/>
        <v>1.0572586446496812</v>
      </c>
      <c r="AC164" s="133">
        <f t="shared" si="273"/>
        <v>1.0414115251144931</v>
      </c>
      <c r="AD164" s="133">
        <f t="shared" si="274"/>
        <v>1.0429215574016464</v>
      </c>
      <c r="AE164" s="133">
        <f t="shared" si="275"/>
        <v>1.0447539960509815</v>
      </c>
      <c r="AF164" s="133">
        <f t="shared" si="276"/>
        <v>1.0453602454270552</v>
      </c>
      <c r="AG164" s="133">
        <f t="shared" si="277"/>
        <v>1.0459079085945542</v>
      </c>
      <c r="AH164" s="34"/>
    </row>
    <row r="165" spans="1:46" x14ac:dyDescent="0.35">
      <c r="A165" s="90" t="s">
        <v>607</v>
      </c>
      <c r="C165" s="130">
        <v>86.97771279108656</v>
      </c>
      <c r="D165" s="130">
        <v>91.745948999999996</v>
      </c>
      <c r="E165" s="88">
        <v>89.625998999999993</v>
      </c>
      <c r="F165" s="88">
        <v>90.701576000000003</v>
      </c>
      <c r="G165" s="88">
        <v>92.062004000000002</v>
      </c>
      <c r="H165" s="88">
        <v>92.454612999999995</v>
      </c>
      <c r="I165" s="88">
        <v>92.774474999999995</v>
      </c>
      <c r="J165" s="88">
        <v>92.818718000000004</v>
      </c>
      <c r="K165" s="88">
        <v>92.862449999999995</v>
      </c>
      <c r="L165" s="34">
        <v>1E-3</v>
      </c>
      <c r="N165" s="90" t="s">
        <v>607</v>
      </c>
      <c r="O165" s="88" t="str">
        <f t="shared" si="264"/>
        <v/>
      </c>
      <c r="P165" s="88">
        <f t="shared" si="265"/>
        <v>2.7043148375997865</v>
      </c>
      <c r="Q165" s="88">
        <f t="shared" si="266"/>
        <v>2.5637657226852397</v>
      </c>
      <c r="R165" s="88">
        <f t="shared" si="267"/>
        <v>2.6244072240849237</v>
      </c>
      <c r="S165" s="88">
        <f t="shared" si="268"/>
        <v>2.5932859120488505</v>
      </c>
      <c r="T165" s="88">
        <f t="shared" si="269"/>
        <v>2.5549641439635415</v>
      </c>
      <c r="U165" s="88">
        <f t="shared" si="270"/>
        <v>2.5441144752985787</v>
      </c>
      <c r="V165" s="88">
        <f t="shared" si="271"/>
        <v>2.5353430374187313</v>
      </c>
      <c r="W165" s="88">
        <f t="shared" si="272"/>
        <v>2.5341345399903945</v>
      </c>
      <c r="X165" s="88">
        <f t="shared" si="287"/>
        <v>2.5329411321952864</v>
      </c>
      <c r="Y165" s="34">
        <v>1E-3</v>
      </c>
      <c r="AA165" s="90" t="s">
        <v>607</v>
      </c>
      <c r="AB165" s="133">
        <f t="shared" si="288"/>
        <v>1.0115143864754896</v>
      </c>
      <c r="AC165" s="133">
        <f t="shared" si="273"/>
        <v>0.99656693330290735</v>
      </c>
      <c r="AD165" s="133">
        <f t="shared" si="274"/>
        <v>0.99233500658317608</v>
      </c>
      <c r="AE165" s="133">
        <f t="shared" si="275"/>
        <v>0.98891369635883142</v>
      </c>
      <c r="AF165" s="133">
        <f t="shared" si="276"/>
        <v>0.98844232043799607</v>
      </c>
      <c r="AG165" s="133">
        <f t="shared" si="277"/>
        <v>0.98797683024731742</v>
      </c>
      <c r="AH165" s="34"/>
    </row>
    <row r="166" spans="1:46" x14ac:dyDescent="0.35">
      <c r="A166" s="90" t="s">
        <v>608</v>
      </c>
      <c r="B166" s="132">
        <v>0</v>
      </c>
      <c r="C166" s="130">
        <v>0</v>
      </c>
      <c r="D166" s="130">
        <v>0</v>
      </c>
      <c r="E166" s="88">
        <v>0</v>
      </c>
      <c r="F166" s="88">
        <v>0</v>
      </c>
      <c r="G166" s="88">
        <v>0</v>
      </c>
      <c r="H166" s="88">
        <v>0</v>
      </c>
      <c r="I166" s="88">
        <v>0</v>
      </c>
      <c r="J166" s="88">
        <v>0</v>
      </c>
      <c r="K166" s="88">
        <v>0</v>
      </c>
      <c r="L166" s="34" t="s">
        <v>279</v>
      </c>
      <c r="N166" s="90" t="s">
        <v>608</v>
      </c>
      <c r="O166" s="88" t="str">
        <f t="shared" si="264"/>
        <v/>
      </c>
      <c r="P166" s="88" t="str">
        <f t="shared" si="265"/>
        <v/>
      </c>
      <c r="Q166" s="88" t="str">
        <f t="shared" si="266"/>
        <v/>
      </c>
      <c r="R166" s="88" t="str">
        <f t="shared" si="267"/>
        <v/>
      </c>
      <c r="S166" s="88" t="str">
        <f t="shared" si="268"/>
        <v/>
      </c>
      <c r="T166" s="88" t="str">
        <f t="shared" si="269"/>
        <v/>
      </c>
      <c r="U166" s="88" t="str">
        <f t="shared" si="270"/>
        <v/>
      </c>
      <c r="V166" s="88" t="str">
        <f t="shared" si="271"/>
        <v/>
      </c>
      <c r="W166" s="88" t="str">
        <f t="shared" si="272"/>
        <v/>
      </c>
      <c r="X166" s="88" t="str">
        <f t="shared" si="287"/>
        <v/>
      </c>
      <c r="Y166" s="34" t="s">
        <v>279</v>
      </c>
      <c r="AA166" s="90" t="s">
        <v>608</v>
      </c>
      <c r="AB166" s="133" t="str">
        <f t="shared" si="288"/>
        <v/>
      </c>
      <c r="AC166" s="133" t="str">
        <f t="shared" si="273"/>
        <v/>
      </c>
      <c r="AD166" s="133" t="str">
        <f t="shared" si="274"/>
        <v/>
      </c>
      <c r="AE166" s="133" t="str">
        <f t="shared" si="275"/>
        <v/>
      </c>
      <c r="AF166" s="133" t="str">
        <f t="shared" si="276"/>
        <v/>
      </c>
      <c r="AG166" s="133" t="str">
        <f t="shared" si="277"/>
        <v/>
      </c>
      <c r="AH166" s="34"/>
    </row>
    <row r="167" spans="1:46" x14ac:dyDescent="0.35">
      <c r="A167" s="90" t="s">
        <v>609</v>
      </c>
      <c r="B167" s="132">
        <v>0</v>
      </c>
      <c r="C167" s="130">
        <v>0</v>
      </c>
      <c r="D167" s="130">
        <v>0</v>
      </c>
      <c r="E167" s="88">
        <v>0</v>
      </c>
      <c r="F167" s="88">
        <v>0</v>
      </c>
      <c r="G167" s="88">
        <v>0</v>
      </c>
      <c r="H167" s="88">
        <v>0</v>
      </c>
      <c r="I167" s="88">
        <v>0</v>
      </c>
      <c r="J167" s="88">
        <v>0</v>
      </c>
      <c r="K167" s="88">
        <v>0</v>
      </c>
      <c r="L167" s="34" t="s">
        <v>279</v>
      </c>
      <c r="N167" s="90" t="s">
        <v>609</v>
      </c>
      <c r="O167" s="88" t="str">
        <f t="shared" si="264"/>
        <v/>
      </c>
      <c r="P167" s="88" t="str">
        <f t="shared" si="265"/>
        <v/>
      </c>
      <c r="Q167" s="88" t="str">
        <f t="shared" si="266"/>
        <v/>
      </c>
      <c r="R167" s="88" t="str">
        <f t="shared" si="267"/>
        <v/>
      </c>
      <c r="S167" s="88" t="str">
        <f t="shared" si="268"/>
        <v/>
      </c>
      <c r="T167" s="88" t="str">
        <f t="shared" si="269"/>
        <v/>
      </c>
      <c r="U167" s="88" t="str">
        <f t="shared" si="270"/>
        <v/>
      </c>
      <c r="V167" s="88" t="str">
        <f t="shared" si="271"/>
        <v/>
      </c>
      <c r="W167" s="88" t="str">
        <f t="shared" si="272"/>
        <v/>
      </c>
      <c r="X167" s="88" t="str">
        <f t="shared" si="287"/>
        <v/>
      </c>
      <c r="Y167" s="34" t="s">
        <v>279</v>
      </c>
      <c r="AA167" s="90" t="s">
        <v>609</v>
      </c>
      <c r="AB167" s="133" t="str">
        <f t="shared" si="288"/>
        <v/>
      </c>
      <c r="AC167" s="133" t="str">
        <f t="shared" si="273"/>
        <v/>
      </c>
      <c r="AD167" s="133" t="str">
        <f t="shared" si="274"/>
        <v/>
      </c>
      <c r="AE167" s="133" t="str">
        <f t="shared" si="275"/>
        <v/>
      </c>
      <c r="AF167" s="133" t="str">
        <f t="shared" si="276"/>
        <v/>
      </c>
      <c r="AG167" s="133" t="str">
        <f t="shared" si="277"/>
        <v/>
      </c>
      <c r="AH167" s="34"/>
    </row>
    <row r="168" spans="1:46" x14ac:dyDescent="0.35">
      <c r="A168" s="90" t="s">
        <v>610</v>
      </c>
      <c r="B168" s="132">
        <v>0</v>
      </c>
      <c r="C168" s="130">
        <v>0</v>
      </c>
      <c r="D168" s="130">
        <v>0</v>
      </c>
      <c r="E168" s="88">
        <v>0</v>
      </c>
      <c r="F168" s="88">
        <v>0</v>
      </c>
      <c r="G168" s="88">
        <v>0</v>
      </c>
      <c r="H168" s="88">
        <v>0</v>
      </c>
      <c r="I168" s="88">
        <v>0</v>
      </c>
      <c r="J168" s="88">
        <v>0</v>
      </c>
      <c r="K168" s="88">
        <v>0</v>
      </c>
      <c r="L168" s="34" t="s">
        <v>279</v>
      </c>
      <c r="N168" s="90" t="s">
        <v>610</v>
      </c>
      <c r="O168" s="88" t="str">
        <f t="shared" si="264"/>
        <v/>
      </c>
      <c r="P168" s="88" t="str">
        <f t="shared" si="265"/>
        <v/>
      </c>
      <c r="Q168" s="88" t="str">
        <f t="shared" si="266"/>
        <v/>
      </c>
      <c r="R168" s="88" t="str">
        <f t="shared" si="267"/>
        <v/>
      </c>
      <c r="S168" s="88" t="str">
        <f t="shared" si="268"/>
        <v/>
      </c>
      <c r="T168" s="88" t="str">
        <f t="shared" si="269"/>
        <v/>
      </c>
      <c r="U168" s="88" t="str">
        <f t="shared" si="270"/>
        <v/>
      </c>
      <c r="V168" s="88" t="str">
        <f t="shared" si="271"/>
        <v/>
      </c>
      <c r="W168" s="88" t="str">
        <f t="shared" si="272"/>
        <v/>
      </c>
      <c r="X168" s="88" t="str">
        <f t="shared" si="287"/>
        <v/>
      </c>
      <c r="Y168" s="34" t="s">
        <v>279</v>
      </c>
      <c r="AA168" s="90" t="s">
        <v>610</v>
      </c>
      <c r="AB168" s="133" t="str">
        <f t="shared" si="288"/>
        <v/>
      </c>
      <c r="AC168" s="133" t="str">
        <f t="shared" si="273"/>
        <v/>
      </c>
      <c r="AD168" s="133" t="str">
        <f t="shared" si="274"/>
        <v/>
      </c>
      <c r="AE168" s="133" t="str">
        <f t="shared" si="275"/>
        <v/>
      </c>
      <c r="AF168" s="133" t="str">
        <f t="shared" si="276"/>
        <v/>
      </c>
      <c r="AG168" s="133" t="str">
        <f t="shared" si="277"/>
        <v/>
      </c>
      <c r="AH168" s="34"/>
    </row>
    <row r="169" spans="1:46" x14ac:dyDescent="0.35">
      <c r="A169" s="90" t="s">
        <v>611</v>
      </c>
      <c r="B169" s="132">
        <v>0</v>
      </c>
      <c r="C169" s="130">
        <v>0</v>
      </c>
      <c r="D169" s="130">
        <v>0</v>
      </c>
      <c r="E169" s="88">
        <v>0</v>
      </c>
      <c r="F169" s="88">
        <v>0</v>
      </c>
      <c r="G169" s="88">
        <v>0</v>
      </c>
      <c r="H169" s="88">
        <v>0</v>
      </c>
      <c r="I169" s="88">
        <v>0</v>
      </c>
      <c r="J169" s="88">
        <v>0</v>
      </c>
      <c r="K169" s="88">
        <v>0</v>
      </c>
      <c r="L169" s="34" t="s">
        <v>279</v>
      </c>
      <c r="N169" s="90" t="s">
        <v>611</v>
      </c>
      <c r="O169" s="88" t="str">
        <f t="shared" si="264"/>
        <v/>
      </c>
      <c r="P169" s="88" t="str">
        <f t="shared" si="265"/>
        <v/>
      </c>
      <c r="Q169" s="88" t="str">
        <f t="shared" si="266"/>
        <v/>
      </c>
      <c r="R169" s="88" t="str">
        <f t="shared" si="267"/>
        <v/>
      </c>
      <c r="S169" s="88" t="str">
        <f t="shared" si="268"/>
        <v/>
      </c>
      <c r="T169" s="88" t="str">
        <f t="shared" si="269"/>
        <v/>
      </c>
      <c r="U169" s="88" t="str">
        <f t="shared" si="270"/>
        <v/>
      </c>
      <c r="V169" s="88" t="str">
        <f t="shared" si="271"/>
        <v/>
      </c>
      <c r="W169" s="88" t="str">
        <f t="shared" si="272"/>
        <v/>
      </c>
      <c r="X169" s="88" t="str">
        <f t="shared" si="287"/>
        <v/>
      </c>
      <c r="Y169" s="34" t="s">
        <v>279</v>
      </c>
      <c r="AA169" s="90" t="s">
        <v>611</v>
      </c>
      <c r="AB169" s="133" t="str">
        <f t="shared" si="288"/>
        <v/>
      </c>
      <c r="AC169" s="133" t="str">
        <f t="shared" si="273"/>
        <v/>
      </c>
      <c r="AD169" s="133" t="str">
        <f t="shared" si="274"/>
        <v/>
      </c>
      <c r="AE169" s="133" t="str">
        <f t="shared" si="275"/>
        <v/>
      </c>
      <c r="AF169" s="133" t="str">
        <f t="shared" si="276"/>
        <v/>
      </c>
      <c r="AG169" s="133" t="str">
        <f t="shared" si="277"/>
        <v/>
      </c>
      <c r="AH169" s="34"/>
    </row>
    <row r="170" spans="1:46" x14ac:dyDescent="0.35">
      <c r="A170" s="90" t="s">
        <v>612</v>
      </c>
      <c r="B170" s="132">
        <v>101.45270499999999</v>
      </c>
      <c r="C170" s="130">
        <v>85.919121000000004</v>
      </c>
      <c r="D170" s="130">
        <v>0</v>
      </c>
      <c r="E170" s="88">
        <v>0</v>
      </c>
      <c r="F170" s="88">
        <v>0</v>
      </c>
      <c r="G170" s="88">
        <v>0</v>
      </c>
      <c r="H170" s="88">
        <v>0</v>
      </c>
      <c r="I170" s="88">
        <v>0</v>
      </c>
      <c r="J170" s="88">
        <v>0</v>
      </c>
      <c r="K170" s="88">
        <v>0</v>
      </c>
      <c r="L170" s="34" t="s">
        <v>279</v>
      </c>
      <c r="N170" s="90" t="s">
        <v>612</v>
      </c>
      <c r="O170" s="88">
        <f t="shared" si="264"/>
        <v>2.3184706533101127</v>
      </c>
      <c r="P170" s="88">
        <f t="shared" si="265"/>
        <v>2.737634143643394</v>
      </c>
      <c r="Q170" s="88" t="str">
        <f t="shared" si="266"/>
        <v/>
      </c>
      <c r="R170" s="88" t="str">
        <f t="shared" si="267"/>
        <v/>
      </c>
      <c r="S170" s="88" t="str">
        <f t="shared" si="268"/>
        <v/>
      </c>
      <c r="T170" s="88" t="str">
        <f t="shared" si="269"/>
        <v/>
      </c>
      <c r="U170" s="88" t="str">
        <f t="shared" si="270"/>
        <v/>
      </c>
      <c r="V170" s="88" t="str">
        <f t="shared" si="271"/>
        <v/>
      </c>
      <c r="W170" s="88" t="str">
        <f t="shared" si="272"/>
        <v/>
      </c>
      <c r="X170" s="88" t="str">
        <f t="shared" si="287"/>
        <v/>
      </c>
      <c r="Y170" s="34" t="s">
        <v>279</v>
      </c>
      <c r="AA170" s="90" t="s">
        <v>612</v>
      </c>
      <c r="AB170" s="133" t="str">
        <f t="shared" si="288"/>
        <v/>
      </c>
      <c r="AC170" s="133" t="str">
        <f t="shared" si="273"/>
        <v/>
      </c>
      <c r="AD170" s="133" t="str">
        <f t="shared" si="274"/>
        <v/>
      </c>
      <c r="AE170" s="133" t="str">
        <f t="shared" si="275"/>
        <v/>
      </c>
      <c r="AF170" s="133" t="str">
        <f t="shared" si="276"/>
        <v/>
      </c>
      <c r="AG170" s="133" t="str">
        <f t="shared" si="277"/>
        <v/>
      </c>
      <c r="AH170" s="34"/>
    </row>
    <row r="171" spans="1:46" x14ac:dyDescent="0.35">
      <c r="A171" s="90" t="s">
        <v>613</v>
      </c>
      <c r="B171" s="132">
        <v>0</v>
      </c>
      <c r="C171" s="130">
        <v>0</v>
      </c>
      <c r="D171" s="130">
        <v>0</v>
      </c>
      <c r="E171" s="88">
        <v>0</v>
      </c>
      <c r="F171" s="88">
        <v>0</v>
      </c>
      <c r="G171" s="88">
        <v>0</v>
      </c>
      <c r="H171" s="88">
        <v>0</v>
      </c>
      <c r="I171" s="88">
        <v>0</v>
      </c>
      <c r="J171" s="88">
        <v>0</v>
      </c>
      <c r="K171" s="88">
        <v>0</v>
      </c>
      <c r="L171" s="34" t="s">
        <v>279</v>
      </c>
      <c r="N171" s="90" t="s">
        <v>613</v>
      </c>
      <c r="O171" s="88" t="str">
        <f t="shared" si="264"/>
        <v/>
      </c>
      <c r="P171" s="88" t="str">
        <f t="shared" si="265"/>
        <v/>
      </c>
      <c r="Q171" s="88" t="str">
        <f t="shared" si="266"/>
        <v/>
      </c>
      <c r="R171" s="88" t="str">
        <f t="shared" si="267"/>
        <v/>
      </c>
      <c r="S171" s="88" t="str">
        <f t="shared" si="268"/>
        <v/>
      </c>
      <c r="T171" s="88" t="str">
        <f t="shared" si="269"/>
        <v/>
      </c>
      <c r="U171" s="88" t="str">
        <f t="shared" si="270"/>
        <v/>
      </c>
      <c r="V171" s="88" t="str">
        <f t="shared" si="271"/>
        <v/>
      </c>
      <c r="W171" s="88" t="str">
        <f t="shared" si="272"/>
        <v/>
      </c>
      <c r="X171" s="88" t="str">
        <f t="shared" si="287"/>
        <v/>
      </c>
      <c r="Y171" s="34" t="s">
        <v>279</v>
      </c>
      <c r="AA171" s="90" t="s">
        <v>613</v>
      </c>
      <c r="AB171" s="133" t="str">
        <f t="shared" si="288"/>
        <v/>
      </c>
      <c r="AC171" s="133" t="str">
        <f t="shared" si="273"/>
        <v/>
      </c>
      <c r="AD171" s="133" t="str">
        <f t="shared" si="274"/>
        <v/>
      </c>
      <c r="AE171" s="133" t="str">
        <f t="shared" si="275"/>
        <v/>
      </c>
      <c r="AF171" s="133" t="str">
        <f t="shared" si="276"/>
        <v/>
      </c>
      <c r="AG171" s="133" t="str">
        <f t="shared" si="277"/>
        <v/>
      </c>
      <c r="AH171" s="34"/>
    </row>
    <row r="172" spans="1:46" x14ac:dyDescent="0.35">
      <c r="A172" s="90" t="s">
        <v>614</v>
      </c>
      <c r="D172" s="130">
        <v>0</v>
      </c>
      <c r="E172" s="88">
        <v>0</v>
      </c>
      <c r="F172" s="88">
        <v>0</v>
      </c>
      <c r="G172" s="88">
        <v>0</v>
      </c>
      <c r="H172" s="88">
        <v>0</v>
      </c>
      <c r="I172" s="88">
        <v>0</v>
      </c>
      <c r="J172" s="88">
        <v>0</v>
      </c>
      <c r="K172" s="88">
        <v>0</v>
      </c>
      <c r="L172" s="34" t="s">
        <v>279</v>
      </c>
      <c r="N172" s="90" t="s">
        <v>614</v>
      </c>
      <c r="O172" s="88" t="str">
        <f t="shared" si="264"/>
        <v/>
      </c>
      <c r="P172" s="88" t="str">
        <f t="shared" si="265"/>
        <v/>
      </c>
      <c r="Q172" s="88" t="str">
        <f t="shared" si="266"/>
        <v/>
      </c>
      <c r="R172" s="88" t="str">
        <f t="shared" si="267"/>
        <v/>
      </c>
      <c r="S172" s="88" t="str">
        <f t="shared" si="268"/>
        <v/>
      </c>
      <c r="T172" s="88" t="str">
        <f t="shared" si="269"/>
        <v/>
      </c>
      <c r="U172" s="88" t="str">
        <f t="shared" si="270"/>
        <v/>
      </c>
      <c r="V172" s="88" t="str">
        <f t="shared" si="271"/>
        <v/>
      </c>
      <c r="W172" s="88" t="str">
        <f t="shared" si="272"/>
        <v/>
      </c>
      <c r="X172" s="88" t="str">
        <f t="shared" si="287"/>
        <v/>
      </c>
      <c r="Y172" s="34" t="s">
        <v>279</v>
      </c>
      <c r="AA172" s="90" t="s">
        <v>614</v>
      </c>
      <c r="AB172" s="133" t="str">
        <f t="shared" si="288"/>
        <v/>
      </c>
      <c r="AC172" s="133" t="str">
        <f t="shared" si="273"/>
        <v/>
      </c>
      <c r="AD172" s="133" t="str">
        <f t="shared" si="274"/>
        <v/>
      </c>
      <c r="AE172" s="133" t="str">
        <f t="shared" si="275"/>
        <v/>
      </c>
      <c r="AF172" s="133" t="str">
        <f t="shared" si="276"/>
        <v/>
      </c>
      <c r="AG172" s="133" t="str">
        <f t="shared" si="277"/>
        <v/>
      </c>
      <c r="AH172" s="34"/>
    </row>
    <row r="173" spans="1:46" x14ac:dyDescent="0.35">
      <c r="A173" s="90" t="s">
        <v>615</v>
      </c>
      <c r="D173" s="130">
        <v>0</v>
      </c>
      <c r="E173" s="88">
        <v>0</v>
      </c>
      <c r="F173" s="88">
        <v>0</v>
      </c>
      <c r="G173" s="88">
        <v>0</v>
      </c>
      <c r="H173" s="88">
        <v>0</v>
      </c>
      <c r="I173" s="88">
        <v>0</v>
      </c>
      <c r="J173" s="88">
        <v>0</v>
      </c>
      <c r="K173" s="88">
        <v>0</v>
      </c>
      <c r="L173" s="34" t="s">
        <v>279</v>
      </c>
      <c r="N173" s="90" t="s">
        <v>615</v>
      </c>
      <c r="O173" s="88" t="str">
        <f t="shared" si="264"/>
        <v/>
      </c>
      <c r="P173" s="88" t="str">
        <f t="shared" si="265"/>
        <v/>
      </c>
      <c r="Q173" s="88" t="str">
        <f t="shared" si="266"/>
        <v/>
      </c>
      <c r="R173" s="88" t="str">
        <f t="shared" si="267"/>
        <v/>
      </c>
      <c r="S173" s="88" t="str">
        <f t="shared" si="268"/>
        <v/>
      </c>
      <c r="T173" s="88" t="str">
        <f t="shared" si="269"/>
        <v/>
      </c>
      <c r="U173" s="88" t="str">
        <f t="shared" si="270"/>
        <v/>
      </c>
      <c r="V173" s="88" t="str">
        <f t="shared" si="271"/>
        <v/>
      </c>
      <c r="W173" s="88" t="str">
        <f t="shared" si="272"/>
        <v/>
      </c>
      <c r="X173" s="88" t="str">
        <f t="shared" si="287"/>
        <v/>
      </c>
      <c r="Y173" s="34" t="s">
        <v>279</v>
      </c>
      <c r="AA173" s="90" t="s">
        <v>615</v>
      </c>
      <c r="AB173" s="133" t="str">
        <f t="shared" si="288"/>
        <v/>
      </c>
      <c r="AC173" s="133" t="str">
        <f t="shared" si="273"/>
        <v/>
      </c>
      <c r="AD173" s="133" t="str">
        <f t="shared" si="274"/>
        <v/>
      </c>
      <c r="AE173" s="133" t="str">
        <f t="shared" si="275"/>
        <v/>
      </c>
      <c r="AF173" s="133" t="str">
        <f t="shared" si="276"/>
        <v/>
      </c>
      <c r="AG173" s="133" t="str">
        <f t="shared" si="277"/>
        <v/>
      </c>
      <c r="AH173" s="34"/>
    </row>
    <row r="174" spans="1:46" x14ac:dyDescent="0.35">
      <c r="A174" t="s">
        <v>593</v>
      </c>
      <c r="L174" s="34"/>
      <c r="N174" t="s">
        <v>593</v>
      </c>
      <c r="O174" s="88"/>
      <c r="P174" s="88"/>
      <c r="Q174" s="88"/>
      <c r="R174" s="88"/>
      <c r="S174" s="88"/>
      <c r="T174" s="88"/>
      <c r="U174" s="88"/>
      <c r="V174" s="88"/>
      <c r="W174" s="88"/>
      <c r="X174" s="88"/>
      <c r="Y174" s="34"/>
      <c r="AA174" t="s">
        <v>593</v>
      </c>
      <c r="AB174" s="88"/>
      <c r="AC174" s="88"/>
      <c r="AD174" s="88"/>
      <c r="AE174" s="88"/>
      <c r="AF174" s="88"/>
      <c r="AG174" s="88"/>
      <c r="AH174" s="34"/>
      <c r="AI174" t="s">
        <v>32</v>
      </c>
      <c r="AJ174" t="s">
        <v>623</v>
      </c>
      <c r="AK174" s="88">
        <f>AVERAGE(O175:O182)</f>
        <v>3.409376964544268</v>
      </c>
      <c r="AL174" s="88">
        <f t="shared" ref="AL174" si="289">AVERAGE(P175:P182)</f>
        <v>2.2973613393061814</v>
      </c>
      <c r="AM174" s="88">
        <f t="shared" ref="AM174" si="290">AVERAGE(Q175:Q182)</f>
        <v>1.9884387119282876</v>
      </c>
      <c r="AN174" s="88">
        <f t="shared" ref="AN174" si="291">AVERAGE(R175:R182)</f>
        <v>2.3525747972145128</v>
      </c>
      <c r="AO174" s="88">
        <f t="shared" ref="AO174" si="292">AVERAGE(S175:S182)</f>
        <v>2.305636660104029</v>
      </c>
      <c r="AP174" s="88">
        <f t="shared" ref="AP174" si="293">AVERAGE(T175:T182)</f>
        <v>2.2682429324625688</v>
      </c>
      <c r="AQ174" s="88">
        <f t="shared" ref="AQ174" si="294">AVERAGE(U175:U182)</f>
        <v>2.2603247041755514</v>
      </c>
      <c r="AR174" s="88">
        <f t="shared" ref="AR174" si="295">AVERAGE(V175:V182)</f>
        <v>2.2513161929989627</v>
      </c>
      <c r="AS174" s="88">
        <f t="shared" ref="AS174" si="296">AVERAGE(W175:W182)</f>
        <v>2.2484677792939642</v>
      </c>
      <c r="AT174" s="88">
        <f t="shared" ref="AT174" si="297">AVERAGE(X175:X182)</f>
        <v>2.2462105208272551</v>
      </c>
    </row>
    <row r="175" spans="1:46" x14ac:dyDescent="0.35">
      <c r="A175" s="90" t="s">
        <v>600</v>
      </c>
      <c r="B175" s="132">
        <v>0</v>
      </c>
      <c r="C175" s="130">
        <v>0</v>
      </c>
      <c r="D175" s="130">
        <v>0</v>
      </c>
      <c r="E175" s="88">
        <v>0</v>
      </c>
      <c r="F175" s="88">
        <v>0</v>
      </c>
      <c r="G175" s="88">
        <v>0</v>
      </c>
      <c r="H175" s="88">
        <v>0</v>
      </c>
      <c r="I175" s="88">
        <v>0</v>
      </c>
      <c r="J175" s="88">
        <v>0</v>
      </c>
      <c r="K175" s="88">
        <v>0</v>
      </c>
      <c r="L175" s="34" t="s">
        <v>279</v>
      </c>
      <c r="N175" s="90" t="s">
        <v>600</v>
      </c>
      <c r="O175" s="88" t="str">
        <f t="shared" ref="O175:O190" si="298">IFERROR(L_100km_to_mpg/B175, "")</f>
        <v/>
      </c>
      <c r="P175" s="88" t="str">
        <f t="shared" ref="P175:P190" si="299">IFERROR(L_100km_to_mpg/C175, "")</f>
        <v/>
      </c>
      <c r="Q175" s="88" t="str">
        <f t="shared" ref="Q175:Q190" si="300">IFERROR(L_100km_to_mpg/D175, "")</f>
        <v/>
      </c>
      <c r="R175" s="88" t="str">
        <f t="shared" ref="R175:R190" si="301">IFERROR(L_100km_to_mpg/E175, "")</f>
        <v/>
      </c>
      <c r="S175" s="88" t="str">
        <f t="shared" ref="S175:S190" si="302">IFERROR(L_100km_to_mpg/F175, "")</f>
        <v/>
      </c>
      <c r="T175" s="88" t="str">
        <f t="shared" ref="T175:T190" si="303">IFERROR(L_100km_to_mpg/G175, "")</f>
        <v/>
      </c>
      <c r="U175" s="88" t="str">
        <f t="shared" ref="U175:U190" si="304">IFERROR(L_100km_to_mpg/H175, "")</f>
        <v/>
      </c>
      <c r="V175" s="88" t="str">
        <f t="shared" ref="V175:V190" si="305">IFERROR(L_100km_to_mpg/I175, "")</f>
        <v/>
      </c>
      <c r="W175" s="88" t="str">
        <f t="shared" ref="W175:W190" si="306">IFERROR(L_100km_to_mpg/J175, "")</f>
        <v/>
      </c>
      <c r="X175" s="88" t="str">
        <f t="shared" ref="X175:X190" si="307">IFERROR(L_100km_to_mpg/K175, "")</f>
        <v/>
      </c>
      <c r="Y175" s="34" t="s">
        <v>279</v>
      </c>
      <c r="AA175" s="90" t="s">
        <v>600</v>
      </c>
      <c r="AB175" s="133" t="str">
        <f>IFERROR($D175/F175, "")</f>
        <v/>
      </c>
      <c r="AC175" s="133" t="str">
        <f t="shared" ref="AC175:AC190" si="308">IFERROR($D175/G175, "")</f>
        <v/>
      </c>
      <c r="AD175" s="133" t="str">
        <f t="shared" ref="AD175:AD190" si="309">IFERROR($D175/H175, "")</f>
        <v/>
      </c>
      <c r="AE175" s="133" t="str">
        <f t="shared" ref="AE175:AE190" si="310">IFERROR($D175/I175, "")</f>
        <v/>
      </c>
      <c r="AF175" s="133" t="str">
        <f t="shared" ref="AF175:AF190" si="311">IFERROR($D175/J175, "")</f>
        <v/>
      </c>
      <c r="AG175" s="133" t="str">
        <f t="shared" ref="AG175:AG190" si="312">IFERROR($D175/K175, "")</f>
        <v/>
      </c>
      <c r="AH175" s="34"/>
      <c r="AI175" t="s">
        <v>256</v>
      </c>
      <c r="AJ175" t="s">
        <v>623</v>
      </c>
      <c r="AK175" s="88" t="e">
        <f>AVERAGE(O183:O190)</f>
        <v>#DIV/0!</v>
      </c>
      <c r="AL175" s="88" t="e">
        <f t="shared" ref="AL175" si="313">AVERAGE(P183:P190)</f>
        <v>#DIV/0!</v>
      </c>
      <c r="AM175" s="88">
        <f t="shared" ref="AM175" si="314">AVERAGE(Q183:Q190)</f>
        <v>2.5542233602537219</v>
      </c>
      <c r="AN175" s="88">
        <f t="shared" ref="AN175" si="315">AVERAGE(R183:R190)</f>
        <v>3.2488725373551759</v>
      </c>
      <c r="AO175" s="88">
        <f t="shared" ref="AO175" si="316">AVERAGE(S183:S190)</f>
        <v>3.1842401759121381</v>
      </c>
      <c r="AP175" s="88">
        <f t="shared" ref="AP175" si="317">AVERAGE(T183:T190)</f>
        <v>3.1245613969924348</v>
      </c>
      <c r="AQ175" s="88">
        <f t="shared" ref="AQ175" si="318">AVERAGE(U183:U190)</f>
        <v>3.1135868369726416</v>
      </c>
      <c r="AR175" s="88">
        <f t="shared" ref="AR175" si="319">AVERAGE(V183:V190)</f>
        <v>3.1061293028163313</v>
      </c>
      <c r="AS175" s="88">
        <f t="shared" ref="AS175" si="320">AVERAGE(W183:W190)</f>
        <v>3.1036514704382934</v>
      </c>
      <c r="AT175" s="88">
        <f t="shared" ref="AT175" si="321">AVERAGE(X183:X190)</f>
        <v>3.1024603316045249</v>
      </c>
    </row>
    <row r="176" spans="1:46" x14ac:dyDescent="0.35">
      <c r="A176" s="90" t="s">
        <v>601</v>
      </c>
      <c r="B176" s="132">
        <v>0</v>
      </c>
      <c r="C176" s="130">
        <v>0</v>
      </c>
      <c r="D176" s="130">
        <v>117.829323</v>
      </c>
      <c r="E176" s="88">
        <v>99.372566000000006</v>
      </c>
      <c r="F176" s="88">
        <v>102.24896200000001</v>
      </c>
      <c r="G176" s="88">
        <v>104.178589</v>
      </c>
      <c r="H176" s="88">
        <v>104.41841100000001</v>
      </c>
      <c r="I176" s="88">
        <v>104.44297</v>
      </c>
      <c r="J176" s="88">
        <v>104.456017</v>
      </c>
      <c r="K176" s="88">
        <v>104.44465599999999</v>
      </c>
      <c r="L176" s="34">
        <v>2E-3</v>
      </c>
      <c r="N176" s="90" t="s">
        <v>601</v>
      </c>
      <c r="O176" s="88" t="str">
        <f t="shared" si="298"/>
        <v/>
      </c>
      <c r="P176" s="88" t="str">
        <f t="shared" si="299"/>
        <v/>
      </c>
      <c r="Q176" s="88">
        <f t="shared" si="300"/>
        <v>1.9962358541381768</v>
      </c>
      <c r="R176" s="88">
        <f t="shared" si="301"/>
        <v>2.3670025713276654</v>
      </c>
      <c r="S176" s="88">
        <f t="shared" si="302"/>
        <v>2.3004157170947921</v>
      </c>
      <c r="T176" s="88">
        <f t="shared" si="303"/>
        <v>2.2578067288032488</v>
      </c>
      <c r="U176" s="88">
        <f t="shared" si="304"/>
        <v>2.2526211325072563</v>
      </c>
      <c r="V176" s="88">
        <f t="shared" si="305"/>
        <v>2.2520914451343939</v>
      </c>
      <c r="W176" s="88">
        <f t="shared" si="306"/>
        <v>2.2518101493514551</v>
      </c>
      <c r="X176" s="88">
        <f t="shared" si="307"/>
        <v>2.2520550907020858</v>
      </c>
      <c r="Y176" s="34">
        <v>2E-3</v>
      </c>
      <c r="AA176" s="90" t="s">
        <v>601</v>
      </c>
      <c r="AB176" s="133">
        <f t="shared" ref="AB176:AB190" si="322">IFERROR($D176/F176, "")</f>
        <v>1.1523767155699829</v>
      </c>
      <c r="AC176" s="133">
        <f t="shared" si="308"/>
        <v>1.1310320492054273</v>
      </c>
      <c r="AD176" s="133">
        <f t="shared" si="309"/>
        <v>1.1284343620206976</v>
      </c>
      <c r="AE176" s="133">
        <f t="shared" si="310"/>
        <v>1.1281690189392355</v>
      </c>
      <c r="AF176" s="133">
        <f t="shared" si="311"/>
        <v>1.1280281058390347</v>
      </c>
      <c r="AG176" s="133">
        <f t="shared" si="312"/>
        <v>1.1281508074477262</v>
      </c>
      <c r="AH176" s="34"/>
    </row>
    <row r="177" spans="1:46" x14ac:dyDescent="0.35">
      <c r="A177" s="90" t="s">
        <v>602</v>
      </c>
      <c r="B177" s="132">
        <v>0</v>
      </c>
      <c r="C177" s="130">
        <v>0</v>
      </c>
      <c r="D177" s="130">
        <v>127.106262</v>
      </c>
      <c r="E177" s="88">
        <v>106.51557200000001</v>
      </c>
      <c r="F177" s="88">
        <v>108.97110000000001</v>
      </c>
      <c r="G177" s="88">
        <v>110.983238</v>
      </c>
      <c r="H177" s="88">
        <v>111.530373</v>
      </c>
      <c r="I177" s="88">
        <v>112.53022799999999</v>
      </c>
      <c r="J177" s="88">
        <v>112.858154</v>
      </c>
      <c r="K177" s="88">
        <v>113.078712</v>
      </c>
      <c r="L177" s="34">
        <v>2E-3</v>
      </c>
      <c r="N177" s="90" t="s">
        <v>602</v>
      </c>
      <c r="O177" s="88" t="str">
        <f t="shared" si="298"/>
        <v/>
      </c>
      <c r="P177" s="88" t="str">
        <f t="shared" si="299"/>
        <v/>
      </c>
      <c r="Q177" s="88">
        <f t="shared" si="300"/>
        <v>1.8505391909127824</v>
      </c>
      <c r="R177" s="88">
        <f t="shared" si="301"/>
        <v>2.2082697846417059</v>
      </c>
      <c r="S177" s="88">
        <f t="shared" si="302"/>
        <v>2.1585091757486903</v>
      </c>
      <c r="T177" s="88">
        <f t="shared" si="303"/>
        <v>2.1193751730457544</v>
      </c>
      <c r="U177" s="88">
        <f t="shared" si="304"/>
        <v>2.1089781457238392</v>
      </c>
      <c r="V177" s="88">
        <f t="shared" si="305"/>
        <v>2.0902394265248283</v>
      </c>
      <c r="W177" s="88">
        <f t="shared" si="306"/>
        <v>2.0841659278019748</v>
      </c>
      <c r="X177" s="88">
        <f t="shared" si="307"/>
        <v>2.0801007995335863</v>
      </c>
      <c r="Y177" s="34">
        <v>2E-3</v>
      </c>
      <c r="AA177" s="90" t="s">
        <v>602</v>
      </c>
      <c r="AB177" s="133">
        <f t="shared" si="322"/>
        <v>1.1664217576953888</v>
      </c>
      <c r="AC177" s="133">
        <f t="shared" si="308"/>
        <v>1.145274406212585</v>
      </c>
      <c r="AD177" s="133">
        <f t="shared" si="309"/>
        <v>1.1396560289455859</v>
      </c>
      <c r="AE177" s="133">
        <f t="shared" si="310"/>
        <v>1.12952994283456</v>
      </c>
      <c r="AF177" s="133">
        <f t="shared" si="311"/>
        <v>1.1262479271103443</v>
      </c>
      <c r="AG177" s="133">
        <f t="shared" si="312"/>
        <v>1.1240512007246775</v>
      </c>
      <c r="AH177" s="34"/>
    </row>
    <row r="178" spans="1:46" x14ac:dyDescent="0.35">
      <c r="A178" s="90" t="s">
        <v>603</v>
      </c>
      <c r="B178" s="132">
        <v>0</v>
      </c>
      <c r="C178" s="130">
        <v>0</v>
      </c>
      <c r="D178" s="130">
        <v>124.66720599999999</v>
      </c>
      <c r="E178" s="88">
        <v>103.57473</v>
      </c>
      <c r="F178" s="88">
        <v>105.361473</v>
      </c>
      <c r="G178" s="88">
        <v>107.075653</v>
      </c>
      <c r="H178" s="88">
        <v>107.542107</v>
      </c>
      <c r="I178" s="88">
        <v>108.240112</v>
      </c>
      <c r="J178" s="88">
        <v>108.488739</v>
      </c>
      <c r="K178" s="88">
        <v>108.72133599999999</v>
      </c>
      <c r="L178" s="34">
        <v>2E-3</v>
      </c>
      <c r="N178" s="90" t="s">
        <v>603</v>
      </c>
      <c r="O178" s="88" t="str">
        <f t="shared" si="298"/>
        <v/>
      </c>
      <c r="P178" s="88" t="str">
        <f t="shared" si="299"/>
        <v/>
      </c>
      <c r="Q178" s="88">
        <f t="shared" si="300"/>
        <v>1.8867441309419268</v>
      </c>
      <c r="R178" s="88">
        <f t="shared" si="301"/>
        <v>2.2709701414759</v>
      </c>
      <c r="S178" s="88">
        <f t="shared" si="302"/>
        <v>2.2324585310365594</v>
      </c>
      <c r="T178" s="88">
        <f t="shared" si="303"/>
        <v>2.196718980004055</v>
      </c>
      <c r="U178" s="88">
        <f t="shared" si="304"/>
        <v>2.1871909134291756</v>
      </c>
      <c r="V178" s="88">
        <f t="shared" si="305"/>
        <v>2.1730864362134819</v>
      </c>
      <c r="W178" s="88">
        <f t="shared" si="306"/>
        <v>2.1681063067884692</v>
      </c>
      <c r="X178" s="88">
        <f t="shared" si="307"/>
        <v>2.1634678885975807</v>
      </c>
      <c r="Y178" s="34">
        <v>2E-3</v>
      </c>
      <c r="AA178" s="90" t="s">
        <v>603</v>
      </c>
      <c r="AB178" s="133">
        <f t="shared" si="322"/>
        <v>1.1832333247656854</v>
      </c>
      <c r="AC178" s="133">
        <f t="shared" si="308"/>
        <v>1.1642908775910057</v>
      </c>
      <c r="AD178" s="133">
        <f t="shared" si="309"/>
        <v>1.1592408729726673</v>
      </c>
      <c r="AE178" s="133">
        <f t="shared" si="310"/>
        <v>1.1517653085946549</v>
      </c>
      <c r="AF178" s="133">
        <f t="shared" si="311"/>
        <v>1.1491257723992903</v>
      </c>
      <c r="AG178" s="133">
        <f t="shared" si="312"/>
        <v>1.1466673477963885</v>
      </c>
      <c r="AH178" s="34"/>
    </row>
    <row r="179" spans="1:46" x14ac:dyDescent="0.35">
      <c r="A179" s="90" t="s">
        <v>604</v>
      </c>
      <c r="B179" s="132">
        <v>0</v>
      </c>
      <c r="C179" s="130">
        <v>90.244033999999999</v>
      </c>
      <c r="D179" s="130">
        <v>113.144852</v>
      </c>
      <c r="E179" s="88">
        <v>96.450478000000004</v>
      </c>
      <c r="F179" s="88">
        <v>97.678177000000005</v>
      </c>
      <c r="G179" s="88">
        <v>99.141281000000006</v>
      </c>
      <c r="H179" s="88">
        <v>99.519668999999993</v>
      </c>
      <c r="I179" s="88">
        <v>99.999679999999998</v>
      </c>
      <c r="J179" s="88">
        <v>100.161034</v>
      </c>
      <c r="K179" s="88">
        <v>100.297867</v>
      </c>
      <c r="L179" s="34">
        <v>1E-3</v>
      </c>
      <c r="N179" s="90" t="s">
        <v>604</v>
      </c>
      <c r="O179" s="88" t="str">
        <f t="shared" si="298"/>
        <v/>
      </c>
      <c r="P179" s="88">
        <f t="shared" si="299"/>
        <v>2.6064340080523012</v>
      </c>
      <c r="Q179" s="88">
        <f t="shared" si="300"/>
        <v>2.0788848549771237</v>
      </c>
      <c r="R179" s="88">
        <f t="shared" si="301"/>
        <v>2.4387138780320834</v>
      </c>
      <c r="S179" s="88">
        <f t="shared" si="302"/>
        <v>2.4080621328695369</v>
      </c>
      <c r="T179" s="88">
        <f t="shared" si="303"/>
        <v>2.3725245111713669</v>
      </c>
      <c r="U179" s="88">
        <f t="shared" si="304"/>
        <v>2.3635038340152454</v>
      </c>
      <c r="V179" s="88">
        <f t="shared" si="305"/>
        <v>2.3521587193221833</v>
      </c>
      <c r="W179" s="88">
        <f t="shared" si="306"/>
        <v>2.3483695190429859</v>
      </c>
      <c r="X179" s="88">
        <f t="shared" si="307"/>
        <v>2.3451657176461005</v>
      </c>
      <c r="Y179" s="34">
        <v>1E-3</v>
      </c>
      <c r="AA179" s="90" t="s">
        <v>604</v>
      </c>
      <c r="AB179" s="133">
        <f t="shared" si="322"/>
        <v>1.1583431988088801</v>
      </c>
      <c r="AC179" s="133">
        <f t="shared" si="308"/>
        <v>1.1412486388994711</v>
      </c>
      <c r="AD179" s="133">
        <f t="shared" si="309"/>
        <v>1.1369094485231859</v>
      </c>
      <c r="AE179" s="133">
        <f t="shared" si="310"/>
        <v>1.1314521406468501</v>
      </c>
      <c r="AF179" s="133">
        <f t="shared" si="311"/>
        <v>1.1296294325396041</v>
      </c>
      <c r="AG179" s="133">
        <f t="shared" si="312"/>
        <v>1.1280883171722884</v>
      </c>
      <c r="AH179" s="34"/>
    </row>
    <row r="180" spans="1:46" x14ac:dyDescent="0.35">
      <c r="A180" s="90" t="s">
        <v>605</v>
      </c>
      <c r="B180" s="132">
        <v>68.990645999999998</v>
      </c>
      <c r="C180" s="130">
        <v>112.721062</v>
      </c>
      <c r="D180" s="130">
        <v>125.92466</v>
      </c>
      <c r="E180" s="88">
        <v>106.06279000000001</v>
      </c>
      <c r="F180" s="88">
        <v>108.75670599999999</v>
      </c>
      <c r="G180" s="88">
        <v>110.394127</v>
      </c>
      <c r="H180" s="88">
        <v>110.51844</v>
      </c>
      <c r="I180" s="88">
        <v>110.423141</v>
      </c>
      <c r="J180" s="88">
        <v>110.37391700000001</v>
      </c>
      <c r="K180" s="88">
        <v>110.318016</v>
      </c>
      <c r="L180" s="34">
        <v>2E-3</v>
      </c>
      <c r="N180" s="90" t="s">
        <v>605</v>
      </c>
      <c r="O180" s="88">
        <f t="shared" si="298"/>
        <v>3.409376964544268</v>
      </c>
      <c r="P180" s="88">
        <f t="shared" si="299"/>
        <v>2.0867007023179762</v>
      </c>
      <c r="Q180" s="88">
        <f t="shared" si="300"/>
        <v>1.8679035483711304</v>
      </c>
      <c r="R180" s="88">
        <f t="shared" si="301"/>
        <v>2.2176968873007028</v>
      </c>
      <c r="S180" s="88">
        <f t="shared" si="302"/>
        <v>2.1627642827048121</v>
      </c>
      <c r="T180" s="88">
        <f t="shared" si="303"/>
        <v>2.1306850793016205</v>
      </c>
      <c r="U180" s="88">
        <f t="shared" si="304"/>
        <v>2.1282884488907747</v>
      </c>
      <c r="V180" s="88">
        <f t="shared" si="305"/>
        <v>2.1301252356281744</v>
      </c>
      <c r="W180" s="88">
        <f t="shared" si="306"/>
        <v>2.1310752180828025</v>
      </c>
      <c r="X180" s="88">
        <f t="shared" si="307"/>
        <v>2.1321550891690086</v>
      </c>
      <c r="Y180" s="34">
        <v>2E-3</v>
      </c>
      <c r="AA180" s="90" t="s">
        <v>605</v>
      </c>
      <c r="AB180" s="133">
        <f t="shared" si="322"/>
        <v>1.1578565095562936</v>
      </c>
      <c r="AC180" s="133">
        <f t="shared" si="308"/>
        <v>1.1406826017112306</v>
      </c>
      <c r="AD180" s="133">
        <f t="shared" si="309"/>
        <v>1.1393995427369406</v>
      </c>
      <c r="AE180" s="133">
        <f t="shared" si="310"/>
        <v>1.1403828840550732</v>
      </c>
      <c r="AF180" s="133">
        <f t="shared" si="311"/>
        <v>1.1408914662329144</v>
      </c>
      <c r="AG180" s="133">
        <f t="shared" si="312"/>
        <v>1.141469585529892</v>
      </c>
      <c r="AH180" s="34"/>
    </row>
    <row r="181" spans="1:46" x14ac:dyDescent="0.35">
      <c r="A181" s="90" t="s">
        <v>606</v>
      </c>
      <c r="C181" s="130">
        <v>111.80333533667554</v>
      </c>
      <c r="D181" s="130">
        <v>119.360641</v>
      </c>
      <c r="E181" s="88">
        <v>103.006676</v>
      </c>
      <c r="F181" s="88">
        <v>104.613319</v>
      </c>
      <c r="G181" s="88">
        <v>106.475021</v>
      </c>
      <c r="H181" s="88">
        <v>107.12329099999999</v>
      </c>
      <c r="I181" s="88">
        <v>107.907127</v>
      </c>
      <c r="J181" s="88">
        <v>108.16435199999999</v>
      </c>
      <c r="K181" s="88">
        <v>108.396271</v>
      </c>
      <c r="L181" s="34">
        <v>2E-3</v>
      </c>
      <c r="N181" s="90" t="s">
        <v>606</v>
      </c>
      <c r="O181" s="88" t="str">
        <f t="shared" si="298"/>
        <v/>
      </c>
      <c r="P181" s="88">
        <f t="shared" si="299"/>
        <v>2.1038291794526551</v>
      </c>
      <c r="Q181" s="88">
        <f t="shared" si="300"/>
        <v>1.970625469759568</v>
      </c>
      <c r="R181" s="88">
        <f t="shared" si="301"/>
        <v>2.28349392850448</v>
      </c>
      <c r="S181" s="88">
        <f t="shared" si="302"/>
        <v>2.2484242110837545</v>
      </c>
      <c r="T181" s="88">
        <f t="shared" si="303"/>
        <v>2.2091108039455389</v>
      </c>
      <c r="U181" s="88">
        <f t="shared" si="304"/>
        <v>2.1957420934857961</v>
      </c>
      <c r="V181" s="88">
        <f t="shared" si="305"/>
        <v>2.1797922508068268</v>
      </c>
      <c r="W181" s="88">
        <f t="shared" si="306"/>
        <v>2.1746084998635054</v>
      </c>
      <c r="X181" s="88">
        <f t="shared" si="307"/>
        <v>2.1699558210948799</v>
      </c>
      <c r="Y181" s="34">
        <v>2E-3</v>
      </c>
      <c r="AA181" s="90" t="s">
        <v>606</v>
      </c>
      <c r="AB181" s="133">
        <f t="shared" si="322"/>
        <v>1.1409698319580128</v>
      </c>
      <c r="AC181" s="133">
        <f t="shared" si="308"/>
        <v>1.1210201217053528</v>
      </c>
      <c r="AD181" s="133">
        <f t="shared" si="309"/>
        <v>1.1142361281637623</v>
      </c>
      <c r="AE181" s="133">
        <f t="shared" si="310"/>
        <v>1.1061423310806895</v>
      </c>
      <c r="AF181" s="133">
        <f t="shared" si="311"/>
        <v>1.1035118206042598</v>
      </c>
      <c r="AG181" s="133">
        <f t="shared" si="312"/>
        <v>1.1011508043482419</v>
      </c>
      <c r="AH181" s="34"/>
    </row>
    <row r="182" spans="1:46" x14ac:dyDescent="0.35">
      <c r="A182" s="90" t="s">
        <v>607</v>
      </c>
      <c r="C182" s="130">
        <v>98.314291018048706</v>
      </c>
      <c r="D182" s="130">
        <v>103.704063</v>
      </c>
      <c r="E182" s="88">
        <v>87.705428999999995</v>
      </c>
      <c r="F182" s="88">
        <v>89.475464000000002</v>
      </c>
      <c r="G182" s="88">
        <v>90.764809</v>
      </c>
      <c r="H182" s="88">
        <v>90.958939000000001</v>
      </c>
      <c r="I182" s="88">
        <v>91.107917999999998</v>
      </c>
      <c r="J182" s="88">
        <v>91.128426000000005</v>
      </c>
      <c r="K182" s="88">
        <v>91.148398999999998</v>
      </c>
      <c r="L182" s="34">
        <v>2E-3</v>
      </c>
      <c r="N182" s="90" t="s">
        <v>607</v>
      </c>
      <c r="O182" s="88" t="str">
        <f t="shared" si="298"/>
        <v/>
      </c>
      <c r="P182" s="88">
        <f t="shared" si="299"/>
        <v>2.3924814674017933</v>
      </c>
      <c r="Q182" s="88">
        <f t="shared" si="300"/>
        <v>2.2681379343973065</v>
      </c>
      <c r="R182" s="88">
        <f t="shared" si="301"/>
        <v>2.6818763892190547</v>
      </c>
      <c r="S182" s="88">
        <f t="shared" si="302"/>
        <v>2.6288225701900596</v>
      </c>
      <c r="T182" s="88">
        <f t="shared" si="303"/>
        <v>2.5914792509663975</v>
      </c>
      <c r="U182" s="88">
        <f t="shared" si="304"/>
        <v>2.585948361176774</v>
      </c>
      <c r="V182" s="88">
        <f t="shared" si="305"/>
        <v>2.5817198373628529</v>
      </c>
      <c r="W182" s="88">
        <f t="shared" si="306"/>
        <v>2.581138834126556</v>
      </c>
      <c r="X182" s="88">
        <f t="shared" si="307"/>
        <v>2.5805732390475464</v>
      </c>
      <c r="Y182" s="34">
        <v>2E-3</v>
      </c>
      <c r="AA182" s="90" t="s">
        <v>607</v>
      </c>
      <c r="AB182" s="133">
        <f t="shared" si="322"/>
        <v>1.1590223550000256</v>
      </c>
      <c r="AC182" s="133">
        <f t="shared" si="308"/>
        <v>1.1425580480205715</v>
      </c>
      <c r="AD182" s="133">
        <f t="shared" si="309"/>
        <v>1.1401195323969204</v>
      </c>
      <c r="AE182" s="133">
        <f t="shared" si="310"/>
        <v>1.1382552172907738</v>
      </c>
      <c r="AF182" s="133">
        <f t="shared" si="311"/>
        <v>1.1379990586032946</v>
      </c>
      <c r="AG182" s="133">
        <f t="shared" si="312"/>
        <v>1.1377496932228071</v>
      </c>
      <c r="AH182" s="34"/>
    </row>
    <row r="183" spans="1:46" x14ac:dyDescent="0.35">
      <c r="A183" s="90" t="s">
        <v>608</v>
      </c>
      <c r="B183" s="132">
        <v>0</v>
      </c>
      <c r="C183" s="130">
        <v>0</v>
      </c>
      <c r="D183" s="130">
        <v>96.914574000000002</v>
      </c>
      <c r="E183" s="88">
        <v>76.605286000000007</v>
      </c>
      <c r="F183" s="88">
        <v>78.480689999999996</v>
      </c>
      <c r="G183" s="88">
        <v>80.154715999999993</v>
      </c>
      <c r="H183" s="88">
        <v>80.391281000000006</v>
      </c>
      <c r="I183" s="88">
        <v>80.419464000000005</v>
      </c>
      <c r="J183" s="88">
        <v>80.458129999999997</v>
      </c>
      <c r="K183" s="88">
        <v>80.495330999999993</v>
      </c>
      <c r="L183" s="34">
        <v>2E-3</v>
      </c>
      <c r="N183" s="90" t="s">
        <v>608</v>
      </c>
      <c r="O183" s="88" t="str">
        <f t="shared" si="298"/>
        <v/>
      </c>
      <c r="P183" s="88" t="str">
        <f t="shared" si="299"/>
        <v/>
      </c>
      <c r="Q183" s="88">
        <f t="shared" si="300"/>
        <v>2.4270355792043015</v>
      </c>
      <c r="R183" s="88">
        <f t="shared" si="301"/>
        <v>3.0704815754023569</v>
      </c>
      <c r="S183" s="88">
        <f t="shared" si="302"/>
        <v>2.997108196187217</v>
      </c>
      <c r="T183" s="88">
        <f t="shared" si="303"/>
        <v>2.9345137875783647</v>
      </c>
      <c r="U183" s="88">
        <f t="shared" si="304"/>
        <v>2.9258784822875024</v>
      </c>
      <c r="V183" s="88">
        <f t="shared" si="305"/>
        <v>2.9248531082155451</v>
      </c>
      <c r="W183" s="88">
        <f t="shared" si="306"/>
        <v>2.9234475029612068</v>
      </c>
      <c r="X183" s="88">
        <f t="shared" si="307"/>
        <v>2.9220964286913507</v>
      </c>
      <c r="Y183" s="34">
        <v>2E-3</v>
      </c>
      <c r="AA183" s="90" t="s">
        <v>608</v>
      </c>
      <c r="AB183" s="133">
        <f t="shared" si="322"/>
        <v>1.2348843263228191</v>
      </c>
      <c r="AC183" s="133">
        <f t="shared" si="308"/>
        <v>1.209093847952752</v>
      </c>
      <c r="AD183" s="133">
        <f t="shared" si="309"/>
        <v>1.2055358839225363</v>
      </c>
      <c r="AE183" s="133">
        <f t="shared" si="310"/>
        <v>1.2051134038893867</v>
      </c>
      <c r="AF183" s="133">
        <f t="shared" si="311"/>
        <v>1.2045342589990595</v>
      </c>
      <c r="AG183" s="133">
        <f t="shared" si="312"/>
        <v>1.2039775822525658</v>
      </c>
      <c r="AH183" s="34"/>
    </row>
    <row r="184" spans="1:46" x14ac:dyDescent="0.35">
      <c r="A184" s="90" t="s">
        <v>609</v>
      </c>
      <c r="B184" s="132">
        <v>0</v>
      </c>
      <c r="C184" s="130">
        <v>0</v>
      </c>
      <c r="D184" s="130">
        <v>0</v>
      </c>
      <c r="E184" s="88">
        <v>65.419960000000003</v>
      </c>
      <c r="F184" s="88">
        <v>66.408112000000003</v>
      </c>
      <c r="G184" s="88">
        <v>67.128151000000003</v>
      </c>
      <c r="H184" s="88">
        <v>67.218429999999998</v>
      </c>
      <c r="I184" s="88">
        <v>67.370461000000006</v>
      </c>
      <c r="J184" s="88">
        <v>67.423775000000006</v>
      </c>
      <c r="K184" s="88">
        <v>67.4589</v>
      </c>
      <c r="L184" s="34">
        <v>1E-3</v>
      </c>
      <c r="N184" s="90" t="s">
        <v>609</v>
      </c>
      <c r="O184" s="88" t="str">
        <f t="shared" si="298"/>
        <v/>
      </c>
      <c r="P184" s="88" t="str">
        <f t="shared" si="299"/>
        <v/>
      </c>
      <c r="Q184" s="88" t="str">
        <f t="shared" si="300"/>
        <v/>
      </c>
      <c r="R184" s="88">
        <f t="shared" si="301"/>
        <v>3.5954641250381094</v>
      </c>
      <c r="S184" s="88">
        <f t="shared" si="302"/>
        <v>3.5419636571120727</v>
      </c>
      <c r="T184" s="88">
        <f t="shared" si="303"/>
        <v>3.5039713702441788</v>
      </c>
      <c r="U184" s="88">
        <f t="shared" si="304"/>
        <v>3.4992652943757858</v>
      </c>
      <c r="V184" s="88">
        <f t="shared" si="305"/>
        <v>3.4913687059589531</v>
      </c>
      <c r="W184" s="88">
        <f t="shared" si="306"/>
        <v>3.4886079760652398</v>
      </c>
      <c r="X184" s="88">
        <f t="shared" si="307"/>
        <v>3.4867915018096669</v>
      </c>
      <c r="Y184" s="34">
        <v>1E-3</v>
      </c>
      <c r="AA184" s="90" t="s">
        <v>609</v>
      </c>
      <c r="AB184" s="133">
        <f t="shared" si="322"/>
        <v>0</v>
      </c>
      <c r="AC184" s="133">
        <f t="shared" si="308"/>
        <v>0</v>
      </c>
      <c r="AD184" s="133">
        <f t="shared" si="309"/>
        <v>0</v>
      </c>
      <c r="AE184" s="133">
        <f t="shared" si="310"/>
        <v>0</v>
      </c>
      <c r="AF184" s="133">
        <f t="shared" si="311"/>
        <v>0</v>
      </c>
      <c r="AG184" s="133">
        <f t="shared" si="312"/>
        <v>0</v>
      </c>
      <c r="AH184" s="34"/>
    </row>
    <row r="185" spans="1:46" x14ac:dyDescent="0.35">
      <c r="A185" s="90" t="s">
        <v>610</v>
      </c>
      <c r="B185" s="132">
        <v>0</v>
      </c>
      <c r="C185" s="130">
        <v>0</v>
      </c>
      <c r="D185" s="130">
        <v>0</v>
      </c>
      <c r="E185" s="88">
        <v>87.357201000000003</v>
      </c>
      <c r="F185" s="88">
        <v>89.250197999999997</v>
      </c>
      <c r="G185" s="88">
        <v>91.568282999999994</v>
      </c>
      <c r="H185" s="88">
        <v>91.773972000000001</v>
      </c>
      <c r="I185" s="88">
        <v>92.004683999999997</v>
      </c>
      <c r="J185" s="88">
        <v>92.027068999999997</v>
      </c>
      <c r="K185" s="88">
        <v>92.035972999999998</v>
      </c>
      <c r="L185" s="34">
        <v>2E-3</v>
      </c>
      <c r="N185" s="90" t="s">
        <v>610</v>
      </c>
      <c r="O185" s="88" t="str">
        <f t="shared" si="298"/>
        <v/>
      </c>
      <c r="P185" s="88" t="str">
        <f t="shared" si="299"/>
        <v/>
      </c>
      <c r="Q185" s="88" t="str">
        <f t="shared" si="300"/>
        <v/>
      </c>
      <c r="R185" s="88">
        <f t="shared" si="301"/>
        <v>2.6925670299512929</v>
      </c>
      <c r="S185" s="88">
        <f t="shared" si="302"/>
        <v>2.6354576741827302</v>
      </c>
      <c r="T185" s="88">
        <f t="shared" si="303"/>
        <v>2.5687400870171189</v>
      </c>
      <c r="U185" s="88">
        <f t="shared" si="304"/>
        <v>2.5629828819158895</v>
      </c>
      <c r="V185" s="88">
        <f t="shared" si="305"/>
        <v>2.5565559166686356</v>
      </c>
      <c r="W185" s="88">
        <f t="shared" si="306"/>
        <v>2.5559340506805466</v>
      </c>
      <c r="X185" s="88">
        <f t="shared" si="307"/>
        <v>2.5556867774020073</v>
      </c>
      <c r="Y185" s="34">
        <v>2E-3</v>
      </c>
      <c r="AA185" s="90" t="s">
        <v>610</v>
      </c>
      <c r="AB185" s="133">
        <f t="shared" si="322"/>
        <v>0</v>
      </c>
      <c r="AC185" s="133">
        <f t="shared" si="308"/>
        <v>0</v>
      </c>
      <c r="AD185" s="133">
        <f t="shared" si="309"/>
        <v>0</v>
      </c>
      <c r="AE185" s="133">
        <f t="shared" si="310"/>
        <v>0</v>
      </c>
      <c r="AF185" s="133">
        <f t="shared" si="311"/>
        <v>0</v>
      </c>
      <c r="AG185" s="133">
        <f t="shared" si="312"/>
        <v>0</v>
      </c>
      <c r="AH185" s="34"/>
    </row>
    <row r="186" spans="1:46" x14ac:dyDescent="0.35">
      <c r="A186" s="90" t="s">
        <v>611</v>
      </c>
      <c r="B186" s="132">
        <v>0</v>
      </c>
      <c r="C186" s="130">
        <v>0</v>
      </c>
      <c r="D186" s="130">
        <v>0</v>
      </c>
      <c r="E186" s="88">
        <v>0</v>
      </c>
      <c r="F186" s="88">
        <v>0</v>
      </c>
      <c r="G186" s="88">
        <v>0</v>
      </c>
      <c r="H186" s="88">
        <v>0</v>
      </c>
      <c r="I186" s="88">
        <v>0</v>
      </c>
      <c r="J186" s="88">
        <v>0</v>
      </c>
      <c r="K186" s="88">
        <v>0</v>
      </c>
      <c r="L186" s="34" t="s">
        <v>279</v>
      </c>
      <c r="N186" s="90" t="s">
        <v>611</v>
      </c>
      <c r="O186" s="88" t="str">
        <f t="shared" si="298"/>
        <v/>
      </c>
      <c r="P186" s="88" t="str">
        <f t="shared" si="299"/>
        <v/>
      </c>
      <c r="Q186" s="88" t="str">
        <f t="shared" si="300"/>
        <v/>
      </c>
      <c r="R186" s="88" t="str">
        <f t="shared" si="301"/>
        <v/>
      </c>
      <c r="S186" s="88" t="str">
        <f t="shared" si="302"/>
        <v/>
      </c>
      <c r="T186" s="88" t="str">
        <f t="shared" si="303"/>
        <v/>
      </c>
      <c r="U186" s="88" t="str">
        <f t="shared" si="304"/>
        <v/>
      </c>
      <c r="V186" s="88" t="str">
        <f t="shared" si="305"/>
        <v/>
      </c>
      <c r="W186" s="88" t="str">
        <f t="shared" si="306"/>
        <v/>
      </c>
      <c r="X186" s="88" t="str">
        <f t="shared" si="307"/>
        <v/>
      </c>
      <c r="Y186" s="34" t="s">
        <v>279</v>
      </c>
      <c r="AA186" s="90" t="s">
        <v>611</v>
      </c>
      <c r="AB186" s="133" t="str">
        <f t="shared" si="322"/>
        <v/>
      </c>
      <c r="AC186" s="133" t="str">
        <f t="shared" si="308"/>
        <v/>
      </c>
      <c r="AD186" s="133" t="str">
        <f t="shared" si="309"/>
        <v/>
      </c>
      <c r="AE186" s="133" t="str">
        <f t="shared" si="310"/>
        <v/>
      </c>
      <c r="AF186" s="133" t="str">
        <f t="shared" si="311"/>
        <v/>
      </c>
      <c r="AG186" s="133" t="str">
        <f t="shared" si="312"/>
        <v/>
      </c>
      <c r="AH186" s="34"/>
    </row>
    <row r="187" spans="1:46" x14ac:dyDescent="0.35">
      <c r="A187" s="90" t="s">
        <v>612</v>
      </c>
      <c r="B187" s="132">
        <v>0</v>
      </c>
      <c r="C187" s="130">
        <v>0</v>
      </c>
      <c r="D187" s="130">
        <v>94.417877000000004</v>
      </c>
      <c r="E187" s="88">
        <v>73.300528999999997</v>
      </c>
      <c r="F187" s="88">
        <v>75.135711999999998</v>
      </c>
      <c r="G187" s="88">
        <v>76.658173000000005</v>
      </c>
      <c r="H187" s="88">
        <v>76.949104000000005</v>
      </c>
      <c r="I187" s="88">
        <v>77.072700999999995</v>
      </c>
      <c r="J187" s="88">
        <v>77.130081000000004</v>
      </c>
      <c r="K187" s="88">
        <v>77.164687999999998</v>
      </c>
      <c r="L187" s="34">
        <v>2E-3</v>
      </c>
      <c r="N187" s="90" t="s">
        <v>612</v>
      </c>
      <c r="O187" s="88" t="str">
        <f t="shared" si="298"/>
        <v/>
      </c>
      <c r="P187" s="88" t="str">
        <f t="shared" si="299"/>
        <v/>
      </c>
      <c r="Q187" s="88">
        <f t="shared" si="300"/>
        <v>2.4912138115690543</v>
      </c>
      <c r="R187" s="88">
        <f t="shared" si="301"/>
        <v>3.2089143482365339</v>
      </c>
      <c r="S187" s="88">
        <f t="shared" si="302"/>
        <v>3.1305369042277547</v>
      </c>
      <c r="T187" s="88">
        <f t="shared" si="303"/>
        <v>3.0683632290770628</v>
      </c>
      <c r="U187" s="88">
        <f t="shared" si="304"/>
        <v>3.0567622885047254</v>
      </c>
      <c r="V187" s="88">
        <f t="shared" si="305"/>
        <v>3.0518603369230326</v>
      </c>
      <c r="W187" s="88">
        <f t="shared" si="306"/>
        <v>3.0495899419764401</v>
      </c>
      <c r="X187" s="88">
        <f t="shared" si="307"/>
        <v>3.0482222547368836</v>
      </c>
      <c r="Y187" s="34">
        <v>2E-3</v>
      </c>
      <c r="AA187" s="90" t="s">
        <v>612</v>
      </c>
      <c r="AB187" s="133">
        <f t="shared" si="322"/>
        <v>1.2566311609584535</v>
      </c>
      <c r="AC187" s="133">
        <f t="shared" si="308"/>
        <v>1.2316739794985723</v>
      </c>
      <c r="AD187" s="133">
        <f t="shared" si="309"/>
        <v>1.2270172372637373</v>
      </c>
      <c r="AE187" s="133">
        <f t="shared" si="310"/>
        <v>1.225049541211745</v>
      </c>
      <c r="AF187" s="133">
        <f t="shared" si="311"/>
        <v>1.2241381802775495</v>
      </c>
      <c r="AG187" s="133">
        <f t="shared" si="312"/>
        <v>1.2235891759194311</v>
      </c>
      <c r="AH187" s="34"/>
    </row>
    <row r="188" spans="1:46" x14ac:dyDescent="0.35">
      <c r="A188" s="90" t="s">
        <v>613</v>
      </c>
      <c r="B188" s="132">
        <v>0</v>
      </c>
      <c r="C188" s="130">
        <v>0</v>
      </c>
      <c r="D188" s="130">
        <v>73.473915000000005</v>
      </c>
      <c r="E188" s="88">
        <v>54.700462000000002</v>
      </c>
      <c r="F188" s="88">
        <v>55.845393999999999</v>
      </c>
      <c r="G188" s="88">
        <v>57.203487000000003</v>
      </c>
      <c r="H188" s="88">
        <v>57.622833</v>
      </c>
      <c r="I188" s="88">
        <v>57.850543999999999</v>
      </c>
      <c r="J188" s="88">
        <v>57.916049999999998</v>
      </c>
      <c r="K188" s="88">
        <v>57.959800999999999</v>
      </c>
      <c r="L188" s="34">
        <v>2E-3</v>
      </c>
      <c r="N188" s="90" t="s">
        <v>613</v>
      </c>
      <c r="O188" s="88" t="str">
        <f t="shared" si="298"/>
        <v/>
      </c>
      <c r="P188" s="88" t="str">
        <f t="shared" si="299"/>
        <v/>
      </c>
      <c r="Q188" s="88">
        <f t="shared" si="300"/>
        <v>3.2013418536555203</v>
      </c>
      <c r="R188" s="88">
        <f t="shared" si="301"/>
        <v>4.3000572690122461</v>
      </c>
      <c r="S188" s="88">
        <f t="shared" si="302"/>
        <v>4.2118982854956339</v>
      </c>
      <c r="T188" s="88">
        <f t="shared" si="303"/>
        <v>4.1119017664330171</v>
      </c>
      <c r="U188" s="88">
        <f t="shared" si="304"/>
        <v>4.0819776986915608</v>
      </c>
      <c r="V188" s="88">
        <f t="shared" si="305"/>
        <v>4.0659102400390248</v>
      </c>
      <c r="W188" s="88">
        <f t="shared" si="306"/>
        <v>4.0613114886361927</v>
      </c>
      <c r="X188" s="88">
        <f t="shared" si="307"/>
        <v>4.0582458045607881</v>
      </c>
      <c r="Y188" s="34">
        <v>2E-3</v>
      </c>
      <c r="AA188" s="90" t="s">
        <v>613</v>
      </c>
      <c r="AB188" s="133">
        <f t="shared" si="322"/>
        <v>1.3156665167408437</v>
      </c>
      <c r="AC188" s="133">
        <f t="shared" si="308"/>
        <v>1.2844307026248243</v>
      </c>
      <c r="AD188" s="133">
        <f t="shared" si="309"/>
        <v>1.275083351073697</v>
      </c>
      <c r="AE188" s="133">
        <f t="shared" si="310"/>
        <v>1.2700643748484026</v>
      </c>
      <c r="AF188" s="133">
        <f t="shared" si="311"/>
        <v>1.2686278674046314</v>
      </c>
      <c r="AG188" s="133">
        <f t="shared" si="312"/>
        <v>1.267670242691137</v>
      </c>
      <c r="AH188" s="34"/>
    </row>
    <row r="189" spans="1:46" x14ac:dyDescent="0.35">
      <c r="A189" s="90" t="s">
        <v>614</v>
      </c>
      <c r="D189" s="130">
        <v>112.049339</v>
      </c>
      <c r="E189" s="88">
        <v>87.700744999999998</v>
      </c>
      <c r="F189" s="88">
        <v>88.690078999999997</v>
      </c>
      <c r="G189" s="88">
        <v>90.194344000000001</v>
      </c>
      <c r="H189" s="88">
        <v>90.728813000000002</v>
      </c>
      <c r="I189" s="88">
        <v>91.288628000000003</v>
      </c>
      <c r="J189" s="88">
        <v>91.445510999999996</v>
      </c>
      <c r="K189" s="88">
        <v>91.424530000000004</v>
      </c>
      <c r="L189" s="34">
        <v>2E-3</v>
      </c>
      <c r="N189" s="90" t="s">
        <v>614</v>
      </c>
      <c r="O189" s="88" t="str">
        <f t="shared" si="298"/>
        <v/>
      </c>
      <c r="P189" s="88" t="str">
        <f t="shared" si="299"/>
        <v/>
      </c>
      <c r="Q189" s="88">
        <f t="shared" si="300"/>
        <v>2.0992102348897226</v>
      </c>
      <c r="R189" s="88">
        <f t="shared" si="301"/>
        <v>2.6820196252771642</v>
      </c>
      <c r="S189" s="88">
        <f t="shared" si="302"/>
        <v>2.6521018122154132</v>
      </c>
      <c r="T189" s="88">
        <f t="shared" si="303"/>
        <v>2.6078699484906518</v>
      </c>
      <c r="U189" s="88">
        <f t="shared" si="304"/>
        <v>2.5925074016060159</v>
      </c>
      <c r="V189" s="88">
        <f t="shared" si="305"/>
        <v>2.5766092052717466</v>
      </c>
      <c r="W189" s="88">
        <f t="shared" si="306"/>
        <v>2.5721888004040805</v>
      </c>
      <c r="X189" s="88">
        <f t="shared" si="307"/>
        <v>2.5727790915789028</v>
      </c>
      <c r="Y189" s="34">
        <v>2E-3</v>
      </c>
      <c r="AA189" s="90" t="s">
        <v>614</v>
      </c>
      <c r="AB189" s="133">
        <f t="shared" si="322"/>
        <v>1.2633807553604728</v>
      </c>
      <c r="AC189" s="133">
        <f t="shared" si="308"/>
        <v>1.2423100388645212</v>
      </c>
      <c r="AD189" s="133">
        <f t="shared" si="309"/>
        <v>1.2349917881103547</v>
      </c>
      <c r="AE189" s="133">
        <f t="shared" si="310"/>
        <v>1.2274183702267931</v>
      </c>
      <c r="AF189" s="133">
        <f t="shared" si="311"/>
        <v>1.2253126236016114</v>
      </c>
      <c r="AG189" s="133">
        <f t="shared" si="312"/>
        <v>1.2255938203893419</v>
      </c>
      <c r="AH189" s="34"/>
    </row>
    <row r="190" spans="1:46" x14ac:dyDescent="0.35">
      <c r="A190" s="90" t="s">
        <v>615</v>
      </c>
      <c r="D190" s="130">
        <v>92.157546999999994</v>
      </c>
      <c r="E190" s="88">
        <v>73.675010999999998</v>
      </c>
      <c r="F190" s="88">
        <v>75.374611000000002</v>
      </c>
      <c r="G190" s="88">
        <v>76.453697000000005</v>
      </c>
      <c r="H190" s="88">
        <v>76.474472000000006</v>
      </c>
      <c r="I190" s="88">
        <v>76.474129000000005</v>
      </c>
      <c r="J190" s="88">
        <v>76.505645999999999</v>
      </c>
      <c r="K190" s="88">
        <v>76.532532000000003</v>
      </c>
      <c r="L190" s="34">
        <v>2E-3</v>
      </c>
      <c r="N190" s="90" t="s">
        <v>615</v>
      </c>
      <c r="O190" s="88" t="str">
        <f t="shared" si="298"/>
        <v/>
      </c>
      <c r="P190" s="88" t="str">
        <f t="shared" si="299"/>
        <v/>
      </c>
      <c r="Q190" s="88">
        <f t="shared" si="300"/>
        <v>2.5523153219500099</v>
      </c>
      <c r="R190" s="88">
        <f t="shared" si="301"/>
        <v>3.1926037885685306</v>
      </c>
      <c r="S190" s="88">
        <f t="shared" si="302"/>
        <v>3.1206147019641421</v>
      </c>
      <c r="T190" s="88">
        <f t="shared" si="303"/>
        <v>3.0765695901066512</v>
      </c>
      <c r="U190" s="88">
        <f t="shared" si="304"/>
        <v>3.0757338114270096</v>
      </c>
      <c r="V190" s="88">
        <f t="shared" si="305"/>
        <v>3.0757476066373783</v>
      </c>
      <c r="W190" s="88">
        <f t="shared" si="306"/>
        <v>3.0744805323443467</v>
      </c>
      <c r="X190" s="88">
        <f t="shared" si="307"/>
        <v>3.0734004624520739</v>
      </c>
      <c r="Y190" s="34">
        <v>2E-3</v>
      </c>
      <c r="AA190" s="90" t="s">
        <v>615</v>
      </c>
      <c r="AB190" s="133">
        <f t="shared" si="322"/>
        <v>1.2226603331989334</v>
      </c>
      <c r="AC190" s="133">
        <f t="shared" si="308"/>
        <v>1.2054034090725525</v>
      </c>
      <c r="AD190" s="133">
        <f t="shared" si="309"/>
        <v>1.2050759500503643</v>
      </c>
      <c r="AE190" s="133">
        <f t="shared" si="310"/>
        <v>1.2050813550292281</v>
      </c>
      <c r="AF190" s="133">
        <f t="shared" si="311"/>
        <v>1.2045849139029556</v>
      </c>
      <c r="AG190" s="133">
        <f t="shared" si="312"/>
        <v>1.2041617413102181</v>
      </c>
      <c r="AH190" s="34"/>
    </row>
    <row r="191" spans="1:46" x14ac:dyDescent="0.35">
      <c r="A191" t="s">
        <v>594</v>
      </c>
      <c r="L191" s="34"/>
      <c r="N191" t="s">
        <v>594</v>
      </c>
      <c r="O191" s="88"/>
      <c r="P191" s="88"/>
      <c r="Q191" s="88"/>
      <c r="R191" s="88"/>
      <c r="S191" s="88"/>
      <c r="T191" s="88"/>
      <c r="U191" s="88"/>
      <c r="V191" s="88"/>
      <c r="W191" s="88"/>
      <c r="X191" s="88"/>
      <c r="Y191" s="34"/>
      <c r="AA191" t="s">
        <v>594</v>
      </c>
      <c r="AB191" s="88"/>
      <c r="AC191" s="88"/>
      <c r="AD191" s="88"/>
      <c r="AE191" s="88"/>
      <c r="AF191" s="88"/>
      <c r="AG191" s="88"/>
      <c r="AH191" s="34"/>
      <c r="AI191" t="s">
        <v>32</v>
      </c>
      <c r="AJ191" t="s">
        <v>624</v>
      </c>
      <c r="AK191" s="88" t="e">
        <f>AVERAGE(O192:O199)</f>
        <v>#DIV/0!</v>
      </c>
      <c r="AL191" s="88" t="e">
        <f t="shared" ref="AL191" si="323">AVERAGE(P192:P199)</f>
        <v>#DIV/0!</v>
      </c>
      <c r="AM191" s="88">
        <f t="shared" ref="AM191" si="324">AVERAGE(Q192:Q199)</f>
        <v>2.0482477469581921</v>
      </c>
      <c r="AN191" s="88">
        <f t="shared" ref="AN191" si="325">AVERAGE(R192:R199)</f>
        <v>2.0596778750511002</v>
      </c>
      <c r="AO191" s="88">
        <f t="shared" ref="AO191" si="326">AVERAGE(S192:S199)</f>
        <v>2.0213521162140577</v>
      </c>
      <c r="AP191" s="88">
        <f t="shared" ref="AP191" si="327">AVERAGE(T192:T199)</f>
        <v>1.9985313452906834</v>
      </c>
      <c r="AQ191" s="88">
        <f t="shared" ref="AQ191" si="328">AVERAGE(U192:U199)</f>
        <v>1.9962631402483175</v>
      </c>
      <c r="AR191" s="88">
        <f t="shared" ref="AR191" si="329">AVERAGE(V192:V199)</f>
        <v>1.993715065459033</v>
      </c>
      <c r="AS191" s="88">
        <f t="shared" ref="AS191" si="330">AVERAGE(W192:W199)</f>
        <v>1.9929167625813977</v>
      </c>
      <c r="AT191" s="88">
        <f t="shared" ref="AT191" si="331">AVERAGE(X192:X199)</f>
        <v>1.9922864749818046</v>
      </c>
    </row>
    <row r="192" spans="1:46" x14ac:dyDescent="0.35">
      <c r="A192" s="90" t="s">
        <v>600</v>
      </c>
      <c r="D192" s="130">
        <v>0</v>
      </c>
      <c r="E192" s="88">
        <v>0</v>
      </c>
      <c r="F192" s="88">
        <v>0</v>
      </c>
      <c r="G192" s="88">
        <v>0</v>
      </c>
      <c r="H192" s="88">
        <v>0</v>
      </c>
      <c r="I192" s="88">
        <v>0</v>
      </c>
      <c r="J192" s="88">
        <v>0</v>
      </c>
      <c r="K192" s="88">
        <v>0</v>
      </c>
      <c r="L192" s="34" t="s">
        <v>279</v>
      </c>
      <c r="N192" s="90" t="s">
        <v>600</v>
      </c>
      <c r="O192" s="88" t="str">
        <f t="shared" ref="O192:O207" si="332">IFERROR(L_100km_to_mpg/B192, "")</f>
        <v/>
      </c>
      <c r="P192" s="88" t="str">
        <f t="shared" ref="P192:P207" si="333">IFERROR(L_100km_to_mpg/C192, "")</f>
        <v/>
      </c>
      <c r="Q192" s="88" t="str">
        <f t="shared" ref="Q192:Q207" si="334">IFERROR(L_100km_to_mpg/D192, "")</f>
        <v/>
      </c>
      <c r="R192" s="88" t="str">
        <f t="shared" ref="R192:R207" si="335">IFERROR(L_100km_to_mpg/E192, "")</f>
        <v/>
      </c>
      <c r="S192" s="88" t="str">
        <f t="shared" ref="S192:S207" si="336">IFERROR(L_100km_to_mpg/F192, "")</f>
        <v/>
      </c>
      <c r="T192" s="88" t="str">
        <f t="shared" ref="T192:T207" si="337">IFERROR(L_100km_to_mpg/G192, "")</f>
        <v/>
      </c>
      <c r="U192" s="88" t="str">
        <f t="shared" ref="U192:U207" si="338">IFERROR(L_100km_to_mpg/H192, "")</f>
        <v/>
      </c>
      <c r="V192" s="88" t="str">
        <f t="shared" ref="V192:V207" si="339">IFERROR(L_100km_to_mpg/I192, "")</f>
        <v/>
      </c>
      <c r="W192" s="88" t="str">
        <f t="shared" ref="W192:W207" si="340">IFERROR(L_100km_to_mpg/J192, "")</f>
        <v/>
      </c>
      <c r="X192" s="88" t="str">
        <f t="shared" ref="X192:X207" si="341">IFERROR(L_100km_to_mpg/K192, "")</f>
        <v/>
      </c>
      <c r="Y192" s="34" t="s">
        <v>279</v>
      </c>
      <c r="AA192" s="90" t="s">
        <v>600</v>
      </c>
      <c r="AB192" s="133" t="str">
        <f>IFERROR($D192/F192, "")</f>
        <v/>
      </c>
      <c r="AC192" s="133" t="str">
        <f t="shared" ref="AC192:AC207" si="342">IFERROR($D192/G192, "")</f>
        <v/>
      </c>
      <c r="AD192" s="133" t="str">
        <f t="shared" ref="AD192:AD207" si="343">IFERROR($D192/H192, "")</f>
        <v/>
      </c>
      <c r="AE192" s="133" t="str">
        <f t="shared" ref="AE192:AE207" si="344">IFERROR($D192/I192, "")</f>
        <v/>
      </c>
      <c r="AF192" s="133" t="str">
        <f t="shared" ref="AF192:AF207" si="345">IFERROR($D192/J192, "")</f>
        <v/>
      </c>
      <c r="AG192" s="133" t="str">
        <f t="shared" ref="AG192:AG207" si="346">IFERROR($D192/K192, "")</f>
        <v/>
      </c>
      <c r="AH192" s="34"/>
      <c r="AI192" t="s">
        <v>256</v>
      </c>
      <c r="AJ192" t="s">
        <v>624</v>
      </c>
      <c r="AK192" s="88" t="e">
        <f>AVERAGE(O200:O207)</f>
        <v>#DIV/0!</v>
      </c>
      <c r="AL192" s="88" t="e">
        <f t="shared" ref="AL192" si="347">AVERAGE(P200:P207)</f>
        <v>#DIV/0!</v>
      </c>
      <c r="AM192" s="88">
        <f t="shared" ref="AM192" si="348">AVERAGE(Q200:Q207)</f>
        <v>2.6638035818588071</v>
      </c>
      <c r="AN192" s="88">
        <f t="shared" ref="AN192" si="349">AVERAGE(R200:R207)</f>
        <v>2.4723245043829105</v>
      </c>
      <c r="AO192" s="88">
        <f t="shared" ref="AO192" si="350">AVERAGE(S200:S207)</f>
        <v>2.421035437328908</v>
      </c>
      <c r="AP192" s="88">
        <f t="shared" ref="AP192" si="351">AVERAGE(T200:T207)</f>
        <v>2.3606298077150409</v>
      </c>
      <c r="AQ192" s="88">
        <f t="shared" ref="AQ192" si="352">AVERAGE(U200:U207)</f>
        <v>2.3580673473577862</v>
      </c>
      <c r="AR192" s="88">
        <f t="shared" ref="AR192" si="353">AVERAGE(V200:V207)</f>
        <v>2.3561347157143637</v>
      </c>
      <c r="AS192" s="88">
        <f t="shared" ref="AS192" si="354">AVERAGE(W200:W207)</f>
        <v>2.3555131467536996</v>
      </c>
      <c r="AT192" s="88">
        <f t="shared" ref="AT192" si="355">AVERAGE(X200:X207)</f>
        <v>2.3552756264355166</v>
      </c>
    </row>
    <row r="193" spans="1:34" x14ac:dyDescent="0.35">
      <c r="A193" s="90" t="s">
        <v>601</v>
      </c>
      <c r="D193" s="130">
        <v>114.388695</v>
      </c>
      <c r="E193" s="88">
        <v>114.024742</v>
      </c>
      <c r="F193" s="88">
        <v>116.511002</v>
      </c>
      <c r="G193" s="88">
        <v>117.93042800000001</v>
      </c>
      <c r="H193" s="88">
        <v>118.020645</v>
      </c>
      <c r="I193" s="88">
        <v>118.030197</v>
      </c>
      <c r="J193" s="88">
        <v>118.034943</v>
      </c>
      <c r="K193" s="88">
        <v>118.03079200000001</v>
      </c>
      <c r="L193" s="34">
        <v>2E-3</v>
      </c>
      <c r="N193" s="90" t="s">
        <v>601</v>
      </c>
      <c r="O193" s="88" t="str">
        <f t="shared" si="332"/>
        <v/>
      </c>
      <c r="P193" s="88" t="str">
        <f t="shared" si="333"/>
        <v/>
      </c>
      <c r="Q193" s="88">
        <f t="shared" si="334"/>
        <v>2.0562794185336948</v>
      </c>
      <c r="R193" s="88">
        <f t="shared" si="335"/>
        <v>2.0628428103913459</v>
      </c>
      <c r="S193" s="88">
        <f t="shared" si="336"/>
        <v>2.0188232459062374</v>
      </c>
      <c r="T193" s="88">
        <f t="shared" si="337"/>
        <v>1.9945244262272002</v>
      </c>
      <c r="U193" s="88">
        <f t="shared" si="338"/>
        <v>1.9929997776357529</v>
      </c>
      <c r="V193" s="88">
        <f t="shared" si="339"/>
        <v>1.9928384872680347</v>
      </c>
      <c r="W193" s="88">
        <f t="shared" si="340"/>
        <v>1.992758358356882</v>
      </c>
      <c r="X193" s="88">
        <f t="shared" si="341"/>
        <v>1.9928284412547883</v>
      </c>
      <c r="Y193" s="34">
        <v>2E-3</v>
      </c>
      <c r="AA193" s="90" t="s">
        <v>601</v>
      </c>
      <c r="AB193" s="133">
        <f t="shared" ref="AB193:AB207" si="356">IFERROR($D193/F193, "")</f>
        <v>0.98178449276403956</v>
      </c>
      <c r="AC193" s="133">
        <f t="shared" si="342"/>
        <v>0.96996760666382043</v>
      </c>
      <c r="AD193" s="133">
        <f t="shared" si="343"/>
        <v>0.96922614683219188</v>
      </c>
      <c r="AE193" s="133">
        <f t="shared" si="344"/>
        <v>0.96914770886979029</v>
      </c>
      <c r="AF193" s="133">
        <f t="shared" si="345"/>
        <v>0.96910874095986987</v>
      </c>
      <c r="AG193" s="133">
        <f t="shared" si="346"/>
        <v>0.96914282334053981</v>
      </c>
      <c r="AH193" s="34"/>
    </row>
    <row r="194" spans="1:34" x14ac:dyDescent="0.35">
      <c r="A194" s="90" t="s">
        <v>602</v>
      </c>
      <c r="D194" s="130">
        <v>123.39473</v>
      </c>
      <c r="E194" s="88">
        <v>116.54312899999999</v>
      </c>
      <c r="F194" s="88">
        <v>118.810669</v>
      </c>
      <c r="G194" s="88">
        <v>120.20011100000001</v>
      </c>
      <c r="H194" s="88">
        <v>120.376442</v>
      </c>
      <c r="I194" s="88">
        <v>120.694473</v>
      </c>
      <c r="J194" s="88">
        <v>120.79755400000001</v>
      </c>
      <c r="K194" s="88">
        <v>120.86524199999999</v>
      </c>
      <c r="L194" s="34">
        <v>2E-3</v>
      </c>
      <c r="N194" s="90" t="s">
        <v>602</v>
      </c>
      <c r="O194" s="88" t="str">
        <f t="shared" si="332"/>
        <v/>
      </c>
      <c r="P194" s="88" t="str">
        <f t="shared" si="333"/>
        <v/>
      </c>
      <c r="Q194" s="88">
        <f t="shared" si="334"/>
        <v>1.9062006881608975</v>
      </c>
      <c r="R194" s="88">
        <f t="shared" si="335"/>
        <v>2.0182667245996817</v>
      </c>
      <c r="S194" s="88">
        <f t="shared" si="336"/>
        <v>1.9797474521537131</v>
      </c>
      <c r="T194" s="88">
        <f t="shared" si="337"/>
        <v>1.9568627456710761</v>
      </c>
      <c r="U194" s="88">
        <f t="shared" si="338"/>
        <v>1.9539962747979223</v>
      </c>
      <c r="V194" s="88">
        <f t="shared" si="339"/>
        <v>1.9488474773938333</v>
      </c>
      <c r="W194" s="88">
        <f t="shared" si="340"/>
        <v>1.9471844540943943</v>
      </c>
      <c r="X194" s="88">
        <f t="shared" si="341"/>
        <v>1.9460939749860273</v>
      </c>
      <c r="Y194" s="34">
        <v>2E-3</v>
      </c>
      <c r="AA194" s="90" t="s">
        <v>602</v>
      </c>
      <c r="AB194" s="133">
        <f t="shared" si="356"/>
        <v>1.0385829070619912</v>
      </c>
      <c r="AC194" s="133">
        <f t="shared" si="342"/>
        <v>1.0265775045748502</v>
      </c>
      <c r="AD194" s="133">
        <f t="shared" si="343"/>
        <v>1.0250737432495305</v>
      </c>
      <c r="AE194" s="133">
        <f t="shared" si="344"/>
        <v>1.0223726649023936</v>
      </c>
      <c r="AF194" s="133">
        <f t="shared" si="345"/>
        <v>1.0215002366686994</v>
      </c>
      <c r="AG194" s="133">
        <f t="shared" si="346"/>
        <v>1.0209281672558932</v>
      </c>
      <c r="AH194" s="34"/>
    </row>
    <row r="195" spans="1:34" x14ac:dyDescent="0.35">
      <c r="A195" s="90" t="s">
        <v>603</v>
      </c>
      <c r="D195" s="130">
        <v>121.02692399999999</v>
      </c>
      <c r="E195" s="88">
        <v>115.583</v>
      </c>
      <c r="F195" s="88">
        <v>117.643585</v>
      </c>
      <c r="G195" s="88">
        <v>118.960838</v>
      </c>
      <c r="H195" s="88">
        <v>119.121094</v>
      </c>
      <c r="I195" s="88">
        <v>119.357758</v>
      </c>
      <c r="J195" s="88">
        <v>119.441444</v>
      </c>
      <c r="K195" s="88">
        <v>119.519768</v>
      </c>
      <c r="L195" s="34">
        <v>1E-3</v>
      </c>
      <c r="N195" s="90" t="s">
        <v>603</v>
      </c>
      <c r="O195" s="88" t="str">
        <f t="shared" si="332"/>
        <v/>
      </c>
      <c r="P195" s="88" t="str">
        <f t="shared" si="333"/>
        <v/>
      </c>
      <c r="Q195" s="88">
        <f t="shared" si="334"/>
        <v>1.943494153758945</v>
      </c>
      <c r="R195" s="88">
        <f t="shared" si="335"/>
        <v>2.0350321348418725</v>
      </c>
      <c r="S195" s="88">
        <f t="shared" si="336"/>
        <v>1.9993875504680356</v>
      </c>
      <c r="T195" s="88">
        <f t="shared" si="337"/>
        <v>1.977248338158379</v>
      </c>
      <c r="U195" s="88">
        <f t="shared" si="338"/>
        <v>1.9745883062610905</v>
      </c>
      <c r="V195" s="88">
        <f t="shared" si="339"/>
        <v>1.9706730687872684</v>
      </c>
      <c r="W195" s="88">
        <f t="shared" si="340"/>
        <v>1.9692923273887089</v>
      </c>
      <c r="X195" s="88">
        <f t="shared" si="341"/>
        <v>1.9680018057048785</v>
      </c>
      <c r="Y195" s="34">
        <v>1E-3</v>
      </c>
      <c r="AA195" s="90" t="s">
        <v>603</v>
      </c>
      <c r="AB195" s="133">
        <f t="shared" si="356"/>
        <v>1.0287592306881841</v>
      </c>
      <c r="AC195" s="133">
        <f t="shared" si="342"/>
        <v>1.017367782832868</v>
      </c>
      <c r="AD195" s="133">
        <f t="shared" si="343"/>
        <v>1.0159990975233992</v>
      </c>
      <c r="AE195" s="133">
        <f t="shared" si="344"/>
        <v>1.0139845622770494</v>
      </c>
      <c r="AF195" s="133">
        <f t="shared" si="345"/>
        <v>1.0132741194923931</v>
      </c>
      <c r="AG195" s="133">
        <f t="shared" si="346"/>
        <v>1.0126100981052775</v>
      </c>
      <c r="AH195" s="34"/>
    </row>
    <row r="196" spans="1:34" x14ac:dyDescent="0.35">
      <c r="A196" s="90" t="s">
        <v>604</v>
      </c>
      <c r="D196" s="130">
        <v>109.841003</v>
      </c>
      <c r="E196" s="88">
        <v>112.790451</v>
      </c>
      <c r="F196" s="88">
        <v>114.667259</v>
      </c>
      <c r="G196" s="88">
        <v>115.950912</v>
      </c>
      <c r="H196" s="88">
        <v>116.102867</v>
      </c>
      <c r="I196" s="88">
        <v>116.29087800000001</v>
      </c>
      <c r="J196" s="88">
        <v>116.353195</v>
      </c>
      <c r="K196" s="88">
        <v>116.405266</v>
      </c>
      <c r="L196" s="34">
        <v>1E-3</v>
      </c>
      <c r="N196" s="90" t="s">
        <v>604</v>
      </c>
      <c r="O196" s="88" t="str">
        <f t="shared" si="332"/>
        <v/>
      </c>
      <c r="P196" s="88" t="str">
        <f t="shared" si="333"/>
        <v/>
      </c>
      <c r="Q196" s="88">
        <f t="shared" si="334"/>
        <v>2.1414145247875069</v>
      </c>
      <c r="R196" s="88">
        <f t="shared" si="335"/>
        <v>2.0854169582266158</v>
      </c>
      <c r="S196" s="88">
        <f t="shared" si="336"/>
        <v>2.051284048234101</v>
      </c>
      <c r="T196" s="88">
        <f t="shared" si="337"/>
        <v>2.0285749821564849</v>
      </c>
      <c r="U196" s="88">
        <f t="shared" si="338"/>
        <v>2.025919990773597</v>
      </c>
      <c r="V196" s="88">
        <f t="shared" si="339"/>
        <v>2.0226446242965688</v>
      </c>
      <c r="W196" s="88">
        <f t="shared" si="340"/>
        <v>2.0215613266264683</v>
      </c>
      <c r="X196" s="88">
        <f t="shared" si="341"/>
        <v>2.02065703145619</v>
      </c>
      <c r="Y196" s="34">
        <v>1E-3</v>
      </c>
      <c r="AA196" s="90" t="s">
        <v>604</v>
      </c>
      <c r="AB196" s="133">
        <f t="shared" si="356"/>
        <v>0.95791077555974369</v>
      </c>
      <c r="AC196" s="133">
        <f t="shared" si="342"/>
        <v>0.94730607207298201</v>
      </c>
      <c r="AD196" s="133">
        <f t="shared" si="343"/>
        <v>0.94606624141331497</v>
      </c>
      <c r="AE196" s="133">
        <f t="shared" si="344"/>
        <v>0.94453670734174</v>
      </c>
      <c r="AF196" s="133">
        <f t="shared" si="345"/>
        <v>0.9440308278599483</v>
      </c>
      <c r="AG196" s="133">
        <f t="shared" si="346"/>
        <v>0.94360853915320297</v>
      </c>
      <c r="AH196" s="34"/>
    </row>
    <row r="197" spans="1:34" x14ac:dyDescent="0.35">
      <c r="A197" s="90" t="s">
        <v>605</v>
      </c>
      <c r="D197" s="130">
        <v>122.247635</v>
      </c>
      <c r="E197" s="88">
        <v>116.436508</v>
      </c>
      <c r="F197" s="88">
        <v>118.787369</v>
      </c>
      <c r="G197" s="88">
        <v>120.054802</v>
      </c>
      <c r="H197" s="88">
        <v>120.098106</v>
      </c>
      <c r="I197" s="88">
        <v>120.069138</v>
      </c>
      <c r="J197" s="88">
        <v>120.053673</v>
      </c>
      <c r="K197" s="88">
        <v>120.03632399999999</v>
      </c>
      <c r="L197" s="34">
        <v>1E-3</v>
      </c>
      <c r="N197" s="90" t="s">
        <v>605</v>
      </c>
      <c r="O197" s="88" t="str">
        <f t="shared" si="332"/>
        <v/>
      </c>
      <c r="P197" s="88" t="str">
        <f t="shared" si="333"/>
        <v/>
      </c>
      <c r="Q197" s="88">
        <f t="shared" si="334"/>
        <v>1.924087277773743</v>
      </c>
      <c r="R197" s="88">
        <f t="shared" si="335"/>
        <v>2.0201148529929132</v>
      </c>
      <c r="S197" s="88">
        <f t="shared" si="336"/>
        <v>1.9801357772426809</v>
      </c>
      <c r="T197" s="88">
        <f t="shared" si="337"/>
        <v>1.9592312454226375</v>
      </c>
      <c r="U197" s="88">
        <f t="shared" si="338"/>
        <v>1.9585248017269159</v>
      </c>
      <c r="V197" s="88">
        <f t="shared" si="339"/>
        <v>1.9589973173741628</v>
      </c>
      <c r="W197" s="88">
        <f t="shared" si="340"/>
        <v>1.9592496702822924</v>
      </c>
      <c r="X197" s="88">
        <f t="shared" si="341"/>
        <v>1.9595328430869656</v>
      </c>
      <c r="Y197" s="34">
        <v>1E-3</v>
      </c>
      <c r="AA197" s="90" t="s">
        <v>605</v>
      </c>
      <c r="AB197" s="133">
        <f t="shared" si="356"/>
        <v>1.0291299153195321</v>
      </c>
      <c r="AC197" s="133">
        <f t="shared" si="342"/>
        <v>1.0182652668903658</v>
      </c>
      <c r="AD197" s="133">
        <f t="shared" si="343"/>
        <v>1.0178981090675985</v>
      </c>
      <c r="AE197" s="133">
        <f t="shared" si="344"/>
        <v>1.0181436881807213</v>
      </c>
      <c r="AF197" s="133">
        <f t="shared" si="345"/>
        <v>1.0182748427863595</v>
      </c>
      <c r="AG197" s="133">
        <f t="shared" si="346"/>
        <v>1.0184220153226287</v>
      </c>
      <c r="AH197" s="34"/>
    </row>
    <row r="198" spans="1:34" x14ac:dyDescent="0.35">
      <c r="A198" s="90" t="s">
        <v>606</v>
      </c>
      <c r="D198" s="130">
        <v>115.87532</v>
      </c>
      <c r="E198" s="88">
        <v>115.41130800000001</v>
      </c>
      <c r="F198" s="88">
        <v>117.410965</v>
      </c>
      <c r="G198" s="88">
        <v>118.786247</v>
      </c>
      <c r="H198" s="88">
        <v>119.012367</v>
      </c>
      <c r="I198" s="88">
        <v>119.282501</v>
      </c>
      <c r="J198" s="88">
        <v>119.3703</v>
      </c>
      <c r="K198" s="88">
        <v>119.449127</v>
      </c>
      <c r="L198" s="34">
        <v>1E-3</v>
      </c>
      <c r="N198" s="90" t="s">
        <v>606</v>
      </c>
      <c r="O198" s="88" t="str">
        <f t="shared" si="332"/>
        <v/>
      </c>
      <c r="P198" s="88" t="str">
        <f t="shared" si="333"/>
        <v/>
      </c>
      <c r="Q198" s="88">
        <f t="shared" si="334"/>
        <v>2.0298983359133604</v>
      </c>
      <c r="R198" s="88">
        <f t="shared" si="335"/>
        <v>2.0380595568800599</v>
      </c>
      <c r="S198" s="88">
        <f t="shared" si="336"/>
        <v>2.0033488289737518</v>
      </c>
      <c r="T198" s="88">
        <f t="shared" si="337"/>
        <v>1.9801544806902447</v>
      </c>
      <c r="U198" s="88">
        <f t="shared" si="338"/>
        <v>1.9763922453657958</v>
      </c>
      <c r="V198" s="88">
        <f t="shared" si="339"/>
        <v>1.9719163940185003</v>
      </c>
      <c r="W198" s="88">
        <f t="shared" si="340"/>
        <v>1.9704660140874919</v>
      </c>
      <c r="X198" s="88">
        <f t="shared" si="341"/>
        <v>1.9691656619761493</v>
      </c>
      <c r="Y198" s="34">
        <v>1E-3</v>
      </c>
      <c r="AA198" s="90" t="s">
        <v>606</v>
      </c>
      <c r="AB198" s="133">
        <f t="shared" si="356"/>
        <v>0.98692077013420343</v>
      </c>
      <c r="AC198" s="133">
        <f t="shared" si="342"/>
        <v>0.97549441056084552</v>
      </c>
      <c r="AD198" s="133">
        <f t="shared" si="343"/>
        <v>0.97364099984667984</v>
      </c>
      <c r="AE198" s="133">
        <f t="shared" si="344"/>
        <v>0.97143603653984423</v>
      </c>
      <c r="AF198" s="133">
        <f t="shared" si="345"/>
        <v>0.97072152788423927</v>
      </c>
      <c r="AG198" s="133">
        <f t="shared" si="346"/>
        <v>0.97008092825994452</v>
      </c>
      <c r="AH198" s="34"/>
    </row>
    <row r="199" spans="1:34" x14ac:dyDescent="0.35">
      <c r="A199" s="90" t="s">
        <v>607</v>
      </c>
      <c r="D199" s="130">
        <v>100.67589599999999</v>
      </c>
      <c r="E199" s="88">
        <v>108.996201</v>
      </c>
      <c r="F199" s="88">
        <v>111.12151299999999</v>
      </c>
      <c r="G199" s="88">
        <v>112.375191</v>
      </c>
      <c r="H199" s="88">
        <v>112.466675</v>
      </c>
      <c r="I199" s="88">
        <v>112.538376</v>
      </c>
      <c r="J199" s="88">
        <v>112.548225</v>
      </c>
      <c r="K199" s="88">
        <v>112.55789900000001</v>
      </c>
      <c r="L199" s="34">
        <v>1E-3</v>
      </c>
      <c r="N199" s="90" t="s">
        <v>607</v>
      </c>
      <c r="O199" s="88" t="str">
        <f t="shared" si="332"/>
        <v/>
      </c>
      <c r="P199" s="88" t="str">
        <f t="shared" si="333"/>
        <v/>
      </c>
      <c r="Q199" s="88">
        <f t="shared" si="334"/>
        <v>2.3363598297791972</v>
      </c>
      <c r="R199" s="88">
        <f t="shared" si="335"/>
        <v>2.1580120874252136</v>
      </c>
      <c r="S199" s="88">
        <f t="shared" si="336"/>
        <v>2.1167379105198845</v>
      </c>
      <c r="T199" s="88">
        <f t="shared" si="337"/>
        <v>2.0931231987087626</v>
      </c>
      <c r="U199" s="88">
        <f t="shared" si="338"/>
        <v>2.0914205851771484</v>
      </c>
      <c r="V199" s="88">
        <f t="shared" si="339"/>
        <v>2.0900880890748605</v>
      </c>
      <c r="W199" s="88">
        <f t="shared" si="340"/>
        <v>2.089905187233545</v>
      </c>
      <c r="X199" s="88">
        <f t="shared" si="341"/>
        <v>2.0897255664076329</v>
      </c>
      <c r="Y199" s="34">
        <v>1E-3</v>
      </c>
      <c r="AA199" s="90" t="s">
        <v>607</v>
      </c>
      <c r="AB199" s="133">
        <f t="shared" si="356"/>
        <v>0.90599824716209543</v>
      </c>
      <c r="AC199" s="133">
        <f t="shared" si="342"/>
        <v>0.89589076649489296</v>
      </c>
      <c r="AD199" s="133">
        <f t="shared" si="343"/>
        <v>0.89516202021621072</v>
      </c>
      <c r="AE199" s="133">
        <f t="shared" si="344"/>
        <v>0.89459169021596685</v>
      </c>
      <c r="AF199" s="133">
        <f t="shared" si="345"/>
        <v>0.89451340525361456</v>
      </c>
      <c r="AG199" s="133">
        <f t="shared" si="346"/>
        <v>0.89443652461920942</v>
      </c>
      <c r="AH199" s="34"/>
    </row>
    <row r="200" spans="1:34" x14ac:dyDescent="0.35">
      <c r="A200" s="90" t="s">
        <v>608</v>
      </c>
      <c r="D200" s="130">
        <v>0</v>
      </c>
      <c r="E200" s="88">
        <v>0</v>
      </c>
      <c r="F200" s="88">
        <v>0</v>
      </c>
      <c r="G200" s="88">
        <v>0</v>
      </c>
      <c r="H200" s="88">
        <v>0</v>
      </c>
      <c r="I200" s="88">
        <v>0</v>
      </c>
      <c r="J200" s="88">
        <v>0</v>
      </c>
      <c r="K200" s="88">
        <v>0</v>
      </c>
      <c r="L200" s="34" t="s">
        <v>279</v>
      </c>
      <c r="N200" s="90" t="s">
        <v>608</v>
      </c>
      <c r="O200" s="88" t="str">
        <f t="shared" si="332"/>
        <v/>
      </c>
      <c r="P200" s="88" t="str">
        <f t="shared" si="333"/>
        <v/>
      </c>
      <c r="Q200" s="88" t="str">
        <f t="shared" si="334"/>
        <v/>
      </c>
      <c r="R200" s="88" t="str">
        <f t="shared" si="335"/>
        <v/>
      </c>
      <c r="S200" s="88" t="str">
        <f t="shared" si="336"/>
        <v/>
      </c>
      <c r="T200" s="88" t="str">
        <f t="shared" si="337"/>
        <v/>
      </c>
      <c r="U200" s="88" t="str">
        <f t="shared" si="338"/>
        <v/>
      </c>
      <c r="V200" s="88" t="str">
        <f t="shared" si="339"/>
        <v/>
      </c>
      <c r="W200" s="88" t="str">
        <f t="shared" si="340"/>
        <v/>
      </c>
      <c r="X200" s="88" t="str">
        <f t="shared" si="341"/>
        <v/>
      </c>
      <c r="Y200" s="34" t="s">
        <v>279</v>
      </c>
      <c r="AA200" s="90" t="s">
        <v>608</v>
      </c>
      <c r="AB200" s="133" t="str">
        <f t="shared" si="356"/>
        <v/>
      </c>
      <c r="AC200" s="133" t="str">
        <f t="shared" si="342"/>
        <v/>
      </c>
      <c r="AD200" s="133" t="str">
        <f t="shared" si="343"/>
        <v/>
      </c>
      <c r="AE200" s="133" t="str">
        <f t="shared" si="344"/>
        <v/>
      </c>
      <c r="AF200" s="133" t="str">
        <f t="shared" si="345"/>
        <v/>
      </c>
      <c r="AG200" s="133" t="str">
        <f t="shared" si="346"/>
        <v/>
      </c>
      <c r="AH200" s="34"/>
    </row>
    <row r="201" spans="1:34" x14ac:dyDescent="0.35">
      <c r="A201" s="90" t="s">
        <v>609</v>
      </c>
      <c r="D201" s="130">
        <v>0</v>
      </c>
      <c r="E201" s="88">
        <v>92.945457000000005</v>
      </c>
      <c r="F201" s="88">
        <v>94.914055000000005</v>
      </c>
      <c r="G201" s="88">
        <v>95.925658999999996</v>
      </c>
      <c r="H201" s="88">
        <v>95.950157000000004</v>
      </c>
      <c r="I201" s="88">
        <v>95.994140999999999</v>
      </c>
      <c r="J201" s="88">
        <v>96.010323</v>
      </c>
      <c r="K201" s="88">
        <v>96.020660000000007</v>
      </c>
      <c r="L201" s="34">
        <v>2E-3</v>
      </c>
      <c r="N201" s="90" t="s">
        <v>609</v>
      </c>
      <c r="O201" s="88" t="str">
        <f t="shared" si="332"/>
        <v/>
      </c>
      <c r="P201" s="88" t="str">
        <f t="shared" si="333"/>
        <v/>
      </c>
      <c r="Q201" s="88" t="str">
        <f t="shared" si="334"/>
        <v/>
      </c>
      <c r="R201" s="88">
        <f t="shared" si="335"/>
        <v>2.5306790329884348</v>
      </c>
      <c r="S201" s="88">
        <f t="shared" si="336"/>
        <v>2.478190603503645</v>
      </c>
      <c r="T201" s="88">
        <f t="shared" si="337"/>
        <v>2.452056328760047</v>
      </c>
      <c r="U201" s="88">
        <f t="shared" si="338"/>
        <v>2.4514302695870329</v>
      </c>
      <c r="V201" s="88">
        <f t="shared" si="339"/>
        <v>2.4503070373995861</v>
      </c>
      <c r="W201" s="88">
        <f t="shared" si="340"/>
        <v>2.4498940519284385</v>
      </c>
      <c r="X201" s="88">
        <f t="shared" si="341"/>
        <v>2.4496303112416444</v>
      </c>
      <c r="Y201" s="34">
        <v>2E-3</v>
      </c>
      <c r="AA201" s="90" t="s">
        <v>609</v>
      </c>
      <c r="AB201" s="133">
        <f t="shared" si="356"/>
        <v>0</v>
      </c>
      <c r="AC201" s="133">
        <f t="shared" si="342"/>
        <v>0</v>
      </c>
      <c r="AD201" s="133">
        <f t="shared" si="343"/>
        <v>0</v>
      </c>
      <c r="AE201" s="133">
        <f t="shared" si="344"/>
        <v>0</v>
      </c>
      <c r="AF201" s="133">
        <f t="shared" si="345"/>
        <v>0</v>
      </c>
      <c r="AG201" s="133">
        <f t="shared" si="346"/>
        <v>0</v>
      </c>
      <c r="AH201" s="34"/>
    </row>
    <row r="202" spans="1:34" x14ac:dyDescent="0.35">
      <c r="A202" s="90" t="s">
        <v>610</v>
      </c>
      <c r="D202" s="130">
        <v>0</v>
      </c>
      <c r="E202" s="88">
        <v>0</v>
      </c>
      <c r="F202" s="88">
        <v>0</v>
      </c>
      <c r="G202" s="88">
        <v>106.471214</v>
      </c>
      <c r="H202" s="88">
        <v>106.550217</v>
      </c>
      <c r="I202" s="88">
        <v>106.638046</v>
      </c>
      <c r="J202" s="88">
        <v>106.646652</v>
      </c>
      <c r="K202" s="88">
        <v>106.650238</v>
      </c>
      <c r="L202" s="34" t="s">
        <v>279</v>
      </c>
      <c r="N202" s="90" t="s">
        <v>610</v>
      </c>
      <c r="O202" s="88" t="str">
        <f t="shared" si="332"/>
        <v/>
      </c>
      <c r="P202" s="88" t="str">
        <f t="shared" si="333"/>
        <v/>
      </c>
      <c r="Q202" s="88" t="str">
        <f t="shared" si="334"/>
        <v/>
      </c>
      <c r="R202" s="88" t="str">
        <f t="shared" si="335"/>
        <v/>
      </c>
      <c r="S202" s="88" t="str">
        <f t="shared" si="336"/>
        <v/>
      </c>
      <c r="T202" s="88">
        <f t="shared" si="337"/>
        <v>2.2091897932283193</v>
      </c>
      <c r="U202" s="88">
        <f t="shared" si="338"/>
        <v>2.207551761639567</v>
      </c>
      <c r="V202" s="88">
        <f t="shared" si="339"/>
        <v>2.2057335825660958</v>
      </c>
      <c r="W202" s="88">
        <f t="shared" si="340"/>
        <v>2.2055555878249993</v>
      </c>
      <c r="X202" s="88">
        <f t="shared" si="341"/>
        <v>2.2054814283811361</v>
      </c>
      <c r="Y202" s="34" t="s">
        <v>279</v>
      </c>
      <c r="AA202" s="90" t="s">
        <v>610</v>
      </c>
      <c r="AB202" s="133" t="str">
        <f t="shared" si="356"/>
        <v/>
      </c>
      <c r="AC202" s="133">
        <f t="shared" si="342"/>
        <v>0</v>
      </c>
      <c r="AD202" s="133">
        <f t="shared" si="343"/>
        <v>0</v>
      </c>
      <c r="AE202" s="133">
        <f t="shared" si="344"/>
        <v>0</v>
      </c>
      <c r="AF202" s="133">
        <f t="shared" si="345"/>
        <v>0</v>
      </c>
      <c r="AG202" s="133">
        <f t="shared" si="346"/>
        <v>0</v>
      </c>
      <c r="AH202" s="34"/>
    </row>
    <row r="203" spans="1:34" x14ac:dyDescent="0.35">
      <c r="A203" s="90" t="s">
        <v>611</v>
      </c>
      <c r="D203" s="130">
        <v>0</v>
      </c>
      <c r="E203" s="88">
        <v>0</v>
      </c>
      <c r="F203" s="88">
        <v>0</v>
      </c>
      <c r="G203" s="88">
        <v>0</v>
      </c>
      <c r="H203" s="88">
        <v>0</v>
      </c>
      <c r="I203" s="88">
        <v>0</v>
      </c>
      <c r="J203" s="88">
        <v>0</v>
      </c>
      <c r="K203" s="88">
        <v>0</v>
      </c>
      <c r="L203" s="34" t="s">
        <v>279</v>
      </c>
      <c r="N203" s="90" t="s">
        <v>611</v>
      </c>
      <c r="O203" s="88" t="str">
        <f t="shared" si="332"/>
        <v/>
      </c>
      <c r="P203" s="88" t="str">
        <f t="shared" si="333"/>
        <v/>
      </c>
      <c r="Q203" s="88" t="str">
        <f t="shared" si="334"/>
        <v/>
      </c>
      <c r="R203" s="88" t="str">
        <f t="shared" si="335"/>
        <v/>
      </c>
      <c r="S203" s="88" t="str">
        <f t="shared" si="336"/>
        <v/>
      </c>
      <c r="T203" s="88" t="str">
        <f t="shared" si="337"/>
        <v/>
      </c>
      <c r="U203" s="88" t="str">
        <f t="shared" si="338"/>
        <v/>
      </c>
      <c r="V203" s="88" t="str">
        <f t="shared" si="339"/>
        <v/>
      </c>
      <c r="W203" s="88" t="str">
        <f t="shared" si="340"/>
        <v/>
      </c>
      <c r="X203" s="88" t="str">
        <f t="shared" si="341"/>
        <v/>
      </c>
      <c r="Y203" s="34" t="s">
        <v>279</v>
      </c>
      <c r="AA203" s="90" t="s">
        <v>611</v>
      </c>
      <c r="AB203" s="133" t="str">
        <f t="shared" si="356"/>
        <v/>
      </c>
      <c r="AC203" s="133" t="str">
        <f t="shared" si="342"/>
        <v/>
      </c>
      <c r="AD203" s="133" t="str">
        <f t="shared" si="343"/>
        <v/>
      </c>
      <c r="AE203" s="133" t="str">
        <f t="shared" si="344"/>
        <v/>
      </c>
      <c r="AF203" s="133" t="str">
        <f t="shared" si="345"/>
        <v/>
      </c>
      <c r="AG203" s="133" t="str">
        <f t="shared" si="346"/>
        <v/>
      </c>
      <c r="AH203" s="34"/>
    </row>
    <row r="204" spans="1:34" x14ac:dyDescent="0.35">
      <c r="A204" s="90" t="s">
        <v>612</v>
      </c>
      <c r="D204" s="130">
        <v>91.660881000000003</v>
      </c>
      <c r="E204" s="88">
        <v>96.007514999999998</v>
      </c>
      <c r="F204" s="88">
        <v>98.183494999999994</v>
      </c>
      <c r="G204" s="88">
        <v>99.505463000000006</v>
      </c>
      <c r="H204" s="88">
        <v>99.667350999999996</v>
      </c>
      <c r="I204" s="88">
        <v>99.734343999999993</v>
      </c>
      <c r="J204" s="88">
        <v>99.765701000000007</v>
      </c>
      <c r="K204" s="88">
        <v>99.784583999999995</v>
      </c>
      <c r="L204" s="34">
        <v>2E-3</v>
      </c>
      <c r="N204" s="90" t="s">
        <v>612</v>
      </c>
      <c r="O204" s="88" t="str">
        <f t="shared" si="332"/>
        <v/>
      </c>
      <c r="P204" s="88" t="str">
        <f t="shared" si="333"/>
        <v/>
      </c>
      <c r="Q204" s="88">
        <f t="shared" si="334"/>
        <v>2.5661450847437099</v>
      </c>
      <c r="R204" s="88">
        <f t="shared" si="335"/>
        <v>2.449965705720309</v>
      </c>
      <c r="S204" s="88">
        <f t="shared" si="336"/>
        <v>2.3956686329146071</v>
      </c>
      <c r="T204" s="88">
        <f t="shared" si="337"/>
        <v>2.3638412620765168</v>
      </c>
      <c r="U204" s="88">
        <f t="shared" si="338"/>
        <v>2.3600017145176073</v>
      </c>
      <c r="V204" s="88">
        <f t="shared" si="339"/>
        <v>2.3584164672645578</v>
      </c>
      <c r="W204" s="88">
        <f t="shared" si="340"/>
        <v>2.3576752018354297</v>
      </c>
      <c r="X204" s="88">
        <f t="shared" si="341"/>
        <v>2.3572290409250809</v>
      </c>
      <c r="Y204" s="34">
        <v>2E-3</v>
      </c>
      <c r="AA204" s="90" t="s">
        <v>612</v>
      </c>
      <c r="AB204" s="133">
        <f t="shared" si="356"/>
        <v>0.93356710310628088</v>
      </c>
      <c r="AC204" s="133">
        <f t="shared" si="342"/>
        <v>0.92116430833551322</v>
      </c>
      <c r="AD204" s="133">
        <f t="shared" si="343"/>
        <v>0.9196680766603299</v>
      </c>
      <c r="AE204" s="133">
        <f t="shared" si="344"/>
        <v>0.91905032232427386</v>
      </c>
      <c r="AF204" s="133">
        <f t="shared" si="345"/>
        <v>0.91876145891061289</v>
      </c>
      <c r="AG204" s="133">
        <f t="shared" si="346"/>
        <v>0.91858759465289752</v>
      </c>
      <c r="AH204" s="34"/>
    </row>
    <row r="205" spans="1:34" x14ac:dyDescent="0.35">
      <c r="A205" s="90" t="s">
        <v>613</v>
      </c>
      <c r="D205" s="130">
        <v>71.328461000000004</v>
      </c>
      <c r="E205" s="88">
        <v>88.629333000000003</v>
      </c>
      <c r="F205" s="88">
        <v>90.790108000000004</v>
      </c>
      <c r="G205" s="88">
        <v>92.172707000000003</v>
      </c>
      <c r="H205" s="88">
        <v>92.334541000000002</v>
      </c>
      <c r="I205" s="88">
        <v>92.422066000000001</v>
      </c>
      <c r="J205" s="88">
        <v>92.447143999999994</v>
      </c>
      <c r="K205" s="88">
        <v>92.463859999999997</v>
      </c>
      <c r="L205" s="34">
        <v>2E-3</v>
      </c>
      <c r="N205" s="90" t="s">
        <v>613</v>
      </c>
      <c r="O205" s="88" t="str">
        <f t="shared" si="332"/>
        <v/>
      </c>
      <c r="P205" s="88" t="str">
        <f t="shared" si="333"/>
        <v/>
      </c>
      <c r="Q205" s="88">
        <f t="shared" si="334"/>
        <v>3.2976334543574146</v>
      </c>
      <c r="R205" s="88">
        <f t="shared" si="335"/>
        <v>2.6539195464940275</v>
      </c>
      <c r="S205" s="88">
        <f t="shared" si="336"/>
        <v>2.5907571256708728</v>
      </c>
      <c r="T205" s="88">
        <f t="shared" si="337"/>
        <v>2.5518955328221851</v>
      </c>
      <c r="U205" s="88">
        <f t="shared" si="338"/>
        <v>2.5474228462502255</v>
      </c>
      <c r="V205" s="88">
        <f t="shared" si="339"/>
        <v>2.5450104008866035</v>
      </c>
      <c r="W205" s="88">
        <f t="shared" si="340"/>
        <v>2.5443200196798741</v>
      </c>
      <c r="X205" s="88">
        <f t="shared" si="341"/>
        <v>2.5438600469570289</v>
      </c>
      <c r="Y205" s="34">
        <v>2E-3</v>
      </c>
      <c r="AA205" s="90" t="s">
        <v>613</v>
      </c>
      <c r="AB205" s="133">
        <f t="shared" si="356"/>
        <v>0.78564132779751739</v>
      </c>
      <c r="AC205" s="133">
        <f t="shared" si="342"/>
        <v>0.77385663632511092</v>
      </c>
      <c r="AD205" s="133">
        <f t="shared" si="343"/>
        <v>0.77250030408447046</v>
      </c>
      <c r="AE205" s="133">
        <f t="shared" si="344"/>
        <v>0.77176873540134894</v>
      </c>
      <c r="AF205" s="133">
        <f t="shared" si="345"/>
        <v>0.77155937883813919</v>
      </c>
      <c r="AG205" s="133">
        <f t="shared" si="346"/>
        <v>0.77141989313446369</v>
      </c>
      <c r="AH205" s="34"/>
    </row>
    <row r="206" spans="1:34" x14ac:dyDescent="0.35">
      <c r="A206" s="90" t="s">
        <v>614</v>
      </c>
      <c r="D206" s="130">
        <v>108.777473</v>
      </c>
      <c r="E206" s="88">
        <v>103.040245</v>
      </c>
      <c r="F206" s="88">
        <v>104.689201</v>
      </c>
      <c r="G206" s="88">
        <v>105.929016</v>
      </c>
      <c r="H206" s="88">
        <v>106.14548499999999</v>
      </c>
      <c r="I206" s="88">
        <v>106.369247</v>
      </c>
      <c r="J206" s="88">
        <v>106.431465</v>
      </c>
      <c r="K206" s="88">
        <v>106.423187</v>
      </c>
      <c r="L206" s="34">
        <v>1E-3</v>
      </c>
      <c r="N206" s="90" t="s">
        <v>614</v>
      </c>
      <c r="O206" s="88" t="str">
        <f t="shared" si="332"/>
        <v/>
      </c>
      <c r="P206" s="88" t="str">
        <f t="shared" si="333"/>
        <v/>
      </c>
      <c r="Q206" s="88">
        <f t="shared" si="334"/>
        <v>2.1623513835574038</v>
      </c>
      <c r="R206" s="88">
        <f t="shared" si="335"/>
        <v>2.2827499996863181</v>
      </c>
      <c r="S206" s="88">
        <f t="shared" si="336"/>
        <v>2.2467944830472835</v>
      </c>
      <c r="T206" s="88">
        <f t="shared" si="337"/>
        <v>2.2204975381006857</v>
      </c>
      <c r="U206" s="88">
        <f t="shared" si="338"/>
        <v>2.2159691412350524</v>
      </c>
      <c r="V206" s="88">
        <f t="shared" si="339"/>
        <v>2.2113075524679435</v>
      </c>
      <c r="W206" s="88">
        <f t="shared" si="340"/>
        <v>2.2100148601865826</v>
      </c>
      <c r="X206" s="88">
        <f t="shared" si="341"/>
        <v>2.2101867635426871</v>
      </c>
      <c r="Y206" s="34">
        <v>1E-3</v>
      </c>
      <c r="AA206" s="90" t="s">
        <v>614</v>
      </c>
      <c r="AB206" s="133">
        <f t="shared" si="356"/>
        <v>1.039051515924742</v>
      </c>
      <c r="AC206" s="133">
        <f t="shared" si="342"/>
        <v>1.0268902431794513</v>
      </c>
      <c r="AD206" s="133">
        <f t="shared" si="343"/>
        <v>1.024796042902814</v>
      </c>
      <c r="AE206" s="133">
        <f t="shared" si="344"/>
        <v>1.0226402467622997</v>
      </c>
      <c r="AF206" s="133">
        <f t="shared" si="345"/>
        <v>1.0220424289001377</v>
      </c>
      <c r="AG206" s="133">
        <f t="shared" si="346"/>
        <v>1.0221219272450468</v>
      </c>
      <c r="AH206" s="34"/>
    </row>
    <row r="207" spans="1:34" x14ac:dyDescent="0.35">
      <c r="A207" s="90" t="s">
        <v>615</v>
      </c>
      <c r="D207" s="130">
        <v>89.466553000000005</v>
      </c>
      <c r="E207" s="88">
        <v>96.229729000000006</v>
      </c>
      <c r="F207" s="88">
        <v>98.261520000000004</v>
      </c>
      <c r="G207" s="88">
        <v>99.402137999999994</v>
      </c>
      <c r="H207" s="88">
        <v>99.413482999999999</v>
      </c>
      <c r="I207" s="88">
        <v>99.413276999999994</v>
      </c>
      <c r="J207" s="88">
        <v>99.430678999999998</v>
      </c>
      <c r="K207" s="88">
        <v>99.445518000000007</v>
      </c>
      <c r="L207" s="34">
        <v>2E-3</v>
      </c>
      <c r="N207" s="90" t="s">
        <v>615</v>
      </c>
      <c r="O207" s="88" t="str">
        <f t="shared" si="332"/>
        <v/>
      </c>
      <c r="P207" s="88" t="str">
        <f t="shared" si="333"/>
        <v/>
      </c>
      <c r="Q207" s="88">
        <f t="shared" si="334"/>
        <v>2.6290844047767004</v>
      </c>
      <c r="R207" s="88">
        <f t="shared" si="335"/>
        <v>2.4443082370254636</v>
      </c>
      <c r="S207" s="88">
        <f t="shared" si="336"/>
        <v>2.3937663415081318</v>
      </c>
      <c r="T207" s="88">
        <f t="shared" si="337"/>
        <v>2.3662983913024904</v>
      </c>
      <c r="U207" s="88">
        <f t="shared" si="338"/>
        <v>2.3660283509172308</v>
      </c>
      <c r="V207" s="88">
        <f t="shared" si="339"/>
        <v>2.3660332537013962</v>
      </c>
      <c r="W207" s="88">
        <f t="shared" si="340"/>
        <v>2.3656191590668727</v>
      </c>
      <c r="X207" s="88">
        <f t="shared" si="341"/>
        <v>2.365266167565522</v>
      </c>
      <c r="Y207" s="34">
        <v>2E-3</v>
      </c>
      <c r="AA207" s="90" t="s">
        <v>615</v>
      </c>
      <c r="AB207" s="133">
        <f t="shared" si="356"/>
        <v>0.91049429115283376</v>
      </c>
      <c r="AC207" s="133">
        <f t="shared" si="342"/>
        <v>0.90004656640282743</v>
      </c>
      <c r="AD207" s="133">
        <f t="shared" si="343"/>
        <v>0.89994385369236085</v>
      </c>
      <c r="AE207" s="133">
        <f t="shared" si="344"/>
        <v>0.89994571851806082</v>
      </c>
      <c r="AF207" s="133">
        <f t="shared" si="345"/>
        <v>0.8997882132535775</v>
      </c>
      <c r="AG207" s="133">
        <f t="shared" si="346"/>
        <v>0.89965394921066222</v>
      </c>
      <c r="AH207" s="34"/>
    </row>
    <row r="208" spans="1:34" x14ac:dyDescent="0.35">
      <c r="A208" t="s">
        <v>595</v>
      </c>
      <c r="L208" s="34"/>
      <c r="N208" t="s">
        <v>595</v>
      </c>
      <c r="O208" s="88"/>
      <c r="P208" s="88"/>
      <c r="Q208" s="88"/>
      <c r="R208" s="88"/>
      <c r="S208" s="88"/>
      <c r="T208" s="88"/>
      <c r="U208" s="88"/>
      <c r="V208" s="88"/>
      <c r="W208" s="88"/>
      <c r="X208" s="88"/>
      <c r="Y208" s="34"/>
      <c r="AA208" t="s">
        <v>595</v>
      </c>
      <c r="AB208" s="88"/>
      <c r="AC208" s="88"/>
      <c r="AD208" s="88"/>
      <c r="AE208" s="88"/>
      <c r="AF208" s="88"/>
      <c r="AG208" s="88"/>
      <c r="AH208" s="34"/>
    </row>
    <row r="209" spans="1:34" x14ac:dyDescent="0.35">
      <c r="A209" s="90" t="s">
        <v>600</v>
      </c>
      <c r="B209" s="132">
        <v>0</v>
      </c>
      <c r="C209" s="130">
        <v>0</v>
      </c>
      <c r="D209" s="130">
        <v>0</v>
      </c>
      <c r="E209" s="88">
        <v>0</v>
      </c>
      <c r="F209" s="88">
        <v>0</v>
      </c>
      <c r="G209" s="88">
        <v>0</v>
      </c>
      <c r="H209" s="88">
        <v>0</v>
      </c>
      <c r="I209" s="88">
        <v>0</v>
      </c>
      <c r="J209" s="88">
        <v>0</v>
      </c>
      <c r="K209" s="88">
        <v>0</v>
      </c>
      <c r="L209" s="34" t="s">
        <v>279</v>
      </c>
      <c r="N209" s="90" t="s">
        <v>600</v>
      </c>
      <c r="O209" s="88" t="str">
        <f t="shared" ref="O209:O224" si="357">IFERROR(L_100km_to_mpg/B209, "")</f>
        <v/>
      </c>
      <c r="P209" s="88" t="str">
        <f t="shared" ref="P209:P224" si="358">IFERROR(L_100km_to_mpg/C209, "")</f>
        <v/>
      </c>
      <c r="Q209" s="88" t="str">
        <f t="shared" ref="Q209:Q224" si="359">IFERROR(L_100km_to_mpg/D209, "")</f>
        <v/>
      </c>
      <c r="R209" s="88" t="str">
        <f t="shared" ref="R209:R224" si="360">IFERROR(L_100km_to_mpg/E209, "")</f>
        <v/>
      </c>
      <c r="S209" s="88" t="str">
        <f t="shared" ref="S209:S224" si="361">IFERROR(L_100km_to_mpg/F209, "")</f>
        <v/>
      </c>
      <c r="T209" s="88" t="str">
        <f t="shared" ref="T209:T224" si="362">IFERROR(L_100km_to_mpg/G209, "")</f>
        <v/>
      </c>
      <c r="U209" s="88" t="str">
        <f t="shared" ref="U209:U224" si="363">IFERROR(L_100km_to_mpg/H209, "")</f>
        <v/>
      </c>
      <c r="V209" s="88" t="str">
        <f t="shared" ref="V209:V224" si="364">IFERROR(L_100km_to_mpg/I209, "")</f>
        <v/>
      </c>
      <c r="W209" s="88" t="str">
        <f t="shared" ref="W209:W224" si="365">IFERROR(L_100km_to_mpg/J209, "")</f>
        <v/>
      </c>
      <c r="X209" s="88" t="str">
        <f t="shared" ref="X209:X224" si="366">IFERROR(L_100km_to_mpg/K209, "")</f>
        <v/>
      </c>
      <c r="Y209" s="34" t="s">
        <v>279</v>
      </c>
      <c r="AA209" s="90" t="s">
        <v>600</v>
      </c>
      <c r="AB209" s="133" t="str">
        <f>IFERROR($D209/F209, "")</f>
        <v/>
      </c>
      <c r="AC209" s="133" t="str">
        <f t="shared" ref="AC209:AC224" si="367">IFERROR($D209/G209, "")</f>
        <v/>
      </c>
      <c r="AD209" s="133" t="str">
        <f t="shared" ref="AD209:AD224" si="368">IFERROR($D209/H209, "")</f>
        <v/>
      </c>
      <c r="AE209" s="133" t="str">
        <f t="shared" ref="AE209:AE224" si="369">IFERROR($D209/I209, "")</f>
        <v/>
      </c>
      <c r="AF209" s="133" t="str">
        <f t="shared" ref="AF209:AF224" si="370">IFERROR($D209/J209, "")</f>
        <v/>
      </c>
      <c r="AG209" s="133" t="str">
        <f t="shared" ref="AG209:AG224" si="371">IFERROR($D209/K209, "")</f>
        <v/>
      </c>
      <c r="AH209" s="34"/>
    </row>
    <row r="210" spans="1:34" x14ac:dyDescent="0.35">
      <c r="A210" s="90" t="s">
        <v>601</v>
      </c>
      <c r="B210" s="132">
        <v>0</v>
      </c>
      <c r="C210" s="130">
        <v>0</v>
      </c>
      <c r="D210" s="130">
        <v>0</v>
      </c>
      <c r="E210" s="88">
        <v>0</v>
      </c>
      <c r="F210" s="88">
        <v>0</v>
      </c>
      <c r="G210" s="88">
        <v>0</v>
      </c>
      <c r="H210" s="88">
        <v>0</v>
      </c>
      <c r="I210" s="88">
        <v>0</v>
      </c>
      <c r="J210" s="88">
        <v>0</v>
      </c>
      <c r="K210" s="88">
        <v>0</v>
      </c>
      <c r="L210" s="34" t="s">
        <v>279</v>
      </c>
      <c r="N210" s="90" t="s">
        <v>601</v>
      </c>
      <c r="O210" s="88" t="str">
        <f t="shared" si="357"/>
        <v/>
      </c>
      <c r="P210" s="88" t="str">
        <f t="shared" si="358"/>
        <v/>
      </c>
      <c r="Q210" s="88" t="str">
        <f t="shared" si="359"/>
        <v/>
      </c>
      <c r="R210" s="88" t="str">
        <f t="shared" si="360"/>
        <v/>
      </c>
      <c r="S210" s="88" t="str">
        <f t="shared" si="361"/>
        <v/>
      </c>
      <c r="T210" s="88" t="str">
        <f t="shared" si="362"/>
        <v/>
      </c>
      <c r="U210" s="88" t="str">
        <f t="shared" si="363"/>
        <v/>
      </c>
      <c r="V210" s="88" t="str">
        <f t="shared" si="364"/>
        <v/>
      </c>
      <c r="W210" s="88" t="str">
        <f t="shared" si="365"/>
        <v/>
      </c>
      <c r="X210" s="88" t="str">
        <f t="shared" si="366"/>
        <v/>
      </c>
      <c r="Y210" s="34" t="s">
        <v>279</v>
      </c>
      <c r="AA210" s="90" t="s">
        <v>601</v>
      </c>
      <c r="AB210" s="133" t="str">
        <f t="shared" ref="AB210:AB224" si="372">IFERROR($D210/F210, "")</f>
        <v/>
      </c>
      <c r="AC210" s="133" t="str">
        <f t="shared" si="367"/>
        <v/>
      </c>
      <c r="AD210" s="133" t="str">
        <f t="shared" si="368"/>
        <v/>
      </c>
      <c r="AE210" s="133" t="str">
        <f t="shared" si="369"/>
        <v/>
      </c>
      <c r="AF210" s="133" t="str">
        <f t="shared" si="370"/>
        <v/>
      </c>
      <c r="AG210" s="133" t="str">
        <f t="shared" si="371"/>
        <v/>
      </c>
      <c r="AH210" s="34"/>
    </row>
    <row r="211" spans="1:34" x14ac:dyDescent="0.35">
      <c r="A211" s="90" t="s">
        <v>602</v>
      </c>
      <c r="B211" s="132">
        <v>0</v>
      </c>
      <c r="C211" s="130">
        <v>0</v>
      </c>
      <c r="D211" s="130">
        <v>0</v>
      </c>
      <c r="E211" s="88">
        <v>0</v>
      </c>
      <c r="F211" s="88">
        <v>0</v>
      </c>
      <c r="G211" s="88">
        <v>0</v>
      </c>
      <c r="H211" s="88">
        <v>0</v>
      </c>
      <c r="I211" s="88">
        <v>0</v>
      </c>
      <c r="J211" s="88">
        <v>0</v>
      </c>
      <c r="K211" s="88">
        <v>0</v>
      </c>
      <c r="L211" s="34" t="s">
        <v>279</v>
      </c>
      <c r="N211" s="90" t="s">
        <v>602</v>
      </c>
      <c r="O211" s="88" t="str">
        <f t="shared" si="357"/>
        <v/>
      </c>
      <c r="P211" s="88" t="str">
        <f t="shared" si="358"/>
        <v/>
      </c>
      <c r="Q211" s="88" t="str">
        <f t="shared" si="359"/>
        <v/>
      </c>
      <c r="R211" s="88" t="str">
        <f t="shared" si="360"/>
        <v/>
      </c>
      <c r="S211" s="88" t="str">
        <f t="shared" si="361"/>
        <v/>
      </c>
      <c r="T211" s="88" t="str">
        <f t="shared" si="362"/>
        <v/>
      </c>
      <c r="U211" s="88" t="str">
        <f t="shared" si="363"/>
        <v/>
      </c>
      <c r="V211" s="88" t="str">
        <f t="shared" si="364"/>
        <v/>
      </c>
      <c r="W211" s="88" t="str">
        <f t="shared" si="365"/>
        <v/>
      </c>
      <c r="X211" s="88" t="str">
        <f t="shared" si="366"/>
        <v/>
      </c>
      <c r="Y211" s="34" t="s">
        <v>279</v>
      </c>
      <c r="AA211" s="90" t="s">
        <v>602</v>
      </c>
      <c r="AB211" s="133" t="str">
        <f t="shared" si="372"/>
        <v/>
      </c>
      <c r="AC211" s="133" t="str">
        <f t="shared" si="367"/>
        <v/>
      </c>
      <c r="AD211" s="133" t="str">
        <f t="shared" si="368"/>
        <v/>
      </c>
      <c r="AE211" s="133" t="str">
        <f t="shared" si="369"/>
        <v/>
      </c>
      <c r="AF211" s="133" t="str">
        <f t="shared" si="370"/>
        <v/>
      </c>
      <c r="AG211" s="133" t="str">
        <f t="shared" si="371"/>
        <v/>
      </c>
      <c r="AH211" s="34"/>
    </row>
    <row r="212" spans="1:34" x14ac:dyDescent="0.35">
      <c r="A212" s="90" t="s">
        <v>603</v>
      </c>
      <c r="B212" s="132">
        <v>0</v>
      </c>
      <c r="C212" s="130">
        <v>0</v>
      </c>
      <c r="D212" s="130">
        <v>0</v>
      </c>
      <c r="E212" s="88">
        <v>0</v>
      </c>
      <c r="F212" s="88">
        <v>0</v>
      </c>
      <c r="G212" s="88">
        <v>0</v>
      </c>
      <c r="H212" s="88">
        <v>0</v>
      </c>
      <c r="I212" s="88">
        <v>0</v>
      </c>
      <c r="J212" s="88">
        <v>0</v>
      </c>
      <c r="K212" s="88">
        <v>0</v>
      </c>
      <c r="L212" s="34" t="s">
        <v>279</v>
      </c>
      <c r="N212" s="90" t="s">
        <v>603</v>
      </c>
      <c r="O212" s="88" t="str">
        <f t="shared" si="357"/>
        <v/>
      </c>
      <c r="P212" s="88" t="str">
        <f t="shared" si="358"/>
        <v/>
      </c>
      <c r="Q212" s="88" t="str">
        <f t="shared" si="359"/>
        <v/>
      </c>
      <c r="R212" s="88" t="str">
        <f t="shared" si="360"/>
        <v/>
      </c>
      <c r="S212" s="88" t="str">
        <f t="shared" si="361"/>
        <v/>
      </c>
      <c r="T212" s="88" t="str">
        <f t="shared" si="362"/>
        <v/>
      </c>
      <c r="U212" s="88" t="str">
        <f t="shared" si="363"/>
        <v/>
      </c>
      <c r="V212" s="88" t="str">
        <f t="shared" si="364"/>
        <v/>
      </c>
      <c r="W212" s="88" t="str">
        <f t="shared" si="365"/>
        <v/>
      </c>
      <c r="X212" s="88" t="str">
        <f t="shared" si="366"/>
        <v/>
      </c>
      <c r="Y212" s="34" t="s">
        <v>279</v>
      </c>
      <c r="AA212" s="90" t="s">
        <v>603</v>
      </c>
      <c r="AB212" s="133" t="str">
        <f t="shared" si="372"/>
        <v/>
      </c>
      <c r="AC212" s="133" t="str">
        <f t="shared" si="367"/>
        <v/>
      </c>
      <c r="AD212" s="133" t="str">
        <f t="shared" si="368"/>
        <v/>
      </c>
      <c r="AE212" s="133" t="str">
        <f t="shared" si="369"/>
        <v/>
      </c>
      <c r="AF212" s="133" t="str">
        <f t="shared" si="370"/>
        <v/>
      </c>
      <c r="AG212" s="133" t="str">
        <f t="shared" si="371"/>
        <v/>
      </c>
      <c r="AH212" s="34"/>
    </row>
    <row r="213" spans="1:34" x14ac:dyDescent="0.35">
      <c r="A213" s="90" t="s">
        <v>604</v>
      </c>
      <c r="B213" s="132">
        <v>0</v>
      </c>
      <c r="C213" s="130">
        <v>0</v>
      </c>
      <c r="D213" s="130">
        <v>0</v>
      </c>
      <c r="E213" s="88">
        <v>0</v>
      </c>
      <c r="F213" s="88">
        <v>0</v>
      </c>
      <c r="G213" s="88">
        <v>0</v>
      </c>
      <c r="H213" s="88">
        <v>0</v>
      </c>
      <c r="I213" s="88">
        <v>0</v>
      </c>
      <c r="J213" s="88">
        <v>0</v>
      </c>
      <c r="K213" s="88">
        <v>0</v>
      </c>
      <c r="L213" s="34" t="s">
        <v>279</v>
      </c>
      <c r="N213" s="90" t="s">
        <v>604</v>
      </c>
      <c r="O213" s="88" t="str">
        <f t="shared" si="357"/>
        <v/>
      </c>
      <c r="P213" s="88" t="str">
        <f t="shared" si="358"/>
        <v/>
      </c>
      <c r="Q213" s="88" t="str">
        <f t="shared" si="359"/>
        <v/>
      </c>
      <c r="R213" s="88" t="str">
        <f t="shared" si="360"/>
        <v/>
      </c>
      <c r="S213" s="88" t="str">
        <f t="shared" si="361"/>
        <v/>
      </c>
      <c r="T213" s="88" t="str">
        <f t="shared" si="362"/>
        <v/>
      </c>
      <c r="U213" s="88" t="str">
        <f t="shared" si="363"/>
        <v/>
      </c>
      <c r="V213" s="88" t="str">
        <f t="shared" si="364"/>
        <v/>
      </c>
      <c r="W213" s="88" t="str">
        <f t="shared" si="365"/>
        <v/>
      </c>
      <c r="X213" s="88" t="str">
        <f t="shared" si="366"/>
        <v/>
      </c>
      <c r="Y213" s="34" t="s">
        <v>279</v>
      </c>
      <c r="AA213" s="90" t="s">
        <v>604</v>
      </c>
      <c r="AB213" s="133" t="str">
        <f t="shared" si="372"/>
        <v/>
      </c>
      <c r="AC213" s="133" t="str">
        <f t="shared" si="367"/>
        <v/>
      </c>
      <c r="AD213" s="133" t="str">
        <f t="shared" si="368"/>
        <v/>
      </c>
      <c r="AE213" s="133" t="str">
        <f t="shared" si="369"/>
        <v/>
      </c>
      <c r="AF213" s="133" t="str">
        <f t="shared" si="370"/>
        <v/>
      </c>
      <c r="AG213" s="133" t="str">
        <f t="shared" si="371"/>
        <v/>
      </c>
      <c r="AH213" s="34"/>
    </row>
    <row r="214" spans="1:34" x14ac:dyDescent="0.35">
      <c r="A214" s="90" t="s">
        <v>605</v>
      </c>
      <c r="B214" s="132">
        <v>0</v>
      </c>
      <c r="C214" s="130">
        <v>0</v>
      </c>
      <c r="D214" s="130">
        <v>0</v>
      </c>
      <c r="E214" s="88">
        <v>0</v>
      </c>
      <c r="F214" s="88">
        <v>0</v>
      </c>
      <c r="G214" s="88">
        <v>0</v>
      </c>
      <c r="H214" s="88">
        <v>0</v>
      </c>
      <c r="I214" s="88">
        <v>0</v>
      </c>
      <c r="J214" s="88">
        <v>0</v>
      </c>
      <c r="K214" s="88">
        <v>0</v>
      </c>
      <c r="L214" s="34" t="s">
        <v>279</v>
      </c>
      <c r="N214" s="90" t="s">
        <v>605</v>
      </c>
      <c r="O214" s="88" t="str">
        <f t="shared" si="357"/>
        <v/>
      </c>
      <c r="P214" s="88" t="str">
        <f t="shared" si="358"/>
        <v/>
      </c>
      <c r="Q214" s="88" t="str">
        <f t="shared" si="359"/>
        <v/>
      </c>
      <c r="R214" s="88" t="str">
        <f t="shared" si="360"/>
        <v/>
      </c>
      <c r="S214" s="88" t="str">
        <f t="shared" si="361"/>
        <v/>
      </c>
      <c r="T214" s="88" t="str">
        <f t="shared" si="362"/>
        <v/>
      </c>
      <c r="U214" s="88" t="str">
        <f t="shared" si="363"/>
        <v/>
      </c>
      <c r="V214" s="88" t="str">
        <f t="shared" si="364"/>
        <v/>
      </c>
      <c r="W214" s="88" t="str">
        <f t="shared" si="365"/>
        <v/>
      </c>
      <c r="X214" s="88" t="str">
        <f t="shared" si="366"/>
        <v/>
      </c>
      <c r="Y214" s="34" t="s">
        <v>279</v>
      </c>
      <c r="AA214" s="90" t="s">
        <v>605</v>
      </c>
      <c r="AB214" s="133" t="str">
        <f t="shared" si="372"/>
        <v/>
      </c>
      <c r="AC214" s="133" t="str">
        <f t="shared" si="367"/>
        <v/>
      </c>
      <c r="AD214" s="133" t="str">
        <f t="shared" si="368"/>
        <v/>
      </c>
      <c r="AE214" s="133" t="str">
        <f t="shared" si="369"/>
        <v/>
      </c>
      <c r="AF214" s="133" t="str">
        <f t="shared" si="370"/>
        <v/>
      </c>
      <c r="AG214" s="133" t="str">
        <f t="shared" si="371"/>
        <v/>
      </c>
      <c r="AH214" s="34"/>
    </row>
    <row r="215" spans="1:34" x14ac:dyDescent="0.35">
      <c r="A215" s="90" t="s">
        <v>606</v>
      </c>
      <c r="D215" s="130">
        <v>0</v>
      </c>
      <c r="E215" s="88">
        <v>0</v>
      </c>
      <c r="F215" s="88">
        <v>0</v>
      </c>
      <c r="G215" s="88">
        <v>0</v>
      </c>
      <c r="H215" s="88">
        <v>0</v>
      </c>
      <c r="I215" s="88">
        <v>0</v>
      </c>
      <c r="J215" s="88">
        <v>0</v>
      </c>
      <c r="K215" s="88">
        <v>0</v>
      </c>
      <c r="L215" s="34" t="s">
        <v>279</v>
      </c>
      <c r="N215" s="90" t="s">
        <v>606</v>
      </c>
      <c r="O215" s="88" t="str">
        <f t="shared" si="357"/>
        <v/>
      </c>
      <c r="P215" s="88" t="str">
        <f t="shared" si="358"/>
        <v/>
      </c>
      <c r="Q215" s="88" t="str">
        <f t="shared" si="359"/>
        <v/>
      </c>
      <c r="R215" s="88" t="str">
        <f t="shared" si="360"/>
        <v/>
      </c>
      <c r="S215" s="88" t="str">
        <f t="shared" si="361"/>
        <v/>
      </c>
      <c r="T215" s="88" t="str">
        <f t="shared" si="362"/>
        <v/>
      </c>
      <c r="U215" s="88" t="str">
        <f t="shared" si="363"/>
        <v/>
      </c>
      <c r="V215" s="88" t="str">
        <f t="shared" si="364"/>
        <v/>
      </c>
      <c r="W215" s="88" t="str">
        <f t="shared" si="365"/>
        <v/>
      </c>
      <c r="X215" s="88" t="str">
        <f t="shared" si="366"/>
        <v/>
      </c>
      <c r="Y215" s="34" t="s">
        <v>279</v>
      </c>
      <c r="AA215" s="90" t="s">
        <v>606</v>
      </c>
      <c r="AB215" s="133" t="str">
        <f t="shared" si="372"/>
        <v/>
      </c>
      <c r="AC215" s="133" t="str">
        <f t="shared" si="367"/>
        <v/>
      </c>
      <c r="AD215" s="133" t="str">
        <f t="shared" si="368"/>
        <v/>
      </c>
      <c r="AE215" s="133" t="str">
        <f t="shared" si="369"/>
        <v/>
      </c>
      <c r="AF215" s="133" t="str">
        <f t="shared" si="370"/>
        <v/>
      </c>
      <c r="AG215" s="133" t="str">
        <f t="shared" si="371"/>
        <v/>
      </c>
      <c r="AH215" s="34"/>
    </row>
    <row r="216" spans="1:34" x14ac:dyDescent="0.35">
      <c r="A216" s="90" t="s">
        <v>607</v>
      </c>
      <c r="D216" s="130">
        <v>0</v>
      </c>
      <c r="E216" s="88">
        <v>0</v>
      </c>
      <c r="F216" s="88">
        <v>0</v>
      </c>
      <c r="G216" s="88">
        <v>0</v>
      </c>
      <c r="H216" s="88">
        <v>0</v>
      </c>
      <c r="I216" s="88">
        <v>0</v>
      </c>
      <c r="J216" s="88">
        <v>0</v>
      </c>
      <c r="K216" s="88">
        <v>0</v>
      </c>
      <c r="L216" s="34" t="s">
        <v>279</v>
      </c>
      <c r="N216" s="90" t="s">
        <v>607</v>
      </c>
      <c r="O216" s="88" t="str">
        <f t="shared" si="357"/>
        <v/>
      </c>
      <c r="P216" s="88" t="str">
        <f t="shared" si="358"/>
        <v/>
      </c>
      <c r="Q216" s="88" t="str">
        <f t="shared" si="359"/>
        <v/>
      </c>
      <c r="R216" s="88" t="str">
        <f t="shared" si="360"/>
        <v/>
      </c>
      <c r="S216" s="88" t="str">
        <f t="shared" si="361"/>
        <v/>
      </c>
      <c r="T216" s="88" t="str">
        <f t="shared" si="362"/>
        <v/>
      </c>
      <c r="U216" s="88" t="str">
        <f t="shared" si="363"/>
        <v/>
      </c>
      <c r="V216" s="88" t="str">
        <f t="shared" si="364"/>
        <v/>
      </c>
      <c r="W216" s="88" t="str">
        <f t="shared" si="365"/>
        <v/>
      </c>
      <c r="X216" s="88" t="str">
        <f t="shared" si="366"/>
        <v/>
      </c>
      <c r="Y216" s="34" t="s">
        <v>279</v>
      </c>
      <c r="AA216" s="90" t="s">
        <v>607</v>
      </c>
      <c r="AB216" s="133" t="str">
        <f t="shared" si="372"/>
        <v/>
      </c>
      <c r="AC216" s="133" t="str">
        <f t="shared" si="367"/>
        <v/>
      </c>
      <c r="AD216" s="133" t="str">
        <f t="shared" si="368"/>
        <v/>
      </c>
      <c r="AE216" s="133" t="str">
        <f t="shared" si="369"/>
        <v/>
      </c>
      <c r="AF216" s="133" t="str">
        <f t="shared" si="370"/>
        <v/>
      </c>
      <c r="AG216" s="133" t="str">
        <f t="shared" si="371"/>
        <v/>
      </c>
      <c r="AH216" s="34"/>
    </row>
    <row r="217" spans="1:34" x14ac:dyDescent="0.35">
      <c r="A217" s="90" t="s">
        <v>608</v>
      </c>
      <c r="B217" s="132">
        <v>0</v>
      </c>
      <c r="C217" s="130">
        <v>0</v>
      </c>
      <c r="D217" s="130">
        <v>0</v>
      </c>
      <c r="E217" s="88">
        <v>0</v>
      </c>
      <c r="F217" s="88">
        <v>0</v>
      </c>
      <c r="G217" s="88">
        <v>0</v>
      </c>
      <c r="H217" s="88">
        <v>0</v>
      </c>
      <c r="I217" s="88">
        <v>0</v>
      </c>
      <c r="J217" s="88">
        <v>0</v>
      </c>
      <c r="K217" s="88">
        <v>0</v>
      </c>
      <c r="L217" s="34" t="s">
        <v>279</v>
      </c>
      <c r="N217" s="90" t="s">
        <v>608</v>
      </c>
      <c r="O217" s="88" t="str">
        <f t="shared" si="357"/>
        <v/>
      </c>
      <c r="P217" s="88" t="str">
        <f t="shared" si="358"/>
        <v/>
      </c>
      <c r="Q217" s="88" t="str">
        <f t="shared" si="359"/>
        <v/>
      </c>
      <c r="R217" s="88" t="str">
        <f t="shared" si="360"/>
        <v/>
      </c>
      <c r="S217" s="88" t="str">
        <f t="shared" si="361"/>
        <v/>
      </c>
      <c r="T217" s="88" t="str">
        <f t="shared" si="362"/>
        <v/>
      </c>
      <c r="U217" s="88" t="str">
        <f t="shared" si="363"/>
        <v/>
      </c>
      <c r="V217" s="88" t="str">
        <f t="shared" si="364"/>
        <v/>
      </c>
      <c r="W217" s="88" t="str">
        <f t="shared" si="365"/>
        <v/>
      </c>
      <c r="X217" s="88" t="str">
        <f t="shared" si="366"/>
        <v/>
      </c>
      <c r="Y217" s="34" t="s">
        <v>279</v>
      </c>
      <c r="AA217" s="90" t="s">
        <v>608</v>
      </c>
      <c r="AB217" s="133" t="str">
        <f t="shared" si="372"/>
        <v/>
      </c>
      <c r="AC217" s="133" t="str">
        <f t="shared" si="367"/>
        <v/>
      </c>
      <c r="AD217" s="133" t="str">
        <f t="shared" si="368"/>
        <v/>
      </c>
      <c r="AE217" s="133" t="str">
        <f t="shared" si="369"/>
        <v/>
      </c>
      <c r="AF217" s="133" t="str">
        <f t="shared" si="370"/>
        <v/>
      </c>
      <c r="AG217" s="133" t="str">
        <f t="shared" si="371"/>
        <v/>
      </c>
      <c r="AH217" s="34"/>
    </row>
    <row r="218" spans="1:34" x14ac:dyDescent="0.35">
      <c r="A218" s="90" t="s">
        <v>609</v>
      </c>
      <c r="B218" s="132">
        <v>0</v>
      </c>
      <c r="C218" s="130">
        <v>0</v>
      </c>
      <c r="D218" s="130">
        <v>0</v>
      </c>
      <c r="E218" s="88">
        <v>0</v>
      </c>
      <c r="F218" s="88">
        <v>0</v>
      </c>
      <c r="G218" s="88">
        <v>0</v>
      </c>
      <c r="H218" s="88">
        <v>0</v>
      </c>
      <c r="I218" s="88">
        <v>0</v>
      </c>
      <c r="J218" s="88">
        <v>0</v>
      </c>
      <c r="K218" s="88">
        <v>0</v>
      </c>
      <c r="L218" s="34" t="s">
        <v>279</v>
      </c>
      <c r="N218" s="90" t="s">
        <v>609</v>
      </c>
      <c r="O218" s="88" t="str">
        <f t="shared" si="357"/>
        <v/>
      </c>
      <c r="P218" s="88" t="str">
        <f t="shared" si="358"/>
        <v/>
      </c>
      <c r="Q218" s="88" t="str">
        <f t="shared" si="359"/>
        <v/>
      </c>
      <c r="R218" s="88" t="str">
        <f t="shared" si="360"/>
        <v/>
      </c>
      <c r="S218" s="88" t="str">
        <f t="shared" si="361"/>
        <v/>
      </c>
      <c r="T218" s="88" t="str">
        <f t="shared" si="362"/>
        <v/>
      </c>
      <c r="U218" s="88" t="str">
        <f t="shared" si="363"/>
        <v/>
      </c>
      <c r="V218" s="88" t="str">
        <f t="shared" si="364"/>
        <v/>
      </c>
      <c r="W218" s="88" t="str">
        <f t="shared" si="365"/>
        <v/>
      </c>
      <c r="X218" s="88" t="str">
        <f t="shared" si="366"/>
        <v/>
      </c>
      <c r="Y218" s="34" t="s">
        <v>279</v>
      </c>
      <c r="AA218" s="90" t="s">
        <v>609</v>
      </c>
      <c r="AB218" s="133" t="str">
        <f t="shared" si="372"/>
        <v/>
      </c>
      <c r="AC218" s="133" t="str">
        <f t="shared" si="367"/>
        <v/>
      </c>
      <c r="AD218" s="133" t="str">
        <f t="shared" si="368"/>
        <v/>
      </c>
      <c r="AE218" s="133" t="str">
        <f t="shared" si="369"/>
        <v/>
      </c>
      <c r="AF218" s="133" t="str">
        <f t="shared" si="370"/>
        <v/>
      </c>
      <c r="AG218" s="133" t="str">
        <f t="shared" si="371"/>
        <v/>
      </c>
      <c r="AH218" s="34"/>
    </row>
    <row r="219" spans="1:34" x14ac:dyDescent="0.35">
      <c r="A219" s="90" t="s">
        <v>610</v>
      </c>
      <c r="B219" s="132">
        <v>0</v>
      </c>
      <c r="C219" s="130">
        <v>0</v>
      </c>
      <c r="D219" s="130">
        <v>0</v>
      </c>
      <c r="E219" s="88">
        <v>0</v>
      </c>
      <c r="F219" s="88">
        <v>0</v>
      </c>
      <c r="G219" s="88">
        <v>0</v>
      </c>
      <c r="H219" s="88">
        <v>0</v>
      </c>
      <c r="I219" s="88">
        <v>0</v>
      </c>
      <c r="J219" s="88">
        <v>0</v>
      </c>
      <c r="K219" s="88">
        <v>0</v>
      </c>
      <c r="L219" s="34" t="s">
        <v>279</v>
      </c>
      <c r="N219" s="90" t="s">
        <v>610</v>
      </c>
      <c r="O219" s="88" t="str">
        <f t="shared" si="357"/>
        <v/>
      </c>
      <c r="P219" s="88" t="str">
        <f t="shared" si="358"/>
        <v/>
      </c>
      <c r="Q219" s="88" t="str">
        <f t="shared" si="359"/>
        <v/>
      </c>
      <c r="R219" s="88" t="str">
        <f t="shared" si="360"/>
        <v/>
      </c>
      <c r="S219" s="88" t="str">
        <f t="shared" si="361"/>
        <v/>
      </c>
      <c r="T219" s="88" t="str">
        <f t="shared" si="362"/>
        <v/>
      </c>
      <c r="U219" s="88" t="str">
        <f t="shared" si="363"/>
        <v/>
      </c>
      <c r="V219" s="88" t="str">
        <f t="shared" si="364"/>
        <v/>
      </c>
      <c r="W219" s="88" t="str">
        <f t="shared" si="365"/>
        <v/>
      </c>
      <c r="X219" s="88" t="str">
        <f t="shared" si="366"/>
        <v/>
      </c>
      <c r="Y219" s="34" t="s">
        <v>279</v>
      </c>
      <c r="AA219" s="90" t="s">
        <v>610</v>
      </c>
      <c r="AB219" s="133" t="str">
        <f t="shared" si="372"/>
        <v/>
      </c>
      <c r="AC219" s="133" t="str">
        <f t="shared" si="367"/>
        <v/>
      </c>
      <c r="AD219" s="133" t="str">
        <f t="shared" si="368"/>
        <v/>
      </c>
      <c r="AE219" s="133" t="str">
        <f t="shared" si="369"/>
        <v/>
      </c>
      <c r="AF219" s="133" t="str">
        <f t="shared" si="370"/>
        <v/>
      </c>
      <c r="AG219" s="133" t="str">
        <f t="shared" si="371"/>
        <v/>
      </c>
      <c r="AH219" s="34"/>
    </row>
    <row r="220" spans="1:34" x14ac:dyDescent="0.35">
      <c r="A220" s="90" t="s">
        <v>611</v>
      </c>
      <c r="B220" s="132">
        <v>0</v>
      </c>
      <c r="C220" s="130">
        <v>0</v>
      </c>
      <c r="D220" s="130">
        <v>0</v>
      </c>
      <c r="E220" s="88">
        <v>0</v>
      </c>
      <c r="F220" s="88">
        <v>0</v>
      </c>
      <c r="G220" s="88">
        <v>0</v>
      </c>
      <c r="H220" s="88">
        <v>0</v>
      </c>
      <c r="I220" s="88">
        <v>0</v>
      </c>
      <c r="J220" s="88">
        <v>0</v>
      </c>
      <c r="K220" s="88">
        <v>0</v>
      </c>
      <c r="L220" s="34" t="s">
        <v>279</v>
      </c>
      <c r="N220" s="90" t="s">
        <v>611</v>
      </c>
      <c r="O220" s="88" t="str">
        <f t="shared" si="357"/>
        <v/>
      </c>
      <c r="P220" s="88" t="str">
        <f t="shared" si="358"/>
        <v/>
      </c>
      <c r="Q220" s="88" t="str">
        <f t="shared" si="359"/>
        <v/>
      </c>
      <c r="R220" s="88" t="str">
        <f t="shared" si="360"/>
        <v/>
      </c>
      <c r="S220" s="88" t="str">
        <f t="shared" si="361"/>
        <v/>
      </c>
      <c r="T220" s="88" t="str">
        <f t="shared" si="362"/>
        <v/>
      </c>
      <c r="U220" s="88" t="str">
        <f t="shared" si="363"/>
        <v/>
      </c>
      <c r="V220" s="88" t="str">
        <f t="shared" si="364"/>
        <v/>
      </c>
      <c r="W220" s="88" t="str">
        <f t="shared" si="365"/>
        <v/>
      </c>
      <c r="X220" s="88" t="str">
        <f t="shared" si="366"/>
        <v/>
      </c>
      <c r="Y220" s="34" t="s">
        <v>279</v>
      </c>
      <c r="AA220" s="90" t="s">
        <v>611</v>
      </c>
      <c r="AB220" s="133" t="str">
        <f t="shared" si="372"/>
        <v/>
      </c>
      <c r="AC220" s="133" t="str">
        <f t="shared" si="367"/>
        <v/>
      </c>
      <c r="AD220" s="133" t="str">
        <f t="shared" si="368"/>
        <v/>
      </c>
      <c r="AE220" s="133" t="str">
        <f t="shared" si="369"/>
        <v/>
      </c>
      <c r="AF220" s="133" t="str">
        <f t="shared" si="370"/>
        <v/>
      </c>
      <c r="AG220" s="133" t="str">
        <f t="shared" si="371"/>
        <v/>
      </c>
      <c r="AH220" s="34"/>
    </row>
    <row r="221" spans="1:34" x14ac:dyDescent="0.35">
      <c r="A221" s="90" t="s">
        <v>612</v>
      </c>
      <c r="B221" s="132">
        <v>0</v>
      </c>
      <c r="C221" s="130">
        <v>0</v>
      </c>
      <c r="D221" s="130">
        <v>0</v>
      </c>
      <c r="E221" s="88">
        <v>0</v>
      </c>
      <c r="F221" s="88">
        <v>0</v>
      </c>
      <c r="G221" s="88">
        <v>0</v>
      </c>
      <c r="H221" s="88">
        <v>0</v>
      </c>
      <c r="I221" s="88">
        <v>0</v>
      </c>
      <c r="J221" s="88">
        <v>0</v>
      </c>
      <c r="K221" s="88">
        <v>0</v>
      </c>
      <c r="L221" s="34" t="s">
        <v>279</v>
      </c>
      <c r="N221" s="90" t="s">
        <v>612</v>
      </c>
      <c r="O221" s="88" t="str">
        <f t="shared" si="357"/>
        <v/>
      </c>
      <c r="P221" s="88" t="str">
        <f t="shared" si="358"/>
        <v/>
      </c>
      <c r="Q221" s="88" t="str">
        <f t="shared" si="359"/>
        <v/>
      </c>
      <c r="R221" s="88" t="str">
        <f t="shared" si="360"/>
        <v/>
      </c>
      <c r="S221" s="88" t="str">
        <f t="shared" si="361"/>
        <v/>
      </c>
      <c r="T221" s="88" t="str">
        <f t="shared" si="362"/>
        <v/>
      </c>
      <c r="U221" s="88" t="str">
        <f t="shared" si="363"/>
        <v/>
      </c>
      <c r="V221" s="88" t="str">
        <f t="shared" si="364"/>
        <v/>
      </c>
      <c r="W221" s="88" t="str">
        <f t="shared" si="365"/>
        <v/>
      </c>
      <c r="X221" s="88" t="str">
        <f t="shared" si="366"/>
        <v/>
      </c>
      <c r="Y221" s="34" t="s">
        <v>279</v>
      </c>
      <c r="AA221" s="90" t="s">
        <v>612</v>
      </c>
      <c r="AB221" s="133" t="str">
        <f t="shared" si="372"/>
        <v/>
      </c>
      <c r="AC221" s="133" t="str">
        <f t="shared" si="367"/>
        <v/>
      </c>
      <c r="AD221" s="133" t="str">
        <f t="shared" si="368"/>
        <v/>
      </c>
      <c r="AE221" s="133" t="str">
        <f t="shared" si="369"/>
        <v/>
      </c>
      <c r="AF221" s="133" t="str">
        <f t="shared" si="370"/>
        <v/>
      </c>
      <c r="AG221" s="133" t="str">
        <f t="shared" si="371"/>
        <v/>
      </c>
      <c r="AH221" s="34"/>
    </row>
    <row r="222" spans="1:34" x14ac:dyDescent="0.35">
      <c r="A222" s="90" t="s">
        <v>613</v>
      </c>
      <c r="B222" s="132">
        <v>0</v>
      </c>
      <c r="C222" s="130">
        <v>0</v>
      </c>
      <c r="D222" s="130">
        <v>0</v>
      </c>
      <c r="E222" s="88">
        <v>0</v>
      </c>
      <c r="F222" s="88">
        <v>0</v>
      </c>
      <c r="G222" s="88">
        <v>0</v>
      </c>
      <c r="H222" s="88">
        <v>0</v>
      </c>
      <c r="I222" s="88">
        <v>0</v>
      </c>
      <c r="J222" s="88">
        <v>0</v>
      </c>
      <c r="K222" s="88">
        <v>0</v>
      </c>
      <c r="L222" s="34" t="s">
        <v>279</v>
      </c>
      <c r="N222" s="90" t="s">
        <v>613</v>
      </c>
      <c r="O222" s="88" t="str">
        <f t="shared" si="357"/>
        <v/>
      </c>
      <c r="P222" s="88" t="str">
        <f t="shared" si="358"/>
        <v/>
      </c>
      <c r="Q222" s="88" t="str">
        <f t="shared" si="359"/>
        <v/>
      </c>
      <c r="R222" s="88" t="str">
        <f t="shared" si="360"/>
        <v/>
      </c>
      <c r="S222" s="88" t="str">
        <f t="shared" si="361"/>
        <v/>
      </c>
      <c r="T222" s="88" t="str">
        <f t="shared" si="362"/>
        <v/>
      </c>
      <c r="U222" s="88" t="str">
        <f t="shared" si="363"/>
        <v/>
      </c>
      <c r="V222" s="88" t="str">
        <f t="shared" si="364"/>
        <v/>
      </c>
      <c r="W222" s="88" t="str">
        <f t="shared" si="365"/>
        <v/>
      </c>
      <c r="X222" s="88" t="str">
        <f t="shared" si="366"/>
        <v/>
      </c>
      <c r="Y222" s="34" t="s">
        <v>279</v>
      </c>
      <c r="AA222" s="90" t="s">
        <v>613</v>
      </c>
      <c r="AB222" s="133" t="str">
        <f t="shared" si="372"/>
        <v/>
      </c>
      <c r="AC222" s="133" t="str">
        <f t="shared" si="367"/>
        <v/>
      </c>
      <c r="AD222" s="133" t="str">
        <f t="shared" si="368"/>
        <v/>
      </c>
      <c r="AE222" s="133" t="str">
        <f t="shared" si="369"/>
        <v/>
      </c>
      <c r="AF222" s="133" t="str">
        <f t="shared" si="370"/>
        <v/>
      </c>
      <c r="AG222" s="133" t="str">
        <f t="shared" si="371"/>
        <v/>
      </c>
      <c r="AH222" s="34"/>
    </row>
    <row r="223" spans="1:34" x14ac:dyDescent="0.35">
      <c r="A223" s="90" t="s">
        <v>614</v>
      </c>
      <c r="D223" s="130">
        <v>0</v>
      </c>
      <c r="E223" s="88">
        <v>0</v>
      </c>
      <c r="F223" s="88">
        <v>0</v>
      </c>
      <c r="G223" s="88">
        <v>0</v>
      </c>
      <c r="H223" s="88">
        <v>0</v>
      </c>
      <c r="I223" s="88">
        <v>0</v>
      </c>
      <c r="J223" s="88">
        <v>0</v>
      </c>
      <c r="K223" s="88">
        <v>0</v>
      </c>
      <c r="L223" s="34" t="s">
        <v>279</v>
      </c>
      <c r="N223" s="90" t="s">
        <v>614</v>
      </c>
      <c r="O223" s="88" t="str">
        <f t="shared" si="357"/>
        <v/>
      </c>
      <c r="P223" s="88" t="str">
        <f t="shared" si="358"/>
        <v/>
      </c>
      <c r="Q223" s="88" t="str">
        <f t="shared" si="359"/>
        <v/>
      </c>
      <c r="R223" s="88" t="str">
        <f t="shared" si="360"/>
        <v/>
      </c>
      <c r="S223" s="88" t="str">
        <f t="shared" si="361"/>
        <v/>
      </c>
      <c r="T223" s="88" t="str">
        <f t="shared" si="362"/>
        <v/>
      </c>
      <c r="U223" s="88" t="str">
        <f t="shared" si="363"/>
        <v/>
      </c>
      <c r="V223" s="88" t="str">
        <f t="shared" si="364"/>
        <v/>
      </c>
      <c r="W223" s="88" t="str">
        <f t="shared" si="365"/>
        <v/>
      </c>
      <c r="X223" s="88" t="str">
        <f t="shared" si="366"/>
        <v/>
      </c>
      <c r="Y223" s="34" t="s">
        <v>279</v>
      </c>
      <c r="AA223" s="90" t="s">
        <v>614</v>
      </c>
      <c r="AB223" s="133" t="str">
        <f t="shared" si="372"/>
        <v/>
      </c>
      <c r="AC223" s="133" t="str">
        <f t="shared" si="367"/>
        <v/>
      </c>
      <c r="AD223" s="133" t="str">
        <f t="shared" si="368"/>
        <v/>
      </c>
      <c r="AE223" s="133" t="str">
        <f t="shared" si="369"/>
        <v/>
      </c>
      <c r="AF223" s="133" t="str">
        <f t="shared" si="370"/>
        <v/>
      </c>
      <c r="AG223" s="133" t="str">
        <f t="shared" si="371"/>
        <v/>
      </c>
      <c r="AH223" s="34"/>
    </row>
    <row r="224" spans="1:34" x14ac:dyDescent="0.35">
      <c r="A224" s="90" t="s">
        <v>615</v>
      </c>
      <c r="D224" s="130">
        <v>0</v>
      </c>
      <c r="E224" s="88">
        <v>0</v>
      </c>
      <c r="F224" s="88">
        <v>0</v>
      </c>
      <c r="G224" s="88">
        <v>0</v>
      </c>
      <c r="H224" s="88">
        <v>0</v>
      </c>
      <c r="I224" s="88">
        <v>0</v>
      </c>
      <c r="J224" s="88">
        <v>0</v>
      </c>
      <c r="K224" s="88">
        <v>0</v>
      </c>
      <c r="L224" s="34" t="s">
        <v>279</v>
      </c>
      <c r="N224" s="90" t="s">
        <v>615</v>
      </c>
      <c r="O224" s="88" t="str">
        <f t="shared" si="357"/>
        <v/>
      </c>
      <c r="P224" s="88" t="str">
        <f t="shared" si="358"/>
        <v/>
      </c>
      <c r="Q224" s="88" t="str">
        <f t="shared" si="359"/>
        <v/>
      </c>
      <c r="R224" s="88" t="str">
        <f t="shared" si="360"/>
        <v/>
      </c>
      <c r="S224" s="88" t="str">
        <f t="shared" si="361"/>
        <v/>
      </c>
      <c r="T224" s="88" t="str">
        <f t="shared" si="362"/>
        <v/>
      </c>
      <c r="U224" s="88" t="str">
        <f t="shared" si="363"/>
        <v/>
      </c>
      <c r="V224" s="88" t="str">
        <f t="shared" si="364"/>
        <v/>
      </c>
      <c r="W224" s="88" t="str">
        <f t="shared" si="365"/>
        <v/>
      </c>
      <c r="X224" s="88" t="str">
        <f t="shared" si="366"/>
        <v/>
      </c>
      <c r="Y224" s="34" t="s">
        <v>279</v>
      </c>
      <c r="AA224" s="90" t="s">
        <v>615</v>
      </c>
      <c r="AB224" s="133" t="str">
        <f t="shared" si="372"/>
        <v/>
      </c>
      <c r="AC224" s="133" t="str">
        <f t="shared" si="367"/>
        <v/>
      </c>
      <c r="AD224" s="133" t="str">
        <f t="shared" si="368"/>
        <v/>
      </c>
      <c r="AE224" s="133" t="str">
        <f t="shared" si="369"/>
        <v/>
      </c>
      <c r="AF224" s="133" t="str">
        <f t="shared" si="370"/>
        <v/>
      </c>
      <c r="AG224" s="133" t="str">
        <f t="shared" si="371"/>
        <v/>
      </c>
      <c r="AH224" s="34"/>
    </row>
    <row r="225" spans="1:46" x14ac:dyDescent="0.35">
      <c r="A225" t="s">
        <v>596</v>
      </c>
      <c r="L225" s="34"/>
      <c r="N225" t="s">
        <v>596</v>
      </c>
      <c r="O225" s="88"/>
      <c r="P225" s="88"/>
      <c r="Q225" s="88"/>
      <c r="R225" s="88"/>
      <c r="S225" s="88"/>
      <c r="T225" s="88"/>
      <c r="U225" s="88"/>
      <c r="V225" s="88"/>
      <c r="W225" s="88"/>
      <c r="X225" s="88"/>
      <c r="Y225" s="34"/>
      <c r="AA225" t="s">
        <v>596</v>
      </c>
      <c r="AB225" s="88"/>
      <c r="AC225" s="88"/>
      <c r="AD225" s="88"/>
      <c r="AE225" s="88"/>
      <c r="AF225" s="88"/>
      <c r="AG225" s="88"/>
      <c r="AH225" s="34"/>
      <c r="AI225" t="s">
        <v>32</v>
      </c>
      <c r="AJ225" t="s">
        <v>628</v>
      </c>
      <c r="AK225" s="88">
        <f>AVERAGE(O226:O233)</f>
        <v>4.8251985435057216</v>
      </c>
      <c r="AL225" s="88">
        <f t="shared" ref="AL225" si="373">AVERAGE(P226:P233)</f>
        <v>5.1218527302003034</v>
      </c>
      <c r="AM225" s="88">
        <f t="shared" ref="AM225" si="374">AVERAGE(Q226:Q233)</f>
        <v>4.4031532860911398</v>
      </c>
      <c r="AN225" s="88">
        <f t="shared" ref="AN225" si="375">AVERAGE(R226:R233)</f>
        <v>4.0746316943960625</v>
      </c>
      <c r="AO225" s="88">
        <f t="shared" ref="AO225" si="376">AVERAGE(S226:S233)</f>
        <v>3.9033770483236006</v>
      </c>
      <c r="AP225" s="88">
        <f t="shared" ref="AP225" si="377">AVERAGE(T226:T233)</f>
        <v>3.753598003843102</v>
      </c>
      <c r="AQ225" s="88">
        <f t="shared" ref="AQ225" si="378">AVERAGE(U226:U233)</f>
        <v>3.7728260219856127</v>
      </c>
      <c r="AR225" s="88">
        <f t="shared" ref="AR225" si="379">AVERAGE(V226:V233)</f>
        <v>3.756855973828753</v>
      </c>
      <c r="AS225" s="88">
        <f t="shared" ref="AS225" si="380">AVERAGE(W226:W233)</f>
        <v>3.8183773000262327</v>
      </c>
      <c r="AT225" s="88">
        <f t="shared" ref="AT225" si="381">AVERAGE(X226:X233)</f>
        <v>3.8203211955589285</v>
      </c>
    </row>
    <row r="226" spans="1:46" x14ac:dyDescent="0.35">
      <c r="A226" s="90" t="s">
        <v>600</v>
      </c>
      <c r="B226" s="132">
        <v>0</v>
      </c>
      <c r="C226" s="130">
        <v>0</v>
      </c>
      <c r="D226" s="130">
        <v>0</v>
      </c>
      <c r="E226" s="88">
        <v>0</v>
      </c>
      <c r="F226" s="88">
        <v>0</v>
      </c>
      <c r="G226" s="88">
        <v>0</v>
      </c>
      <c r="H226" s="88">
        <v>0</v>
      </c>
      <c r="I226" s="88">
        <v>0</v>
      </c>
      <c r="J226" s="88">
        <v>56.150047000000001</v>
      </c>
      <c r="K226" s="88">
        <v>56.329436999999999</v>
      </c>
      <c r="L226" s="34" t="s">
        <v>279</v>
      </c>
      <c r="N226" s="90" t="s">
        <v>600</v>
      </c>
      <c r="O226" s="88" t="str">
        <f t="shared" ref="O226:O241" si="382">IFERROR(L_100km_to_mpg/B226, "")</f>
        <v/>
      </c>
      <c r="P226" s="88" t="str">
        <f t="shared" ref="P226:P241" si="383">IFERROR(L_100km_to_mpg/C226, "")</f>
        <v/>
      </c>
      <c r="Q226" s="88" t="str">
        <f t="shared" ref="Q226:Q241" si="384">IFERROR(L_100km_to_mpg/D226, "")</f>
        <v/>
      </c>
      <c r="R226" s="88" t="str">
        <f t="shared" ref="R226:R241" si="385">IFERROR(L_100km_to_mpg/E226, "")</f>
        <v/>
      </c>
      <c r="S226" s="88" t="str">
        <f t="shared" ref="S226:S241" si="386">IFERROR(L_100km_to_mpg/F226, "")</f>
        <v/>
      </c>
      <c r="T226" s="88" t="str">
        <f t="shared" ref="T226:T241" si="387">IFERROR(L_100km_to_mpg/G226, "")</f>
        <v/>
      </c>
      <c r="U226" s="88" t="str">
        <f t="shared" ref="U226:U241" si="388">IFERROR(L_100km_to_mpg/H226, "")</f>
        <v/>
      </c>
      <c r="V226" s="88" t="str">
        <f t="shared" ref="V226:V241" si="389">IFERROR(L_100km_to_mpg/I226, "")</f>
        <v/>
      </c>
      <c r="W226" s="88">
        <f t="shared" ref="W226:W241" si="390">IFERROR(L_100km_to_mpg/J226, "")</f>
        <v>4.1890458122221723</v>
      </c>
      <c r="X226" s="88">
        <f t="shared" ref="X226:X241" si="391">IFERROR(L_100km_to_mpg/K226, "")</f>
        <v>4.1757051333821806</v>
      </c>
      <c r="Y226" s="34" t="s">
        <v>279</v>
      </c>
      <c r="AA226" s="90" t="s">
        <v>600</v>
      </c>
      <c r="AB226" s="133" t="str">
        <f>IFERROR($D226/F226, "")</f>
        <v/>
      </c>
      <c r="AC226" s="133" t="str">
        <f t="shared" ref="AC226:AC241" si="392">IFERROR($D226/G226, "")</f>
        <v/>
      </c>
      <c r="AD226" s="133" t="str">
        <f t="shared" ref="AD226:AD241" si="393">IFERROR($D226/H226, "")</f>
        <v/>
      </c>
      <c r="AE226" s="133" t="str">
        <f t="shared" ref="AE226:AE241" si="394">IFERROR($D226/I226, "")</f>
        <v/>
      </c>
      <c r="AF226" s="133">
        <f t="shared" ref="AF226:AF241" si="395">IFERROR($D226/J226, "")</f>
        <v>0</v>
      </c>
      <c r="AG226" s="133">
        <f t="shared" ref="AG226:AG241" si="396">IFERROR($D226/K226, "")</f>
        <v>0</v>
      </c>
      <c r="AH226" s="34"/>
      <c r="AI226" t="s">
        <v>256</v>
      </c>
      <c r="AJ226" t="s">
        <v>628</v>
      </c>
      <c r="AK226" s="88">
        <f>AVERAGE(O234:O241)</f>
        <v>6.965662422173283</v>
      </c>
      <c r="AL226" s="88">
        <f t="shared" ref="AL226" si="397">AVERAGE(P234:P241)</f>
        <v>6.2121292347513517</v>
      </c>
      <c r="AM226" s="88">
        <f t="shared" ref="AM226" si="398">AVERAGE(Q234:Q241)</f>
        <v>5.6078178951978028</v>
      </c>
      <c r="AN226" s="88">
        <f t="shared" ref="AN226" si="399">AVERAGE(R234:R241)</f>
        <v>5.1592720305189248</v>
      </c>
      <c r="AO226" s="88">
        <f t="shared" ref="AO226" si="400">AVERAGE(S234:S241)</f>
        <v>4.8362531317884185</v>
      </c>
      <c r="AP226" s="88">
        <f t="shared" ref="AP226" si="401">AVERAGE(T234:T241)</f>
        <v>4.5548693118921424</v>
      </c>
      <c r="AQ226" s="88">
        <f t="shared" ref="AQ226" si="402">AVERAGE(U234:U241)</f>
        <v>4.5182362000177028</v>
      </c>
      <c r="AR226" s="88">
        <f t="shared" ref="AR226" si="403">AVERAGE(V234:V241)</f>
        <v>4.4732900217427858</v>
      </c>
      <c r="AS226" s="88">
        <f t="shared" ref="AS226" si="404">AVERAGE(W234:W241)</f>
        <v>4.4688752715667777</v>
      </c>
      <c r="AT226" s="88">
        <f t="shared" ref="AT226" si="405">AVERAGE(X234:X241)</f>
        <v>4.4632042091109669</v>
      </c>
    </row>
    <row r="227" spans="1:46" x14ac:dyDescent="0.35">
      <c r="A227" s="90" t="s">
        <v>601</v>
      </c>
      <c r="B227" s="132">
        <v>0</v>
      </c>
      <c r="C227" s="130">
        <v>49.877761999999997</v>
      </c>
      <c r="D227" s="130">
        <v>50.563602000000003</v>
      </c>
      <c r="E227" s="88">
        <v>49.999789999999997</v>
      </c>
      <c r="F227" s="88">
        <v>51.915816999999997</v>
      </c>
      <c r="G227" s="88">
        <v>54.235202999999998</v>
      </c>
      <c r="H227" s="88">
        <v>54.380718000000002</v>
      </c>
      <c r="I227" s="88">
        <v>54.911799999999999</v>
      </c>
      <c r="J227" s="88">
        <v>54.828636000000003</v>
      </c>
      <c r="K227" s="88">
        <v>54.723754999999997</v>
      </c>
      <c r="L227" s="34">
        <v>3.0000000000000001E-3</v>
      </c>
      <c r="N227" s="90" t="s">
        <v>601</v>
      </c>
      <c r="O227" s="88" t="str">
        <f t="shared" si="382"/>
        <v/>
      </c>
      <c r="P227" s="88">
        <f t="shared" si="383"/>
        <v>4.7158314609510379</v>
      </c>
      <c r="Q227" s="88">
        <f t="shared" si="384"/>
        <v>4.651866361131237</v>
      </c>
      <c r="R227" s="88">
        <f t="shared" si="385"/>
        <v>4.7043221429815638</v>
      </c>
      <c r="S227" s="88">
        <f t="shared" si="386"/>
        <v>4.5307024493407884</v>
      </c>
      <c r="T227" s="88">
        <f t="shared" si="387"/>
        <v>4.3369454935280345</v>
      </c>
      <c r="U227" s="88">
        <f t="shared" si="388"/>
        <v>4.325340449558392</v>
      </c>
      <c r="V227" s="88">
        <f t="shared" si="389"/>
        <v>4.2835077204066909</v>
      </c>
      <c r="W227" s="88">
        <f t="shared" si="390"/>
        <v>4.2900049390509754</v>
      </c>
      <c r="X227" s="88">
        <f t="shared" si="391"/>
        <v>4.298226962704371</v>
      </c>
      <c r="Y227" s="34">
        <v>3.0000000000000001E-3</v>
      </c>
      <c r="AA227" s="90" t="s">
        <v>601</v>
      </c>
      <c r="AB227" s="133">
        <f t="shared" ref="AB227:AB241" si="406">IFERROR($D227/F227, "")</f>
        <v>0.97395369892763139</v>
      </c>
      <c r="AC227" s="133">
        <f t="shared" si="392"/>
        <v>0.9323022539438085</v>
      </c>
      <c r="AD227" s="133">
        <f t="shared" si="393"/>
        <v>0.92980754685879652</v>
      </c>
      <c r="AE227" s="133">
        <f t="shared" si="394"/>
        <v>0.92081487039215626</v>
      </c>
      <c r="AF227" s="133">
        <f t="shared" si="395"/>
        <v>0.92221156112656166</v>
      </c>
      <c r="AG227" s="133">
        <f t="shared" si="396"/>
        <v>0.92397902885136451</v>
      </c>
      <c r="AH227" s="34"/>
    </row>
    <row r="228" spans="1:46" x14ac:dyDescent="0.35">
      <c r="A228" s="90" t="s">
        <v>602</v>
      </c>
      <c r="B228" s="132">
        <v>50.900455000000001</v>
      </c>
      <c r="C228" s="130">
        <v>56.824032000000003</v>
      </c>
      <c r="D228" s="130">
        <v>60.476280000000003</v>
      </c>
      <c r="E228" s="88">
        <v>69.840278999999995</v>
      </c>
      <c r="F228" s="88">
        <v>72.654404</v>
      </c>
      <c r="G228" s="88">
        <v>75.166381999999999</v>
      </c>
      <c r="H228" s="88">
        <v>74.077156000000002</v>
      </c>
      <c r="I228" s="88">
        <v>73.838341</v>
      </c>
      <c r="J228" s="88">
        <v>73.371696</v>
      </c>
      <c r="K228" s="88">
        <v>73.152275000000003</v>
      </c>
      <c r="L228" s="34">
        <v>2E-3</v>
      </c>
      <c r="N228" s="90" t="s">
        <v>602</v>
      </c>
      <c r="O228" s="88">
        <f t="shared" si="382"/>
        <v>4.6210808772029273</v>
      </c>
      <c r="P228" s="88">
        <f t="shared" si="383"/>
        <v>4.1393598969081982</v>
      </c>
      <c r="Q228" s="88">
        <f t="shared" si="384"/>
        <v>3.889378103967839</v>
      </c>
      <c r="R228" s="88">
        <f t="shared" si="385"/>
        <v>3.3679006242433274</v>
      </c>
      <c r="S228" s="88">
        <f t="shared" si="386"/>
        <v>3.237451638051124</v>
      </c>
      <c r="T228" s="88">
        <f t="shared" si="387"/>
        <v>3.1292595570374551</v>
      </c>
      <c r="U228" s="88">
        <f t="shared" si="388"/>
        <v>3.1752719993924732</v>
      </c>
      <c r="V228" s="88">
        <f t="shared" si="389"/>
        <v>3.1855417667283201</v>
      </c>
      <c r="W228" s="88">
        <f t="shared" si="390"/>
        <v>3.2058018563647233</v>
      </c>
      <c r="X228" s="88">
        <f t="shared" si="391"/>
        <v>3.2154176919504982</v>
      </c>
      <c r="Y228" s="34">
        <v>2E-3</v>
      </c>
      <c r="AA228" s="90" t="s">
        <v>602</v>
      </c>
      <c r="AB228" s="133">
        <f t="shared" si="406"/>
        <v>0.83238285183648331</v>
      </c>
      <c r="AC228" s="133">
        <f t="shared" si="392"/>
        <v>0.80456553037234124</v>
      </c>
      <c r="AD228" s="133">
        <f t="shared" si="393"/>
        <v>0.81639581303580289</v>
      </c>
      <c r="AE228" s="133">
        <f t="shared" si="394"/>
        <v>0.81903627818506919</v>
      </c>
      <c r="AF228" s="133">
        <f t="shared" si="395"/>
        <v>0.82424536022719175</v>
      </c>
      <c r="AG228" s="133">
        <f t="shared" si="396"/>
        <v>0.82671769264865647</v>
      </c>
      <c r="AH228" s="34"/>
    </row>
    <row r="229" spans="1:46" x14ac:dyDescent="0.35">
      <c r="A229" s="90" t="s">
        <v>603</v>
      </c>
      <c r="B229" s="132">
        <v>51.839832000000001</v>
      </c>
      <c r="C229" s="130">
        <v>54.786278000000003</v>
      </c>
      <c r="D229" s="130">
        <v>65.566040000000001</v>
      </c>
      <c r="E229" s="88">
        <v>70.104743999999997</v>
      </c>
      <c r="F229" s="88">
        <v>72.161995000000005</v>
      </c>
      <c r="G229" s="88">
        <v>74.110793999999999</v>
      </c>
      <c r="H229" s="88">
        <v>72.724663000000007</v>
      </c>
      <c r="I229" s="88">
        <v>72.559700000000007</v>
      </c>
      <c r="J229" s="88">
        <v>72.083365999999998</v>
      </c>
      <c r="K229" s="88">
        <v>71.791801000000007</v>
      </c>
      <c r="L229" s="34">
        <v>1E-3</v>
      </c>
      <c r="N229" s="90" t="s">
        <v>603</v>
      </c>
      <c r="O229" s="88">
        <f t="shared" si="382"/>
        <v>4.537343393424349</v>
      </c>
      <c r="P229" s="88">
        <f t="shared" si="383"/>
        <v>4.2933217555211201</v>
      </c>
      <c r="Q229" s="88">
        <f t="shared" si="384"/>
        <v>3.5874534933241069</v>
      </c>
      <c r="R229" s="88">
        <f t="shared" si="385"/>
        <v>3.3551954663928045</v>
      </c>
      <c r="S229" s="88">
        <f t="shared" si="386"/>
        <v>3.2595429109384813</v>
      </c>
      <c r="T229" s="88">
        <f t="shared" si="387"/>
        <v>3.1738307815380868</v>
      </c>
      <c r="U229" s="88">
        <f t="shared" si="388"/>
        <v>3.2343239492416505</v>
      </c>
      <c r="V229" s="88">
        <f t="shared" si="389"/>
        <v>3.2416771188611326</v>
      </c>
      <c r="W229" s="88">
        <f t="shared" si="390"/>
        <v>3.263098441343987</v>
      </c>
      <c r="X229" s="88">
        <f t="shared" si="391"/>
        <v>3.2763507248053036</v>
      </c>
      <c r="Y229" s="34">
        <v>1E-3</v>
      </c>
      <c r="AA229" s="90" t="s">
        <v>603</v>
      </c>
      <c r="AB229" s="133">
        <f t="shared" si="406"/>
        <v>0.90859516841240318</v>
      </c>
      <c r="AC229" s="133">
        <f t="shared" si="392"/>
        <v>0.8847029759254772</v>
      </c>
      <c r="AD229" s="133">
        <f t="shared" si="393"/>
        <v>0.90156540154747766</v>
      </c>
      <c r="AE229" s="133">
        <f t="shared" si="394"/>
        <v>0.90361509212414048</v>
      </c>
      <c r="AF229" s="133">
        <f t="shared" si="395"/>
        <v>0.90958626987535518</v>
      </c>
      <c r="AG229" s="133">
        <f t="shared" si="396"/>
        <v>0.91328033405931686</v>
      </c>
      <c r="AH229" s="34"/>
    </row>
    <row r="230" spans="1:46" x14ac:dyDescent="0.35">
      <c r="A230" s="90" t="s">
        <v>604</v>
      </c>
      <c r="B230" s="132">
        <v>44.236888999999998</v>
      </c>
      <c r="C230" s="130">
        <v>42.408496999999997</v>
      </c>
      <c r="D230" s="130">
        <v>55.420422000000002</v>
      </c>
      <c r="E230" s="88">
        <v>61.444930999999997</v>
      </c>
      <c r="F230" s="88">
        <v>62.976784000000002</v>
      </c>
      <c r="G230" s="88">
        <v>65.470862999999994</v>
      </c>
      <c r="H230" s="88">
        <v>64.752257999999998</v>
      </c>
      <c r="I230" s="88">
        <v>64.632271000000003</v>
      </c>
      <c r="J230" s="88">
        <v>64.256996000000001</v>
      </c>
      <c r="K230" s="88">
        <v>64.083770999999999</v>
      </c>
      <c r="L230" s="34">
        <v>2E-3</v>
      </c>
      <c r="N230" s="90" t="s">
        <v>604</v>
      </c>
      <c r="O230" s="88">
        <f t="shared" si="382"/>
        <v>5.3171713598898904</v>
      </c>
      <c r="P230" s="88">
        <f t="shared" si="383"/>
        <v>5.5464148904269859</v>
      </c>
      <c r="Q230" s="88">
        <f t="shared" si="384"/>
        <v>4.2441957450527559</v>
      </c>
      <c r="R230" s="88">
        <f t="shared" si="385"/>
        <v>3.8280638518648211</v>
      </c>
      <c r="S230" s="88">
        <f t="shared" si="386"/>
        <v>3.7349496798920079</v>
      </c>
      <c r="T230" s="88">
        <f t="shared" si="387"/>
        <v>3.5926686844104707</v>
      </c>
      <c r="U230" s="88">
        <f t="shared" si="388"/>
        <v>3.6325392581897011</v>
      </c>
      <c r="V230" s="88">
        <f t="shared" si="389"/>
        <v>3.6392829093291201</v>
      </c>
      <c r="W230" s="88">
        <f t="shared" si="390"/>
        <v>3.6605371225481522</v>
      </c>
      <c r="X230" s="88">
        <f t="shared" si="391"/>
        <v>3.6704319295040886</v>
      </c>
      <c r="Y230" s="34">
        <v>2E-3</v>
      </c>
      <c r="AA230" s="90" t="s">
        <v>604</v>
      </c>
      <c r="AB230" s="133">
        <f t="shared" si="406"/>
        <v>0.88001353006530147</v>
      </c>
      <c r="AC230" s="133">
        <f t="shared" si="392"/>
        <v>0.84648986527029602</v>
      </c>
      <c r="AD230" s="133">
        <f t="shared" si="393"/>
        <v>0.85588400639248752</v>
      </c>
      <c r="AE230" s="133">
        <f t="shared" si="394"/>
        <v>0.85747291782459567</v>
      </c>
      <c r="AF230" s="133">
        <f t="shared" si="395"/>
        <v>0.86248074839975408</v>
      </c>
      <c r="AG230" s="133">
        <f t="shared" si="396"/>
        <v>0.86481212224542781</v>
      </c>
      <c r="AH230" s="34"/>
    </row>
    <row r="231" spans="1:46" x14ac:dyDescent="0.35">
      <c r="A231" s="90" t="s">
        <v>605</v>
      </c>
      <c r="B231" s="132">
        <v>0</v>
      </c>
      <c r="C231" s="130">
        <v>41.553801999999997</v>
      </c>
      <c r="D231" s="130">
        <v>42.538936999999997</v>
      </c>
      <c r="E231" s="88">
        <v>43.759014000000001</v>
      </c>
      <c r="F231" s="88">
        <v>46.468994000000002</v>
      </c>
      <c r="G231" s="88">
        <v>48.685940000000002</v>
      </c>
      <c r="H231" s="88">
        <v>49.149811</v>
      </c>
      <c r="I231" s="88">
        <v>49.721530999999999</v>
      </c>
      <c r="J231" s="88">
        <v>49.848854000000003</v>
      </c>
      <c r="K231" s="88">
        <v>49.913204</v>
      </c>
      <c r="L231" s="34">
        <v>6.0000000000000001E-3</v>
      </c>
      <c r="N231" s="90" t="s">
        <v>605</v>
      </c>
      <c r="O231" s="88" t="str">
        <f t="shared" si="382"/>
        <v/>
      </c>
      <c r="P231" s="88">
        <f t="shared" si="383"/>
        <v>5.660495740953575</v>
      </c>
      <c r="Q231" s="88">
        <f t="shared" si="384"/>
        <v>5.5294075458779837</v>
      </c>
      <c r="R231" s="88">
        <f t="shared" si="385"/>
        <v>5.3752380993188771</v>
      </c>
      <c r="S231" s="88">
        <f t="shared" si="386"/>
        <v>5.0617648241196731</v>
      </c>
      <c r="T231" s="88">
        <f t="shared" si="387"/>
        <v>4.8312740647798549</v>
      </c>
      <c r="U231" s="88">
        <f t="shared" si="388"/>
        <v>4.7856769834054527</v>
      </c>
      <c r="V231" s="88">
        <f t="shared" si="389"/>
        <v>4.730649167690113</v>
      </c>
      <c r="W231" s="88">
        <f t="shared" si="390"/>
        <v>4.7185662330658218</v>
      </c>
      <c r="X231" s="88">
        <f t="shared" si="391"/>
        <v>4.712482878106325</v>
      </c>
      <c r="Y231" s="34">
        <v>6.0000000000000001E-3</v>
      </c>
      <c r="AA231" s="90" t="s">
        <v>605</v>
      </c>
      <c r="AB231" s="133">
        <f t="shared" si="406"/>
        <v>0.91542625174971504</v>
      </c>
      <c r="AC231" s="133">
        <f t="shared" si="392"/>
        <v>0.87374172091573044</v>
      </c>
      <c r="AD231" s="133">
        <f t="shared" si="393"/>
        <v>0.86549543394988837</v>
      </c>
      <c r="AE231" s="133">
        <f t="shared" si="394"/>
        <v>0.85554358734448455</v>
      </c>
      <c r="AF231" s="133">
        <f t="shared" si="395"/>
        <v>0.85335837409622284</v>
      </c>
      <c r="AG231" s="133">
        <f t="shared" si="396"/>
        <v>0.85225819204072728</v>
      </c>
      <c r="AH231" s="34"/>
    </row>
    <row r="232" spans="1:46" x14ac:dyDescent="0.35">
      <c r="A232" s="90" t="s">
        <v>606</v>
      </c>
      <c r="C232" s="130">
        <v>45.126371659062407</v>
      </c>
      <c r="D232" s="130">
        <v>56.601925000000001</v>
      </c>
      <c r="E232" s="88">
        <v>62.306938000000002</v>
      </c>
      <c r="F232" s="88">
        <v>65.911392000000006</v>
      </c>
      <c r="G232" s="88">
        <v>68.906197000000006</v>
      </c>
      <c r="H232" s="88">
        <v>68.200539000000006</v>
      </c>
      <c r="I232" s="88">
        <v>68.332297999999994</v>
      </c>
      <c r="J232" s="88">
        <v>68.195701999999997</v>
      </c>
      <c r="K232" s="88">
        <v>68.233917000000005</v>
      </c>
      <c r="L232" s="34">
        <v>4.0000000000000001E-3</v>
      </c>
      <c r="N232" s="90" t="s">
        <v>606</v>
      </c>
      <c r="O232" s="88" t="str">
        <f t="shared" si="382"/>
        <v/>
      </c>
      <c r="P232" s="88">
        <f t="shared" si="383"/>
        <v>5.212364978476872</v>
      </c>
      <c r="Q232" s="88">
        <f t="shared" si="384"/>
        <v>4.1556028216607146</v>
      </c>
      <c r="R232" s="88">
        <f t="shared" si="385"/>
        <v>3.7751031713583507</v>
      </c>
      <c r="S232" s="88">
        <f t="shared" si="386"/>
        <v>3.56865652665063</v>
      </c>
      <c r="T232" s="88">
        <f t="shared" si="387"/>
        <v>3.413555376469668</v>
      </c>
      <c r="U232" s="88">
        <f t="shared" si="388"/>
        <v>3.4488747844269696</v>
      </c>
      <c r="V232" s="88">
        <f t="shared" si="389"/>
        <v>3.4422246306048154</v>
      </c>
      <c r="W232" s="88">
        <f t="shared" si="390"/>
        <v>3.4491194069888476</v>
      </c>
      <c r="X232" s="88">
        <f t="shared" si="391"/>
        <v>3.4471876975995404</v>
      </c>
      <c r="Y232" s="34">
        <v>4.0000000000000001E-3</v>
      </c>
      <c r="AA232" s="90" t="s">
        <v>606</v>
      </c>
      <c r="AB232" s="133">
        <f t="shared" si="406"/>
        <v>0.85875784568470348</v>
      </c>
      <c r="AC232" s="133">
        <f t="shared" si="392"/>
        <v>0.82143446401489839</v>
      </c>
      <c r="AD232" s="133">
        <f t="shared" si="393"/>
        <v>0.82993369011350482</v>
      </c>
      <c r="AE232" s="133">
        <f t="shared" si="394"/>
        <v>0.82833340391976873</v>
      </c>
      <c r="AF232" s="133">
        <f t="shared" si="395"/>
        <v>0.82999255583585019</v>
      </c>
      <c r="AG232" s="133">
        <f t="shared" si="396"/>
        <v>0.82952771127004177</v>
      </c>
      <c r="AH232" s="34"/>
    </row>
    <row r="233" spans="1:46" x14ac:dyDescent="0.35">
      <c r="A233" s="90" t="s">
        <v>607</v>
      </c>
      <c r="C233" s="130">
        <v>37.423765861098154</v>
      </c>
      <c r="D233" s="130">
        <v>49.371699999999997</v>
      </c>
      <c r="E233" s="88">
        <v>57.138221999999999</v>
      </c>
      <c r="F233" s="88">
        <v>59.842475999999998</v>
      </c>
      <c r="G233" s="88">
        <v>61.936985</v>
      </c>
      <c r="H233" s="88">
        <v>61.772655</v>
      </c>
      <c r="I233" s="88">
        <v>62.306849999999997</v>
      </c>
      <c r="J233" s="88">
        <v>62.377304000000002</v>
      </c>
      <c r="K233" s="88">
        <v>62.444836000000002</v>
      </c>
      <c r="L233" s="34">
        <v>4.0000000000000001E-3</v>
      </c>
      <c r="N233" s="90" t="s">
        <v>607</v>
      </c>
      <c r="O233" s="88" t="str">
        <f t="shared" si="382"/>
        <v/>
      </c>
      <c r="P233" s="88">
        <f t="shared" si="383"/>
        <v>6.2851803881643367</v>
      </c>
      <c r="Q233" s="88">
        <f t="shared" si="384"/>
        <v>4.7641689316233418</v>
      </c>
      <c r="R233" s="88">
        <f t="shared" si="385"/>
        <v>4.1165985046126945</v>
      </c>
      <c r="S233" s="88">
        <f t="shared" si="386"/>
        <v>3.9305713092724996</v>
      </c>
      <c r="T233" s="88">
        <f t="shared" si="387"/>
        <v>3.7976520691381435</v>
      </c>
      <c r="U233" s="88">
        <f t="shared" si="388"/>
        <v>3.8077547296846501</v>
      </c>
      <c r="V233" s="88">
        <f t="shared" si="389"/>
        <v>3.7751085031810812</v>
      </c>
      <c r="W233" s="88">
        <f t="shared" si="390"/>
        <v>3.7708445886251853</v>
      </c>
      <c r="X233" s="88">
        <f t="shared" si="391"/>
        <v>3.7667665464191167</v>
      </c>
      <c r="Y233" s="34">
        <v>4.0000000000000001E-3</v>
      </c>
      <c r="AA233" s="90" t="s">
        <v>607</v>
      </c>
      <c r="AB233" s="133">
        <f t="shared" si="406"/>
        <v>0.82502769437548007</v>
      </c>
      <c r="AC233" s="133">
        <f t="shared" si="392"/>
        <v>0.79712791961055252</v>
      </c>
      <c r="AD233" s="133">
        <f t="shared" si="393"/>
        <v>0.79924847005523714</v>
      </c>
      <c r="AE233" s="133">
        <f t="shared" si="394"/>
        <v>0.79239602066225467</v>
      </c>
      <c r="AF233" s="133">
        <f t="shared" si="395"/>
        <v>0.79150102415455459</v>
      </c>
      <c r="AG233" s="133">
        <f t="shared" si="396"/>
        <v>0.79064504228980592</v>
      </c>
      <c r="AH233" s="34"/>
    </row>
    <row r="234" spans="1:46" x14ac:dyDescent="0.35">
      <c r="A234" s="90" t="s">
        <v>608</v>
      </c>
      <c r="B234" s="132">
        <v>0</v>
      </c>
      <c r="C234" s="130">
        <v>0</v>
      </c>
      <c r="D234" s="130">
        <v>42.251719999999999</v>
      </c>
      <c r="E234" s="88">
        <v>46.510136000000003</v>
      </c>
      <c r="F234" s="88">
        <v>49.241416999999998</v>
      </c>
      <c r="G234" s="88">
        <v>52.497256999999998</v>
      </c>
      <c r="H234" s="88">
        <v>52.781902000000002</v>
      </c>
      <c r="I234" s="88">
        <v>53.458832000000001</v>
      </c>
      <c r="J234" s="88">
        <v>53.659289999999999</v>
      </c>
      <c r="K234" s="88">
        <v>53.810364</v>
      </c>
      <c r="L234" s="34">
        <v>7.0000000000000001E-3</v>
      </c>
      <c r="N234" s="90" t="s">
        <v>608</v>
      </c>
      <c r="O234" s="88" t="str">
        <f t="shared" si="382"/>
        <v/>
      </c>
      <c r="P234" s="88" t="str">
        <f t="shared" si="383"/>
        <v/>
      </c>
      <c r="Q234" s="88">
        <f t="shared" si="384"/>
        <v>5.5669951244926397</v>
      </c>
      <c r="R234" s="88">
        <f t="shared" si="385"/>
        <v>5.0572872812375378</v>
      </c>
      <c r="S234" s="88">
        <f t="shared" si="386"/>
        <v>4.7767739754814151</v>
      </c>
      <c r="T234" s="88">
        <f t="shared" si="387"/>
        <v>4.4805220821618956</v>
      </c>
      <c r="U234" s="88">
        <f t="shared" si="388"/>
        <v>4.4563592884816492</v>
      </c>
      <c r="V234" s="88">
        <f t="shared" si="389"/>
        <v>4.3999300104691423</v>
      </c>
      <c r="W234" s="88">
        <f t="shared" si="390"/>
        <v>4.3834929467279222</v>
      </c>
      <c r="X234" s="88">
        <f t="shared" si="391"/>
        <v>4.3711861759832757</v>
      </c>
      <c r="Y234" s="34">
        <v>7.0000000000000001E-3</v>
      </c>
      <c r="AA234" s="90" t="s">
        <v>608</v>
      </c>
      <c r="AB234" s="133">
        <f t="shared" si="406"/>
        <v>0.85805248049624572</v>
      </c>
      <c r="AC234" s="133">
        <f t="shared" si="392"/>
        <v>0.80483671746887653</v>
      </c>
      <c r="AD234" s="133">
        <f t="shared" si="393"/>
        <v>0.8004963519503332</v>
      </c>
      <c r="AE234" s="133">
        <f t="shared" si="394"/>
        <v>0.79035995399226078</v>
      </c>
      <c r="AF234" s="133">
        <f t="shared" si="395"/>
        <v>0.78740736226662711</v>
      </c>
      <c r="AG234" s="133">
        <f t="shared" si="396"/>
        <v>0.78519669556593219</v>
      </c>
      <c r="AH234" s="34"/>
    </row>
    <row r="235" spans="1:46" x14ac:dyDescent="0.35">
      <c r="A235" s="90" t="s">
        <v>609</v>
      </c>
      <c r="B235" s="132">
        <v>0</v>
      </c>
      <c r="C235" s="130">
        <v>33.852524000000003</v>
      </c>
      <c r="D235" s="130">
        <v>39.260418000000001</v>
      </c>
      <c r="E235" s="88">
        <v>38.332397</v>
      </c>
      <c r="F235" s="88">
        <v>39.927681</v>
      </c>
      <c r="G235" s="88">
        <v>41.746426</v>
      </c>
      <c r="H235" s="88">
        <v>42.039290999999999</v>
      </c>
      <c r="I235" s="88">
        <v>42.429779000000003</v>
      </c>
      <c r="J235" s="88">
        <v>42.442326000000001</v>
      </c>
      <c r="K235" s="88">
        <v>42.443747999999999</v>
      </c>
      <c r="L235" s="34">
        <v>4.0000000000000001E-3</v>
      </c>
      <c r="N235" s="90" t="s">
        <v>609</v>
      </c>
      <c r="O235" s="88" t="str">
        <f t="shared" si="382"/>
        <v/>
      </c>
      <c r="P235" s="88">
        <f t="shared" si="383"/>
        <v>6.9482298939195237</v>
      </c>
      <c r="Q235" s="88">
        <f t="shared" si="384"/>
        <v>5.9911516795727477</v>
      </c>
      <c r="R235" s="88">
        <f t="shared" si="385"/>
        <v>6.136196472175433</v>
      </c>
      <c r="S235" s="88">
        <f t="shared" si="386"/>
        <v>5.8910288138554341</v>
      </c>
      <c r="T235" s="88">
        <f t="shared" si="387"/>
        <v>5.6343774013475585</v>
      </c>
      <c r="U235" s="88">
        <f t="shared" si="388"/>
        <v>5.5951257418073048</v>
      </c>
      <c r="V235" s="88">
        <f t="shared" si="389"/>
        <v>5.5436329103064175</v>
      </c>
      <c r="W235" s="88">
        <f t="shared" si="390"/>
        <v>5.5419940754761683</v>
      </c>
      <c r="X235" s="88">
        <f t="shared" si="391"/>
        <v>5.5418084011201874</v>
      </c>
      <c r="Y235" s="34">
        <v>4.0000000000000001E-3</v>
      </c>
      <c r="AA235" s="90" t="s">
        <v>609</v>
      </c>
      <c r="AB235" s="133">
        <f t="shared" si="406"/>
        <v>0.98328821050238313</v>
      </c>
      <c r="AC235" s="133">
        <f t="shared" si="392"/>
        <v>0.94044980042123849</v>
      </c>
      <c r="AD235" s="133">
        <f t="shared" si="393"/>
        <v>0.93389819538107821</v>
      </c>
      <c r="AE235" s="133">
        <f t="shared" si="394"/>
        <v>0.92530338185357974</v>
      </c>
      <c r="AF235" s="133">
        <f t="shared" si="395"/>
        <v>0.92502983931653515</v>
      </c>
      <c r="AG235" s="133">
        <f t="shared" si="396"/>
        <v>0.92499884788685494</v>
      </c>
      <c r="AH235" s="34"/>
    </row>
    <row r="236" spans="1:46" x14ac:dyDescent="0.35">
      <c r="A236" s="90" t="s">
        <v>610</v>
      </c>
      <c r="B236" s="132">
        <v>38.371056000000003</v>
      </c>
      <c r="C236" s="130">
        <v>0</v>
      </c>
      <c r="D236" s="130">
        <v>46.826144999999997</v>
      </c>
      <c r="E236" s="88">
        <v>55.722285999999997</v>
      </c>
      <c r="F236" s="88">
        <v>61.576282999999997</v>
      </c>
      <c r="G236" s="88">
        <v>67.087479000000002</v>
      </c>
      <c r="H236" s="88">
        <v>67.287811000000005</v>
      </c>
      <c r="I236" s="88">
        <v>67.404160000000005</v>
      </c>
      <c r="J236" s="88">
        <v>67.3797</v>
      </c>
      <c r="K236" s="88">
        <v>67.373428000000004</v>
      </c>
      <c r="L236" s="34">
        <v>8.0000000000000002E-3</v>
      </c>
      <c r="N236" s="90" t="s">
        <v>610</v>
      </c>
      <c r="O236" s="88">
        <f t="shared" si="382"/>
        <v>6.1300142284702339</v>
      </c>
      <c r="P236" s="88" t="str">
        <f t="shared" si="383"/>
        <v/>
      </c>
      <c r="Q236" s="88">
        <f t="shared" si="384"/>
        <v>5.0231578798858667</v>
      </c>
      <c r="R236" s="88">
        <f t="shared" si="385"/>
        <v>4.221203689335864</v>
      </c>
      <c r="S236" s="88">
        <f t="shared" si="386"/>
        <v>3.8198979831476376</v>
      </c>
      <c r="T236" s="88">
        <f t="shared" si="387"/>
        <v>3.5060956641615366</v>
      </c>
      <c r="U236" s="88">
        <f t="shared" si="388"/>
        <v>3.4956571739483118</v>
      </c>
      <c r="V236" s="88">
        <f t="shared" si="389"/>
        <v>3.4896231811423526</v>
      </c>
      <c r="W236" s="88">
        <f t="shared" si="390"/>
        <v>3.4908899748949334</v>
      </c>
      <c r="X236" s="88">
        <f t="shared" si="391"/>
        <v>3.4912149525986438</v>
      </c>
      <c r="Y236" s="34">
        <v>8.0000000000000002E-3</v>
      </c>
      <c r="AA236" s="90" t="s">
        <v>610</v>
      </c>
      <c r="AB236" s="133">
        <f t="shared" si="406"/>
        <v>0.76045748003334335</v>
      </c>
      <c r="AC236" s="133">
        <f t="shared" si="392"/>
        <v>0.69798635599349312</v>
      </c>
      <c r="AD236" s="133">
        <f t="shared" si="393"/>
        <v>0.69590828270516925</v>
      </c>
      <c r="AE236" s="133">
        <f t="shared" si="394"/>
        <v>0.69470704775491587</v>
      </c>
      <c r="AF236" s="133">
        <f t="shared" si="395"/>
        <v>0.69495923846499752</v>
      </c>
      <c r="AG236" s="133">
        <f t="shared" si="396"/>
        <v>0.69502393436177823</v>
      </c>
      <c r="AH236" s="34"/>
    </row>
    <row r="237" spans="1:46" x14ac:dyDescent="0.35">
      <c r="A237" s="90" t="s">
        <v>611</v>
      </c>
      <c r="B237" s="132">
        <v>0</v>
      </c>
      <c r="C237" s="130">
        <v>0</v>
      </c>
      <c r="D237" s="130">
        <v>41.36401</v>
      </c>
      <c r="E237" s="88">
        <v>47.831501000000003</v>
      </c>
      <c r="F237" s="88">
        <v>50.679070000000003</v>
      </c>
      <c r="G237" s="88">
        <v>53.824806000000002</v>
      </c>
      <c r="H237" s="88">
        <v>54.688201999999997</v>
      </c>
      <c r="I237" s="88">
        <v>55.050052999999998</v>
      </c>
      <c r="J237" s="88">
        <v>55.077618000000001</v>
      </c>
      <c r="K237" s="88">
        <v>55.196387999999999</v>
      </c>
      <c r="L237" s="34">
        <v>7.0000000000000001E-3</v>
      </c>
      <c r="N237" s="90" t="s">
        <v>611</v>
      </c>
      <c r="O237" s="88" t="str">
        <f t="shared" si="382"/>
        <v/>
      </c>
      <c r="P237" s="88" t="str">
        <f t="shared" si="383"/>
        <v/>
      </c>
      <c r="Q237" s="88">
        <f t="shared" si="384"/>
        <v>5.6864680005983015</v>
      </c>
      <c r="R237" s="88">
        <f t="shared" si="385"/>
        <v>4.91757762821259</v>
      </c>
      <c r="S237" s="88">
        <f t="shared" si="386"/>
        <v>4.6412674747470328</v>
      </c>
      <c r="T237" s="88">
        <f t="shared" si="387"/>
        <v>4.3700133213936363</v>
      </c>
      <c r="U237" s="88">
        <f t="shared" si="388"/>
        <v>4.3010212557624063</v>
      </c>
      <c r="V237" s="88">
        <f t="shared" si="389"/>
        <v>4.2727500960158595</v>
      </c>
      <c r="W237" s="88">
        <f t="shared" si="390"/>
        <v>4.2706116891516288</v>
      </c>
      <c r="X237" s="88">
        <f t="shared" si="391"/>
        <v>4.2614223097610688</v>
      </c>
      <c r="Y237" s="34">
        <v>7.0000000000000001E-3</v>
      </c>
      <c r="AA237" s="90" t="s">
        <v>611</v>
      </c>
      <c r="AB237" s="133">
        <f t="shared" si="406"/>
        <v>0.81619512749543344</v>
      </c>
      <c r="AC237" s="133">
        <f t="shared" si="392"/>
        <v>0.76849343404972048</v>
      </c>
      <c r="AD237" s="133">
        <f t="shared" si="393"/>
        <v>0.75636075949251358</v>
      </c>
      <c r="AE237" s="133">
        <f t="shared" si="394"/>
        <v>0.75138910402138948</v>
      </c>
      <c r="AF237" s="133">
        <f t="shared" si="395"/>
        <v>0.75101305216213232</v>
      </c>
      <c r="AG237" s="133">
        <f t="shared" si="396"/>
        <v>0.74939704387903061</v>
      </c>
      <c r="AH237" s="34"/>
    </row>
    <row r="238" spans="1:46" x14ac:dyDescent="0.35">
      <c r="A238" s="90" t="s">
        <v>612</v>
      </c>
      <c r="B238" s="132">
        <v>42.087318000000003</v>
      </c>
      <c r="C238" s="130">
        <v>48.163876000000002</v>
      </c>
      <c r="D238" s="130">
        <v>37.460430000000002</v>
      </c>
      <c r="E238" s="88">
        <v>43.860717999999999</v>
      </c>
      <c r="F238" s="88">
        <v>47.667084000000003</v>
      </c>
      <c r="G238" s="88">
        <v>50.896346999999999</v>
      </c>
      <c r="H238" s="88">
        <v>51.400165999999999</v>
      </c>
      <c r="I238" s="88">
        <v>52.172137999999997</v>
      </c>
      <c r="J238" s="88">
        <v>52.332236999999999</v>
      </c>
      <c r="K238" s="88">
        <v>52.493800999999998</v>
      </c>
      <c r="L238" s="34">
        <v>7.0000000000000001E-3</v>
      </c>
      <c r="N238" s="90" t="s">
        <v>612</v>
      </c>
      <c r="O238" s="88">
        <f t="shared" si="382"/>
        <v>5.5887409894217566</v>
      </c>
      <c r="P238" s="88">
        <f t="shared" si="383"/>
        <v>4.8836418240389978</v>
      </c>
      <c r="Q238" s="88">
        <f t="shared" si="384"/>
        <v>6.279028810972755</v>
      </c>
      <c r="R238" s="88">
        <f t="shared" si="385"/>
        <v>5.3627740257564449</v>
      </c>
      <c r="S238" s="88">
        <f t="shared" si="386"/>
        <v>4.9345397180458557</v>
      </c>
      <c r="T238" s="88">
        <f t="shared" si="387"/>
        <v>4.6214538587892795</v>
      </c>
      <c r="U238" s="88">
        <f t="shared" si="388"/>
        <v>4.5761548560257204</v>
      </c>
      <c r="V238" s="88">
        <f t="shared" si="389"/>
        <v>4.5084431702114287</v>
      </c>
      <c r="W238" s="88">
        <f t="shared" si="390"/>
        <v>4.494650577261357</v>
      </c>
      <c r="X238" s="88">
        <f t="shared" si="391"/>
        <v>4.4808170633600746</v>
      </c>
      <c r="Y238" s="34">
        <v>7.0000000000000001E-3</v>
      </c>
      <c r="AA238" s="90" t="s">
        <v>612</v>
      </c>
      <c r="AB238" s="133">
        <f t="shared" si="406"/>
        <v>0.78587626631408791</v>
      </c>
      <c r="AC238" s="133">
        <f t="shared" si="392"/>
        <v>0.73601411904866187</v>
      </c>
      <c r="AD238" s="133">
        <f t="shared" si="393"/>
        <v>0.72879978636644871</v>
      </c>
      <c r="AE238" s="133">
        <f t="shared" si="394"/>
        <v>0.7180160031011189</v>
      </c>
      <c r="AF238" s="133">
        <f t="shared" si="395"/>
        <v>0.71581939063678857</v>
      </c>
      <c r="AG238" s="133">
        <f t="shared" si="396"/>
        <v>0.71361626108957144</v>
      </c>
      <c r="AH238" s="34"/>
    </row>
    <row r="239" spans="1:46" x14ac:dyDescent="0.35">
      <c r="A239" s="90" t="s">
        <v>613</v>
      </c>
      <c r="B239" s="132">
        <v>35.395209999999999</v>
      </c>
      <c r="C239" s="130">
        <v>36.812691000000001</v>
      </c>
      <c r="D239" s="130">
        <v>36.335177999999999</v>
      </c>
      <c r="E239" s="88">
        <v>35.529964</v>
      </c>
      <c r="F239" s="88">
        <v>38.474670000000003</v>
      </c>
      <c r="G239" s="88">
        <v>40.893546999999998</v>
      </c>
      <c r="H239" s="88">
        <v>41.270473000000003</v>
      </c>
      <c r="I239" s="88">
        <v>41.919586000000002</v>
      </c>
      <c r="J239" s="88">
        <v>42.031261000000001</v>
      </c>
      <c r="K239" s="88">
        <v>42.155360999999999</v>
      </c>
      <c r="L239" s="34">
        <v>7.0000000000000001E-3</v>
      </c>
      <c r="N239" s="90" t="s">
        <v>613</v>
      </c>
      <c r="O239" s="88">
        <f t="shared" si="382"/>
        <v>6.6453940869803612</v>
      </c>
      <c r="P239" s="88">
        <f t="shared" si="383"/>
        <v>6.3895116833873438</v>
      </c>
      <c r="Q239" s="88">
        <f t="shared" si="384"/>
        <v>6.4734819584873957</v>
      </c>
      <c r="R239" s="88">
        <f t="shared" si="385"/>
        <v>6.6201901933091785</v>
      </c>
      <c r="S239" s="88">
        <f t="shared" si="386"/>
        <v>6.1135058271176366</v>
      </c>
      <c r="T239" s="88">
        <f t="shared" si="387"/>
        <v>5.7518884150946397</v>
      </c>
      <c r="U239" s="88">
        <f t="shared" si="388"/>
        <v>5.6993560321304804</v>
      </c>
      <c r="V239" s="88">
        <f t="shared" si="389"/>
        <v>5.6111031068252473</v>
      </c>
      <c r="W239" s="88">
        <f t="shared" si="390"/>
        <v>5.5961946809406484</v>
      </c>
      <c r="X239" s="88">
        <f t="shared" si="391"/>
        <v>5.5797201983735389</v>
      </c>
      <c r="Y239" s="34">
        <v>7.0000000000000001E-3</v>
      </c>
      <c r="AA239" s="90" t="s">
        <v>613</v>
      </c>
      <c r="AB239" s="133">
        <f t="shared" si="406"/>
        <v>0.94439219361725513</v>
      </c>
      <c r="AC239" s="133">
        <f t="shared" si="392"/>
        <v>0.88853084815557826</v>
      </c>
      <c r="AD239" s="133">
        <f t="shared" si="393"/>
        <v>0.88041583628081987</v>
      </c>
      <c r="AE239" s="133">
        <f t="shared" si="394"/>
        <v>0.86678284465881883</v>
      </c>
      <c r="AF239" s="133">
        <f t="shared" si="395"/>
        <v>0.86447984513241227</v>
      </c>
      <c r="AG239" s="133">
        <f t="shared" si="396"/>
        <v>0.86193492685307571</v>
      </c>
      <c r="AH239" s="34"/>
    </row>
    <row r="240" spans="1:46" x14ac:dyDescent="0.35">
      <c r="A240" s="90" t="s">
        <v>614</v>
      </c>
      <c r="B240" s="132">
        <v>31.097976747004502</v>
      </c>
      <c r="C240" s="130">
        <v>39.809154160764209</v>
      </c>
      <c r="D240" s="130">
        <v>52.178733999999999</v>
      </c>
      <c r="E240" s="88">
        <v>59.783161</v>
      </c>
      <c r="F240" s="88">
        <v>62.413474999999998</v>
      </c>
      <c r="G240" s="88">
        <v>66.030403000000007</v>
      </c>
      <c r="H240" s="88">
        <v>66.259963999999997</v>
      </c>
      <c r="I240" s="88">
        <v>66.634674000000004</v>
      </c>
      <c r="J240" s="88">
        <v>66.555885000000004</v>
      </c>
      <c r="K240" s="88">
        <v>66.553657999999999</v>
      </c>
      <c r="L240" s="34">
        <v>4.0000000000000001E-3</v>
      </c>
      <c r="N240" s="90" t="s">
        <v>614</v>
      </c>
      <c r="O240" s="88">
        <f t="shared" si="382"/>
        <v>7.5636791793564235</v>
      </c>
      <c r="P240" s="88">
        <f t="shared" si="383"/>
        <v>5.9085686244812381</v>
      </c>
      <c r="Q240" s="88">
        <f t="shared" si="384"/>
        <v>4.5078732504592418</v>
      </c>
      <c r="R240" s="88">
        <f t="shared" si="385"/>
        <v>3.9344711003392434</v>
      </c>
      <c r="S240" s="88">
        <f t="shared" si="386"/>
        <v>3.768659239714311</v>
      </c>
      <c r="T240" s="88">
        <f t="shared" si="387"/>
        <v>3.5622244989391949</v>
      </c>
      <c r="U240" s="88">
        <f t="shared" si="388"/>
        <v>3.5498829918082682</v>
      </c>
      <c r="V240" s="88">
        <f t="shared" si="389"/>
        <v>3.5299207622960402</v>
      </c>
      <c r="W240" s="88">
        <f t="shared" si="390"/>
        <v>3.5340994900966027</v>
      </c>
      <c r="X240" s="88">
        <f t="shared" si="391"/>
        <v>3.5342177471511507</v>
      </c>
      <c r="Y240" s="34">
        <v>4.0000000000000001E-3</v>
      </c>
      <c r="AA240" s="90" t="s">
        <v>614</v>
      </c>
      <c r="AB240" s="133">
        <f t="shared" si="406"/>
        <v>0.83601712610938583</v>
      </c>
      <c r="AC240" s="133">
        <f t="shared" si="392"/>
        <v>0.79022286142945386</v>
      </c>
      <c r="AD240" s="133">
        <f t="shared" si="393"/>
        <v>0.78748509431728642</v>
      </c>
      <c r="AE240" s="133">
        <f t="shared" si="394"/>
        <v>0.78305679112349214</v>
      </c>
      <c r="AF240" s="133">
        <f t="shared" si="395"/>
        <v>0.78398377543924169</v>
      </c>
      <c r="AG240" s="133">
        <f t="shared" si="396"/>
        <v>0.78401000888636352</v>
      </c>
      <c r="AH240" s="34"/>
    </row>
    <row r="241" spans="1:34" x14ac:dyDescent="0.35">
      <c r="A241" s="90" t="s">
        <v>615</v>
      </c>
      <c r="B241" s="132">
        <v>26.427229025787895</v>
      </c>
      <c r="C241" s="130">
        <v>33.938176208755635</v>
      </c>
      <c r="D241" s="130">
        <v>44.094127999999998</v>
      </c>
      <c r="E241" s="88">
        <v>46.813862</v>
      </c>
      <c r="F241" s="88">
        <v>49.577922999999998</v>
      </c>
      <c r="G241" s="88">
        <v>52.126629000000001</v>
      </c>
      <c r="H241" s="88">
        <v>52.593390999999997</v>
      </c>
      <c r="I241" s="88">
        <v>53.084975999999997</v>
      </c>
      <c r="J241" s="88">
        <v>52.987492000000003</v>
      </c>
      <c r="K241" s="88">
        <v>52.913848999999999</v>
      </c>
      <c r="L241" s="34">
        <v>5.0000000000000001E-3</v>
      </c>
      <c r="N241" s="90" t="s">
        <v>615</v>
      </c>
      <c r="O241" s="88">
        <f t="shared" si="382"/>
        <v>8.900483626637639</v>
      </c>
      <c r="P241" s="88">
        <f t="shared" si="383"/>
        <v>6.9306941479296551</v>
      </c>
      <c r="Q241" s="88">
        <f t="shared" si="384"/>
        <v>5.3343864571134771</v>
      </c>
      <c r="R241" s="88">
        <f t="shared" si="385"/>
        <v>5.0244758537851064</v>
      </c>
      <c r="S241" s="88">
        <f t="shared" si="386"/>
        <v>4.7443520221980284</v>
      </c>
      <c r="T241" s="88">
        <f t="shared" si="387"/>
        <v>4.5123792532493923</v>
      </c>
      <c r="U241" s="88">
        <f t="shared" si="388"/>
        <v>4.4723322601774838</v>
      </c>
      <c r="V241" s="88">
        <f t="shared" si="389"/>
        <v>4.4309169366757963</v>
      </c>
      <c r="W241" s="88">
        <f t="shared" si="390"/>
        <v>4.4390687379849592</v>
      </c>
      <c r="X241" s="88">
        <f t="shared" si="391"/>
        <v>4.4452468245397938</v>
      </c>
      <c r="Y241" s="34">
        <v>5.0000000000000001E-3</v>
      </c>
      <c r="AA241" s="90" t="s">
        <v>615</v>
      </c>
      <c r="AB241" s="133">
        <f t="shared" si="406"/>
        <v>0.88939038450642638</v>
      </c>
      <c r="AC241" s="133">
        <f t="shared" si="392"/>
        <v>0.84590407716562677</v>
      </c>
      <c r="AD241" s="133">
        <f t="shared" si="393"/>
        <v>0.83839674836710953</v>
      </c>
      <c r="AE241" s="133">
        <f t="shared" si="394"/>
        <v>0.83063290826391256</v>
      </c>
      <c r="AF241" s="133">
        <f t="shared" si="395"/>
        <v>0.83216106925762767</v>
      </c>
      <c r="AG241" s="133">
        <f t="shared" si="396"/>
        <v>0.83331923179506373</v>
      </c>
      <c r="AH241" s="34"/>
    </row>
    <row r="242" spans="1:34" x14ac:dyDescent="0.35">
      <c r="A242" t="s">
        <v>597</v>
      </c>
      <c r="L242" s="34"/>
      <c r="N242" t="s">
        <v>597</v>
      </c>
      <c r="O242" s="88"/>
      <c r="P242" s="88"/>
      <c r="Q242" s="88"/>
      <c r="R242" s="88"/>
      <c r="S242" s="88"/>
      <c r="T242" s="88"/>
      <c r="U242" s="88"/>
      <c r="V242" s="88"/>
      <c r="W242" s="88"/>
      <c r="X242" s="88"/>
      <c r="Y242" s="34"/>
      <c r="AA242" t="s">
        <v>597</v>
      </c>
      <c r="AB242" s="88"/>
      <c r="AC242" s="88"/>
      <c r="AD242" s="88"/>
      <c r="AE242" s="88"/>
      <c r="AF242" s="88"/>
      <c r="AG242" s="88"/>
      <c r="AH242" s="34"/>
    </row>
    <row r="243" spans="1:34" x14ac:dyDescent="0.35">
      <c r="A243" s="90" t="s">
        <v>600</v>
      </c>
      <c r="B243" s="132">
        <v>0</v>
      </c>
      <c r="C243" s="130">
        <v>0</v>
      </c>
      <c r="D243" s="130">
        <v>0</v>
      </c>
      <c r="E243" s="88">
        <v>0</v>
      </c>
      <c r="F243" s="88">
        <v>0</v>
      </c>
      <c r="G243" s="88">
        <v>0</v>
      </c>
      <c r="H243" s="88">
        <v>0</v>
      </c>
      <c r="I243" s="88">
        <v>0</v>
      </c>
      <c r="J243" s="88">
        <v>0</v>
      </c>
      <c r="K243" s="88">
        <v>0</v>
      </c>
      <c r="L243" s="34" t="s">
        <v>279</v>
      </c>
      <c r="N243" s="90" t="s">
        <v>600</v>
      </c>
      <c r="O243" s="88" t="str">
        <f t="shared" ref="O243:O258" si="407">IFERROR(L_100km_to_mpg/B243, "")</f>
        <v/>
      </c>
      <c r="P243" s="88" t="str">
        <f t="shared" ref="P243:P258" si="408">IFERROR(L_100km_to_mpg/C243, "")</f>
        <v/>
      </c>
      <c r="Q243" s="88" t="str">
        <f t="shared" ref="Q243:Q258" si="409">IFERROR(L_100km_to_mpg/D243, "")</f>
        <v/>
      </c>
      <c r="R243" s="88" t="str">
        <f t="shared" ref="R243:R258" si="410">IFERROR(L_100km_to_mpg/E243, "")</f>
        <v/>
      </c>
      <c r="S243" s="88" t="str">
        <f t="shared" ref="S243:S258" si="411">IFERROR(L_100km_to_mpg/F243, "")</f>
        <v/>
      </c>
      <c r="T243" s="88" t="str">
        <f t="shared" ref="T243:T258" si="412">IFERROR(L_100km_to_mpg/G243, "")</f>
        <v/>
      </c>
      <c r="U243" s="88" t="str">
        <f t="shared" ref="U243:U258" si="413">IFERROR(L_100km_to_mpg/H243, "")</f>
        <v/>
      </c>
      <c r="V243" s="88" t="str">
        <f t="shared" ref="V243:V258" si="414">IFERROR(L_100km_to_mpg/I243, "")</f>
        <v/>
      </c>
      <c r="W243" s="88" t="str">
        <f t="shared" ref="W243:W258" si="415">IFERROR(L_100km_to_mpg/J243, "")</f>
        <v/>
      </c>
      <c r="X243" s="88" t="str">
        <f t="shared" ref="X243:X258" si="416">IFERROR(L_100km_to_mpg/K243, "")</f>
        <v/>
      </c>
      <c r="Y243" s="34" t="s">
        <v>279</v>
      </c>
      <c r="AA243" s="90" t="s">
        <v>600</v>
      </c>
      <c r="AB243" s="133" t="str">
        <f>IFERROR($D243/F243, "")</f>
        <v/>
      </c>
      <c r="AC243" s="133" t="str">
        <f t="shared" ref="AC243:AC258" si="417">IFERROR($D243/G243, "")</f>
        <v/>
      </c>
      <c r="AD243" s="133" t="str">
        <f t="shared" ref="AD243:AD258" si="418">IFERROR($D243/H243, "")</f>
        <v/>
      </c>
      <c r="AE243" s="133" t="str">
        <f t="shared" ref="AE243:AE258" si="419">IFERROR($D243/I243, "")</f>
        <v/>
      </c>
      <c r="AF243" s="133" t="str">
        <f t="shared" ref="AF243:AF258" si="420">IFERROR($D243/J243, "")</f>
        <v/>
      </c>
      <c r="AG243" s="133" t="str">
        <f t="shared" ref="AG243:AG258" si="421">IFERROR($D243/K243, "")</f>
        <v/>
      </c>
      <c r="AH243" s="34"/>
    </row>
    <row r="244" spans="1:34" x14ac:dyDescent="0.35">
      <c r="A244" s="90" t="s">
        <v>601</v>
      </c>
      <c r="B244" s="132">
        <v>0</v>
      </c>
      <c r="C244" s="130">
        <v>0</v>
      </c>
      <c r="D244" s="130">
        <v>0</v>
      </c>
      <c r="E244" s="88">
        <v>0</v>
      </c>
      <c r="F244" s="88">
        <v>0</v>
      </c>
      <c r="G244" s="88">
        <v>0</v>
      </c>
      <c r="H244" s="88">
        <v>0</v>
      </c>
      <c r="I244" s="88">
        <v>0</v>
      </c>
      <c r="J244" s="88">
        <v>0</v>
      </c>
      <c r="K244" s="88">
        <v>0</v>
      </c>
      <c r="L244" s="34" t="s">
        <v>279</v>
      </c>
      <c r="N244" s="90" t="s">
        <v>601</v>
      </c>
      <c r="O244" s="88" t="str">
        <f t="shared" si="407"/>
        <v/>
      </c>
      <c r="P244" s="88" t="str">
        <f t="shared" si="408"/>
        <v/>
      </c>
      <c r="Q244" s="88" t="str">
        <f t="shared" si="409"/>
        <v/>
      </c>
      <c r="R244" s="88" t="str">
        <f t="shared" si="410"/>
        <v/>
      </c>
      <c r="S244" s="88" t="str">
        <f t="shared" si="411"/>
        <v/>
      </c>
      <c r="T244" s="88" t="str">
        <f t="shared" si="412"/>
        <v/>
      </c>
      <c r="U244" s="88" t="str">
        <f t="shared" si="413"/>
        <v/>
      </c>
      <c r="V244" s="88" t="str">
        <f t="shared" si="414"/>
        <v/>
      </c>
      <c r="W244" s="88" t="str">
        <f t="shared" si="415"/>
        <v/>
      </c>
      <c r="X244" s="88" t="str">
        <f t="shared" si="416"/>
        <v/>
      </c>
      <c r="Y244" s="34" t="s">
        <v>279</v>
      </c>
      <c r="AA244" s="90" t="s">
        <v>601</v>
      </c>
      <c r="AB244" s="133" t="str">
        <f t="shared" ref="AB244:AB258" si="422">IFERROR($D244/F244, "")</f>
        <v/>
      </c>
      <c r="AC244" s="133" t="str">
        <f t="shared" si="417"/>
        <v/>
      </c>
      <c r="AD244" s="133" t="str">
        <f t="shared" si="418"/>
        <v/>
      </c>
      <c r="AE244" s="133" t="str">
        <f t="shared" si="419"/>
        <v/>
      </c>
      <c r="AF244" s="133" t="str">
        <f t="shared" si="420"/>
        <v/>
      </c>
      <c r="AG244" s="133" t="str">
        <f t="shared" si="421"/>
        <v/>
      </c>
      <c r="AH244" s="34"/>
    </row>
    <row r="245" spans="1:34" x14ac:dyDescent="0.35">
      <c r="A245" s="90" t="s">
        <v>602</v>
      </c>
      <c r="B245" s="132">
        <v>0</v>
      </c>
      <c r="C245" s="130">
        <v>0</v>
      </c>
      <c r="D245" s="130">
        <v>0</v>
      </c>
      <c r="E245" s="88">
        <v>0</v>
      </c>
      <c r="F245" s="88">
        <v>0</v>
      </c>
      <c r="G245" s="88">
        <v>0</v>
      </c>
      <c r="H245" s="88">
        <v>0</v>
      </c>
      <c r="I245" s="88">
        <v>0</v>
      </c>
      <c r="J245" s="88">
        <v>0</v>
      </c>
      <c r="K245" s="88">
        <v>0</v>
      </c>
      <c r="L245" s="34" t="s">
        <v>279</v>
      </c>
      <c r="N245" s="90" t="s">
        <v>602</v>
      </c>
      <c r="O245" s="88" t="str">
        <f t="shared" si="407"/>
        <v/>
      </c>
      <c r="P245" s="88" t="str">
        <f t="shared" si="408"/>
        <v/>
      </c>
      <c r="Q245" s="88" t="str">
        <f t="shared" si="409"/>
        <v/>
      </c>
      <c r="R245" s="88" t="str">
        <f t="shared" si="410"/>
        <v/>
      </c>
      <c r="S245" s="88" t="str">
        <f t="shared" si="411"/>
        <v/>
      </c>
      <c r="T245" s="88" t="str">
        <f t="shared" si="412"/>
        <v/>
      </c>
      <c r="U245" s="88" t="str">
        <f t="shared" si="413"/>
        <v/>
      </c>
      <c r="V245" s="88" t="str">
        <f t="shared" si="414"/>
        <v/>
      </c>
      <c r="W245" s="88" t="str">
        <f t="shared" si="415"/>
        <v/>
      </c>
      <c r="X245" s="88" t="str">
        <f t="shared" si="416"/>
        <v/>
      </c>
      <c r="Y245" s="34" t="s">
        <v>279</v>
      </c>
      <c r="AA245" s="90" t="s">
        <v>602</v>
      </c>
      <c r="AB245" s="133" t="str">
        <f t="shared" si="422"/>
        <v/>
      </c>
      <c r="AC245" s="133" t="str">
        <f t="shared" si="417"/>
        <v/>
      </c>
      <c r="AD245" s="133" t="str">
        <f t="shared" si="418"/>
        <v/>
      </c>
      <c r="AE245" s="133" t="str">
        <f t="shared" si="419"/>
        <v/>
      </c>
      <c r="AF245" s="133" t="str">
        <f t="shared" si="420"/>
        <v/>
      </c>
      <c r="AG245" s="133" t="str">
        <f t="shared" si="421"/>
        <v/>
      </c>
      <c r="AH245" s="34"/>
    </row>
    <row r="246" spans="1:34" x14ac:dyDescent="0.35">
      <c r="A246" s="90" t="s">
        <v>603</v>
      </c>
      <c r="B246" s="132">
        <v>0</v>
      </c>
      <c r="C246" s="130">
        <v>0</v>
      </c>
      <c r="D246" s="130">
        <v>0</v>
      </c>
      <c r="E246" s="88">
        <v>0</v>
      </c>
      <c r="F246" s="88">
        <v>0</v>
      </c>
      <c r="G246" s="88">
        <v>0</v>
      </c>
      <c r="H246" s="88">
        <v>0</v>
      </c>
      <c r="I246" s="88">
        <v>0</v>
      </c>
      <c r="J246" s="88">
        <v>0</v>
      </c>
      <c r="K246" s="88">
        <v>0</v>
      </c>
      <c r="L246" s="34" t="s">
        <v>279</v>
      </c>
      <c r="N246" s="90" t="s">
        <v>603</v>
      </c>
      <c r="O246" s="88" t="str">
        <f t="shared" si="407"/>
        <v/>
      </c>
      <c r="P246" s="88" t="str">
        <f t="shared" si="408"/>
        <v/>
      </c>
      <c r="Q246" s="88" t="str">
        <f t="shared" si="409"/>
        <v/>
      </c>
      <c r="R246" s="88" t="str">
        <f t="shared" si="410"/>
        <v/>
      </c>
      <c r="S246" s="88" t="str">
        <f t="shared" si="411"/>
        <v/>
      </c>
      <c r="T246" s="88" t="str">
        <f t="shared" si="412"/>
        <v/>
      </c>
      <c r="U246" s="88" t="str">
        <f t="shared" si="413"/>
        <v/>
      </c>
      <c r="V246" s="88" t="str">
        <f t="shared" si="414"/>
        <v/>
      </c>
      <c r="W246" s="88" t="str">
        <f t="shared" si="415"/>
        <v/>
      </c>
      <c r="X246" s="88" t="str">
        <f t="shared" si="416"/>
        <v/>
      </c>
      <c r="Y246" s="34" t="s">
        <v>279</v>
      </c>
      <c r="AA246" s="90" t="s">
        <v>603</v>
      </c>
      <c r="AB246" s="133" t="str">
        <f t="shared" si="422"/>
        <v/>
      </c>
      <c r="AC246" s="133" t="str">
        <f t="shared" si="417"/>
        <v/>
      </c>
      <c r="AD246" s="133" t="str">
        <f t="shared" si="418"/>
        <v/>
      </c>
      <c r="AE246" s="133" t="str">
        <f t="shared" si="419"/>
        <v/>
      </c>
      <c r="AF246" s="133" t="str">
        <f t="shared" si="420"/>
        <v/>
      </c>
      <c r="AG246" s="133" t="str">
        <f t="shared" si="421"/>
        <v/>
      </c>
      <c r="AH246" s="34"/>
    </row>
    <row r="247" spans="1:34" x14ac:dyDescent="0.35">
      <c r="A247" s="90" t="s">
        <v>604</v>
      </c>
      <c r="B247" s="132">
        <v>0</v>
      </c>
      <c r="C247" s="130">
        <v>0</v>
      </c>
      <c r="D247" s="130">
        <v>0</v>
      </c>
      <c r="E247" s="88">
        <v>0</v>
      </c>
      <c r="F247" s="88">
        <v>0</v>
      </c>
      <c r="G247" s="88">
        <v>0</v>
      </c>
      <c r="H247" s="88">
        <v>0</v>
      </c>
      <c r="I247" s="88">
        <v>0</v>
      </c>
      <c r="J247" s="88">
        <v>0</v>
      </c>
      <c r="K247" s="88">
        <v>0</v>
      </c>
      <c r="L247" s="34" t="s">
        <v>279</v>
      </c>
      <c r="N247" s="90" t="s">
        <v>604</v>
      </c>
      <c r="O247" s="88" t="str">
        <f t="shared" si="407"/>
        <v/>
      </c>
      <c r="P247" s="88" t="str">
        <f t="shared" si="408"/>
        <v/>
      </c>
      <c r="Q247" s="88" t="str">
        <f t="shared" si="409"/>
        <v/>
      </c>
      <c r="R247" s="88" t="str">
        <f t="shared" si="410"/>
        <v/>
      </c>
      <c r="S247" s="88" t="str">
        <f t="shared" si="411"/>
        <v/>
      </c>
      <c r="T247" s="88" t="str">
        <f t="shared" si="412"/>
        <v/>
      </c>
      <c r="U247" s="88" t="str">
        <f t="shared" si="413"/>
        <v/>
      </c>
      <c r="V247" s="88" t="str">
        <f t="shared" si="414"/>
        <v/>
      </c>
      <c r="W247" s="88" t="str">
        <f t="shared" si="415"/>
        <v/>
      </c>
      <c r="X247" s="88" t="str">
        <f t="shared" si="416"/>
        <v/>
      </c>
      <c r="Y247" s="34" t="s">
        <v>279</v>
      </c>
      <c r="AA247" s="90" t="s">
        <v>604</v>
      </c>
      <c r="AB247" s="133" t="str">
        <f t="shared" si="422"/>
        <v/>
      </c>
      <c r="AC247" s="133" t="str">
        <f t="shared" si="417"/>
        <v/>
      </c>
      <c r="AD247" s="133" t="str">
        <f t="shared" si="418"/>
        <v/>
      </c>
      <c r="AE247" s="133" t="str">
        <f t="shared" si="419"/>
        <v/>
      </c>
      <c r="AF247" s="133" t="str">
        <f t="shared" si="420"/>
        <v/>
      </c>
      <c r="AG247" s="133" t="str">
        <f t="shared" si="421"/>
        <v/>
      </c>
      <c r="AH247" s="34"/>
    </row>
    <row r="248" spans="1:34" x14ac:dyDescent="0.35">
      <c r="A248" s="90" t="s">
        <v>605</v>
      </c>
      <c r="B248" s="132">
        <v>0</v>
      </c>
      <c r="C248" s="130">
        <v>0</v>
      </c>
      <c r="D248" s="130">
        <v>0</v>
      </c>
      <c r="E248" s="88">
        <v>0</v>
      </c>
      <c r="F248" s="88">
        <v>0</v>
      </c>
      <c r="G248" s="88">
        <v>0</v>
      </c>
      <c r="H248" s="88">
        <v>0</v>
      </c>
      <c r="I248" s="88">
        <v>0</v>
      </c>
      <c r="J248" s="88">
        <v>0</v>
      </c>
      <c r="K248" s="88">
        <v>0</v>
      </c>
      <c r="L248" s="34" t="s">
        <v>279</v>
      </c>
      <c r="N248" s="90" t="s">
        <v>605</v>
      </c>
      <c r="O248" s="88" t="str">
        <f t="shared" si="407"/>
        <v/>
      </c>
      <c r="P248" s="88" t="str">
        <f t="shared" si="408"/>
        <v/>
      </c>
      <c r="Q248" s="88" t="str">
        <f t="shared" si="409"/>
        <v/>
      </c>
      <c r="R248" s="88" t="str">
        <f t="shared" si="410"/>
        <v/>
      </c>
      <c r="S248" s="88" t="str">
        <f t="shared" si="411"/>
        <v/>
      </c>
      <c r="T248" s="88" t="str">
        <f t="shared" si="412"/>
        <v/>
      </c>
      <c r="U248" s="88" t="str">
        <f t="shared" si="413"/>
        <v/>
      </c>
      <c r="V248" s="88" t="str">
        <f t="shared" si="414"/>
        <v/>
      </c>
      <c r="W248" s="88" t="str">
        <f t="shared" si="415"/>
        <v/>
      </c>
      <c r="X248" s="88" t="str">
        <f t="shared" si="416"/>
        <v/>
      </c>
      <c r="Y248" s="34" t="s">
        <v>279</v>
      </c>
      <c r="AA248" s="90" t="s">
        <v>605</v>
      </c>
      <c r="AB248" s="133" t="str">
        <f t="shared" si="422"/>
        <v/>
      </c>
      <c r="AC248" s="133" t="str">
        <f t="shared" si="417"/>
        <v/>
      </c>
      <c r="AD248" s="133" t="str">
        <f t="shared" si="418"/>
        <v/>
      </c>
      <c r="AE248" s="133" t="str">
        <f t="shared" si="419"/>
        <v/>
      </c>
      <c r="AF248" s="133" t="str">
        <f t="shared" si="420"/>
        <v/>
      </c>
      <c r="AG248" s="133" t="str">
        <f t="shared" si="421"/>
        <v/>
      </c>
      <c r="AH248" s="34"/>
    </row>
    <row r="249" spans="1:34" x14ac:dyDescent="0.35">
      <c r="A249" s="90" t="s">
        <v>606</v>
      </c>
      <c r="D249" s="130">
        <v>0</v>
      </c>
      <c r="E249" s="88">
        <v>0</v>
      </c>
      <c r="F249" s="88">
        <v>0</v>
      </c>
      <c r="G249" s="88">
        <v>0</v>
      </c>
      <c r="H249" s="88">
        <v>0</v>
      </c>
      <c r="I249" s="88">
        <v>0</v>
      </c>
      <c r="J249" s="88">
        <v>0</v>
      </c>
      <c r="K249" s="88">
        <v>0</v>
      </c>
      <c r="L249" s="34" t="s">
        <v>279</v>
      </c>
      <c r="N249" s="90" t="s">
        <v>606</v>
      </c>
      <c r="O249" s="88" t="str">
        <f t="shared" si="407"/>
        <v/>
      </c>
      <c r="P249" s="88" t="str">
        <f t="shared" si="408"/>
        <v/>
      </c>
      <c r="Q249" s="88" t="str">
        <f t="shared" si="409"/>
        <v/>
      </c>
      <c r="R249" s="88" t="str">
        <f t="shared" si="410"/>
        <v/>
      </c>
      <c r="S249" s="88" t="str">
        <f t="shared" si="411"/>
        <v/>
      </c>
      <c r="T249" s="88" t="str">
        <f t="shared" si="412"/>
        <v/>
      </c>
      <c r="U249" s="88" t="str">
        <f t="shared" si="413"/>
        <v/>
      </c>
      <c r="V249" s="88" t="str">
        <f t="shared" si="414"/>
        <v/>
      </c>
      <c r="W249" s="88" t="str">
        <f t="shared" si="415"/>
        <v/>
      </c>
      <c r="X249" s="88" t="str">
        <f t="shared" si="416"/>
        <v/>
      </c>
      <c r="Y249" s="34" t="s">
        <v>279</v>
      </c>
      <c r="AA249" s="90" t="s">
        <v>606</v>
      </c>
      <c r="AB249" s="133" t="str">
        <f t="shared" si="422"/>
        <v/>
      </c>
      <c r="AC249" s="133" t="str">
        <f t="shared" si="417"/>
        <v/>
      </c>
      <c r="AD249" s="133" t="str">
        <f t="shared" si="418"/>
        <v/>
      </c>
      <c r="AE249" s="133" t="str">
        <f t="shared" si="419"/>
        <v/>
      </c>
      <c r="AF249" s="133" t="str">
        <f t="shared" si="420"/>
        <v/>
      </c>
      <c r="AG249" s="133" t="str">
        <f t="shared" si="421"/>
        <v/>
      </c>
      <c r="AH249" s="34"/>
    </row>
    <row r="250" spans="1:34" x14ac:dyDescent="0.35">
      <c r="A250" s="90" t="s">
        <v>607</v>
      </c>
      <c r="D250" s="130">
        <v>0</v>
      </c>
      <c r="E250" s="88">
        <v>0</v>
      </c>
      <c r="F250" s="88">
        <v>0</v>
      </c>
      <c r="G250" s="88">
        <v>0</v>
      </c>
      <c r="H250" s="88">
        <v>0</v>
      </c>
      <c r="I250" s="88">
        <v>0</v>
      </c>
      <c r="J250" s="88">
        <v>0</v>
      </c>
      <c r="K250" s="88">
        <v>0</v>
      </c>
      <c r="L250" s="34" t="s">
        <v>279</v>
      </c>
      <c r="N250" s="90" t="s">
        <v>607</v>
      </c>
      <c r="O250" s="88" t="str">
        <f t="shared" si="407"/>
        <v/>
      </c>
      <c r="P250" s="88" t="str">
        <f t="shared" si="408"/>
        <v/>
      </c>
      <c r="Q250" s="88" t="str">
        <f t="shared" si="409"/>
        <v/>
      </c>
      <c r="R250" s="88" t="str">
        <f t="shared" si="410"/>
        <v/>
      </c>
      <c r="S250" s="88" t="str">
        <f t="shared" si="411"/>
        <v/>
      </c>
      <c r="T250" s="88" t="str">
        <f t="shared" si="412"/>
        <v/>
      </c>
      <c r="U250" s="88" t="str">
        <f t="shared" si="413"/>
        <v/>
      </c>
      <c r="V250" s="88" t="str">
        <f t="shared" si="414"/>
        <v/>
      </c>
      <c r="W250" s="88" t="str">
        <f t="shared" si="415"/>
        <v/>
      </c>
      <c r="X250" s="88" t="str">
        <f t="shared" si="416"/>
        <v/>
      </c>
      <c r="Y250" s="34" t="s">
        <v>279</v>
      </c>
      <c r="AA250" s="90" t="s">
        <v>607</v>
      </c>
      <c r="AB250" s="133" t="str">
        <f t="shared" si="422"/>
        <v/>
      </c>
      <c r="AC250" s="133" t="str">
        <f t="shared" si="417"/>
        <v/>
      </c>
      <c r="AD250" s="133" t="str">
        <f t="shared" si="418"/>
        <v/>
      </c>
      <c r="AE250" s="133" t="str">
        <f t="shared" si="419"/>
        <v/>
      </c>
      <c r="AF250" s="133" t="str">
        <f t="shared" si="420"/>
        <v/>
      </c>
      <c r="AG250" s="133" t="str">
        <f t="shared" si="421"/>
        <v/>
      </c>
      <c r="AH250" s="34"/>
    </row>
    <row r="251" spans="1:34" x14ac:dyDescent="0.35">
      <c r="A251" s="90" t="s">
        <v>608</v>
      </c>
      <c r="B251" s="132">
        <v>0</v>
      </c>
      <c r="C251" s="130">
        <v>0</v>
      </c>
      <c r="D251" s="130">
        <v>0</v>
      </c>
      <c r="E251" s="88">
        <v>0</v>
      </c>
      <c r="F251" s="88">
        <v>0</v>
      </c>
      <c r="G251" s="88">
        <v>0</v>
      </c>
      <c r="H251" s="88">
        <v>0</v>
      </c>
      <c r="I251" s="88">
        <v>0</v>
      </c>
      <c r="J251" s="88">
        <v>0</v>
      </c>
      <c r="K251" s="88">
        <v>0</v>
      </c>
      <c r="L251" s="34" t="s">
        <v>279</v>
      </c>
      <c r="N251" s="90" t="s">
        <v>608</v>
      </c>
      <c r="O251" s="88" t="str">
        <f t="shared" si="407"/>
        <v/>
      </c>
      <c r="P251" s="88" t="str">
        <f t="shared" si="408"/>
        <v/>
      </c>
      <c r="Q251" s="88" t="str">
        <f t="shared" si="409"/>
        <v/>
      </c>
      <c r="R251" s="88" t="str">
        <f t="shared" si="410"/>
        <v/>
      </c>
      <c r="S251" s="88" t="str">
        <f t="shared" si="411"/>
        <v/>
      </c>
      <c r="T251" s="88" t="str">
        <f t="shared" si="412"/>
        <v/>
      </c>
      <c r="U251" s="88" t="str">
        <f t="shared" si="413"/>
        <v/>
      </c>
      <c r="V251" s="88" t="str">
        <f t="shared" si="414"/>
        <v/>
      </c>
      <c r="W251" s="88" t="str">
        <f t="shared" si="415"/>
        <v/>
      </c>
      <c r="X251" s="88" t="str">
        <f t="shared" si="416"/>
        <v/>
      </c>
      <c r="Y251" s="34" t="s">
        <v>279</v>
      </c>
      <c r="AA251" s="90" t="s">
        <v>608</v>
      </c>
      <c r="AB251" s="133" t="str">
        <f t="shared" si="422"/>
        <v/>
      </c>
      <c r="AC251" s="133" t="str">
        <f t="shared" si="417"/>
        <v/>
      </c>
      <c r="AD251" s="133" t="str">
        <f t="shared" si="418"/>
        <v/>
      </c>
      <c r="AE251" s="133" t="str">
        <f t="shared" si="419"/>
        <v/>
      </c>
      <c r="AF251" s="133" t="str">
        <f t="shared" si="420"/>
        <v/>
      </c>
      <c r="AG251" s="133" t="str">
        <f t="shared" si="421"/>
        <v/>
      </c>
      <c r="AH251" s="34"/>
    </row>
    <row r="252" spans="1:34" x14ac:dyDescent="0.35">
      <c r="A252" s="90" t="s">
        <v>609</v>
      </c>
      <c r="B252" s="132">
        <v>0</v>
      </c>
      <c r="C252" s="130">
        <v>0</v>
      </c>
      <c r="D252" s="130">
        <v>0</v>
      </c>
      <c r="E252" s="88">
        <v>0</v>
      </c>
      <c r="F252" s="88">
        <v>0</v>
      </c>
      <c r="G252" s="88">
        <v>0</v>
      </c>
      <c r="H252" s="88">
        <v>0</v>
      </c>
      <c r="I252" s="88">
        <v>0</v>
      </c>
      <c r="J252" s="88">
        <v>0</v>
      </c>
      <c r="K252" s="88">
        <v>0</v>
      </c>
      <c r="L252" s="34" t="s">
        <v>279</v>
      </c>
      <c r="N252" s="90" t="s">
        <v>609</v>
      </c>
      <c r="O252" s="88" t="str">
        <f t="shared" si="407"/>
        <v/>
      </c>
      <c r="P252" s="88" t="str">
        <f t="shared" si="408"/>
        <v/>
      </c>
      <c r="Q252" s="88" t="str">
        <f t="shared" si="409"/>
        <v/>
      </c>
      <c r="R252" s="88" t="str">
        <f t="shared" si="410"/>
        <v/>
      </c>
      <c r="S252" s="88" t="str">
        <f t="shared" si="411"/>
        <v/>
      </c>
      <c r="T252" s="88" t="str">
        <f t="shared" si="412"/>
        <v/>
      </c>
      <c r="U252" s="88" t="str">
        <f t="shared" si="413"/>
        <v/>
      </c>
      <c r="V252" s="88" t="str">
        <f t="shared" si="414"/>
        <v/>
      </c>
      <c r="W252" s="88" t="str">
        <f t="shared" si="415"/>
        <v/>
      </c>
      <c r="X252" s="88" t="str">
        <f t="shared" si="416"/>
        <v/>
      </c>
      <c r="Y252" s="34" t="s">
        <v>279</v>
      </c>
      <c r="AA252" s="90" t="s">
        <v>609</v>
      </c>
      <c r="AB252" s="133" t="str">
        <f t="shared" si="422"/>
        <v/>
      </c>
      <c r="AC252" s="133" t="str">
        <f t="shared" si="417"/>
        <v/>
      </c>
      <c r="AD252" s="133" t="str">
        <f t="shared" si="418"/>
        <v/>
      </c>
      <c r="AE252" s="133" t="str">
        <f t="shared" si="419"/>
        <v/>
      </c>
      <c r="AF252" s="133" t="str">
        <f t="shared" si="420"/>
        <v/>
      </c>
      <c r="AG252" s="133" t="str">
        <f t="shared" si="421"/>
        <v/>
      </c>
      <c r="AH252" s="34"/>
    </row>
    <row r="253" spans="1:34" x14ac:dyDescent="0.35">
      <c r="A253" s="90" t="s">
        <v>610</v>
      </c>
      <c r="B253" s="132">
        <v>0</v>
      </c>
      <c r="C253" s="130">
        <v>0</v>
      </c>
      <c r="D253" s="130">
        <v>0</v>
      </c>
      <c r="E253" s="88">
        <v>0</v>
      </c>
      <c r="F253" s="88">
        <v>0</v>
      </c>
      <c r="G253" s="88">
        <v>0</v>
      </c>
      <c r="H253" s="88">
        <v>0</v>
      </c>
      <c r="I253" s="88">
        <v>0</v>
      </c>
      <c r="J253" s="88">
        <v>0</v>
      </c>
      <c r="K253" s="88">
        <v>0</v>
      </c>
      <c r="L253" s="34" t="s">
        <v>279</v>
      </c>
      <c r="N253" s="90" t="s">
        <v>610</v>
      </c>
      <c r="O253" s="88" t="str">
        <f t="shared" si="407"/>
        <v/>
      </c>
      <c r="P253" s="88" t="str">
        <f t="shared" si="408"/>
        <v/>
      </c>
      <c r="Q253" s="88" t="str">
        <f t="shared" si="409"/>
        <v/>
      </c>
      <c r="R253" s="88" t="str">
        <f t="shared" si="410"/>
        <v/>
      </c>
      <c r="S253" s="88" t="str">
        <f t="shared" si="411"/>
        <v/>
      </c>
      <c r="T253" s="88" t="str">
        <f t="shared" si="412"/>
        <v/>
      </c>
      <c r="U253" s="88" t="str">
        <f t="shared" si="413"/>
        <v/>
      </c>
      <c r="V253" s="88" t="str">
        <f t="shared" si="414"/>
        <v/>
      </c>
      <c r="W253" s="88" t="str">
        <f t="shared" si="415"/>
        <v/>
      </c>
      <c r="X253" s="88" t="str">
        <f t="shared" si="416"/>
        <v/>
      </c>
      <c r="Y253" s="34" t="s">
        <v>279</v>
      </c>
      <c r="AA253" s="90" t="s">
        <v>610</v>
      </c>
      <c r="AB253" s="133" t="str">
        <f t="shared" si="422"/>
        <v/>
      </c>
      <c r="AC253" s="133" t="str">
        <f t="shared" si="417"/>
        <v/>
      </c>
      <c r="AD253" s="133" t="str">
        <f t="shared" si="418"/>
        <v/>
      </c>
      <c r="AE253" s="133" t="str">
        <f t="shared" si="419"/>
        <v/>
      </c>
      <c r="AF253" s="133" t="str">
        <f t="shared" si="420"/>
        <v/>
      </c>
      <c r="AG253" s="133" t="str">
        <f t="shared" si="421"/>
        <v/>
      </c>
      <c r="AH253" s="34"/>
    </row>
    <row r="254" spans="1:34" x14ac:dyDescent="0.35">
      <c r="A254" s="90" t="s">
        <v>611</v>
      </c>
      <c r="B254" s="132">
        <v>0</v>
      </c>
      <c r="C254" s="130">
        <v>0</v>
      </c>
      <c r="D254" s="130">
        <v>0</v>
      </c>
      <c r="E254" s="88">
        <v>0</v>
      </c>
      <c r="F254" s="88">
        <v>0</v>
      </c>
      <c r="G254" s="88">
        <v>0</v>
      </c>
      <c r="H254" s="88">
        <v>0</v>
      </c>
      <c r="I254" s="88">
        <v>0</v>
      </c>
      <c r="J254" s="88">
        <v>0</v>
      </c>
      <c r="K254" s="88">
        <v>0</v>
      </c>
      <c r="L254" s="34" t="s">
        <v>279</v>
      </c>
      <c r="N254" s="90" t="s">
        <v>611</v>
      </c>
      <c r="O254" s="88" t="str">
        <f t="shared" si="407"/>
        <v/>
      </c>
      <c r="P254" s="88" t="str">
        <f t="shared" si="408"/>
        <v/>
      </c>
      <c r="Q254" s="88" t="str">
        <f t="shared" si="409"/>
        <v/>
      </c>
      <c r="R254" s="88" t="str">
        <f t="shared" si="410"/>
        <v/>
      </c>
      <c r="S254" s="88" t="str">
        <f t="shared" si="411"/>
        <v/>
      </c>
      <c r="T254" s="88" t="str">
        <f t="shared" si="412"/>
        <v/>
      </c>
      <c r="U254" s="88" t="str">
        <f t="shared" si="413"/>
        <v/>
      </c>
      <c r="V254" s="88" t="str">
        <f t="shared" si="414"/>
        <v/>
      </c>
      <c r="W254" s="88" t="str">
        <f t="shared" si="415"/>
        <v/>
      </c>
      <c r="X254" s="88" t="str">
        <f t="shared" si="416"/>
        <v/>
      </c>
      <c r="Y254" s="34" t="s">
        <v>279</v>
      </c>
      <c r="AA254" s="90" t="s">
        <v>611</v>
      </c>
      <c r="AB254" s="133" t="str">
        <f t="shared" si="422"/>
        <v/>
      </c>
      <c r="AC254" s="133" t="str">
        <f t="shared" si="417"/>
        <v/>
      </c>
      <c r="AD254" s="133" t="str">
        <f t="shared" si="418"/>
        <v/>
      </c>
      <c r="AE254" s="133" t="str">
        <f t="shared" si="419"/>
        <v/>
      </c>
      <c r="AF254" s="133" t="str">
        <f t="shared" si="420"/>
        <v/>
      </c>
      <c r="AG254" s="133" t="str">
        <f t="shared" si="421"/>
        <v/>
      </c>
      <c r="AH254" s="34"/>
    </row>
    <row r="255" spans="1:34" x14ac:dyDescent="0.35">
      <c r="A255" s="90" t="s">
        <v>612</v>
      </c>
      <c r="B255" s="132">
        <v>0</v>
      </c>
      <c r="C255" s="130">
        <v>0</v>
      </c>
      <c r="D255" s="130">
        <v>0</v>
      </c>
      <c r="E255" s="88">
        <v>0</v>
      </c>
      <c r="F255" s="88">
        <v>0</v>
      </c>
      <c r="G255" s="88">
        <v>0</v>
      </c>
      <c r="H255" s="88">
        <v>0</v>
      </c>
      <c r="I255" s="88">
        <v>0</v>
      </c>
      <c r="J255" s="88">
        <v>0</v>
      </c>
      <c r="K255" s="88">
        <v>0</v>
      </c>
      <c r="L255" s="34" t="s">
        <v>279</v>
      </c>
      <c r="N255" s="90" t="s">
        <v>612</v>
      </c>
      <c r="O255" s="88" t="str">
        <f t="shared" si="407"/>
        <v/>
      </c>
      <c r="P255" s="88" t="str">
        <f t="shared" si="408"/>
        <v/>
      </c>
      <c r="Q255" s="88" t="str">
        <f t="shared" si="409"/>
        <v/>
      </c>
      <c r="R255" s="88" t="str">
        <f t="shared" si="410"/>
        <v/>
      </c>
      <c r="S255" s="88" t="str">
        <f t="shared" si="411"/>
        <v/>
      </c>
      <c r="T255" s="88" t="str">
        <f t="shared" si="412"/>
        <v/>
      </c>
      <c r="U255" s="88" t="str">
        <f t="shared" si="413"/>
        <v/>
      </c>
      <c r="V255" s="88" t="str">
        <f t="shared" si="414"/>
        <v/>
      </c>
      <c r="W255" s="88" t="str">
        <f t="shared" si="415"/>
        <v/>
      </c>
      <c r="X255" s="88" t="str">
        <f t="shared" si="416"/>
        <v/>
      </c>
      <c r="Y255" s="34" t="s">
        <v>279</v>
      </c>
      <c r="AA255" s="90" t="s">
        <v>612</v>
      </c>
      <c r="AB255" s="133" t="str">
        <f t="shared" si="422"/>
        <v/>
      </c>
      <c r="AC255" s="133" t="str">
        <f t="shared" si="417"/>
        <v/>
      </c>
      <c r="AD255" s="133" t="str">
        <f t="shared" si="418"/>
        <v/>
      </c>
      <c r="AE255" s="133" t="str">
        <f t="shared" si="419"/>
        <v/>
      </c>
      <c r="AF255" s="133" t="str">
        <f t="shared" si="420"/>
        <v/>
      </c>
      <c r="AG255" s="133" t="str">
        <f t="shared" si="421"/>
        <v/>
      </c>
      <c r="AH255" s="34"/>
    </row>
    <row r="256" spans="1:34" x14ac:dyDescent="0.35">
      <c r="A256" s="90" t="s">
        <v>613</v>
      </c>
      <c r="B256" s="132">
        <v>0</v>
      </c>
      <c r="C256" s="130">
        <v>0</v>
      </c>
      <c r="D256" s="130">
        <v>0</v>
      </c>
      <c r="E256" s="88">
        <v>0</v>
      </c>
      <c r="F256" s="88">
        <v>0</v>
      </c>
      <c r="G256" s="88">
        <v>0</v>
      </c>
      <c r="H256" s="88">
        <v>0</v>
      </c>
      <c r="I256" s="88">
        <v>0</v>
      </c>
      <c r="J256" s="88">
        <v>0</v>
      </c>
      <c r="K256" s="88">
        <v>0</v>
      </c>
      <c r="L256" s="34" t="s">
        <v>279</v>
      </c>
      <c r="N256" s="90" t="s">
        <v>613</v>
      </c>
      <c r="O256" s="88" t="str">
        <f t="shared" si="407"/>
        <v/>
      </c>
      <c r="P256" s="88" t="str">
        <f t="shared" si="408"/>
        <v/>
      </c>
      <c r="Q256" s="88" t="str">
        <f t="shared" si="409"/>
        <v/>
      </c>
      <c r="R256" s="88" t="str">
        <f t="shared" si="410"/>
        <v/>
      </c>
      <c r="S256" s="88" t="str">
        <f t="shared" si="411"/>
        <v/>
      </c>
      <c r="T256" s="88" t="str">
        <f t="shared" si="412"/>
        <v/>
      </c>
      <c r="U256" s="88" t="str">
        <f t="shared" si="413"/>
        <v/>
      </c>
      <c r="V256" s="88" t="str">
        <f t="shared" si="414"/>
        <v/>
      </c>
      <c r="W256" s="88" t="str">
        <f t="shared" si="415"/>
        <v/>
      </c>
      <c r="X256" s="88" t="str">
        <f t="shared" si="416"/>
        <v/>
      </c>
      <c r="Y256" s="34" t="s">
        <v>279</v>
      </c>
      <c r="AA256" s="90" t="s">
        <v>613</v>
      </c>
      <c r="AB256" s="133" t="str">
        <f t="shared" si="422"/>
        <v/>
      </c>
      <c r="AC256" s="133" t="str">
        <f t="shared" si="417"/>
        <v/>
      </c>
      <c r="AD256" s="133" t="str">
        <f t="shared" si="418"/>
        <v/>
      </c>
      <c r="AE256" s="133" t="str">
        <f t="shared" si="419"/>
        <v/>
      </c>
      <c r="AF256" s="133" t="str">
        <f t="shared" si="420"/>
        <v/>
      </c>
      <c r="AG256" s="133" t="str">
        <f t="shared" si="421"/>
        <v/>
      </c>
      <c r="AH256" s="34"/>
    </row>
    <row r="257" spans="1:46" x14ac:dyDescent="0.35">
      <c r="A257" s="90" t="s">
        <v>614</v>
      </c>
      <c r="D257" s="130">
        <v>0</v>
      </c>
      <c r="E257" s="88">
        <v>0</v>
      </c>
      <c r="F257" s="88">
        <v>0</v>
      </c>
      <c r="G257" s="88">
        <v>0</v>
      </c>
      <c r="H257" s="88">
        <v>0</v>
      </c>
      <c r="I257" s="88">
        <v>0</v>
      </c>
      <c r="J257" s="88">
        <v>0</v>
      </c>
      <c r="K257" s="88">
        <v>0</v>
      </c>
      <c r="L257" s="34" t="s">
        <v>279</v>
      </c>
      <c r="N257" s="90" t="s">
        <v>614</v>
      </c>
      <c r="O257" s="88" t="str">
        <f t="shared" si="407"/>
        <v/>
      </c>
      <c r="P257" s="88" t="str">
        <f t="shared" si="408"/>
        <v/>
      </c>
      <c r="Q257" s="88" t="str">
        <f t="shared" si="409"/>
        <v/>
      </c>
      <c r="R257" s="88" t="str">
        <f t="shared" si="410"/>
        <v/>
      </c>
      <c r="S257" s="88" t="str">
        <f t="shared" si="411"/>
        <v/>
      </c>
      <c r="T257" s="88" t="str">
        <f t="shared" si="412"/>
        <v/>
      </c>
      <c r="U257" s="88" t="str">
        <f t="shared" si="413"/>
        <v/>
      </c>
      <c r="V257" s="88" t="str">
        <f t="shared" si="414"/>
        <v/>
      </c>
      <c r="W257" s="88" t="str">
        <f t="shared" si="415"/>
        <v/>
      </c>
      <c r="X257" s="88" t="str">
        <f t="shared" si="416"/>
        <v/>
      </c>
      <c r="Y257" s="34" t="s">
        <v>279</v>
      </c>
      <c r="AA257" s="90" t="s">
        <v>614</v>
      </c>
      <c r="AB257" s="133" t="str">
        <f t="shared" si="422"/>
        <v/>
      </c>
      <c r="AC257" s="133" t="str">
        <f t="shared" si="417"/>
        <v/>
      </c>
      <c r="AD257" s="133" t="str">
        <f t="shared" si="418"/>
        <v/>
      </c>
      <c r="AE257" s="133" t="str">
        <f t="shared" si="419"/>
        <v/>
      </c>
      <c r="AF257" s="133" t="str">
        <f t="shared" si="420"/>
        <v/>
      </c>
      <c r="AG257" s="133" t="str">
        <f t="shared" si="421"/>
        <v/>
      </c>
      <c r="AH257" s="34"/>
    </row>
    <row r="258" spans="1:46" x14ac:dyDescent="0.35">
      <c r="A258" s="90" t="s">
        <v>615</v>
      </c>
      <c r="D258" s="130">
        <v>0</v>
      </c>
      <c r="E258" s="88">
        <v>0</v>
      </c>
      <c r="F258" s="88">
        <v>0</v>
      </c>
      <c r="G258" s="88">
        <v>0</v>
      </c>
      <c r="H258" s="88">
        <v>0</v>
      </c>
      <c r="I258" s="88">
        <v>0</v>
      </c>
      <c r="J258" s="88">
        <v>0</v>
      </c>
      <c r="K258" s="88">
        <v>0</v>
      </c>
      <c r="L258" s="34" t="s">
        <v>279</v>
      </c>
      <c r="N258" s="90" t="s">
        <v>615</v>
      </c>
      <c r="O258" s="88" t="str">
        <f t="shared" si="407"/>
        <v/>
      </c>
      <c r="P258" s="88" t="str">
        <f t="shared" si="408"/>
        <v/>
      </c>
      <c r="Q258" s="88" t="str">
        <f t="shared" si="409"/>
        <v/>
      </c>
      <c r="R258" s="88" t="str">
        <f t="shared" si="410"/>
        <v/>
      </c>
      <c r="S258" s="88" t="str">
        <f t="shared" si="411"/>
        <v/>
      </c>
      <c r="T258" s="88" t="str">
        <f t="shared" si="412"/>
        <v/>
      </c>
      <c r="U258" s="88" t="str">
        <f t="shared" si="413"/>
        <v/>
      </c>
      <c r="V258" s="88" t="str">
        <f t="shared" si="414"/>
        <v/>
      </c>
      <c r="W258" s="88" t="str">
        <f t="shared" si="415"/>
        <v/>
      </c>
      <c r="X258" s="88" t="str">
        <f t="shared" si="416"/>
        <v/>
      </c>
      <c r="Y258" s="34" t="s">
        <v>279</v>
      </c>
      <c r="AA258" s="90" t="s">
        <v>615</v>
      </c>
      <c r="AB258" s="133" t="str">
        <f t="shared" si="422"/>
        <v/>
      </c>
      <c r="AC258" s="133" t="str">
        <f t="shared" si="417"/>
        <v/>
      </c>
      <c r="AD258" s="133" t="str">
        <f t="shared" si="418"/>
        <v/>
      </c>
      <c r="AE258" s="133" t="str">
        <f t="shared" si="419"/>
        <v/>
      </c>
      <c r="AF258" s="133" t="str">
        <f t="shared" si="420"/>
        <v/>
      </c>
      <c r="AG258" s="133" t="str">
        <f t="shared" si="421"/>
        <v/>
      </c>
      <c r="AH258" s="34"/>
    </row>
    <row r="259" spans="1:46" x14ac:dyDescent="0.35">
      <c r="A259" t="s">
        <v>598</v>
      </c>
      <c r="L259" s="34"/>
      <c r="N259" t="s">
        <v>598</v>
      </c>
      <c r="O259" s="88"/>
      <c r="P259" s="88"/>
      <c r="Q259" s="88"/>
      <c r="R259" s="88"/>
      <c r="S259" s="88"/>
      <c r="T259" s="88"/>
      <c r="U259" s="88"/>
      <c r="V259" s="88"/>
      <c r="W259" s="88"/>
      <c r="X259" s="88"/>
      <c r="Y259" s="34"/>
      <c r="AA259" t="s">
        <v>598</v>
      </c>
      <c r="AB259" s="88"/>
      <c r="AC259" s="88"/>
      <c r="AD259" s="88"/>
      <c r="AE259" s="88"/>
      <c r="AF259" s="88"/>
      <c r="AG259" s="88"/>
      <c r="AH259" s="34"/>
      <c r="AI259" t="s">
        <v>32</v>
      </c>
      <c r="AJ259" t="s">
        <v>627</v>
      </c>
      <c r="AK259" s="88" t="e">
        <f>AVERAGE(O260:O267)</f>
        <v>#DIV/0!</v>
      </c>
      <c r="AL259" s="88">
        <f t="shared" ref="AL259" si="423">AVERAGE(P260:P267)</f>
        <v>4.7397200421693642</v>
      </c>
      <c r="AM259" s="88">
        <f t="shared" ref="AM259" si="424">AVERAGE(Q260:Q267)</f>
        <v>4.4430528056684757</v>
      </c>
      <c r="AN259" s="88">
        <f t="shared" ref="AN259" si="425">AVERAGE(R260:R267)</f>
        <v>4.4642314791400262</v>
      </c>
      <c r="AO259" s="88">
        <f t="shared" ref="AO259" si="426">AVERAGE(S260:S267)</f>
        <v>4.4295053661546779</v>
      </c>
      <c r="AP259" s="88">
        <f t="shared" ref="AP259" si="427">AVERAGE(T260:T267)</f>
        <v>4.3817578192749744</v>
      </c>
      <c r="AQ259" s="88">
        <f t="shared" ref="AQ259" si="428">AVERAGE(U260:U267)</f>
        <v>4.3654692577092149</v>
      </c>
      <c r="AR259" s="88">
        <f t="shared" ref="AR259" si="429">AVERAGE(V260:V267)</f>
        <v>4.3449192095428106</v>
      </c>
      <c r="AS259" s="88">
        <f t="shared" ref="AS259" si="430">AVERAGE(W260:W267)</f>
        <v>4.3380485089284253</v>
      </c>
      <c r="AT259" s="88">
        <f t="shared" ref="AT259" si="431">AVERAGE(X260:X267)</f>
        <v>4.3328601442174834</v>
      </c>
    </row>
    <row r="260" spans="1:46" x14ac:dyDescent="0.35">
      <c r="A260" s="90" t="s">
        <v>600</v>
      </c>
      <c r="B260" s="132">
        <v>0</v>
      </c>
      <c r="C260" s="130">
        <v>0</v>
      </c>
      <c r="D260" s="130">
        <v>0</v>
      </c>
      <c r="E260" s="88">
        <v>0</v>
      </c>
      <c r="F260" s="88">
        <v>0</v>
      </c>
      <c r="G260" s="88">
        <v>0</v>
      </c>
      <c r="H260" s="88">
        <v>0</v>
      </c>
      <c r="I260" s="88">
        <v>0</v>
      </c>
      <c r="J260" s="88">
        <v>0</v>
      </c>
      <c r="K260" s="88">
        <v>0</v>
      </c>
      <c r="L260" s="34" t="s">
        <v>279</v>
      </c>
      <c r="N260" s="90" t="s">
        <v>600</v>
      </c>
      <c r="O260" s="88" t="str">
        <f t="shared" ref="O260:O275" si="432">IFERROR(L_100km_to_mpg/B260, "")</f>
        <v/>
      </c>
      <c r="P260" s="88" t="str">
        <f t="shared" ref="P260:P275" si="433">IFERROR(L_100km_to_mpg/C260, "")</f>
        <v/>
      </c>
      <c r="Q260" s="88" t="str">
        <f t="shared" ref="Q260:Q275" si="434">IFERROR(L_100km_to_mpg/D260, "")</f>
        <v/>
      </c>
      <c r="R260" s="88" t="str">
        <f t="shared" ref="R260:R275" si="435">IFERROR(L_100km_to_mpg/E260, "")</f>
        <v/>
      </c>
      <c r="S260" s="88" t="str">
        <f t="shared" ref="S260:S275" si="436">IFERROR(L_100km_to_mpg/F260, "")</f>
        <v/>
      </c>
      <c r="T260" s="88" t="str">
        <f t="shared" ref="T260:T275" si="437">IFERROR(L_100km_to_mpg/G260, "")</f>
        <v/>
      </c>
      <c r="U260" s="88" t="str">
        <f t="shared" ref="U260:U275" si="438">IFERROR(L_100km_to_mpg/H260, "")</f>
        <v/>
      </c>
      <c r="V260" s="88" t="str">
        <f t="shared" ref="V260:V275" si="439">IFERROR(L_100km_to_mpg/I260, "")</f>
        <v/>
      </c>
      <c r="W260" s="88" t="str">
        <f t="shared" ref="W260:W275" si="440">IFERROR(L_100km_to_mpg/J260, "")</f>
        <v/>
      </c>
      <c r="X260" s="88" t="str">
        <f t="shared" ref="X260:X275" si="441">IFERROR(L_100km_to_mpg/K260, "")</f>
        <v/>
      </c>
      <c r="Y260" s="34" t="s">
        <v>279</v>
      </c>
      <c r="AA260" s="90" t="s">
        <v>600</v>
      </c>
      <c r="AB260" s="133" t="str">
        <f>IFERROR($D260/F260, "")</f>
        <v/>
      </c>
      <c r="AC260" s="133" t="str">
        <f t="shared" ref="AC260:AC275" si="442">IFERROR($D260/G260, "")</f>
        <v/>
      </c>
      <c r="AD260" s="133" t="str">
        <f t="shared" ref="AD260:AD275" si="443">IFERROR($D260/H260, "")</f>
        <v/>
      </c>
      <c r="AE260" s="133" t="str">
        <f t="shared" ref="AE260:AE275" si="444">IFERROR($D260/I260, "")</f>
        <v/>
      </c>
      <c r="AF260" s="133" t="str">
        <f t="shared" ref="AF260:AF275" si="445">IFERROR($D260/J260, "")</f>
        <v/>
      </c>
      <c r="AG260" s="133" t="str">
        <f t="shared" ref="AG260:AG275" si="446">IFERROR($D260/K260, "")</f>
        <v/>
      </c>
      <c r="AH260" s="34"/>
      <c r="AI260" t="s">
        <v>256</v>
      </c>
      <c r="AJ260" t="s">
        <v>627</v>
      </c>
      <c r="AK260" s="88" t="e">
        <f>AVERAGE(O268:O275)</f>
        <v>#DIV/0!</v>
      </c>
      <c r="AL260" s="88">
        <f t="shared" ref="AL260" si="447">AVERAGE(P268:P275)</f>
        <v>4.8685056267390703</v>
      </c>
      <c r="AM260" s="88">
        <f t="shared" ref="AM260" si="448">AVERAGE(Q268:Q275)</f>
        <v>5.2010314405524092</v>
      </c>
      <c r="AN260" s="88">
        <f t="shared" ref="AN260" si="449">AVERAGE(R268:R275)</f>
        <v>4.7112838105512065</v>
      </c>
      <c r="AO260" s="88">
        <f t="shared" ref="AO260" si="450">AVERAGE(S268:S275)</f>
        <v>5.029446185309097</v>
      </c>
      <c r="AP260" s="88">
        <f t="shared" ref="AP260" si="451">AVERAGE(T268:T275)</f>
        <v>4.9634437697420717</v>
      </c>
      <c r="AQ260" s="88">
        <f t="shared" ref="AQ260" si="452">AVERAGE(U268:U275)</f>
        <v>4.9498366489487937</v>
      </c>
      <c r="AR260" s="88">
        <f t="shared" ref="AR260" si="453">AVERAGE(V268:V275)</f>
        <v>4.9363296803222543</v>
      </c>
      <c r="AS260" s="88">
        <f t="shared" ref="AS260" si="454">AVERAGE(W268:W275)</f>
        <v>4.9322383649309067</v>
      </c>
      <c r="AT260" s="88">
        <f t="shared" ref="AT260" si="455">AVERAGE(X268:X275)</f>
        <v>4.9315789777537917</v>
      </c>
    </row>
    <row r="261" spans="1:46" x14ac:dyDescent="0.35">
      <c r="A261" s="90" t="s">
        <v>601</v>
      </c>
      <c r="B261" s="132">
        <v>0</v>
      </c>
      <c r="C261" s="130">
        <v>54.449218999999999</v>
      </c>
      <c r="D261" s="130">
        <v>51.796047000000002</v>
      </c>
      <c r="E261" s="88">
        <v>51.839432000000002</v>
      </c>
      <c r="F261" s="88">
        <v>52.671711000000002</v>
      </c>
      <c r="G261" s="88">
        <v>53.337989999999998</v>
      </c>
      <c r="H261" s="88">
        <v>53.466610000000003</v>
      </c>
      <c r="I261" s="88">
        <v>53.480792999999998</v>
      </c>
      <c r="J261" s="88">
        <v>53.487319999999997</v>
      </c>
      <c r="K261" s="88">
        <v>53.481513999999997</v>
      </c>
      <c r="L261" s="34">
        <v>1E-3</v>
      </c>
      <c r="N261" s="90" t="s">
        <v>601</v>
      </c>
      <c r="O261" s="88" t="str">
        <f t="shared" si="432"/>
        <v/>
      </c>
      <c r="P261" s="88">
        <f t="shared" si="433"/>
        <v>4.3198988628547301</v>
      </c>
      <c r="Q261" s="88">
        <f t="shared" si="434"/>
        <v>4.5411789676039973</v>
      </c>
      <c r="R261" s="88">
        <f t="shared" si="435"/>
        <v>4.5373784041736442</v>
      </c>
      <c r="S261" s="88">
        <f t="shared" si="436"/>
        <v>4.4656821427621392</v>
      </c>
      <c r="T261" s="88">
        <f t="shared" si="437"/>
        <v>4.4098984465186666</v>
      </c>
      <c r="U261" s="88">
        <f t="shared" si="438"/>
        <v>4.3992899351843722</v>
      </c>
      <c r="V261" s="88">
        <f t="shared" si="439"/>
        <v>4.3981232522380163</v>
      </c>
      <c r="W261" s="88">
        <f t="shared" si="440"/>
        <v>4.3975865539987451</v>
      </c>
      <c r="X261" s="88">
        <f t="shared" si="441"/>
        <v>4.3980639598465396</v>
      </c>
      <c r="Y261" s="34">
        <v>1E-3</v>
      </c>
      <c r="AA261" s="90" t="s">
        <v>601</v>
      </c>
      <c r="AB261" s="133">
        <f t="shared" ref="AB261:AB275" si="456">IFERROR($D261/F261, "")</f>
        <v>0.98337506066586677</v>
      </c>
      <c r="AC261" s="133">
        <f t="shared" si="442"/>
        <v>0.97109109285895479</v>
      </c>
      <c r="AD261" s="133">
        <f t="shared" si="443"/>
        <v>0.96875502299472505</v>
      </c>
      <c r="AE261" s="133">
        <f t="shared" si="444"/>
        <v>0.96849811108821826</v>
      </c>
      <c r="AF261" s="133">
        <f t="shared" si="445"/>
        <v>0.96837992630776804</v>
      </c>
      <c r="AG261" s="133">
        <f t="shared" si="446"/>
        <v>0.96848505448069411</v>
      </c>
      <c r="AH261" s="34"/>
    </row>
    <row r="262" spans="1:46" x14ac:dyDescent="0.35">
      <c r="A262" s="90" t="s">
        <v>602</v>
      </c>
      <c r="B262" s="132">
        <v>0</v>
      </c>
      <c r="C262" s="130">
        <v>0</v>
      </c>
      <c r="D262" s="130">
        <v>55.874049999999997</v>
      </c>
      <c r="E262" s="88">
        <v>55.184448000000003</v>
      </c>
      <c r="F262" s="88">
        <v>55.736832</v>
      </c>
      <c r="G262" s="88">
        <v>56.384616999999999</v>
      </c>
      <c r="H262" s="88">
        <v>56.636780000000002</v>
      </c>
      <c r="I262" s="88">
        <v>57.093578000000001</v>
      </c>
      <c r="J262" s="88">
        <v>57.242088000000003</v>
      </c>
      <c r="K262" s="88">
        <v>57.337440000000001</v>
      </c>
      <c r="L262" s="34">
        <v>1E-3</v>
      </c>
      <c r="N262" s="90" t="s">
        <v>602</v>
      </c>
      <c r="O262" s="88" t="str">
        <f t="shared" si="432"/>
        <v/>
      </c>
      <c r="P262" s="88" t="str">
        <f t="shared" si="433"/>
        <v/>
      </c>
      <c r="Q262" s="88">
        <f t="shared" si="434"/>
        <v>4.2097381385710921</v>
      </c>
      <c r="R262" s="88">
        <f t="shared" si="435"/>
        <v>4.2623443337048172</v>
      </c>
      <c r="S262" s="88">
        <f t="shared" si="436"/>
        <v>4.2201020546239176</v>
      </c>
      <c r="T262" s="88">
        <f t="shared" si="437"/>
        <v>4.1716186392013297</v>
      </c>
      <c r="U262" s="88">
        <f t="shared" si="438"/>
        <v>4.1530454104457943</v>
      </c>
      <c r="V262" s="88">
        <f t="shared" si="439"/>
        <v>4.1198174555013551</v>
      </c>
      <c r="W262" s="88">
        <f t="shared" si="440"/>
        <v>4.1091289199902725</v>
      </c>
      <c r="X262" s="88">
        <f t="shared" si="441"/>
        <v>4.1022954502577749</v>
      </c>
      <c r="Y262" s="34">
        <v>1E-3</v>
      </c>
      <c r="AA262" s="90" t="s">
        <v>602</v>
      </c>
      <c r="AB262" s="133">
        <f t="shared" si="456"/>
        <v>1.002461890909049</v>
      </c>
      <c r="AC262" s="133">
        <f t="shared" si="442"/>
        <v>0.99094492386105948</v>
      </c>
      <c r="AD262" s="133">
        <f t="shared" si="443"/>
        <v>0.98653295614616499</v>
      </c>
      <c r="AE262" s="133">
        <f t="shared" si="444"/>
        <v>0.97863983931783005</v>
      </c>
      <c r="AF262" s="133">
        <f t="shared" si="445"/>
        <v>0.9761008368527716</v>
      </c>
      <c r="AG262" s="133">
        <f t="shared" si="446"/>
        <v>0.97447758393119743</v>
      </c>
      <c r="AH262" s="34"/>
    </row>
    <row r="263" spans="1:46" x14ac:dyDescent="0.35">
      <c r="A263" s="90" t="s">
        <v>603</v>
      </c>
      <c r="B263" s="132">
        <v>0</v>
      </c>
      <c r="C263" s="130">
        <v>52.108677</v>
      </c>
      <c r="D263" s="130">
        <v>54.801884000000001</v>
      </c>
      <c r="E263" s="88">
        <v>53.961421999999999</v>
      </c>
      <c r="F263" s="88">
        <v>54.227584999999998</v>
      </c>
      <c r="G263" s="88">
        <v>54.762630000000001</v>
      </c>
      <c r="H263" s="88">
        <v>54.985447000000001</v>
      </c>
      <c r="I263" s="88">
        <v>55.314484</v>
      </c>
      <c r="J263" s="88">
        <v>55.431286</v>
      </c>
      <c r="K263" s="88">
        <v>55.541378000000002</v>
      </c>
      <c r="L263" s="34">
        <v>1E-3</v>
      </c>
      <c r="N263" s="90" t="s">
        <v>603</v>
      </c>
      <c r="O263" s="88" t="str">
        <f t="shared" si="432"/>
        <v/>
      </c>
      <c r="P263" s="88">
        <f t="shared" si="433"/>
        <v>4.5139338164626235</v>
      </c>
      <c r="Q263" s="88">
        <f t="shared" si="434"/>
        <v>4.2920991409971991</v>
      </c>
      <c r="R263" s="88">
        <f t="shared" si="435"/>
        <v>4.3589496073959682</v>
      </c>
      <c r="S263" s="88">
        <f t="shared" si="436"/>
        <v>4.3375547563371697</v>
      </c>
      <c r="T263" s="88">
        <f t="shared" si="437"/>
        <v>4.2951757291683785</v>
      </c>
      <c r="U263" s="88">
        <f t="shared" si="438"/>
        <v>4.277770429718033</v>
      </c>
      <c r="V263" s="88">
        <f t="shared" si="439"/>
        <v>4.2523242057438004</v>
      </c>
      <c r="W263" s="88">
        <f t="shared" si="440"/>
        <v>4.2433639234245462</v>
      </c>
      <c r="X263" s="88">
        <f t="shared" si="441"/>
        <v>4.2349528893832655</v>
      </c>
      <c r="Y263" s="34">
        <v>1E-3</v>
      </c>
      <c r="AA263" s="90" t="s">
        <v>603</v>
      </c>
      <c r="AB263" s="133">
        <f t="shared" si="456"/>
        <v>1.0105905324753075</v>
      </c>
      <c r="AC263" s="133">
        <f t="shared" si="442"/>
        <v>1.0007168026809523</v>
      </c>
      <c r="AD263" s="133">
        <f t="shared" si="443"/>
        <v>0.99666160757045408</v>
      </c>
      <c r="AE263" s="133">
        <f t="shared" si="444"/>
        <v>0.99073298776501284</v>
      </c>
      <c r="AF263" s="133">
        <f t="shared" si="445"/>
        <v>0.98864536536280256</v>
      </c>
      <c r="AG263" s="133">
        <f t="shared" si="446"/>
        <v>0.98668571024651208</v>
      </c>
      <c r="AH263" s="34"/>
    </row>
    <row r="264" spans="1:46" x14ac:dyDescent="0.35">
      <c r="A264" s="90" t="s">
        <v>604</v>
      </c>
      <c r="B264" s="132">
        <v>0</v>
      </c>
      <c r="C264" s="130">
        <v>43.677031999999997</v>
      </c>
      <c r="D264" s="130">
        <v>49.736820000000002</v>
      </c>
      <c r="E264" s="88">
        <v>50.064373000000003</v>
      </c>
      <c r="F264" s="88">
        <v>50.102454999999999</v>
      </c>
      <c r="G264" s="88">
        <v>50.580215000000003</v>
      </c>
      <c r="H264" s="88">
        <v>50.782974000000003</v>
      </c>
      <c r="I264" s="88">
        <v>51.029311999999997</v>
      </c>
      <c r="J264" s="88">
        <v>51.110225999999997</v>
      </c>
      <c r="K264" s="88">
        <v>51.176796000000003</v>
      </c>
      <c r="L264" s="34">
        <v>1E-3</v>
      </c>
      <c r="N264" s="90" t="s">
        <v>604</v>
      </c>
      <c r="O264" s="88" t="str">
        <f t="shared" si="432"/>
        <v/>
      </c>
      <c r="P264" s="88">
        <f t="shared" si="433"/>
        <v>5.385327447190738</v>
      </c>
      <c r="Q264" s="88">
        <f t="shared" si="434"/>
        <v>4.7291949755016134</v>
      </c>
      <c r="R264" s="88">
        <f t="shared" si="435"/>
        <v>4.698253571285675</v>
      </c>
      <c r="S264" s="88">
        <f t="shared" si="436"/>
        <v>4.694682510895487</v>
      </c>
      <c r="T264" s="88">
        <f t="shared" si="437"/>
        <v>4.6503384622115211</v>
      </c>
      <c r="U264" s="88">
        <f t="shared" si="438"/>
        <v>4.6317712554886628</v>
      </c>
      <c r="V264" s="88">
        <f t="shared" si="439"/>
        <v>4.6094119246880725</v>
      </c>
      <c r="W264" s="88">
        <f t="shared" si="440"/>
        <v>4.6021146383001348</v>
      </c>
      <c r="X264" s="88">
        <f t="shared" si="441"/>
        <v>4.5961282773823537</v>
      </c>
      <c r="Y264" s="34">
        <v>1E-3</v>
      </c>
      <c r="AA264" s="90" t="s">
        <v>604</v>
      </c>
      <c r="AB264" s="133">
        <f t="shared" si="456"/>
        <v>0.99270225381171451</v>
      </c>
      <c r="AC264" s="133">
        <f t="shared" si="442"/>
        <v>0.98332559480025938</v>
      </c>
      <c r="AD264" s="133">
        <f t="shared" si="443"/>
        <v>0.9793995129154901</v>
      </c>
      <c r="AE264" s="133">
        <f t="shared" si="444"/>
        <v>0.97467157699480655</v>
      </c>
      <c r="AF264" s="133">
        <f t="shared" si="445"/>
        <v>0.97312854770002399</v>
      </c>
      <c r="AG264" s="133">
        <f t="shared" si="446"/>
        <v>0.97186271684534531</v>
      </c>
      <c r="AH264" s="34"/>
    </row>
    <row r="265" spans="1:46" x14ac:dyDescent="0.35">
      <c r="A265" s="90" t="s">
        <v>605</v>
      </c>
      <c r="B265" s="132">
        <v>0</v>
      </c>
      <c r="C265" s="130">
        <v>0</v>
      </c>
      <c r="D265" s="130">
        <v>0</v>
      </c>
      <c r="E265" s="88">
        <v>0</v>
      </c>
      <c r="F265" s="88">
        <v>0</v>
      </c>
      <c r="G265" s="88">
        <v>0</v>
      </c>
      <c r="H265" s="88">
        <v>0</v>
      </c>
      <c r="I265" s="88">
        <v>0</v>
      </c>
      <c r="J265" s="88">
        <v>0</v>
      </c>
      <c r="K265" s="88">
        <v>0</v>
      </c>
      <c r="L265" s="34" t="s">
        <v>279</v>
      </c>
      <c r="N265" s="90" t="s">
        <v>605</v>
      </c>
      <c r="O265" s="88" t="str">
        <f t="shared" si="432"/>
        <v/>
      </c>
      <c r="P265" s="88" t="str">
        <f t="shared" si="433"/>
        <v/>
      </c>
      <c r="Q265" s="88" t="str">
        <f t="shared" si="434"/>
        <v/>
      </c>
      <c r="R265" s="88" t="str">
        <f t="shared" si="435"/>
        <v/>
      </c>
      <c r="S265" s="88" t="str">
        <f t="shared" si="436"/>
        <v/>
      </c>
      <c r="T265" s="88" t="str">
        <f t="shared" si="437"/>
        <v/>
      </c>
      <c r="U265" s="88" t="str">
        <f t="shared" si="438"/>
        <v/>
      </c>
      <c r="V265" s="88" t="str">
        <f t="shared" si="439"/>
        <v/>
      </c>
      <c r="W265" s="88" t="str">
        <f t="shared" si="440"/>
        <v/>
      </c>
      <c r="X265" s="88" t="str">
        <f t="shared" si="441"/>
        <v/>
      </c>
      <c r="Y265" s="34" t="s">
        <v>279</v>
      </c>
      <c r="AA265" s="90" t="s">
        <v>605</v>
      </c>
      <c r="AB265" s="133" t="str">
        <f t="shared" si="456"/>
        <v/>
      </c>
      <c r="AC265" s="133" t="str">
        <f t="shared" si="442"/>
        <v/>
      </c>
      <c r="AD265" s="133" t="str">
        <f t="shared" si="443"/>
        <v/>
      </c>
      <c r="AE265" s="133" t="str">
        <f t="shared" si="444"/>
        <v/>
      </c>
      <c r="AF265" s="133" t="str">
        <f t="shared" si="445"/>
        <v/>
      </c>
      <c r="AG265" s="133" t="str">
        <f t="shared" si="446"/>
        <v/>
      </c>
      <c r="AH265" s="34"/>
    </row>
    <row r="266" spans="1:46" x14ac:dyDescent="0.35">
      <c r="A266" s="90" t="s">
        <v>606</v>
      </c>
      <c r="D266" s="130">
        <v>0</v>
      </c>
      <c r="E266" s="88">
        <v>0</v>
      </c>
      <c r="F266" s="88">
        <v>0</v>
      </c>
      <c r="G266" s="88">
        <v>0</v>
      </c>
      <c r="H266" s="88">
        <v>0</v>
      </c>
      <c r="I266" s="88">
        <v>0</v>
      </c>
      <c r="J266" s="88">
        <v>0</v>
      </c>
      <c r="K266" s="88">
        <v>0</v>
      </c>
      <c r="L266" s="34" t="s">
        <v>279</v>
      </c>
      <c r="N266" s="90" t="s">
        <v>606</v>
      </c>
      <c r="O266" s="88" t="str">
        <f t="shared" si="432"/>
        <v/>
      </c>
      <c r="P266" s="88" t="str">
        <f t="shared" si="433"/>
        <v/>
      </c>
      <c r="Q266" s="88" t="str">
        <f t="shared" si="434"/>
        <v/>
      </c>
      <c r="R266" s="88" t="str">
        <f t="shared" si="435"/>
        <v/>
      </c>
      <c r="S266" s="88" t="str">
        <f t="shared" si="436"/>
        <v/>
      </c>
      <c r="T266" s="88" t="str">
        <f t="shared" si="437"/>
        <v/>
      </c>
      <c r="U266" s="88" t="str">
        <f t="shared" si="438"/>
        <v/>
      </c>
      <c r="V266" s="88" t="str">
        <f t="shared" si="439"/>
        <v/>
      </c>
      <c r="W266" s="88" t="str">
        <f t="shared" si="440"/>
        <v/>
      </c>
      <c r="X266" s="88" t="str">
        <f t="shared" si="441"/>
        <v/>
      </c>
      <c r="Y266" s="34" t="s">
        <v>279</v>
      </c>
      <c r="AA266" s="90" t="s">
        <v>606</v>
      </c>
      <c r="AB266" s="133" t="str">
        <f t="shared" si="456"/>
        <v/>
      </c>
      <c r="AC266" s="133" t="str">
        <f t="shared" si="442"/>
        <v/>
      </c>
      <c r="AD266" s="133" t="str">
        <f t="shared" si="443"/>
        <v/>
      </c>
      <c r="AE266" s="133" t="str">
        <f t="shared" si="444"/>
        <v/>
      </c>
      <c r="AF266" s="133" t="str">
        <f t="shared" si="445"/>
        <v/>
      </c>
      <c r="AG266" s="133" t="str">
        <f t="shared" si="446"/>
        <v/>
      </c>
      <c r="AH266" s="34"/>
    </row>
    <row r="267" spans="1:46" x14ac:dyDescent="0.35">
      <c r="A267" s="90" t="s">
        <v>607</v>
      </c>
      <c r="D267" s="130">
        <v>0</v>
      </c>
      <c r="E267" s="88">
        <v>0</v>
      </c>
      <c r="F267" s="88">
        <v>0</v>
      </c>
      <c r="G267" s="88">
        <v>0</v>
      </c>
      <c r="H267" s="88">
        <v>0</v>
      </c>
      <c r="I267" s="88">
        <v>0</v>
      </c>
      <c r="J267" s="88">
        <v>0</v>
      </c>
      <c r="K267" s="88">
        <v>0</v>
      </c>
      <c r="L267" s="34" t="s">
        <v>279</v>
      </c>
      <c r="N267" s="90" t="s">
        <v>607</v>
      </c>
      <c r="O267" s="88" t="str">
        <f t="shared" si="432"/>
        <v/>
      </c>
      <c r="P267" s="88" t="str">
        <f t="shared" si="433"/>
        <v/>
      </c>
      <c r="Q267" s="88" t="str">
        <f t="shared" si="434"/>
        <v/>
      </c>
      <c r="R267" s="88" t="str">
        <f t="shared" si="435"/>
        <v/>
      </c>
      <c r="S267" s="88" t="str">
        <f t="shared" si="436"/>
        <v/>
      </c>
      <c r="T267" s="88" t="str">
        <f t="shared" si="437"/>
        <v/>
      </c>
      <c r="U267" s="88" t="str">
        <f t="shared" si="438"/>
        <v/>
      </c>
      <c r="V267" s="88" t="str">
        <f t="shared" si="439"/>
        <v/>
      </c>
      <c r="W267" s="88" t="str">
        <f t="shared" si="440"/>
        <v/>
      </c>
      <c r="X267" s="88" t="str">
        <f t="shared" si="441"/>
        <v/>
      </c>
      <c r="Y267" s="34" t="s">
        <v>279</v>
      </c>
      <c r="AA267" s="90" t="s">
        <v>607</v>
      </c>
      <c r="AB267" s="133" t="str">
        <f t="shared" si="456"/>
        <v/>
      </c>
      <c r="AC267" s="133" t="str">
        <f t="shared" si="442"/>
        <v/>
      </c>
      <c r="AD267" s="133" t="str">
        <f t="shared" si="443"/>
        <v/>
      </c>
      <c r="AE267" s="133" t="str">
        <f t="shared" si="444"/>
        <v/>
      </c>
      <c r="AF267" s="133" t="str">
        <f t="shared" si="445"/>
        <v/>
      </c>
      <c r="AG267" s="133" t="str">
        <f t="shared" si="446"/>
        <v/>
      </c>
      <c r="AH267" s="34"/>
    </row>
    <row r="268" spans="1:46" x14ac:dyDescent="0.35">
      <c r="A268" s="90" t="s">
        <v>608</v>
      </c>
      <c r="B268" s="132">
        <v>0</v>
      </c>
      <c r="C268" s="130">
        <v>0</v>
      </c>
      <c r="D268" s="130">
        <v>0</v>
      </c>
      <c r="E268" s="88">
        <v>0</v>
      </c>
      <c r="F268" s="88">
        <v>0</v>
      </c>
      <c r="G268" s="88">
        <v>0</v>
      </c>
      <c r="H268" s="88">
        <v>0</v>
      </c>
      <c r="I268" s="88">
        <v>0</v>
      </c>
      <c r="J268" s="88">
        <v>0</v>
      </c>
      <c r="K268" s="88">
        <v>0</v>
      </c>
      <c r="L268" s="34" t="s">
        <v>279</v>
      </c>
      <c r="N268" s="90" t="s">
        <v>608</v>
      </c>
      <c r="O268" s="88" t="str">
        <f t="shared" si="432"/>
        <v/>
      </c>
      <c r="P268" s="88" t="str">
        <f t="shared" si="433"/>
        <v/>
      </c>
      <c r="Q268" s="88" t="str">
        <f t="shared" si="434"/>
        <v/>
      </c>
      <c r="R268" s="88" t="str">
        <f t="shared" si="435"/>
        <v/>
      </c>
      <c r="S268" s="88" t="str">
        <f t="shared" si="436"/>
        <v/>
      </c>
      <c r="T268" s="88" t="str">
        <f t="shared" si="437"/>
        <v/>
      </c>
      <c r="U268" s="88" t="str">
        <f t="shared" si="438"/>
        <v/>
      </c>
      <c r="V268" s="88" t="str">
        <f t="shared" si="439"/>
        <v/>
      </c>
      <c r="W268" s="88" t="str">
        <f t="shared" si="440"/>
        <v/>
      </c>
      <c r="X268" s="88" t="str">
        <f t="shared" si="441"/>
        <v/>
      </c>
      <c r="Y268" s="34" t="s">
        <v>279</v>
      </c>
      <c r="AA268" s="90" t="s">
        <v>608</v>
      </c>
      <c r="AB268" s="133" t="str">
        <f t="shared" si="456"/>
        <v/>
      </c>
      <c r="AC268" s="133" t="str">
        <f t="shared" si="442"/>
        <v/>
      </c>
      <c r="AD268" s="133" t="str">
        <f t="shared" si="443"/>
        <v/>
      </c>
      <c r="AE268" s="133" t="str">
        <f t="shared" si="444"/>
        <v/>
      </c>
      <c r="AF268" s="133" t="str">
        <f t="shared" si="445"/>
        <v/>
      </c>
      <c r="AG268" s="133" t="str">
        <f t="shared" si="446"/>
        <v/>
      </c>
      <c r="AH268" s="34"/>
    </row>
    <row r="269" spans="1:46" x14ac:dyDescent="0.35">
      <c r="A269" s="90" t="s">
        <v>609</v>
      </c>
      <c r="B269" s="132">
        <v>0</v>
      </c>
      <c r="C269" s="130">
        <v>0</v>
      </c>
      <c r="D269" s="130">
        <v>0</v>
      </c>
      <c r="E269" s="88">
        <v>0</v>
      </c>
      <c r="F269" s="88">
        <v>0</v>
      </c>
      <c r="G269" s="88">
        <v>0</v>
      </c>
      <c r="H269" s="88">
        <v>0</v>
      </c>
      <c r="I269" s="88">
        <v>0</v>
      </c>
      <c r="J269" s="88">
        <v>0</v>
      </c>
      <c r="K269" s="88">
        <v>0</v>
      </c>
      <c r="L269" s="34" t="s">
        <v>279</v>
      </c>
      <c r="N269" s="90" t="s">
        <v>609</v>
      </c>
      <c r="O269" s="88" t="str">
        <f t="shared" si="432"/>
        <v/>
      </c>
      <c r="P269" s="88" t="str">
        <f t="shared" si="433"/>
        <v/>
      </c>
      <c r="Q269" s="88" t="str">
        <f t="shared" si="434"/>
        <v/>
      </c>
      <c r="R269" s="88" t="str">
        <f t="shared" si="435"/>
        <v/>
      </c>
      <c r="S269" s="88" t="str">
        <f t="shared" si="436"/>
        <v/>
      </c>
      <c r="T269" s="88" t="str">
        <f t="shared" si="437"/>
        <v/>
      </c>
      <c r="U269" s="88" t="str">
        <f t="shared" si="438"/>
        <v/>
      </c>
      <c r="V269" s="88" t="str">
        <f t="shared" si="439"/>
        <v/>
      </c>
      <c r="W269" s="88" t="str">
        <f t="shared" si="440"/>
        <v/>
      </c>
      <c r="X269" s="88" t="str">
        <f t="shared" si="441"/>
        <v/>
      </c>
      <c r="Y269" s="34" t="s">
        <v>279</v>
      </c>
      <c r="AA269" s="90" t="s">
        <v>609</v>
      </c>
      <c r="AB269" s="133" t="str">
        <f t="shared" si="456"/>
        <v/>
      </c>
      <c r="AC269" s="133" t="str">
        <f t="shared" si="442"/>
        <v/>
      </c>
      <c r="AD269" s="133" t="str">
        <f t="shared" si="443"/>
        <v/>
      </c>
      <c r="AE269" s="133" t="str">
        <f t="shared" si="444"/>
        <v/>
      </c>
      <c r="AF269" s="133" t="str">
        <f t="shared" si="445"/>
        <v/>
      </c>
      <c r="AG269" s="133" t="str">
        <f t="shared" si="446"/>
        <v/>
      </c>
      <c r="AH269" s="34"/>
    </row>
    <row r="270" spans="1:46" x14ac:dyDescent="0.35">
      <c r="A270" s="90" t="s">
        <v>610</v>
      </c>
      <c r="B270" s="132">
        <v>0</v>
      </c>
      <c r="C270" s="130">
        <v>49.698498000000001</v>
      </c>
      <c r="D270" s="130">
        <v>41.803902000000001</v>
      </c>
      <c r="E270" s="88">
        <v>49.792183000000001</v>
      </c>
      <c r="F270" s="88">
        <v>50.263202999999997</v>
      </c>
      <c r="G270" s="88">
        <v>51.311306000000002</v>
      </c>
      <c r="H270" s="88">
        <v>51.423603</v>
      </c>
      <c r="I270" s="88">
        <v>51.547942999999997</v>
      </c>
      <c r="J270" s="88">
        <v>51.560355999999999</v>
      </c>
      <c r="K270" s="88">
        <v>51.565769000000003</v>
      </c>
      <c r="L270" s="34">
        <v>1E-3</v>
      </c>
      <c r="N270" s="90" t="s">
        <v>610</v>
      </c>
      <c r="O270" s="88" t="str">
        <f t="shared" si="432"/>
        <v/>
      </c>
      <c r="P270" s="88">
        <f t="shared" si="433"/>
        <v>4.7328416090447671</v>
      </c>
      <c r="Q270" s="88">
        <f t="shared" si="434"/>
        <v>5.6266307207740596</v>
      </c>
      <c r="R270" s="88">
        <f t="shared" si="435"/>
        <v>4.7239366717749274</v>
      </c>
      <c r="S270" s="88">
        <f t="shared" si="436"/>
        <v>4.6796683299595561</v>
      </c>
      <c r="T270" s="88">
        <f t="shared" si="437"/>
        <v>4.5840797589799829</v>
      </c>
      <c r="U270" s="88">
        <f t="shared" si="438"/>
        <v>4.5740692117864272</v>
      </c>
      <c r="V270" s="88">
        <f t="shared" si="439"/>
        <v>4.5630359923659451</v>
      </c>
      <c r="W270" s="88">
        <f t="shared" si="440"/>
        <v>4.5619374552306846</v>
      </c>
      <c r="X270" s="88">
        <f t="shared" si="441"/>
        <v>4.5614585761617965</v>
      </c>
      <c r="Y270" s="34">
        <v>1E-3</v>
      </c>
      <c r="AA270" s="90" t="s">
        <v>610</v>
      </c>
      <c r="AB270" s="133">
        <f t="shared" si="456"/>
        <v>0.83169992171012264</v>
      </c>
      <c r="AC270" s="133">
        <f t="shared" si="442"/>
        <v>0.81471132307565897</v>
      </c>
      <c r="AD270" s="133">
        <f t="shared" si="443"/>
        <v>0.81293218602360473</v>
      </c>
      <c r="AE270" s="133">
        <f t="shared" si="444"/>
        <v>0.81097129326770623</v>
      </c>
      <c r="AF270" s="133">
        <f t="shared" si="445"/>
        <v>0.81077605437790234</v>
      </c>
      <c r="AG270" s="133">
        <f t="shared" si="446"/>
        <v>0.81069094499492478</v>
      </c>
      <c r="AH270" s="34"/>
    </row>
    <row r="271" spans="1:46" x14ac:dyDescent="0.35">
      <c r="A271" s="90" t="s">
        <v>611</v>
      </c>
      <c r="B271" s="132">
        <v>0</v>
      </c>
      <c r="C271" s="130">
        <v>0</v>
      </c>
      <c r="D271" s="130">
        <v>0</v>
      </c>
      <c r="E271" s="88">
        <v>0</v>
      </c>
      <c r="F271" s="88">
        <v>0</v>
      </c>
      <c r="G271" s="88">
        <v>0</v>
      </c>
      <c r="H271" s="88">
        <v>0</v>
      </c>
      <c r="I271" s="88">
        <v>0</v>
      </c>
      <c r="J271" s="88">
        <v>0</v>
      </c>
      <c r="K271" s="88">
        <v>0</v>
      </c>
      <c r="L271" s="34" t="s">
        <v>279</v>
      </c>
      <c r="N271" s="90" t="s">
        <v>611</v>
      </c>
      <c r="O271" s="88" t="str">
        <f t="shared" si="432"/>
        <v/>
      </c>
      <c r="P271" s="88" t="str">
        <f t="shared" si="433"/>
        <v/>
      </c>
      <c r="Q271" s="88" t="str">
        <f t="shared" si="434"/>
        <v/>
      </c>
      <c r="R271" s="88" t="str">
        <f t="shared" si="435"/>
        <v/>
      </c>
      <c r="S271" s="88" t="str">
        <f t="shared" si="436"/>
        <v/>
      </c>
      <c r="T271" s="88" t="str">
        <f t="shared" si="437"/>
        <v/>
      </c>
      <c r="U271" s="88" t="str">
        <f t="shared" si="438"/>
        <v/>
      </c>
      <c r="V271" s="88" t="str">
        <f t="shared" si="439"/>
        <v/>
      </c>
      <c r="W271" s="88" t="str">
        <f t="shared" si="440"/>
        <v/>
      </c>
      <c r="X271" s="88" t="str">
        <f t="shared" si="441"/>
        <v/>
      </c>
      <c r="Y271" s="34" t="s">
        <v>279</v>
      </c>
      <c r="AA271" s="90" t="s">
        <v>611</v>
      </c>
      <c r="AB271" s="133" t="str">
        <f t="shared" si="456"/>
        <v/>
      </c>
      <c r="AC271" s="133" t="str">
        <f t="shared" si="442"/>
        <v/>
      </c>
      <c r="AD271" s="133" t="str">
        <f t="shared" si="443"/>
        <v/>
      </c>
      <c r="AE271" s="133" t="str">
        <f t="shared" si="444"/>
        <v/>
      </c>
      <c r="AF271" s="133" t="str">
        <f t="shared" si="445"/>
        <v/>
      </c>
      <c r="AG271" s="133" t="str">
        <f t="shared" si="446"/>
        <v/>
      </c>
      <c r="AH271" s="34"/>
    </row>
    <row r="272" spans="1:46" x14ac:dyDescent="0.35">
      <c r="A272" s="90" t="s">
        <v>612</v>
      </c>
      <c r="B272" s="132">
        <v>0</v>
      </c>
      <c r="C272" s="130">
        <v>47.003825999999997</v>
      </c>
      <c r="D272" s="130">
        <v>0</v>
      </c>
      <c r="E272" s="88">
        <v>0</v>
      </c>
      <c r="F272" s="88">
        <v>0</v>
      </c>
      <c r="G272" s="88">
        <v>0</v>
      </c>
      <c r="H272" s="88">
        <v>0</v>
      </c>
      <c r="I272" s="88">
        <v>0</v>
      </c>
      <c r="J272" s="88">
        <v>0</v>
      </c>
      <c r="K272" s="88">
        <v>0</v>
      </c>
      <c r="L272" s="34" t="s">
        <v>279</v>
      </c>
      <c r="N272" s="90" t="s">
        <v>612</v>
      </c>
      <c r="O272" s="88" t="str">
        <f t="shared" si="432"/>
        <v/>
      </c>
      <c r="P272" s="88">
        <f t="shared" si="433"/>
        <v>5.0041696444333734</v>
      </c>
      <c r="Q272" s="88" t="str">
        <f t="shared" si="434"/>
        <v/>
      </c>
      <c r="R272" s="88" t="str">
        <f t="shared" si="435"/>
        <v/>
      </c>
      <c r="S272" s="88" t="str">
        <f t="shared" si="436"/>
        <v/>
      </c>
      <c r="T272" s="88" t="str">
        <f t="shared" si="437"/>
        <v/>
      </c>
      <c r="U272" s="88" t="str">
        <f t="shared" si="438"/>
        <v/>
      </c>
      <c r="V272" s="88" t="str">
        <f t="shared" si="439"/>
        <v/>
      </c>
      <c r="W272" s="88" t="str">
        <f t="shared" si="440"/>
        <v/>
      </c>
      <c r="X272" s="88" t="str">
        <f t="shared" si="441"/>
        <v/>
      </c>
      <c r="Y272" s="34" t="s">
        <v>279</v>
      </c>
      <c r="AA272" s="90" t="s">
        <v>612</v>
      </c>
      <c r="AB272" s="133" t="str">
        <f t="shared" si="456"/>
        <v/>
      </c>
      <c r="AC272" s="133" t="str">
        <f t="shared" si="442"/>
        <v/>
      </c>
      <c r="AD272" s="133" t="str">
        <f t="shared" si="443"/>
        <v/>
      </c>
      <c r="AE272" s="133" t="str">
        <f t="shared" si="444"/>
        <v/>
      </c>
      <c r="AF272" s="133" t="str">
        <f t="shared" si="445"/>
        <v/>
      </c>
      <c r="AG272" s="133" t="str">
        <f t="shared" si="446"/>
        <v/>
      </c>
      <c r="AH272" s="34"/>
    </row>
    <row r="273" spans="1:34" x14ac:dyDescent="0.35">
      <c r="A273" s="90" t="s">
        <v>613</v>
      </c>
      <c r="B273" s="132">
        <v>0</v>
      </c>
      <c r="C273" s="130">
        <v>0</v>
      </c>
      <c r="D273" s="130">
        <v>0</v>
      </c>
      <c r="E273" s="88">
        <v>0</v>
      </c>
      <c r="F273" s="88">
        <v>0</v>
      </c>
      <c r="G273" s="88">
        <v>0</v>
      </c>
      <c r="H273" s="88">
        <v>0</v>
      </c>
      <c r="I273" s="88">
        <v>0</v>
      </c>
      <c r="J273" s="88">
        <v>0</v>
      </c>
      <c r="K273" s="88">
        <v>0</v>
      </c>
      <c r="L273" s="34" t="s">
        <v>279</v>
      </c>
      <c r="N273" s="90" t="s">
        <v>613</v>
      </c>
      <c r="O273" s="88" t="str">
        <f t="shared" si="432"/>
        <v/>
      </c>
      <c r="P273" s="88" t="str">
        <f t="shared" si="433"/>
        <v/>
      </c>
      <c r="Q273" s="88" t="str">
        <f t="shared" si="434"/>
        <v/>
      </c>
      <c r="R273" s="88" t="str">
        <f t="shared" si="435"/>
        <v/>
      </c>
      <c r="S273" s="88" t="str">
        <f t="shared" si="436"/>
        <v/>
      </c>
      <c r="T273" s="88" t="str">
        <f t="shared" si="437"/>
        <v/>
      </c>
      <c r="U273" s="88" t="str">
        <f t="shared" si="438"/>
        <v/>
      </c>
      <c r="V273" s="88" t="str">
        <f t="shared" si="439"/>
        <v/>
      </c>
      <c r="W273" s="88" t="str">
        <f t="shared" si="440"/>
        <v/>
      </c>
      <c r="X273" s="88" t="str">
        <f t="shared" si="441"/>
        <v/>
      </c>
      <c r="Y273" s="34" t="s">
        <v>279</v>
      </c>
      <c r="AA273" s="90" t="s">
        <v>613</v>
      </c>
      <c r="AB273" s="133" t="str">
        <f t="shared" si="456"/>
        <v/>
      </c>
      <c r="AC273" s="133" t="str">
        <f t="shared" si="442"/>
        <v/>
      </c>
      <c r="AD273" s="133" t="str">
        <f t="shared" si="443"/>
        <v/>
      </c>
      <c r="AE273" s="133" t="str">
        <f t="shared" si="444"/>
        <v/>
      </c>
      <c r="AF273" s="133" t="str">
        <f t="shared" si="445"/>
        <v/>
      </c>
      <c r="AG273" s="133" t="str">
        <f t="shared" si="446"/>
        <v/>
      </c>
      <c r="AH273" s="34"/>
    </row>
    <row r="274" spans="1:34" x14ac:dyDescent="0.35">
      <c r="A274" s="90" t="s">
        <v>614</v>
      </c>
      <c r="D274" s="130">
        <v>49.255253000000003</v>
      </c>
      <c r="E274" s="88">
        <v>50.060352000000002</v>
      </c>
      <c r="F274" s="88">
        <v>49.976063000000003</v>
      </c>
      <c r="G274" s="88">
        <v>50.535201999999998</v>
      </c>
      <c r="H274" s="88">
        <v>50.850613000000003</v>
      </c>
      <c r="I274" s="88">
        <v>51.177326000000001</v>
      </c>
      <c r="J274" s="88">
        <v>51.268329999999999</v>
      </c>
      <c r="K274" s="88">
        <v>51.256264000000002</v>
      </c>
      <c r="L274" s="34">
        <v>1E-3</v>
      </c>
      <c r="N274" s="90" t="s">
        <v>614</v>
      </c>
      <c r="O274" s="88" t="str">
        <f t="shared" si="432"/>
        <v/>
      </c>
      <c r="P274" s="88" t="str">
        <f t="shared" si="433"/>
        <v/>
      </c>
      <c r="Q274" s="88">
        <f t="shared" si="434"/>
        <v>4.7754321603307597</v>
      </c>
      <c r="R274" s="88">
        <f t="shared" si="435"/>
        <v>4.6986309493274865</v>
      </c>
      <c r="S274" s="88">
        <f t="shared" si="436"/>
        <v>4.7065556012571079</v>
      </c>
      <c r="T274" s="88">
        <f t="shared" si="437"/>
        <v>4.6544806379012424</v>
      </c>
      <c r="U274" s="88">
        <f t="shared" si="438"/>
        <v>4.6256102997505284</v>
      </c>
      <c r="V274" s="88">
        <f t="shared" si="439"/>
        <v>4.5960806791943005</v>
      </c>
      <c r="W274" s="88">
        <f t="shared" si="440"/>
        <v>4.5879223926628416</v>
      </c>
      <c r="X274" s="88">
        <f t="shared" si="441"/>
        <v>4.5890024142498591</v>
      </c>
      <c r="Y274" s="34">
        <v>1E-3</v>
      </c>
      <c r="AA274" s="90" t="s">
        <v>614</v>
      </c>
      <c r="AB274" s="133">
        <f t="shared" si="456"/>
        <v>0.98557689508275192</v>
      </c>
      <c r="AC274" s="133">
        <f t="shared" si="442"/>
        <v>0.97467213052794377</v>
      </c>
      <c r="AD274" s="133">
        <f t="shared" si="443"/>
        <v>0.96862653356804174</v>
      </c>
      <c r="AE274" s="133">
        <f t="shared" si="444"/>
        <v>0.96244287948924889</v>
      </c>
      <c r="AF274" s="133">
        <f t="shared" si="445"/>
        <v>0.96073449242446562</v>
      </c>
      <c r="AG274" s="133">
        <f t="shared" si="446"/>
        <v>0.96096065448703016</v>
      </c>
      <c r="AH274" s="34"/>
    </row>
    <row r="275" spans="1:34" x14ac:dyDescent="0.35">
      <c r="A275" s="90" t="s">
        <v>615</v>
      </c>
      <c r="D275" s="130">
        <v>0</v>
      </c>
      <c r="E275" s="88">
        <v>0</v>
      </c>
      <c r="F275" s="88">
        <v>41.250506999999999</v>
      </c>
      <c r="G275" s="88">
        <v>41.61795</v>
      </c>
      <c r="H275" s="88">
        <v>41.632244</v>
      </c>
      <c r="I275" s="88">
        <v>41.631934999999999</v>
      </c>
      <c r="J275" s="88">
        <v>41.654178999999999</v>
      </c>
      <c r="K275" s="88">
        <v>41.673214000000002</v>
      </c>
      <c r="L275" s="34" t="s">
        <v>279</v>
      </c>
      <c r="N275" s="90" t="s">
        <v>615</v>
      </c>
      <c r="O275" s="88" t="str">
        <f t="shared" si="432"/>
        <v/>
      </c>
      <c r="P275" s="88" t="str">
        <f t="shared" si="433"/>
        <v/>
      </c>
      <c r="Q275" s="88" t="str">
        <f t="shared" si="434"/>
        <v/>
      </c>
      <c r="R275" s="88" t="str">
        <f t="shared" si="435"/>
        <v/>
      </c>
      <c r="S275" s="88">
        <f t="shared" si="436"/>
        <v>5.702114624710628</v>
      </c>
      <c r="T275" s="88">
        <f t="shared" si="437"/>
        <v>5.6517709123449889</v>
      </c>
      <c r="U275" s="88">
        <f t="shared" si="438"/>
        <v>5.6498304353094237</v>
      </c>
      <c r="V275" s="88">
        <f t="shared" si="439"/>
        <v>5.649872369406518</v>
      </c>
      <c r="W275" s="88">
        <f t="shared" si="440"/>
        <v>5.6468552468991922</v>
      </c>
      <c r="X275" s="88">
        <f t="shared" si="441"/>
        <v>5.6442759428497196</v>
      </c>
      <c r="Y275" s="34" t="s">
        <v>279</v>
      </c>
      <c r="AA275" s="90" t="s">
        <v>615</v>
      </c>
      <c r="AB275" s="133">
        <f t="shared" si="456"/>
        <v>0</v>
      </c>
      <c r="AC275" s="133">
        <f t="shared" si="442"/>
        <v>0</v>
      </c>
      <c r="AD275" s="133">
        <f t="shared" si="443"/>
        <v>0</v>
      </c>
      <c r="AE275" s="133">
        <f t="shared" si="444"/>
        <v>0</v>
      </c>
      <c r="AF275" s="133">
        <f t="shared" si="445"/>
        <v>0</v>
      </c>
      <c r="AG275" s="133">
        <f t="shared" si="446"/>
        <v>0</v>
      </c>
      <c r="AH275" s="34"/>
    </row>
  </sheetData>
  <mergeCells count="4">
    <mergeCell ref="E1:L1"/>
    <mergeCell ref="A2:L2"/>
    <mergeCell ref="N2:Y2"/>
    <mergeCell ref="AA2:AG2"/>
  </mergeCells>
  <conditionalFormatting sqref="B5:K275">
    <cfRule type="cellIs" dxfId="0" priority="2" operator="equal">
      <formula>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tabColor theme="4" tint="0.59999389629810485"/>
  </sheetPr>
  <dimension ref="A1:N62"/>
  <sheetViews>
    <sheetView workbookViewId="0">
      <selection activeCell="K37" sqref="K37"/>
    </sheetView>
  </sheetViews>
  <sheetFormatPr defaultRowHeight="14.5" x14ac:dyDescent="0.35"/>
  <cols>
    <col min="1" max="1" width="36.26953125" bestFit="1" customWidth="1"/>
    <col min="2" max="2" width="13.26953125" bestFit="1" customWidth="1"/>
    <col min="3" max="4" width="13.54296875" bestFit="1" customWidth="1"/>
    <col min="5" max="5" width="8.81640625" bestFit="1" customWidth="1"/>
    <col min="6" max="6" width="27.453125" customWidth="1"/>
    <col min="7" max="7" width="13.54296875" customWidth="1"/>
    <col min="8" max="8" width="13.453125" bestFit="1" customWidth="1"/>
    <col min="9" max="9" width="21" customWidth="1"/>
    <col min="11" max="11" width="20.26953125" customWidth="1"/>
    <col min="12" max="12" width="10.81640625" customWidth="1"/>
    <col min="13" max="13" width="25.1796875" customWidth="1"/>
  </cols>
  <sheetData>
    <row r="1" spans="1:14" s="91" customFormat="1" ht="16" thickBot="1" x14ac:dyDescent="0.4">
      <c r="A1" s="567" t="s">
        <v>905</v>
      </c>
      <c r="B1" s="568"/>
      <c r="C1" s="568"/>
      <c r="D1" s="569"/>
      <c r="F1" s="570" t="s">
        <v>952</v>
      </c>
      <c r="G1" s="570"/>
      <c r="I1" s="347" t="s">
        <v>1669</v>
      </c>
      <c r="L1" s="347" t="s">
        <v>1269</v>
      </c>
    </row>
    <row r="2" spans="1:14" ht="15" thickBot="1" x14ac:dyDescent="0.4">
      <c r="A2" s="75" t="s">
        <v>224</v>
      </c>
      <c r="B2" s="15" t="s">
        <v>236</v>
      </c>
      <c r="C2" s="247" t="s">
        <v>237</v>
      </c>
      <c r="D2" s="292" t="s">
        <v>1158</v>
      </c>
      <c r="F2" t="s">
        <v>261</v>
      </c>
      <c r="G2" s="127">
        <f>G50/1000</f>
        <v>1.05505585E-6</v>
      </c>
      <c r="I2" t="s">
        <v>1267</v>
      </c>
      <c r="J2">
        <v>1.3414999999999999</v>
      </c>
      <c r="L2" s="105" t="s">
        <v>1270</v>
      </c>
      <c r="M2" s="105" t="s">
        <v>1272</v>
      </c>
      <c r="N2" s="105" t="s">
        <v>1271</v>
      </c>
    </row>
    <row r="3" spans="1:14" ht="15" thickTop="1" x14ac:dyDescent="0.35">
      <c r="A3" s="77" t="s">
        <v>225</v>
      </c>
      <c r="B3" s="78">
        <v>129670</v>
      </c>
      <c r="C3" s="248">
        <v>138350</v>
      </c>
      <c r="D3" s="80">
        <f>C3/B3</f>
        <v>1.0669391532351353</v>
      </c>
      <c r="F3" t="s">
        <v>262</v>
      </c>
      <c r="G3" s="73">
        <f>F60</f>
        <v>1.60934</v>
      </c>
      <c r="I3" t="s">
        <v>1268</v>
      </c>
      <c r="J3" s="317">
        <f>1.2535/(1+N20)</f>
        <v>1.2127789548022601</v>
      </c>
      <c r="L3">
        <v>2004</v>
      </c>
      <c r="M3">
        <v>104.7</v>
      </c>
    </row>
    <row r="4" spans="1:14" x14ac:dyDescent="0.35">
      <c r="A4" s="77" t="s">
        <v>226</v>
      </c>
      <c r="B4" s="78">
        <v>116090</v>
      </c>
      <c r="C4" s="248">
        <v>124340</v>
      </c>
      <c r="D4" s="80">
        <f t="shared" ref="D4:D14" si="0">C4/B4</f>
        <v>1.0710655525885089</v>
      </c>
      <c r="F4" t="s">
        <v>506</v>
      </c>
      <c r="G4" s="73">
        <f>E43</f>
        <v>3.7854109999999999</v>
      </c>
      <c r="I4" t="s">
        <v>1668</v>
      </c>
      <c r="J4" s="317">
        <f>1.3269*(1+N18)</f>
        <v>1.3527616191904048</v>
      </c>
      <c r="L4">
        <v>2005</v>
      </c>
      <c r="M4">
        <v>107</v>
      </c>
      <c r="N4" s="34">
        <f t="shared" ref="N4:N9" si="1">(M4-M3)/M3</f>
        <v>2.1967526265520506E-2</v>
      </c>
    </row>
    <row r="5" spans="1:14" x14ac:dyDescent="0.35">
      <c r="A5" s="77" t="s">
        <v>227</v>
      </c>
      <c r="B5" s="78">
        <v>112193.52</v>
      </c>
      <c r="C5" s="248">
        <v>120438.62000000001</v>
      </c>
      <c r="D5" s="80">
        <f t="shared" si="0"/>
        <v>1.0734899840917729</v>
      </c>
      <c r="F5" t="s">
        <v>509</v>
      </c>
      <c r="G5" s="73">
        <f>F53</f>
        <v>3412.141641601248</v>
      </c>
      <c r="I5" t="s">
        <v>1773</v>
      </c>
      <c r="J5" s="317">
        <f>1.2957*(1+N17)*(1+N18)</f>
        <v>1.3513435582822089</v>
      </c>
      <c r="L5">
        <v>2006</v>
      </c>
      <c r="M5">
        <v>109.1</v>
      </c>
      <c r="N5" s="34">
        <f t="shared" si="1"/>
        <v>1.9626168224299013E-2</v>
      </c>
    </row>
    <row r="6" spans="1:14" x14ac:dyDescent="0.35">
      <c r="A6" s="77" t="s">
        <v>228</v>
      </c>
      <c r="B6" s="78">
        <v>129487.84757606639</v>
      </c>
      <c r="C6" s="248">
        <v>138490</v>
      </c>
      <c r="D6" s="80">
        <f t="shared" si="0"/>
        <v>1.0695212144803425</v>
      </c>
      <c r="F6" t="s">
        <v>705</v>
      </c>
      <c r="G6" s="73">
        <f>C37</f>
        <v>2.2046226218487757</v>
      </c>
      <c r="I6" t="s">
        <v>1846</v>
      </c>
      <c r="J6" s="317">
        <f>1.2116*(1+N4)*(1+N5)*(1+N6)*(1+N7)*(1+N8)*(1+N9)*(1+N10)*(1+N12)*(1+N13)*(1+N14)*(1+N15)*(1+N16)*(1+N17)*(1+N18)</f>
        <v>1.5505297241639648</v>
      </c>
      <c r="L6">
        <v>2007</v>
      </c>
      <c r="M6">
        <v>111.5</v>
      </c>
      <c r="N6" s="34">
        <f t="shared" si="1"/>
        <v>2.1998166819431769E-2</v>
      </c>
    </row>
    <row r="7" spans="1:14" x14ac:dyDescent="0.35">
      <c r="A7" s="77" t="s">
        <v>229</v>
      </c>
      <c r="B7" s="78">
        <v>119550</v>
      </c>
      <c r="C7" s="248">
        <v>127960</v>
      </c>
      <c r="D7" s="80">
        <f t="shared" si="0"/>
        <v>1.0703471350899205</v>
      </c>
      <c r="F7" s="74" t="s">
        <v>510</v>
      </c>
      <c r="L7">
        <v>2008</v>
      </c>
      <c r="M7">
        <v>114.1</v>
      </c>
      <c r="N7" s="34">
        <f t="shared" si="1"/>
        <v>2.3318385650224163E-2</v>
      </c>
    </row>
    <row r="8" spans="1:14" x14ac:dyDescent="0.35">
      <c r="A8" s="77" t="s">
        <v>230</v>
      </c>
      <c r="B8" s="78">
        <v>122887</v>
      </c>
      <c r="C8" s="248">
        <v>130817</v>
      </c>
      <c r="D8" s="80">
        <f t="shared" si="0"/>
        <v>1.0645308291357101</v>
      </c>
      <c r="L8">
        <v>2009</v>
      </c>
      <c r="M8">
        <v>114.4</v>
      </c>
      <c r="N8" s="34">
        <f t="shared" si="1"/>
        <v>2.6292725679229745E-3</v>
      </c>
    </row>
    <row r="9" spans="1:14" ht="16" thickBot="1" x14ac:dyDescent="0.4">
      <c r="A9" s="77" t="s">
        <v>38</v>
      </c>
      <c r="B9" s="78">
        <v>76330</v>
      </c>
      <c r="C9" s="248">
        <v>84530</v>
      </c>
      <c r="D9" s="80">
        <f t="shared" si="0"/>
        <v>1.1074282719769422</v>
      </c>
      <c r="F9" s="570" t="s">
        <v>906</v>
      </c>
      <c r="G9" s="570"/>
      <c r="L9">
        <v>2010</v>
      </c>
      <c r="M9">
        <v>116.5</v>
      </c>
      <c r="N9" s="34">
        <f t="shared" si="1"/>
        <v>1.8356643356643308E-2</v>
      </c>
    </row>
    <row r="10" spans="1:14" ht="15" thickTop="1" x14ac:dyDescent="0.35">
      <c r="A10" s="77" t="s">
        <v>231</v>
      </c>
      <c r="B10" s="78">
        <v>84950</v>
      </c>
      <c r="C10" s="248">
        <v>91410</v>
      </c>
      <c r="D10" s="80">
        <f t="shared" si="0"/>
        <v>1.076044732195409</v>
      </c>
      <c r="F10" t="s">
        <v>511</v>
      </c>
      <c r="G10" s="73">
        <f>(100*L_gal)/km_mile</f>
        <v>235.21511924142814</v>
      </c>
      <c r="H10" s="125"/>
      <c r="L10">
        <v>2011</v>
      </c>
      <c r="M10">
        <v>119.9</v>
      </c>
      <c r="N10" s="34">
        <f t="shared" ref="N10:N22" si="2">(M10-M9)/M9</f>
        <v>2.9184549356223225E-2</v>
      </c>
    </row>
    <row r="11" spans="1:14" x14ac:dyDescent="0.35">
      <c r="A11" s="77" t="s">
        <v>232</v>
      </c>
      <c r="B11" s="78">
        <v>74720</v>
      </c>
      <c r="C11" s="248">
        <v>84820</v>
      </c>
      <c r="D11" s="80">
        <f t="shared" si="0"/>
        <v>1.1351713062098501</v>
      </c>
      <c r="F11" t="s">
        <v>580</v>
      </c>
      <c r="G11" s="127">
        <f>PJ_MBtu/L_gal</f>
        <v>2.7871632697215709E-7</v>
      </c>
      <c r="L11">
        <v>2012</v>
      </c>
      <c r="M11">
        <v>121.7</v>
      </c>
      <c r="N11" s="34">
        <f t="shared" si="2"/>
        <v>1.5012510425354437E-2</v>
      </c>
    </row>
    <row r="12" spans="1:14" x14ac:dyDescent="0.35">
      <c r="A12" s="77" t="s">
        <v>233</v>
      </c>
      <c r="B12" s="78">
        <v>30500</v>
      </c>
      <c r="C12" s="248">
        <v>36020</v>
      </c>
      <c r="D12" s="80">
        <f t="shared" si="0"/>
        <v>1.1809836065573771</v>
      </c>
      <c r="F12" t="s">
        <v>582</v>
      </c>
      <c r="G12" s="127">
        <f>C5*G11</f>
        <v>3.3568209791995381E-2</v>
      </c>
      <c r="H12" s="95"/>
      <c r="L12">
        <v>2013</v>
      </c>
      <c r="M12">
        <v>122.8</v>
      </c>
      <c r="N12" s="34">
        <f t="shared" si="2"/>
        <v>9.0386195562859022E-3</v>
      </c>
    </row>
    <row r="13" spans="1:14" x14ac:dyDescent="0.35">
      <c r="A13" s="77" t="s">
        <v>234</v>
      </c>
      <c r="B13" s="78">
        <v>983</v>
      </c>
      <c r="C13" s="248">
        <v>1089</v>
      </c>
      <c r="D13" s="80">
        <f t="shared" si="0"/>
        <v>1.1078331637843337</v>
      </c>
      <c r="F13" t="s">
        <v>583</v>
      </c>
      <c r="G13" s="127">
        <f>C6*G11</f>
        <v>3.8599424122374035E-2</v>
      </c>
      <c r="H13" s="95"/>
      <c r="L13">
        <v>2014</v>
      </c>
      <c r="M13">
        <v>125.2</v>
      </c>
      <c r="N13" s="34">
        <f t="shared" si="2"/>
        <v>1.9543973941368125E-2</v>
      </c>
    </row>
    <row r="14" spans="1:14" x14ac:dyDescent="0.35">
      <c r="A14" s="77" t="s">
        <v>235</v>
      </c>
      <c r="B14" s="78">
        <v>290</v>
      </c>
      <c r="C14" s="248">
        <v>343</v>
      </c>
      <c r="D14" s="80">
        <f t="shared" si="0"/>
        <v>1.1827586206896552</v>
      </c>
      <c r="F14" t="s">
        <v>584</v>
      </c>
      <c r="G14" s="127">
        <f>C5/C26 * G11</f>
        <v>2.5231280337353942E-2</v>
      </c>
      <c r="L14">
        <v>2015</v>
      </c>
      <c r="M14">
        <v>126.6</v>
      </c>
      <c r="N14" s="34">
        <f t="shared" si="2"/>
        <v>1.1182108626198015E-2</v>
      </c>
    </row>
    <row r="15" spans="1:14" x14ac:dyDescent="0.35">
      <c r="A15" s="77" t="s">
        <v>508</v>
      </c>
      <c r="B15" s="248">
        <v>3412.141641601248</v>
      </c>
      <c r="C15" s="78"/>
      <c r="D15" s="76"/>
      <c r="F15" t="s">
        <v>581</v>
      </c>
      <c r="G15" s="127">
        <f>B15 * PJ_MBtu</f>
        <v>3.5999999999999999E-3</v>
      </c>
      <c r="L15">
        <v>2016</v>
      </c>
      <c r="M15">
        <v>128.4</v>
      </c>
      <c r="N15" s="34">
        <f t="shared" si="2"/>
        <v>1.4218009478673077E-2</v>
      </c>
    </row>
    <row r="16" spans="1:14" x14ac:dyDescent="0.35">
      <c r="A16" s="77"/>
      <c r="D16" s="76"/>
      <c r="F16" t="s">
        <v>1128</v>
      </c>
      <c r="G16" s="73">
        <f>C6/B6</f>
        <v>1.0695212144803425</v>
      </c>
      <c r="L16">
        <v>2017</v>
      </c>
      <c r="M16">
        <v>130.4</v>
      </c>
      <c r="N16" s="34">
        <f t="shared" si="2"/>
        <v>1.5576323987538941E-2</v>
      </c>
    </row>
    <row r="17" spans="1:14" ht="15" thickBot="1" x14ac:dyDescent="0.4">
      <c r="A17" s="75" t="s">
        <v>507</v>
      </c>
      <c r="B17" s="15" t="s">
        <v>96</v>
      </c>
      <c r="C17" s="15" t="s">
        <v>201</v>
      </c>
      <c r="D17" s="79" t="s">
        <v>202</v>
      </c>
      <c r="F17" t="s">
        <v>1317</v>
      </c>
      <c r="G17" s="88">
        <f>42.2106699476279 * 0.991173745730649</f>
        <v>41.838107841790482</v>
      </c>
      <c r="L17">
        <v>2018</v>
      </c>
      <c r="M17">
        <v>133.4</v>
      </c>
      <c r="N17" s="34">
        <f t="shared" si="2"/>
        <v>2.3006134969325152E-2</v>
      </c>
    </row>
    <row r="18" spans="1:14" ht="15" thickTop="1" x14ac:dyDescent="0.35">
      <c r="A18" s="77" t="s">
        <v>563</v>
      </c>
      <c r="B18" t="s">
        <v>203</v>
      </c>
      <c r="C18" s="73">
        <v>1</v>
      </c>
      <c r="D18" s="80">
        <v>1.1498803290838104</v>
      </c>
      <c r="F18" t="s">
        <v>1327</v>
      </c>
      <c r="G18" s="88">
        <f>43.838416868984 * 0.913903404412361</f>
        <v>40.064078420612752</v>
      </c>
      <c r="L18">
        <v>2019</v>
      </c>
      <c r="M18">
        <v>136</v>
      </c>
      <c r="N18" s="34">
        <f t="shared" si="2"/>
        <v>1.9490254872563676E-2</v>
      </c>
    </row>
    <row r="19" spans="1:14" x14ac:dyDescent="0.35">
      <c r="A19" s="77" t="s">
        <v>564</v>
      </c>
      <c r="B19" t="s">
        <v>204</v>
      </c>
      <c r="C19" s="73">
        <v>0.86965571521409502</v>
      </c>
      <c r="D19" s="80">
        <v>1</v>
      </c>
      <c r="F19" t="s">
        <v>1169</v>
      </c>
      <c r="G19" s="73">
        <f>G17/G18</f>
        <v>1.0442798010365566</v>
      </c>
      <c r="L19">
        <v>2020</v>
      </c>
      <c r="M19">
        <v>137</v>
      </c>
      <c r="N19" s="34">
        <f t="shared" si="2"/>
        <v>7.3529411764705881E-3</v>
      </c>
    </row>
    <row r="20" spans="1:14" x14ac:dyDescent="0.35">
      <c r="A20" s="77" t="s">
        <v>562</v>
      </c>
      <c r="B20" t="s">
        <v>205</v>
      </c>
      <c r="C20" s="73">
        <v>32.880674891136664</v>
      </c>
      <c r="D20" s="80">
        <v>37.949141969176985</v>
      </c>
      <c r="F20" t="s">
        <v>1322</v>
      </c>
      <c r="G20" s="73">
        <f>45.7668369665298/43.838416868984</f>
        <v>1.0439892732282989</v>
      </c>
      <c r="L20">
        <v>2021</v>
      </c>
      <c r="M20">
        <v>141.6</v>
      </c>
      <c r="N20" s="34">
        <f t="shared" si="2"/>
        <v>3.3576642335766384E-2</v>
      </c>
    </row>
    <row r="21" spans="1:14" x14ac:dyDescent="0.35">
      <c r="A21" s="77" t="s">
        <v>206</v>
      </c>
      <c r="B21" t="s">
        <v>207</v>
      </c>
      <c r="C21" s="73">
        <v>1</v>
      </c>
      <c r="D21" s="80">
        <v>1.1498803290838104</v>
      </c>
      <c r="L21">
        <v>2022</v>
      </c>
      <c r="M21">
        <v>151.19999999999999</v>
      </c>
      <c r="N21" s="34">
        <f t="shared" si="2"/>
        <v>6.7796610169491484E-2</v>
      </c>
    </row>
    <row r="22" spans="1:14" x14ac:dyDescent="0.35">
      <c r="A22" s="77" t="s">
        <v>208</v>
      </c>
      <c r="B22" t="s">
        <v>209</v>
      </c>
      <c r="C22" s="73">
        <v>0.88308467268887847</v>
      </c>
      <c r="D22" s="80">
        <v>1.0154416940403566</v>
      </c>
      <c r="L22">
        <v>2023</v>
      </c>
      <c r="M22">
        <v>157.1</v>
      </c>
      <c r="N22" s="34">
        <f t="shared" si="2"/>
        <v>3.9021164021164061E-2</v>
      </c>
    </row>
    <row r="23" spans="1:14" x14ac:dyDescent="0.35">
      <c r="A23" s="77" t="s">
        <v>210</v>
      </c>
      <c r="B23" t="s">
        <v>211</v>
      </c>
      <c r="C23" s="73">
        <v>0.94122085026570801</v>
      </c>
      <c r="D23" s="80">
        <v>1.0822913410440762</v>
      </c>
    </row>
    <row r="24" spans="1:14" x14ac:dyDescent="0.35">
      <c r="A24" s="77" t="s">
        <v>212</v>
      </c>
      <c r="B24" t="s">
        <v>213</v>
      </c>
      <c r="C24" s="73">
        <v>0.87940030111992673</v>
      </c>
      <c r="D24" s="80">
        <v>1.0112051076481834</v>
      </c>
    </row>
    <row r="25" spans="1:14" x14ac:dyDescent="0.35">
      <c r="A25" s="77" t="s">
        <v>214</v>
      </c>
      <c r="B25" t="s">
        <v>215</v>
      </c>
      <c r="C25" s="73">
        <v>0.92066489829303544</v>
      </c>
      <c r="D25" s="80">
        <v>1.0586544562251086</v>
      </c>
    </row>
    <row r="26" spans="1:14" x14ac:dyDescent="0.35">
      <c r="A26" s="77" t="s">
        <v>216</v>
      </c>
      <c r="B26" t="s">
        <v>217</v>
      </c>
      <c r="C26" s="73">
        <v>1.3304203886276409</v>
      </c>
      <c r="D26" s="80">
        <v>1.5298242342949626</v>
      </c>
    </row>
    <row r="27" spans="1:14" x14ac:dyDescent="0.35">
      <c r="A27" s="77" t="s">
        <v>218</v>
      </c>
      <c r="B27" t="s">
        <v>219</v>
      </c>
      <c r="C27" s="73">
        <v>1.3175650366480691</v>
      </c>
      <c r="D27" s="80">
        <v>1.5150421179302045</v>
      </c>
    </row>
    <row r="28" spans="1:14" x14ac:dyDescent="0.35">
      <c r="A28" s="77" t="s">
        <v>220</v>
      </c>
      <c r="B28" t="s">
        <v>221</v>
      </c>
      <c r="C28" s="73">
        <v>1</v>
      </c>
      <c r="D28" s="80">
        <v>1.1498803290838104</v>
      </c>
    </row>
    <row r="29" spans="1:14" ht="15" thickBot="1" x14ac:dyDescent="0.4">
      <c r="A29" s="81" t="s">
        <v>222</v>
      </c>
      <c r="B29" s="82" t="s">
        <v>223</v>
      </c>
      <c r="C29" s="83">
        <v>1.4199318556944118</v>
      </c>
      <c r="D29" s="84">
        <v>1.6327517095024759</v>
      </c>
    </row>
    <row r="30" spans="1:14" x14ac:dyDescent="0.35">
      <c r="A30" s="124" t="s">
        <v>565</v>
      </c>
    </row>
    <row r="32" spans="1:14" ht="16" thickBot="1" x14ac:dyDescent="0.4">
      <c r="A32" s="570" t="s">
        <v>951</v>
      </c>
      <c r="B32" s="570"/>
      <c r="C32" s="570"/>
      <c r="D32" s="570"/>
      <c r="E32" s="570"/>
      <c r="F32" s="570"/>
      <c r="G32" s="570"/>
      <c r="H32" s="570"/>
      <c r="I32" s="570"/>
    </row>
    <row r="33" spans="1:9" ht="15" thickTop="1" x14ac:dyDescent="0.35">
      <c r="A33" s="252" t="s">
        <v>907</v>
      </c>
      <c r="B33" s="256" t="s">
        <v>908</v>
      </c>
      <c r="C33" s="256" t="s">
        <v>909</v>
      </c>
      <c r="D33" s="256" t="s">
        <v>910</v>
      </c>
      <c r="E33" s="256" t="s">
        <v>911</v>
      </c>
      <c r="F33" s="257" t="s">
        <v>912</v>
      </c>
    </row>
    <row r="34" spans="1:9" x14ac:dyDescent="0.35">
      <c r="A34" s="251" t="s">
        <v>913</v>
      </c>
      <c r="B34">
        <v>1</v>
      </c>
      <c r="C34">
        <v>1000</v>
      </c>
      <c r="D34">
        <v>1000000</v>
      </c>
      <c r="E34">
        <v>453.59237000000002</v>
      </c>
      <c r="F34" s="63">
        <v>907184.74</v>
      </c>
    </row>
    <row r="35" spans="1:9" x14ac:dyDescent="0.35">
      <c r="A35" s="251" t="s">
        <v>914</v>
      </c>
      <c r="B35">
        <v>1E-3</v>
      </c>
      <c r="C35">
        <v>1</v>
      </c>
      <c r="D35">
        <v>1000</v>
      </c>
      <c r="E35">
        <v>0.45359237000000002</v>
      </c>
      <c r="F35" s="63">
        <v>907.18474000000003</v>
      </c>
    </row>
    <row r="36" spans="1:9" x14ac:dyDescent="0.35">
      <c r="A36" s="251" t="s">
        <v>915</v>
      </c>
      <c r="B36">
        <v>9.9999999999999995E-7</v>
      </c>
      <c r="C36">
        <v>1E-3</v>
      </c>
      <c r="D36">
        <v>1</v>
      </c>
      <c r="E36">
        <v>4.5359237000000004E-4</v>
      </c>
      <c r="F36" s="63">
        <v>0.90718474000000004</v>
      </c>
    </row>
    <row r="37" spans="1:9" x14ac:dyDescent="0.35">
      <c r="A37" s="251" t="s">
        <v>916</v>
      </c>
      <c r="B37">
        <v>2.2046226218487759E-3</v>
      </c>
      <c r="C37">
        <v>2.2046226218487757</v>
      </c>
      <c r="D37">
        <v>2204.6226218487759</v>
      </c>
      <c r="E37">
        <v>1</v>
      </c>
      <c r="F37" s="63">
        <v>2000</v>
      </c>
    </row>
    <row r="38" spans="1:9" x14ac:dyDescent="0.35">
      <c r="A38" s="252" t="s">
        <v>917</v>
      </c>
      <c r="B38" s="249">
        <v>1.102311310924388E-6</v>
      </c>
      <c r="C38" s="249">
        <v>1.1023113109243879E-3</v>
      </c>
      <c r="D38" s="249">
        <v>1.1023113109243878</v>
      </c>
      <c r="E38" s="249">
        <v>5.0000000000000001E-4</v>
      </c>
      <c r="F38" s="250">
        <v>1</v>
      </c>
    </row>
    <row r="39" spans="1:9" x14ac:dyDescent="0.35">
      <c r="A39" s="33"/>
    </row>
    <row r="40" spans="1:9" x14ac:dyDescent="0.35">
      <c r="A40" s="253" t="s">
        <v>918</v>
      </c>
      <c r="B40" s="254" t="s">
        <v>919</v>
      </c>
      <c r="C40" s="254" t="s">
        <v>920</v>
      </c>
      <c r="D40" s="254" t="s">
        <v>921</v>
      </c>
      <c r="E40" s="254" t="s">
        <v>922</v>
      </c>
      <c r="F40" s="255" t="s">
        <v>923</v>
      </c>
    </row>
    <row r="41" spans="1:9" x14ac:dyDescent="0.35">
      <c r="A41" s="251" t="s">
        <v>924</v>
      </c>
      <c r="B41">
        <v>1</v>
      </c>
      <c r="C41">
        <v>9.9999999999999995E-7</v>
      </c>
      <c r="D41">
        <v>1E-3</v>
      </c>
      <c r="E41">
        <v>3.7854109999999998E-3</v>
      </c>
      <c r="F41" s="63">
        <v>2.8316846999999999E-2</v>
      </c>
    </row>
    <row r="42" spans="1:9" x14ac:dyDescent="0.35">
      <c r="A42" s="251" t="s">
        <v>925</v>
      </c>
      <c r="B42">
        <v>1000000</v>
      </c>
      <c r="C42">
        <v>1</v>
      </c>
      <c r="D42">
        <v>1000.0000000000001</v>
      </c>
      <c r="E42">
        <v>3785.4110000000001</v>
      </c>
      <c r="F42" s="63">
        <v>28316.847000000002</v>
      </c>
    </row>
    <row r="43" spans="1:9" x14ac:dyDescent="0.35">
      <c r="A43" s="251" t="s">
        <v>926</v>
      </c>
      <c r="B43">
        <v>1000</v>
      </c>
      <c r="C43">
        <v>1E-3</v>
      </c>
      <c r="D43">
        <v>1</v>
      </c>
      <c r="E43">
        <v>3.7854109999999999</v>
      </c>
      <c r="F43" s="63">
        <v>28.316846999999999</v>
      </c>
    </row>
    <row r="44" spans="1:9" x14ac:dyDescent="0.35">
      <c r="A44" s="251" t="s">
        <v>927</v>
      </c>
      <c r="B44">
        <v>264.17210707106841</v>
      </c>
      <c r="C44">
        <v>2.6417210707106839E-4</v>
      </c>
      <c r="D44">
        <v>0.26417210707106842</v>
      </c>
      <c r="E44">
        <v>1</v>
      </c>
      <c r="F44" s="63">
        <v>7.4805211375990615</v>
      </c>
    </row>
    <row r="45" spans="1:9" x14ac:dyDescent="0.35">
      <c r="A45" s="252" t="s">
        <v>928</v>
      </c>
      <c r="B45" s="249">
        <v>35.314666212661322</v>
      </c>
      <c r="C45" s="249">
        <v>3.5314666212661319E-5</v>
      </c>
      <c r="D45" s="249">
        <v>3.5314666212661321E-2</v>
      </c>
      <c r="E45" s="249">
        <v>0.13368052594273649</v>
      </c>
      <c r="F45" s="250">
        <v>1</v>
      </c>
    </row>
    <row r="46" spans="1:9" x14ac:dyDescent="0.35">
      <c r="A46" s="33"/>
    </row>
    <row r="47" spans="1:9" x14ac:dyDescent="0.35">
      <c r="A47" s="253" t="s">
        <v>929</v>
      </c>
      <c r="B47" s="254" t="s">
        <v>930</v>
      </c>
      <c r="C47" s="254" t="s">
        <v>931</v>
      </c>
      <c r="D47" s="254" t="s">
        <v>932</v>
      </c>
      <c r="E47" s="254" t="s">
        <v>933</v>
      </c>
      <c r="F47" s="254" t="s">
        <v>934</v>
      </c>
      <c r="G47" s="254" t="s">
        <v>935</v>
      </c>
      <c r="H47" s="254" t="s">
        <v>936</v>
      </c>
      <c r="I47" s="255" t="s">
        <v>937</v>
      </c>
    </row>
    <row r="48" spans="1:9" x14ac:dyDescent="0.35">
      <c r="A48" s="251" t="s">
        <v>938</v>
      </c>
      <c r="B48">
        <v>1</v>
      </c>
      <c r="C48">
        <v>1000</v>
      </c>
      <c r="D48">
        <v>1000000</v>
      </c>
      <c r="E48">
        <v>3600</v>
      </c>
      <c r="F48">
        <v>3600000</v>
      </c>
      <c r="G48">
        <v>1055.05585</v>
      </c>
      <c r="H48">
        <v>1055055850</v>
      </c>
      <c r="I48" s="63">
        <v>2684519.5376862194</v>
      </c>
    </row>
    <row r="49" spans="1:9" x14ac:dyDescent="0.35">
      <c r="A49" s="251" t="s">
        <v>939</v>
      </c>
      <c r="B49">
        <v>1E-3</v>
      </c>
      <c r="C49">
        <v>1</v>
      </c>
      <c r="D49">
        <v>1000</v>
      </c>
      <c r="E49">
        <v>3.6</v>
      </c>
      <c r="F49">
        <v>3600</v>
      </c>
      <c r="G49">
        <v>1.05505585</v>
      </c>
      <c r="H49">
        <v>1055055.8500000001</v>
      </c>
      <c r="I49" s="63">
        <v>2684.5195376862198</v>
      </c>
    </row>
    <row r="50" spans="1:9" x14ac:dyDescent="0.35">
      <c r="A50" s="251" t="s">
        <v>940</v>
      </c>
      <c r="B50">
        <v>9.9999999999999995E-7</v>
      </c>
      <c r="C50">
        <v>1E-3</v>
      </c>
      <c r="D50">
        <v>1</v>
      </c>
      <c r="E50">
        <v>3.5999999999999999E-3</v>
      </c>
      <c r="F50">
        <v>3.6</v>
      </c>
      <c r="G50">
        <v>1.0550558499999999E-3</v>
      </c>
      <c r="H50">
        <v>1055.05585</v>
      </c>
      <c r="I50" s="63">
        <v>2.6845195376862194</v>
      </c>
    </row>
    <row r="51" spans="1:9" x14ac:dyDescent="0.35">
      <c r="A51" s="251" t="s">
        <v>941</v>
      </c>
      <c r="B51">
        <v>2.7777777777777778E-4</v>
      </c>
      <c r="C51">
        <v>0.27777777777777779</v>
      </c>
      <c r="D51">
        <v>277.77777777777777</v>
      </c>
      <c r="E51">
        <v>1</v>
      </c>
      <c r="F51">
        <v>1000</v>
      </c>
      <c r="G51">
        <v>0.29307106944444444</v>
      </c>
      <c r="H51">
        <v>293071.06944444444</v>
      </c>
      <c r="I51" s="63">
        <v>745.69987157950538</v>
      </c>
    </row>
    <row r="52" spans="1:9" x14ac:dyDescent="0.35">
      <c r="A52" s="251" t="s">
        <v>205</v>
      </c>
      <c r="B52">
        <v>2.7777777777777776E-7</v>
      </c>
      <c r="C52">
        <v>2.7777777777777778E-4</v>
      </c>
      <c r="D52">
        <v>0.27777777777777779</v>
      </c>
      <c r="E52">
        <v>1E-3</v>
      </c>
      <c r="F52">
        <v>1</v>
      </c>
      <c r="G52">
        <v>2.9307106944444444E-4</v>
      </c>
      <c r="H52">
        <v>293.07106944444445</v>
      </c>
      <c r="I52" s="63">
        <v>0.74569987157950535</v>
      </c>
    </row>
    <row r="53" spans="1:9" x14ac:dyDescent="0.35">
      <c r="A53" s="251" t="s">
        <v>942</v>
      </c>
      <c r="B53">
        <v>9.4781712266701337E-4</v>
      </c>
      <c r="C53">
        <v>0.94781712266701335</v>
      </c>
      <c r="D53">
        <v>947.81712266701334</v>
      </c>
      <c r="E53">
        <v>3.4121416416012482</v>
      </c>
      <c r="F53">
        <v>3412.141641601248</v>
      </c>
      <c r="G53">
        <v>1</v>
      </c>
      <c r="H53">
        <v>1000000</v>
      </c>
      <c r="I53" s="63">
        <v>2544.4335839531336</v>
      </c>
    </row>
    <row r="54" spans="1:9" x14ac:dyDescent="0.35">
      <c r="A54" s="251" t="s">
        <v>943</v>
      </c>
      <c r="B54">
        <v>9.4781712266701324E-10</v>
      </c>
      <c r="C54">
        <v>9.4781712266701337E-7</v>
      </c>
      <c r="D54">
        <v>9.4781712266701326E-4</v>
      </c>
      <c r="E54">
        <v>3.4121416416012478E-6</v>
      </c>
      <c r="F54">
        <v>3.4121416416012479E-3</v>
      </c>
      <c r="G54">
        <v>9.9999999999999995E-7</v>
      </c>
      <c r="H54">
        <v>1</v>
      </c>
      <c r="I54" s="63">
        <v>2.5444335839531337E-3</v>
      </c>
    </row>
    <row r="55" spans="1:9" x14ac:dyDescent="0.35">
      <c r="A55" s="252" t="s">
        <v>944</v>
      </c>
      <c r="B55" s="249">
        <v>3.72506136E-7</v>
      </c>
      <c r="C55" s="249">
        <v>3.7250613599999999E-4</v>
      </c>
      <c r="D55" s="249">
        <v>0.37250613599999999</v>
      </c>
      <c r="E55" s="249">
        <v>1.3410220896E-3</v>
      </c>
      <c r="F55" s="249">
        <v>1.3410220896</v>
      </c>
      <c r="G55" s="249">
        <v>3.9301477794769559E-4</v>
      </c>
      <c r="H55" s="249">
        <v>393.01477794769556</v>
      </c>
      <c r="I55" s="250">
        <v>1</v>
      </c>
    </row>
    <row r="56" spans="1:9" x14ac:dyDescent="0.35">
      <c r="A56" s="33"/>
    </row>
    <row r="57" spans="1:9" x14ac:dyDescent="0.35">
      <c r="A57" s="253" t="s">
        <v>945</v>
      </c>
      <c r="B57" s="254" t="s">
        <v>946</v>
      </c>
      <c r="C57" s="254" t="s">
        <v>947</v>
      </c>
      <c r="D57" s="254" t="s">
        <v>948</v>
      </c>
      <c r="E57" s="254" t="s">
        <v>949</v>
      </c>
      <c r="F57" s="255" t="s">
        <v>950</v>
      </c>
    </row>
    <row r="58" spans="1:9" x14ac:dyDescent="0.35">
      <c r="A58" s="251" t="s">
        <v>946</v>
      </c>
      <c r="B58">
        <v>1</v>
      </c>
      <c r="C58">
        <v>1000</v>
      </c>
      <c r="D58">
        <v>1000000</v>
      </c>
      <c r="E58">
        <v>304.8</v>
      </c>
      <c r="F58" s="63">
        <v>1609340</v>
      </c>
    </row>
    <row r="59" spans="1:9" x14ac:dyDescent="0.35">
      <c r="A59" s="251" t="s">
        <v>947</v>
      </c>
      <c r="B59">
        <v>1E-3</v>
      </c>
      <c r="C59">
        <v>1</v>
      </c>
      <c r="D59">
        <v>1000</v>
      </c>
      <c r="E59">
        <v>0.30480000000000002</v>
      </c>
      <c r="F59" s="63">
        <v>1609.34</v>
      </c>
    </row>
    <row r="60" spans="1:9" x14ac:dyDescent="0.35">
      <c r="A60" s="251" t="s">
        <v>948</v>
      </c>
      <c r="B60">
        <v>9.9999999999999995E-7</v>
      </c>
      <c r="C60">
        <v>1E-3</v>
      </c>
      <c r="D60">
        <v>1</v>
      </c>
      <c r="E60">
        <v>3.0480000000000004E-4</v>
      </c>
      <c r="F60" s="63">
        <v>1.60934</v>
      </c>
    </row>
    <row r="61" spans="1:9" x14ac:dyDescent="0.35">
      <c r="A61" s="251" t="s">
        <v>949</v>
      </c>
      <c r="B61">
        <v>3.2808398950131233E-3</v>
      </c>
      <c r="C61">
        <v>3.2808398950131235</v>
      </c>
      <c r="D61">
        <v>3280.8398950131236</v>
      </c>
      <c r="E61">
        <v>1</v>
      </c>
      <c r="F61" s="63">
        <v>5280</v>
      </c>
    </row>
    <row r="62" spans="1:9" x14ac:dyDescent="0.35">
      <c r="A62" s="252" t="s">
        <v>950</v>
      </c>
      <c r="B62" s="249">
        <v>6.2137273664980671E-7</v>
      </c>
      <c r="C62" s="249">
        <v>6.2137273664980672E-4</v>
      </c>
      <c r="D62" s="249">
        <v>0.62137273664980675</v>
      </c>
      <c r="E62" s="249">
        <v>1.8939393939393939E-4</v>
      </c>
      <c r="F62" s="250">
        <v>1</v>
      </c>
    </row>
  </sheetData>
  <mergeCells count="4">
    <mergeCell ref="A1:D1"/>
    <mergeCell ref="F1:G1"/>
    <mergeCell ref="F9:G9"/>
    <mergeCell ref="A32:I32"/>
  </mergeCells>
  <hyperlinks>
    <hyperlink ref="I1" r:id="rId1" display="Annual Avg. Exchange Rates - Bank of Canada" xr:uid="{5098208A-2303-4F16-BF21-A43C040B9BD1}"/>
    <hyperlink ref="L1" r:id="rId2" xr:uid="{04A6DE0D-C782-4D23-AE76-1502E47EF483}"/>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tabColor theme="0"/>
  </sheetPr>
  <dimension ref="A1:A63"/>
  <sheetViews>
    <sheetView workbookViewId="0">
      <selection activeCell="A3" sqref="A3"/>
    </sheetView>
  </sheetViews>
  <sheetFormatPr defaultRowHeight="14.5" x14ac:dyDescent="0.35"/>
  <cols>
    <col min="1" max="1" width="144" customWidth="1"/>
  </cols>
  <sheetData>
    <row r="1" spans="1:1" ht="16" thickBot="1" x14ac:dyDescent="0.4">
      <c r="A1" s="61" t="s">
        <v>177</v>
      </c>
    </row>
    <row r="2" spans="1:1" ht="15" thickTop="1" x14ac:dyDescent="0.35">
      <c r="A2" s="68" t="s">
        <v>1841</v>
      </c>
    </row>
    <row r="3" spans="1:1" x14ac:dyDescent="0.35">
      <c r="A3" s="68" t="s">
        <v>2126</v>
      </c>
    </row>
    <row r="4" spans="1:1" x14ac:dyDescent="0.35">
      <c r="A4" s="68" t="s">
        <v>852</v>
      </c>
    </row>
    <row r="5" spans="1:1" x14ac:dyDescent="0.35">
      <c r="A5" s="68" t="s">
        <v>851</v>
      </c>
    </row>
    <row r="6" spans="1:1" x14ac:dyDescent="0.35">
      <c r="A6" s="68" t="s">
        <v>1294</v>
      </c>
    </row>
    <row r="7" spans="1:1" x14ac:dyDescent="0.35">
      <c r="A7" s="68" t="s">
        <v>1306</v>
      </c>
    </row>
    <row r="8" spans="1:1" x14ac:dyDescent="0.35">
      <c r="A8" s="68" t="s">
        <v>153</v>
      </c>
    </row>
    <row r="9" spans="1:1" x14ac:dyDescent="0.35">
      <c r="A9" s="68" t="s">
        <v>154</v>
      </c>
    </row>
    <row r="10" spans="1:1" x14ac:dyDescent="0.35">
      <c r="A10" s="68" t="s">
        <v>2133</v>
      </c>
    </row>
    <row r="11" spans="1:1" x14ac:dyDescent="0.35">
      <c r="A11" s="68" t="s">
        <v>2134</v>
      </c>
    </row>
    <row r="12" spans="1:1" x14ac:dyDescent="0.35">
      <c r="A12" s="68" t="s">
        <v>1725</v>
      </c>
    </row>
    <row r="13" spans="1:1" x14ac:dyDescent="0.35">
      <c r="A13" s="68" t="s">
        <v>1828</v>
      </c>
    </row>
    <row r="14" spans="1:1" x14ac:dyDescent="0.35">
      <c r="A14" s="68" t="s">
        <v>1842</v>
      </c>
    </row>
    <row r="15" spans="1:1" x14ac:dyDescent="0.35">
      <c r="A15" s="68" t="s">
        <v>155</v>
      </c>
    </row>
    <row r="16" spans="1:1" x14ac:dyDescent="0.35">
      <c r="A16" s="68" t="s">
        <v>156</v>
      </c>
    </row>
    <row r="17" spans="1:1" x14ac:dyDescent="0.35">
      <c r="A17" s="68" t="s">
        <v>157</v>
      </c>
    </row>
    <row r="18" spans="1:1" x14ac:dyDescent="0.35">
      <c r="A18" s="68" t="s">
        <v>1779</v>
      </c>
    </row>
    <row r="19" spans="1:1" x14ac:dyDescent="0.35">
      <c r="A19" s="68" t="s">
        <v>158</v>
      </c>
    </row>
    <row r="20" spans="1:1" x14ac:dyDescent="0.35">
      <c r="A20" s="68" t="s">
        <v>1539</v>
      </c>
    </row>
    <row r="21" spans="1:1" x14ac:dyDescent="0.35">
      <c r="A21" s="68" t="s">
        <v>437</v>
      </c>
    </row>
    <row r="22" spans="1:1" x14ac:dyDescent="0.35">
      <c r="A22" s="68" t="s">
        <v>1216</v>
      </c>
    </row>
    <row r="23" spans="1:1" x14ac:dyDescent="0.35">
      <c r="A23" s="68" t="s">
        <v>438</v>
      </c>
    </row>
    <row r="24" spans="1:1" x14ac:dyDescent="0.35">
      <c r="A24" s="68" t="s">
        <v>2076</v>
      </c>
    </row>
    <row r="25" spans="1:1" x14ac:dyDescent="0.35">
      <c r="A25" s="68" t="s">
        <v>159</v>
      </c>
    </row>
    <row r="26" spans="1:1" x14ac:dyDescent="0.35">
      <c r="A26" s="68" t="s">
        <v>180</v>
      </c>
    </row>
    <row r="27" spans="1:1" x14ac:dyDescent="0.35">
      <c r="A27" s="68" t="s">
        <v>853</v>
      </c>
    </row>
    <row r="28" spans="1:1" x14ac:dyDescent="0.35">
      <c r="A28" s="68" t="s">
        <v>1316</v>
      </c>
    </row>
    <row r="29" spans="1:1" x14ac:dyDescent="0.35">
      <c r="A29" s="68" t="s">
        <v>176</v>
      </c>
    </row>
    <row r="30" spans="1:1" x14ac:dyDescent="0.35">
      <c r="A30" s="68" t="s">
        <v>152</v>
      </c>
    </row>
    <row r="31" spans="1:1" x14ac:dyDescent="0.35">
      <c r="A31" s="68" t="s">
        <v>1770</v>
      </c>
    </row>
    <row r="32" spans="1:1" x14ac:dyDescent="0.35">
      <c r="A32" s="68" t="s">
        <v>2022</v>
      </c>
    </row>
    <row r="33" spans="1:1" x14ac:dyDescent="0.35">
      <c r="A33" s="68" t="s">
        <v>2023</v>
      </c>
    </row>
    <row r="34" spans="1:1" x14ac:dyDescent="0.35">
      <c r="A34" s="68" t="s">
        <v>2137</v>
      </c>
    </row>
    <row r="35" spans="1:1" x14ac:dyDescent="0.35">
      <c r="A35" s="68" t="s">
        <v>2021</v>
      </c>
    </row>
    <row r="36" spans="1:1" x14ac:dyDescent="0.35">
      <c r="A36" s="68" t="s">
        <v>1767</v>
      </c>
    </row>
    <row r="37" spans="1:1" x14ac:dyDescent="0.35">
      <c r="A37" s="68" t="s">
        <v>160</v>
      </c>
    </row>
    <row r="38" spans="1:1" x14ac:dyDescent="0.35">
      <c r="A38" s="68" t="s">
        <v>2024</v>
      </c>
    </row>
    <row r="39" spans="1:1" x14ac:dyDescent="0.35">
      <c r="A39" s="68" t="s">
        <v>439</v>
      </c>
    </row>
    <row r="40" spans="1:1" x14ac:dyDescent="0.35">
      <c r="A40" s="68" t="s">
        <v>1098</v>
      </c>
    </row>
    <row r="41" spans="1:1" x14ac:dyDescent="0.35">
      <c r="A41" s="68" t="s">
        <v>161</v>
      </c>
    </row>
    <row r="42" spans="1:1" x14ac:dyDescent="0.35">
      <c r="A42" s="68" t="s">
        <v>162</v>
      </c>
    </row>
    <row r="43" spans="1:1" x14ac:dyDescent="0.35">
      <c r="A43" s="68" t="s">
        <v>163</v>
      </c>
    </row>
    <row r="44" spans="1:1" x14ac:dyDescent="0.35">
      <c r="A44" s="68" t="s">
        <v>164</v>
      </c>
    </row>
    <row r="45" spans="1:1" x14ac:dyDescent="0.35">
      <c r="A45" s="68" t="s">
        <v>854</v>
      </c>
    </row>
    <row r="46" spans="1:1" x14ac:dyDescent="0.35">
      <c r="A46" s="68" t="s">
        <v>165</v>
      </c>
    </row>
    <row r="47" spans="1:1" x14ac:dyDescent="0.35">
      <c r="A47" s="68" t="s">
        <v>166</v>
      </c>
    </row>
    <row r="48" spans="1:1" x14ac:dyDescent="0.35">
      <c r="A48" s="68" t="s">
        <v>167</v>
      </c>
    </row>
    <row r="49" spans="1:1" x14ac:dyDescent="0.35">
      <c r="A49" s="68" t="s">
        <v>168</v>
      </c>
    </row>
    <row r="50" spans="1:1" x14ac:dyDescent="0.35">
      <c r="A50" s="68" t="s">
        <v>169</v>
      </c>
    </row>
    <row r="51" spans="1:1" x14ac:dyDescent="0.35">
      <c r="A51" s="68" t="s">
        <v>170</v>
      </c>
    </row>
    <row r="52" spans="1:1" x14ac:dyDescent="0.35">
      <c r="A52" s="68" t="s">
        <v>171</v>
      </c>
    </row>
    <row r="53" spans="1:1" x14ac:dyDescent="0.35">
      <c r="A53" s="68" t="s">
        <v>172</v>
      </c>
    </row>
    <row r="54" spans="1:1" x14ac:dyDescent="0.35">
      <c r="A54" s="68" t="s">
        <v>440</v>
      </c>
    </row>
    <row r="55" spans="1:1" x14ac:dyDescent="0.35">
      <c r="A55" s="68" t="s">
        <v>173</v>
      </c>
    </row>
    <row r="56" spans="1:1" x14ac:dyDescent="0.35">
      <c r="A56" s="68" t="s">
        <v>1768</v>
      </c>
    </row>
    <row r="57" spans="1:1" x14ac:dyDescent="0.35">
      <c r="A57" s="68" t="s">
        <v>1789</v>
      </c>
    </row>
    <row r="58" spans="1:1" x14ac:dyDescent="0.35">
      <c r="A58" s="68" t="s">
        <v>174</v>
      </c>
    </row>
    <row r="59" spans="1:1" x14ac:dyDescent="0.35">
      <c r="A59" s="68" t="s">
        <v>441</v>
      </c>
    </row>
    <row r="60" spans="1:1" x14ac:dyDescent="0.35">
      <c r="A60" s="68" t="s">
        <v>442</v>
      </c>
    </row>
    <row r="61" spans="1:1" x14ac:dyDescent="0.35">
      <c r="A61" s="68" t="s">
        <v>175</v>
      </c>
    </row>
    <row r="62" spans="1:1" x14ac:dyDescent="0.35">
      <c r="A62" s="390" t="s">
        <v>1829</v>
      </c>
    </row>
    <row r="63" spans="1:1" x14ac:dyDescent="0.35">
      <c r="A63" s="68" t="s">
        <v>1628</v>
      </c>
    </row>
  </sheetData>
  <sortState xmlns:xlrd2="http://schemas.microsoft.com/office/spreadsheetml/2017/richdata2" ref="A3:A63">
    <sortCondition ref="A2:A63"/>
  </sortState>
  <hyperlinks>
    <hyperlink ref="A8" r:id="rId1" display="https://doi.org/10.1016/j.enpol.2013.07.023" xr:uid="{A1565A5E-C0CC-4833-83C3-5F8316A9C710}"/>
    <hyperlink ref="A9" r:id="rId2" display="https://www.boeing.com/assets/pdf/commercial/aircraft_economic_life_whitepaper.pdf" xr:uid="{BA2DDCE2-1126-434F-891E-C02E1D091529}"/>
    <hyperlink ref="A15" r:id="rId3" display="https://www.cer-rec.gc.ca/en/data-analysis/energy-markets/market-snapshots/2019/market-snapshot-levelized-costs-driving-evs-conventional-vehicles.html" xr:uid="{3BF989E6-3A12-4316-99C0-FA795F6681D9}"/>
    <hyperlink ref="A16" r:id="rId4" display="https://natural-resources.canada.ca/sites/www.nrcan.gc.ca/files/energy/energy-resources/CERI_Study_162_Full_Report.pdf" xr:uid="{D76E0AB5-F184-4BFA-AE41-F27027C71F28}"/>
    <hyperlink ref="A17" r:id="rId5" display="https://www.policyschool.ca/ceri-canadian-energy-research-institute/" xr:uid="{93B3594B-F682-4A5F-B767-4058756C829F}"/>
    <hyperlink ref="A19" r:id="rId6" display="https://doi.org/10.1016/j.ijhydene.2013.11.021" xr:uid="{F7DB2C24-CC82-474A-912E-AE73B25F3723}"/>
    <hyperlink ref="A21" r:id="rId7" display="https://www.eia.gov/outlooks/aeo/assumptions/pdf/TDM_Assumptions.pdf" xr:uid="{E226EF86-3492-429E-8C0A-3388CF2855A4}"/>
    <hyperlink ref="A23" r:id="rId8" display="https://docs.energypolicy.solutions/models/canada" xr:uid="{45D1823D-EA59-45BB-B81D-CAF2F6690A41}"/>
    <hyperlink ref="A25" r:id="rId9" display="https://www.canada.ca/en/environment-climate-change/services/managing-pollution/marine-emissions-inventory-tool.html" xr:uid="{0F8B9494-A806-4F76-824B-6E013D8BE3EB}"/>
    <hyperlink ref="A26" r:id="rId10" display="https://cfpub.epa.gov/si/si_public_record_report.cfm?Lab=NRMRL&amp;dirEntryId=346478" xr:uid="{156C97C2-6B2A-454B-A3B1-01E8495803EC}"/>
    <hyperlink ref="A29" r:id="rId11" display="https://bakercenterdev.utk.edu/images/20220628 Vehicle Scrappage and Survival.pdf" xr:uid="{9D264D80-FD3D-46C6-89FB-E791BB59C555}"/>
    <hyperlink ref="A30" r:id="rId12" display="https://doi.org/10.1257/aer.20150897" xr:uid="{7DC01552-7337-471E-958B-AE1E4B85A212}"/>
    <hyperlink ref="A37" r:id="rId13" display="https://doi.org/10.1016/j.apenergy.2019.113536" xr:uid="{BF5106F6-A638-4428-B5DD-6A4115DC8219}"/>
    <hyperlink ref="A39" r:id="rId14" display="https://www.nhtsa.gov/corporate-average-fuel-economy/cafe-compliance-and-effects-modeling-system" xr:uid="{9F7ACDE2-A3F3-4584-A050-EE0FE3D9A500}"/>
    <hyperlink ref="A41" r:id="rId15" display="https://oee.nrcan.gc.ca/corporate/statistics/neud/dpa/menus/trends/comprehensive/trends_tran_on.cfm" xr:uid="{6A8C9FFC-B7A8-4500-8705-DF35148689A9}"/>
    <hyperlink ref="A42" r:id="rId16" display="https://doi.org/10.3390/en14217279" xr:uid="{2885E6BB-4705-4337-973D-5573899FCDD3}"/>
    <hyperlink ref="A43" r:id="rId17" display="https://doi.org/10.2172/1804702" xr:uid="{014FC97F-5847-4CB0-ABF3-156787EC473B}"/>
    <hyperlink ref="A44" r:id="rId18" display="https://doi.org/10.2172/1821615" xr:uid="{C7935E59-CE98-4DD5-A603-7CAF2089CB2E}"/>
    <hyperlink ref="A46" r:id="rId19" display="https://doi.org/10.2172/1459351" xr:uid="{265BB8F8-8913-4D5C-AA92-FBD31A708741}"/>
    <hyperlink ref="A47" r:id="rId20" display="https://tedb.ornl.gov/wp-content/uploads/2022/03/TEDB_Ed_40.pdf" xr:uid="{70CDD22E-2319-4710-9B63-404FAAA2683E}"/>
    <hyperlink ref="A48" r:id="rId21" display="https://doi.org/10.1016/j.seta.2023.103070" xr:uid="{03B56164-C6BD-4725-9F74-C4091E7C66B4}"/>
    <hyperlink ref="A49" r:id="rId22" display="https://www150.statcan.gc.ca/n1/pub/53-223-x/2009000/tablesectlist-listetableauxsect-eng.htm" xr:uid="{3EBB8C26-9586-466D-98AB-4B813C7B37CA}"/>
    <hyperlink ref="A50" r:id="rId23" display="https://www150.statcan.gc.ca/t1/tbl1/en/tv.action?pid=2310006701" xr:uid="{A43EE770-9978-46D7-BA9E-BD8A70892DD2}"/>
    <hyperlink ref="A51" r:id="rId24" display="https://www150.statcan.gc.ca/t1/tbl1/en/tv.action?pid=3410025501" xr:uid="{9B1604BC-632C-401A-B1D8-57E6F24F323C}"/>
    <hyperlink ref="A52" r:id="rId25" display="https://www150.statcan.gc.ca/t1/tbl1/en/tv.action?pid=2010002101" xr:uid="{E31F5136-9B70-4325-9F0D-A2AA5B9FEA47}"/>
    <hyperlink ref="A53" r:id="rId26" display="https://www150.statcan.gc.ca/t1/tbl1/en/tv.action?pid=2310030801" xr:uid="{553BC6BA-857F-4F37-BA8B-5876629D947A}"/>
    <hyperlink ref="A54" r:id="rId27" display="https://www150.statcan.gc.ca/t1/tbl1/en/tv.action?pid=2310030301" xr:uid="{FAFBD0DA-8540-4B0D-AA8C-95AB47A1D0FB}"/>
    <hyperlink ref="A55" r:id="rId28" display="https://www150.statcan.gc.ca/t1/tbl1/en/tv.action?pid=2310005901" xr:uid="{40FC6CD8-8519-43D2-A42D-88B8E7B60C44}"/>
    <hyperlink ref="A58" r:id="rId29" display="https://wwwapps.tc.gc.ca/Saf-Sec-Sur/2/CCARCS-RIACC/SmRp.aspx" xr:uid="{6618C2D7-46B8-4C9E-906D-9D9DD6696B48}"/>
    <hyperlink ref="A59" r:id="rId30" display="https://tc.canada.ca/en/corporate-services/transparency/corporate-management-reporting/transportation-canada-annual-reports/transportation-canada-2020-overview-report" xr:uid="{22619068-8A11-4B8D-B2D0-82FA3EAA721C}"/>
    <hyperlink ref="A60" r:id="rId31" display="https://tdih-cdit.tc.canada.ca/en/addendum-tables" xr:uid="{CA362A13-FD44-4026-9F87-836C015CD422}"/>
    <hyperlink ref="A61"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27" r:id="rId35" display="https://www.epa.gov/system/files/documents/2023-08/420r23005.pdf" xr:uid="{E92A0D4C-7928-4523-8B00-E43DBD7866F3}"/>
    <hyperlink ref="A45" r:id="rId36" display="https://www.nrel.gov/docs/fy18osti/70485.pdf" xr:uid="{19745458-7C85-43C0-AB2B-B28FB1DC431B}"/>
    <hyperlink ref="A40" r:id="rId37" display="https://open.canada.ca/data/en/dataset/98f1a129-f628-4ce4-b24d-6f16bf24dd64" xr:uid="{2DF332E9-088D-41AA-9149-4A02003B6A32}"/>
    <hyperlink ref="A22"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7" r:id="rId40" display="https://doi.org/10.11578/GREET-Excel-2020/dc.20200912.1" xr:uid="{945BF9DA-261C-4319-84A6-8FBA90B24953}"/>
    <hyperlink ref="A28" r:id="rId41" display="https://greatlakes-seaway.com/wp-content/uploads/2019/10/Impacts-Full_En.pdf" xr:uid="{A789EEA0-AA74-4EB7-B2C8-456341524DF7}"/>
    <hyperlink ref="A20" r:id="rId42" display="https://natural-resources.canada.ca/energy-efficiency/transportation-alternative-fuels/resource-library/updated-projections-canadas-public-charging-infrastructure-needs/24504" xr:uid="{DBA79315-6E12-48DC-8D95-C8F51D3AE414}"/>
    <hyperlink ref="A63" r:id="rId43" display="https://doi.org/10.1088/2516-1083/ac86b5" xr:uid="{41F5E3C3-A9E9-47AC-BDC1-8362DB380592}"/>
    <hyperlink ref="A12" r:id="rId44" display="https://doi.org/10.7922/G2H993FJ" xr:uid="{3306BE92-D449-4DAC-A474-65FF2EA56368}"/>
    <hyperlink ref="A36" r:id="rId45" display="https://itspubs.ucdavis.edu/download_pdf.php?id=2703" xr:uid="{8414D148-E90D-4770-B8B1-8A1BD69AF07F}"/>
    <hyperlink ref="A56" r:id="rId46" display="https://doi.org/10.1021/es5018575" xr:uid="{3F467334-3DBC-41E2-A612-0278AEB58DD6}"/>
    <hyperlink ref="A31" r:id="rId47" display="https://doi.org/10.1016/j.enconman.2018.02.098" xr:uid="{D1C54B10-3A06-4CE9-A959-374489EC7DBC}"/>
    <hyperlink ref="A18" r:id="rId48" display="https://doi.org/10.1016/j.joule.2020.11.002" xr:uid="{2ADB2CEC-838B-4F2E-A081-3D50E69AEB9F}"/>
    <hyperlink ref="A57" r:id="rId49" display="https://publications.gc.ca/collections/collection_2009/tc/T22-165-2008E.pdf" xr:uid="{53AEB8CD-BE0F-4405-A57E-15856D0D0E50}"/>
    <hyperlink ref="A13" r:id="rId50" display="https://doi.org/10.5194/gmd-12-677-2019" xr:uid="{75695D24-FA3B-44C8-A0C8-8BB2AC66CC9E}"/>
    <hyperlink ref="A2" r:id="rId51" display="https://greet.anl.gov/afleet" xr:uid="{B62842EA-E09B-4A6F-9C73-BA0721B52075}"/>
    <hyperlink ref="A14" r:id="rId52" display="https://doi.org/10.35002/zjr8-8x75" xr:uid="{493A4141-685A-4AA4-A577-294C40FE1FE5}"/>
    <hyperlink ref="A35" r:id="rId53" display="https://www.icao.int/environmental-protection/GFAAF/Pages/Conversion-processes.aspx" xr:uid="{BFD7B797-E1D3-4265-B27A-E88AD41B14AF}"/>
    <hyperlink ref="A32" r:id="rId54" display="https://theicct.org/publication/lvs-ci-quebec-can-en-feb22/" xr:uid="{EF4AA2B9-843B-45F2-907D-D7E0796824D0}"/>
    <hyperlink ref="A33" r:id="rId55" display="https://theicct.github.io/EVCHARGE-doc/versions/v1.1/" xr:uid="{E37DFE50-F3A4-4974-9352-CC8E33A6D50F}"/>
    <hyperlink ref="A38" r:id="rId56" display="https://natural-resources.canada.ca/energy-efficiency/transportation-alternative-fuels/resource-library/3489" xr:uid="{6E877B9D-E057-4A3D-ABFD-DFD698180D03}"/>
    <hyperlink ref="A24"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0" r:id="rId59" display="https://doi.org/10.1038/s41560-021-00855-0" xr:uid="{F15FD6A3-E8D1-4CAA-BB4C-E36A83D59F08}"/>
    <hyperlink ref="A11" r:id="rId60" display="https://doi.org/10.1016/j.joule.2020.05.013" xr:uid="{56D144CE-5201-464C-8ECA-9C20AFE83AF9}"/>
    <hyperlink ref="A34" r:id="rId61" display="https://www.iea.org/reports/the-future-of-hydrogen" xr:uid="{61004BB9-FA66-40A4-AF2C-C150F1A5F35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25</vt:i4>
      </vt:variant>
    </vt:vector>
  </HeadingPairs>
  <TitlesOfParts>
    <vt:vector size="48" baseType="lpstr">
      <vt:lpstr>Techs</vt:lpstr>
      <vt:lpstr>Comms</vt:lpstr>
      <vt:lpstr>Demand Calcs</vt:lpstr>
      <vt:lpstr>Lifetime</vt:lpstr>
      <vt:lpstr>ExCap Calcs</vt:lpstr>
      <vt:lpstr>CapToActivity</vt:lpstr>
      <vt:lpstr>CapFactor</vt:lpstr>
      <vt:lpstr>Eff Calcs</vt:lpstr>
      <vt:lpstr>InvestCosts Calcs</vt:lpstr>
      <vt:lpstr>VarCosts Calcs</vt:lpstr>
      <vt:lpstr>FixedCosts Calcs</vt:lpstr>
      <vt:lpstr>TechInput Split</vt:lpstr>
      <vt:lpstr>Background Data</vt:lpstr>
      <vt:lpstr>EVProfiles Data</vt:lpstr>
      <vt:lpstr>NRCan Fuel Guide</vt:lpstr>
      <vt:lpstr>ANL-DOE-LDV Data</vt:lpstr>
      <vt:lpstr>ANL-DOE-MHDV Data</vt:lpstr>
      <vt:lpstr>GREET-AFLEET Summary</vt:lpstr>
      <vt:lpstr>LENZ-TO Data</vt:lpstr>
      <vt:lpstr>OEO &amp; EPAUS9rT-HDV Data</vt:lpstr>
      <vt:lpstr>AEO-LDV Data</vt:lpstr>
      <vt:lpstr>Conversion Factors</vt:lpstr>
      <vt:lpstr>References</vt:lpstr>
      <vt:lpstr>CNG_DGE</vt:lpstr>
      <vt:lpstr>DGE_GGE</vt:lpstr>
      <vt:lpstr>DSL_PJ_ML</vt:lpstr>
      <vt:lpstr>E85_PJ_ML</vt:lpstr>
      <vt:lpstr>ELC_PJ_MkWh</vt:lpstr>
      <vt:lpstr>GGE_DGE</vt:lpstr>
      <vt:lpstr>GSL_PJ_ML</vt:lpstr>
      <vt:lpstr>HFO_MDO</vt:lpstr>
      <vt:lpstr>HFO_MJ_L</vt:lpstr>
      <vt:lpstr>km_mile</vt:lpstr>
      <vt:lpstr>kWh_GGE</vt:lpstr>
      <vt:lpstr>L_100km_to_mpg</vt:lpstr>
      <vt:lpstr>L_gal</vt:lpstr>
      <vt:lpstr>LHV_to_HHV_Diesel</vt:lpstr>
      <vt:lpstr>MDO_MJ_L</vt:lpstr>
      <vt:lpstr>MGO_MDO</vt:lpstr>
      <vt:lpstr>MJ_Btu</vt:lpstr>
      <vt:lpstr>PJ_MBtu</vt:lpstr>
      <vt:lpstr>ton_tonne</vt:lpstr>
      <vt:lpstr>tonne_ton</vt:lpstr>
      <vt:lpstr>USD_CAD_2020</vt:lpstr>
      <vt:lpstr>USD2005_to_CAD2020</vt:lpstr>
      <vt:lpstr>USD2018_to_CAD2020</vt:lpstr>
      <vt:lpstr>USD2019_to_CAD2020</vt:lpstr>
      <vt:lpstr>USD2021_to_CAD2020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2023-11-08T19:45:55Z</cp:lastPrinted>
  <dcterms:created xsi:type="dcterms:W3CDTF">2023-05-03T03:55:15Z</dcterms:created>
  <dcterms:modified xsi:type="dcterms:W3CDTF">2024-03-19T17:24:19Z</dcterms:modified>
</cp:coreProperties>
</file>