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codeName="ThisWorkbook"/>
  <mc:AlternateContent xmlns:mc="http://schemas.openxmlformats.org/markup-compatibility/2006">
    <mc:Choice Requires="x15">
      <x15ac:absPath xmlns:x15ac="http://schemas.microsoft.com/office/spreadsheetml/2010/11/ac" url="C:\Users\rteachey\projects\aashto_plastic_pipe_check\"/>
    </mc:Choice>
  </mc:AlternateContent>
  <xr:revisionPtr revIDLastSave="0" documentId="13_ncr:1_{423EC7AB-E878-49B0-9F52-93B4D9B57011}" xr6:coauthVersionLast="47" xr6:coauthVersionMax="47" xr10:uidLastSave="{00000000-0000-0000-0000-000000000000}"/>
  <bookViews>
    <workbookView xWindow="-120" yWindow="-120" windowWidth="29040" windowHeight="15840" tabRatio="701" xr2:uid="{00000000-000D-0000-FFFF-FFFF00000000}"/>
  </bookViews>
  <sheets>
    <sheet name="StructuralCheck" sheetId="1" r:id="rId1"/>
    <sheet name="MaxCover" sheetId="3" r:id="rId2"/>
    <sheet name="MinCover" sheetId="4" r:id="rId3"/>
    <sheet name="AASHTOtables" sheetId="5" r:id="rId4"/>
    <sheet name="PPI Tables" sheetId="6" r:id="rId5"/>
    <sheet name="SnapTiteTables" sheetId="2" r:id="rId6"/>
  </sheets>
  <definedNames>
    <definedName name="A">StructuralCheck!$C$5</definedName>
    <definedName name="AxleLoads">StructuralCheck!$H$3:$H$13</definedName>
    <definedName name="AxleLoadUserDefined">StructuralCheck!$E$69</definedName>
    <definedName name="B_prime">StructuralCheck!$C$117</definedName>
    <definedName name="BucklingCheck">StructuralCheck!$B$120</definedName>
    <definedName name="c_">StructuralCheck!$C$6</definedName>
    <definedName name="C_L">StructuralCheck!$C$87</definedName>
    <definedName name="C_n">StructuralCheck!$C$144</definedName>
    <definedName name="CheckAll">StructuralCheck!$E$2</definedName>
    <definedName name="CheckDescription">StructuralCheck!$U$3:$U$10</definedName>
    <definedName name="CheckNames">StructuralCheck!$T$3:$T$10</definedName>
    <definedName name="Checks">StructuralCheck!$V$3:$V$10</definedName>
    <definedName name="Classes" localSheetId="1">MaxCover!$M$4:$T$4</definedName>
    <definedName name="Classes" localSheetId="2">MinCover!$B$3:$I$3</definedName>
    <definedName name="CombinedCompressionStrainCheck">StructuralCheck!$B$164</definedName>
    <definedName name="CombinedTensionStrainCheck">StructuralCheck!$B$170</definedName>
    <definedName name="Compactions" localSheetId="1">MaxCover!$M$5:$T$5</definedName>
    <definedName name="Compactions" localSheetId="2">MinCover!$M$5:$T$5</definedName>
    <definedName name="D_f">StructuralCheck!$C$157</definedName>
    <definedName name="D_L">StructuralCheck!$C$125</definedName>
    <definedName name="D_m">StructuralCheck!$C$145</definedName>
    <definedName name="DeflectionCheck">StructuralCheck!$B$132</definedName>
    <definedName name="E">IF(Term="Long",E_long,IF(Term="Short",E_short))</definedName>
    <definedName name="E_gr">StructuralCheck!$C$34</definedName>
    <definedName name="E_long">StructuralCheck!$C$11</definedName>
    <definedName name="E_short">StructuralCheck!$C$12</definedName>
    <definedName name="F_1">StructuralCheck!$C$88</definedName>
    <definedName name="F_2">StructuralCheck!$C$89</definedName>
    <definedName name="F_y" localSheetId="2">IF([0]!Term="Long",[0]!Fy_long,IF([0]!Term="Short",Fy_short))</definedName>
    <definedName name="F_y">IF(Term="Long",Fy_long,IF(Term="Short",Fy_short))</definedName>
    <definedName name="FF">StructuralCheck!$C$180</definedName>
    <definedName name="FF_max">StructuralCheck!$C$179</definedName>
    <definedName name="FlexibilityCheck">StructuralCheck!$B$181</definedName>
    <definedName name="Fy_long">StructuralCheck!$C$13</definedName>
    <definedName name="Fy_short">StructuralCheck!$C$14</definedName>
    <definedName name="Grain">StructuralCheck!$C$24</definedName>
    <definedName name="H">StructuralCheck!$C$17</definedName>
    <definedName name="H_gw">StructuralCheck!$C$18</definedName>
    <definedName name="H_max">StructuralCheck!$C$173</definedName>
    <definedName name="H_min">StructuralCheck!$C$175</definedName>
    <definedName name="I">StructuralCheck!$C$7</definedName>
    <definedName name="ID">StructuralCheck!$C$4</definedName>
    <definedName name="IM">StructuralCheck!$C$66</definedName>
    <definedName name="K_B">StructuralCheck!$C$124</definedName>
    <definedName name="K_γE">StructuralCheck!$C$53</definedName>
    <definedName name="L_Pc">StructuralCheck!$C$72</definedName>
    <definedName name="L_Pc_tandem">StructuralCheck!$C$80</definedName>
    <definedName name="L_Pc_tire">StructuralCheck!$C$64</definedName>
    <definedName name="L_T">StructuralCheck!$C$62</definedName>
    <definedName name="L_W">StructuralCheck!$C$86</definedName>
    <definedName name="LiveLoadNames">StructuralCheck!$G$3:$G$13</definedName>
    <definedName name="LL_type">StructuralCheck!$C$30</definedName>
    <definedName name="LLDF">StructuralCheck!$C$61</definedName>
    <definedName name="m">StructuralCheck!$C$67</definedName>
    <definedName name="Material" localSheetId="5">SnapTiteTables!$M$17</definedName>
    <definedName name="MaxCoverCheck">StructuralCheck!$B$174</definedName>
    <definedName name="MaxCoverLookup">MaxCover!$L$38</definedName>
    <definedName name="MinCoverCheck">StructuralCheck!$B$176</definedName>
    <definedName name="MinCoverLookup">MinCover!$L$38</definedName>
    <definedName name="ModProctor">IF(SoilClassLookup="I",IF(Proctor="Uncompacted",85%,95%),IF(Proctor="Uncompacted",NA(),IFERROR(ModProctorLookup,Proctor)))</definedName>
    <definedName name="ModProctorLookup">AASHTOtables!$R$22</definedName>
    <definedName name="Ms">StructuralCheck!$C$25</definedName>
    <definedName name="NLanes">StructuralCheck!$C$31</definedName>
    <definedName name="OD">StructuralCheck!$C$9</definedName>
    <definedName name="OD_nom">StructuralCheck!$C$3</definedName>
    <definedName name="ODs" localSheetId="1">MaxCover!$A$7:$A$24</definedName>
    <definedName name="ODs" localSheetId="2">MinCover!$A$7:$A$24</definedName>
    <definedName name="P_DL">StructuralCheck!$C$54</definedName>
    <definedName name="P_L">StructuralCheck!$C$85</definedName>
    <definedName name="P_Other">StructuralCheck!$C$99</definedName>
    <definedName name="P_patch">StructuralCheck!$C$75</definedName>
    <definedName name="P_patch_tandem">StructuralCheck!$C$83</definedName>
    <definedName name="P_SP">StructuralCheck!$C$49</definedName>
    <definedName name="P_WA">StructuralCheck!$C$94</definedName>
    <definedName name="PipeDiameters">SnapTiteTables!$A$6:$A$23</definedName>
    <definedName name="PipeType">StructuralCheck!$C$2</definedName>
    <definedName name="_xlnm.Print_Area" localSheetId="0">StructuralCheck!$A$1:$E$192</definedName>
    <definedName name="Proctor">StructuralCheck!$C$23</definedName>
    <definedName name="ProctorType">StructuralCheck!$B$23</definedName>
    <definedName name="PS">StructuralCheck!$C$8</definedName>
    <definedName name="Psp" localSheetId="3">AASHTOtables!$E$19</definedName>
    <definedName name="Psp" localSheetId="5">SnapTiteTables!$E$21</definedName>
    <definedName name="Q_patch">StructuralCheck!$C$74</definedName>
    <definedName name="Q_patch_tandem">StructuralCheck!$C$82</definedName>
    <definedName name="Q_tandem">StructuralCheck!$C$77</definedName>
    <definedName name="Q_truck">StructuralCheck!$C$69</definedName>
    <definedName name="R_h">StructuralCheck!$C$146</definedName>
    <definedName name="R_m">StructuralCheck!$C$10</definedName>
    <definedName name="R_W">StructuralCheck!$C$116</definedName>
    <definedName name="s_circum">StructuralCheck!$C$70</definedName>
    <definedName name="s_circum_tandem">StructuralCheck!$C$78</definedName>
    <definedName name="S_h">StructuralCheck!$C$51</definedName>
    <definedName name="s_long">StructuralCheck!$C$71</definedName>
    <definedName name="s_long_tandem">StructuralCheck!$C$79</definedName>
    <definedName name="SoilClass">StructuralCheck!$C$22</definedName>
    <definedName name="SoilClassLookup">AASHTOtables!$E$21</definedName>
    <definedName name="StdProctor">IF(SoilClassLookup="I",IF(Proctor="Uncompacted",90%,100%),IF(Proctor="Uncompacted",NA(),IFERROR(StdProctorLookup,Proctor)))</definedName>
    <definedName name="StdProctorLookup">AASHTOtables!$R$35</definedName>
    <definedName name="StrainCheck">StructuralCheck!#REF!</definedName>
    <definedName name="T_buckling_cr">StructuralCheck!$C$119</definedName>
    <definedName name="T_cr">StructuralCheck!$C$110</definedName>
    <definedName name="T_EV">StructuralCheck!$C$55</definedName>
    <definedName name="T_EV_Crown">StructuralCheck!$C$56</definedName>
    <definedName name="T_EVu">StructuralCheck!$C$57</definedName>
    <definedName name="T_EVu_Crown">StructuralCheck!$C$58</definedName>
    <definedName name="T_LL">StructuralCheck!$C$90</definedName>
    <definedName name="T_LLu">StructuralCheck!$C$91</definedName>
    <definedName name="T_Other">StructuralCheck!$C$100</definedName>
    <definedName name="T_Otheru">StructuralCheck!$C$101</definedName>
    <definedName name="T_S">StructuralCheck!$C$104</definedName>
    <definedName name="T_U">StructuralCheck!$C$105</definedName>
    <definedName name="T_WA">StructuralCheck!$C$95</definedName>
    <definedName name="T_WAu">StructuralCheck!$C$96</definedName>
    <definedName name="Table_12_12_3_5_1">AASHTOtables!$F$8:$O$14</definedName>
    <definedName name="Table_12_12_3_5_1_first">AASHTOtables!$E$24</definedName>
    <definedName name="Table_12_12_3_5_1_Headers">AASHTOtables!$F$6:$O$6</definedName>
    <definedName name="Table_12_12_3_5_1_interp">AASHTOtables!$F$17:$O$17</definedName>
    <definedName name="Table_12_12_3_5_1_lookup">AASHTOtables!$E$26</definedName>
    <definedName name="Table_12_12_3_5_1_Rows">AASHTOtables!$E$8:$E$14</definedName>
    <definedName name="Table_12_12_3_5_1_second">AASHTOtables!$E$25</definedName>
    <definedName name="Table_3_11">'PPI Tables'!$A$8:$B$16</definedName>
    <definedName name="Table_3_11_rows">'PPI Tables'!$A$8:$A$16</definedName>
    <definedName name="Table_8_1">SnapTiteTables!$A$6:$F$23</definedName>
    <definedName name="Table_8_3_lookup">SnapTiteTables!$M$16</definedName>
    <definedName name="Table_8_5_first">SnapTiteTables!$AG$25</definedName>
    <definedName name="Table_8_5_lookup">SnapTiteTables!$AG$27</definedName>
    <definedName name="Table_8_5_second">SnapTiteTables!$AG$26</definedName>
    <definedName name="Table_MaxCover">MaxCover!$M$7:$T$24</definedName>
    <definedName name="Table_MaxCover_first">MaxCover!$L$34</definedName>
    <definedName name="Table_MaxCover_Headers">MaxCover!$L$6:$T$6</definedName>
    <definedName name="Table_MaxCover_interp">MaxCover!$L$29:$T$29</definedName>
    <definedName name="Table_MaxCover_lookup">MaxCover!$L$36</definedName>
    <definedName name="Table_MaxCover_Rows">MaxCover!$L$7:$L$24</definedName>
    <definedName name="Table_MaxCover_second">MaxCover!$L$35</definedName>
    <definedName name="Table_MinCover">MinCover!$M$7:$T$24</definedName>
    <definedName name="Table_MinCover_first">MinCover!$L$34</definedName>
    <definedName name="Table_MinCover_Headers">MinCover!$M$6:$T$6</definedName>
    <definedName name="Table_MinCover_interp">MinCover!$M$29:$T$29</definedName>
    <definedName name="Table_MinCover_lookup">MinCover!$L$36</definedName>
    <definedName name="Table_MinCover_Rows">MinCover!$L$7:$L$24</definedName>
    <definedName name="Table_MinCover_second">MinCover!$L$35</definedName>
    <definedName name="Tandem">IF(Tandem_Designation="with Tandem",TRUE,IF(OR(Tandem_Designation="no Tandem",AND(Tandem_Designation="",LL_type&lt;&gt;TandemName)),FALSE,TRUE))</definedName>
    <definedName name="Tandem_Designation">StructuralCheck!$D$30</definedName>
    <definedName name="TandemName">StructuralCheck!$G$19</definedName>
    <definedName name="Term">StructuralCheck!$C$32</definedName>
    <definedName name="ThrustCheck">StructuralCheck!$B$111</definedName>
    <definedName name="VAF">StructuralCheck!$C$52</definedName>
    <definedName name="W_Pc">StructuralCheck!$C$73</definedName>
    <definedName name="W_Pc_tandem">StructuralCheck!$C$81</definedName>
    <definedName name="W_Pc_tire">StructuralCheck!$C$65</definedName>
    <definedName name="W_T">StructuralCheck!$C$63</definedName>
    <definedName name="γ_EV">StructuralCheck!$C$39</definedName>
    <definedName name="γ_LL">StructuralCheck!$C$43</definedName>
    <definedName name="γ_Other">StructuralCheck!$C$45</definedName>
    <definedName name="γ_soil">StructuralCheck!$C$20</definedName>
    <definedName name="γ_soil_prime">StructuralCheck!$C$21</definedName>
    <definedName name="γ_WA">StructuralCheck!$C$41</definedName>
    <definedName name="γ_water">StructuralCheck!$C$19</definedName>
    <definedName name="Δ_A">StructuralCheck!$C$131</definedName>
    <definedName name="Δ_A_pcnt">StructuralCheck!$C$130</definedName>
    <definedName name="Δ_C">StructuralCheck!$C$155</definedName>
    <definedName name="Δ_f">StructuralCheck!$C$156</definedName>
    <definedName name="Δ_t">MAX(Δ_t_LL,Δ_t_DL)</definedName>
    <definedName name="Δ_t_DL">StructuralCheck!$C$128</definedName>
    <definedName name="Δ_t_LL">StructuralCheck!$C$129</definedName>
    <definedName name="ε_bl">StructuralCheck!#REF!</definedName>
    <definedName name="ε_buckling">StructuralCheck!$C$149</definedName>
    <definedName name="ε_fcu">StructuralCheck!$C$160</definedName>
    <definedName name="ε_ftu">StructuralCheck!$C$166</definedName>
    <definedName name="ε_fu">StructuralCheck!$C$158</definedName>
    <definedName name="ε_gr">StructuralCheck!$C$36</definedName>
    <definedName name="ε_sc">StructuralCheck!$C$135</definedName>
    <definedName name="ε_sc_long">StructuralCheck!$C$126</definedName>
    <definedName name="ε_sc_short">StructuralCheck!$C$127</definedName>
    <definedName name="ε_uc">StructuralCheck!$C$136</definedName>
    <definedName name="ε_yc">StructuralCheck!$C$138</definedName>
    <definedName name="ε_yt">StructuralCheck!$C$168</definedName>
    <definedName name="η_EV">StructuralCheck!$C$40</definedName>
    <definedName name="η_LL">StructuralCheck!$C$44</definedName>
    <definedName name="η_Other">StructuralCheck!$C$46</definedName>
    <definedName name="η_WA">StructuralCheck!$C$42</definedName>
    <definedName name="ν">StructuralCheck!$C$26</definedName>
    <definedName name="ρ_gr">StructuralCheck!$C$33</definedName>
    <definedName name="σ_gr">StructuralCheck!$C$35</definedName>
    <definedName name="ϕ_buckling">StructuralCheck!$C$148</definedName>
    <definedName name="ϕ_flexure">StructuralCheck!$C$167</definedName>
    <definedName name="ϕ_soil">StructuralCheck!$C$50</definedName>
    <definedName name="ϕ_soil_stiffness">StructuralCheck!$C$115</definedName>
    <definedName name="ϕ_thrust">StructuralCheck!$C$108</definedName>
    <definedName name="ϕ1.5ε_yc">StructuralCheck!$C$163</definedName>
    <definedName name="ϕf_cr">StructuralCheck!$C$118</definedName>
    <definedName name="ϕFy">StructuralCheck!$C$109</definedName>
    <definedName name="ϕε_buckling">StructuralCheck!$C$150</definedName>
    <definedName name="ϕε_yc">StructuralCheck!$C$139</definedName>
    <definedName name="ϕε_yt">StructuralCheck!$C$169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E180" i="1"/>
  <c r="E15" i="2" l="1"/>
  <c r="F15" i="2"/>
  <c r="E6" i="2"/>
  <c r="D15" i="2" l="1"/>
  <c r="R22" i="5"/>
  <c r="R35" i="5"/>
  <c r="C130" i="1" l="1"/>
  <c r="F6" i="2"/>
  <c r="L34" i="4"/>
  <c r="L32" i="4"/>
  <c r="L27" i="4"/>
  <c r="L28" i="4" s="1"/>
  <c r="T6" i="4"/>
  <c r="S6" i="4"/>
  <c r="R6" i="4"/>
  <c r="Q6" i="4"/>
  <c r="P6" i="4"/>
  <c r="O6" i="4"/>
  <c r="N6" i="4"/>
  <c r="M6" i="4"/>
  <c r="L27" i="3"/>
  <c r="L28" i="3" s="1"/>
  <c r="S28" i="3" s="1"/>
  <c r="L34" i="3"/>
  <c r="L32" i="3"/>
  <c r="I6" i="3"/>
  <c r="H6" i="3"/>
  <c r="G6" i="3"/>
  <c r="F6" i="3"/>
  <c r="E6" i="3"/>
  <c r="D6" i="3"/>
  <c r="C6" i="3"/>
  <c r="B6" i="3"/>
  <c r="D6" i="2" l="1"/>
  <c r="T27" i="3"/>
  <c r="L29" i="3"/>
  <c r="T28" i="3"/>
  <c r="T28" i="4"/>
  <c r="R28" i="4"/>
  <c r="P28" i="4"/>
  <c r="N28" i="4"/>
  <c r="S28" i="4"/>
  <c r="Q28" i="4"/>
  <c r="O28" i="4"/>
  <c r="M28" i="4"/>
  <c r="N27" i="4"/>
  <c r="P27" i="4"/>
  <c r="R27" i="4"/>
  <c r="T27" i="4"/>
  <c r="L29" i="4"/>
  <c r="M27" i="4"/>
  <c r="O27" i="4"/>
  <c r="Q27" i="4"/>
  <c r="S27" i="4"/>
  <c r="P27" i="3"/>
  <c r="P28" i="3"/>
  <c r="N27" i="3"/>
  <c r="R27" i="3"/>
  <c r="N28" i="3"/>
  <c r="R28" i="3"/>
  <c r="M27" i="3"/>
  <c r="O27" i="3"/>
  <c r="Q27" i="3"/>
  <c r="S27" i="3"/>
  <c r="M28" i="3"/>
  <c r="O28" i="3"/>
  <c r="Q28" i="3"/>
  <c r="S29" i="4" l="1"/>
  <c r="O29" i="4"/>
  <c r="Q29" i="4"/>
  <c r="M29" i="4"/>
  <c r="T29" i="4"/>
  <c r="P29" i="4"/>
  <c r="R29" i="4"/>
  <c r="N29" i="4"/>
  <c r="M29" i="3"/>
  <c r="S29" i="3"/>
  <c r="Q29" i="3"/>
  <c r="R29" i="3"/>
  <c r="N29" i="3"/>
  <c r="O29" i="3"/>
  <c r="T29" i="3"/>
  <c r="P29" i="3"/>
  <c r="E21" i="5"/>
  <c r="G6" i="5"/>
  <c r="H6" i="5"/>
  <c r="I6" i="5"/>
  <c r="J6" i="5"/>
  <c r="K6" i="5"/>
  <c r="L6" i="5"/>
  <c r="M6" i="5"/>
  <c r="N6" i="5"/>
  <c r="O6" i="5"/>
  <c r="F6" i="5"/>
  <c r="L14" i="5"/>
  <c r="K14" i="5"/>
  <c r="J14" i="5"/>
  <c r="E20" i="5"/>
  <c r="G19" i="1"/>
  <c r="C8" i="1"/>
  <c r="C7" i="1"/>
  <c r="C6" i="1"/>
  <c r="C5" i="1"/>
  <c r="C4" i="1"/>
  <c r="C131" i="1" l="1"/>
  <c r="C155" i="1" s="1"/>
  <c r="L33" i="3"/>
  <c r="E23" i="1"/>
  <c r="M16" i="2"/>
  <c r="L35" i="3"/>
  <c r="L36" i="3" s="1"/>
  <c r="L35" i="4"/>
  <c r="L36" i="4" s="1"/>
  <c r="L38" i="4" s="1"/>
  <c r="C9" i="1"/>
  <c r="L33" i="4"/>
  <c r="E24" i="5"/>
  <c r="E25" i="5"/>
  <c r="A27" i="1"/>
  <c r="E22" i="5"/>
  <c r="E23" i="5"/>
  <c r="C10" i="1"/>
  <c r="C145" i="1" s="1"/>
  <c r="BC7" i="2"/>
  <c r="BB7" i="2"/>
  <c r="BA7" i="2"/>
  <c r="AZ7" i="2"/>
  <c r="AY7" i="2"/>
  <c r="AX7" i="2"/>
  <c r="AW7" i="2"/>
  <c r="AV7" i="2"/>
  <c r="E26" i="5" l="1"/>
  <c r="C175" i="1"/>
  <c r="C162" i="1"/>
  <c r="C169" i="1"/>
  <c r="C161" i="1"/>
  <c r="C147" i="1"/>
  <c r="E139" i="1"/>
  <c r="E149" i="1"/>
  <c r="E150" i="1"/>
  <c r="E163" i="1"/>
  <c r="E146" i="1"/>
  <c r="E155" i="1"/>
  <c r="C137" i="1" l="1"/>
  <c r="C139" i="1"/>
  <c r="C163" i="1" s="1"/>
  <c r="E126" i="1"/>
  <c r="E129" i="1"/>
  <c r="E128" i="1"/>
  <c r="E127" i="1"/>
  <c r="E109" i="1"/>
  <c r="C79" i="1" l="1"/>
  <c r="C78" i="1"/>
  <c r="E89" i="1"/>
  <c r="E88" i="1"/>
  <c r="H8" i="1" l="1"/>
  <c r="H9" i="1"/>
  <c r="H10" i="1"/>
  <c r="M6" i="3" l="1"/>
  <c r="N6" i="3"/>
  <c r="O6" i="3"/>
  <c r="P6" i="3"/>
  <c r="Q6" i="3"/>
  <c r="R6" i="3"/>
  <c r="S6" i="3"/>
  <c r="T6" i="3"/>
  <c r="L38" i="3" l="1"/>
  <c r="C17" i="1" s="1"/>
  <c r="C67" i="1"/>
  <c r="C42" i="1"/>
  <c r="C77" i="1"/>
  <c r="M17" i="2"/>
  <c r="I6" i="4"/>
  <c r="H6" i="4"/>
  <c r="G6" i="4"/>
  <c r="F6" i="4"/>
  <c r="E6" i="4"/>
  <c r="D6" i="4"/>
  <c r="C6" i="4"/>
  <c r="B6" i="4"/>
  <c r="E65" i="1"/>
  <c r="E87" i="1"/>
  <c r="E66" i="1"/>
  <c r="E64" i="1"/>
  <c r="C173" i="1" l="1"/>
  <c r="AG26" i="2"/>
  <c r="AG24" i="2"/>
  <c r="AG23" i="2"/>
  <c r="AG25" i="2" s="1"/>
  <c r="AD23" i="2"/>
  <c r="AC23" i="2"/>
  <c r="AB23" i="2"/>
  <c r="AD22" i="2"/>
  <c r="AC22" i="2"/>
  <c r="AB22" i="2"/>
  <c r="AD21" i="2"/>
  <c r="AC21" i="2"/>
  <c r="AB21" i="2"/>
  <c r="AD20" i="2"/>
  <c r="AC20" i="2"/>
  <c r="AB20" i="2"/>
  <c r="AD19" i="2"/>
  <c r="AC19" i="2"/>
  <c r="AB19" i="2"/>
  <c r="M15" i="2"/>
  <c r="M14" i="2"/>
  <c r="AK7" i="2"/>
  <c r="AJ7" i="2"/>
  <c r="AI7" i="2"/>
  <c r="AH7" i="2"/>
  <c r="AD7" i="2"/>
  <c r="AC7" i="2"/>
  <c r="AB7" i="2"/>
  <c r="AA7" i="2"/>
  <c r="Z7" i="2"/>
  <c r="Y7" i="2"/>
  <c r="X7" i="2"/>
  <c r="W7" i="2"/>
  <c r="C94" i="1"/>
  <c r="C35" i="1"/>
  <c r="C34" i="1"/>
  <c r="C21" i="1"/>
  <c r="C14" i="1"/>
  <c r="C13" i="1"/>
  <c r="C69" i="1"/>
  <c r="C12" i="1"/>
  <c r="C180" i="1" s="1"/>
  <c r="B181" i="1" s="1"/>
  <c r="C11" i="1"/>
  <c r="E100" i="1"/>
  <c r="E90" i="1"/>
  <c r="E33" i="1"/>
  <c r="E104" i="1"/>
  <c r="E119" i="1"/>
  <c r="E9" i="1"/>
  <c r="E158" i="1"/>
  <c r="E160" i="1"/>
  <c r="E91" i="1"/>
  <c r="E131" i="1"/>
  <c r="E58" i="1"/>
  <c r="E145" i="1"/>
  <c r="E54" i="1"/>
  <c r="E10" i="1"/>
  <c r="E51" i="1"/>
  <c r="E166" i="1"/>
  <c r="E116" i="1"/>
  <c r="E57" i="1"/>
  <c r="E96" i="1"/>
  <c r="E56" i="1"/>
  <c r="E52" i="1"/>
  <c r="E105" i="1"/>
  <c r="E95" i="1"/>
  <c r="E121" i="1"/>
  <c r="E156" i="1"/>
  <c r="E110" i="1"/>
  <c r="E55" i="1"/>
  <c r="E34" i="1"/>
  <c r="E101" i="1"/>
  <c r="E169" i="1"/>
  <c r="E94" i="1"/>
  <c r="E35" i="1"/>
  <c r="E112" i="1"/>
  <c r="E36" i="1"/>
  <c r="U10" i="1" l="1"/>
  <c r="V10" i="1" s="1"/>
  <c r="B193" i="1"/>
  <c r="AG27" i="2"/>
  <c r="M18" i="2"/>
  <c r="C36" i="1"/>
  <c r="C100" i="1" l="1"/>
  <c r="C95" i="1"/>
  <c r="C101" i="1" s="1"/>
  <c r="C96" i="1" l="1"/>
  <c r="AG28" i="2"/>
  <c r="C157" i="1" s="1"/>
  <c r="AG18" i="2"/>
  <c r="AK18" i="2" l="1"/>
  <c r="AH18" i="2"/>
  <c r="AG19" i="2"/>
  <c r="AJ18" i="2"/>
  <c r="AI18" i="2"/>
  <c r="AI19" i="2" l="1"/>
  <c r="AH19" i="2"/>
  <c r="AJ19" i="2"/>
  <c r="AK19" i="2"/>
  <c r="AG20" i="2"/>
  <c r="AI20" i="2" l="1"/>
  <c r="AH20" i="2"/>
  <c r="AJ20" i="2"/>
  <c r="AK20" i="2"/>
  <c r="C66" i="1"/>
  <c r="E49" i="1"/>
  <c r="C116" i="1"/>
  <c r="C146" i="1"/>
  <c r="V24" i="2"/>
  <c r="V25" i="2" s="1"/>
  <c r="B176" i="1"/>
  <c r="B192" i="1" s="1"/>
  <c r="C65" i="1"/>
  <c r="C73" i="1" s="1"/>
  <c r="C64" i="1"/>
  <c r="C80" i="1" s="1"/>
  <c r="C117" i="1"/>
  <c r="B174" i="1"/>
  <c r="U8" i="1" s="1"/>
  <c r="V8" i="1" s="1"/>
  <c r="C49" i="1"/>
  <c r="C81" i="1" l="1"/>
  <c r="C82" i="1" s="1"/>
  <c r="C83" i="1" s="1"/>
  <c r="X25" i="2"/>
  <c r="Z25" i="2"/>
  <c r="Y25" i="2"/>
  <c r="W25" i="2"/>
  <c r="AB25" i="2"/>
  <c r="AA25" i="2"/>
  <c r="AC25" i="2"/>
  <c r="AD25" i="2"/>
  <c r="C72" i="1"/>
  <c r="C74" i="1" s="1"/>
  <c r="C75" i="1" s="1"/>
  <c r="U9" i="1"/>
  <c r="V9" i="1" s="1"/>
  <c r="AC24" i="2"/>
  <c r="AC26" i="2" s="1"/>
  <c r="AD24" i="2"/>
  <c r="AD26" i="2" s="1"/>
  <c r="AB24" i="2"/>
  <c r="AB26" i="2" s="1"/>
  <c r="W24" i="2"/>
  <c r="W26" i="2" s="1"/>
  <c r="X24" i="2"/>
  <c r="X26" i="2" s="1"/>
  <c r="Y24" i="2"/>
  <c r="V26" i="2"/>
  <c r="B191" i="1"/>
  <c r="E19" i="5"/>
  <c r="AA24" i="2"/>
  <c r="AA26" i="2" s="1"/>
  <c r="Z24" i="2"/>
  <c r="Z26" i="2" l="1"/>
  <c r="Y26" i="2"/>
  <c r="E15" i="5"/>
  <c r="E75" i="1"/>
  <c r="E83" i="1"/>
  <c r="C85" i="1"/>
  <c r="E30" i="1"/>
  <c r="C86" i="1"/>
  <c r="E16" i="5" l="1"/>
  <c r="E17" i="5" s="1"/>
  <c r="G15" i="5"/>
  <c r="O15" i="5"/>
  <c r="H15" i="5"/>
  <c r="K15" i="5"/>
  <c r="F15" i="5"/>
  <c r="M15" i="5"/>
  <c r="J15" i="5"/>
  <c r="I15" i="5"/>
  <c r="N15" i="5"/>
  <c r="L15" i="5"/>
  <c r="C87" i="1"/>
  <c r="C88" i="1"/>
  <c r="K16" i="5" l="1"/>
  <c r="K17" i="5" s="1"/>
  <c r="M16" i="5"/>
  <c r="M17" i="5" s="1"/>
  <c r="F16" i="5"/>
  <c r="F17" i="5" s="1"/>
  <c r="G16" i="5"/>
  <c r="G17" i="5" s="1"/>
  <c r="I16" i="5"/>
  <c r="I17" i="5" s="1"/>
  <c r="L16" i="5"/>
  <c r="L17" i="5" s="1"/>
  <c r="N16" i="5"/>
  <c r="N17" i="5" s="1"/>
  <c r="O16" i="5"/>
  <c r="O17" i="5" s="1"/>
  <c r="H16" i="5"/>
  <c r="H17" i="5" s="1"/>
  <c r="J16" i="5"/>
  <c r="J17" i="5" s="1"/>
  <c r="E27" i="5" l="1"/>
  <c r="C25" i="1" s="1"/>
  <c r="C51" i="1" s="1"/>
  <c r="C89" i="1" l="1"/>
  <c r="C90" i="1" s="1"/>
  <c r="C91" i="1" s="1"/>
  <c r="C52" i="1"/>
  <c r="C54" i="1" s="1"/>
  <c r="C55" i="1" l="1"/>
  <c r="C56" i="1"/>
  <c r="C58" i="1" s="1"/>
  <c r="C57" i="1" l="1"/>
  <c r="C105" i="1" s="1"/>
  <c r="C104" i="1"/>
  <c r="C126" i="1" l="1"/>
  <c r="C128" i="1" s="1"/>
  <c r="C127" i="1"/>
  <c r="C129" i="1" s="1"/>
  <c r="E143" i="1" l="1"/>
  <c r="C132" i="1"/>
  <c r="C32" i="1" s="1"/>
  <c r="E135" i="1"/>
  <c r="B132" i="1"/>
  <c r="B186" i="1" s="1"/>
  <c r="C109" i="1" l="1"/>
  <c r="C110" i="1" s="1"/>
  <c r="C135" i="1"/>
  <c r="C149" i="1"/>
  <c r="C150" i="1" s="1"/>
  <c r="C118" i="1"/>
  <c r="C119" i="1" s="1"/>
  <c r="U3" i="1"/>
  <c r="V3" i="1" s="1"/>
  <c r="C121" i="1" l="1"/>
  <c r="B120" i="1"/>
  <c r="B185" i="1" s="1"/>
  <c r="C136" i="1"/>
  <c r="B151" i="1" s="1"/>
  <c r="C156" i="1"/>
  <c r="C158" i="1" s="1"/>
  <c r="C112" i="1"/>
  <c r="B111" i="1"/>
  <c r="B184" i="1" s="1"/>
  <c r="C160" i="1" l="1"/>
  <c r="B164" i="1" s="1"/>
  <c r="C166" i="1"/>
  <c r="B170" i="1" s="1"/>
  <c r="U12" i="1"/>
  <c r="V12" i="1" s="1"/>
  <c r="U11" i="1"/>
  <c r="V11" i="1" s="1"/>
  <c r="U5" i="1"/>
  <c r="V5" i="1" s="1"/>
  <c r="B188" i="1"/>
  <c r="C143" i="1"/>
  <c r="B140" i="1"/>
  <c r="B187" i="1" s="1"/>
  <c r="U4" i="1" l="1"/>
  <c r="V4" i="1" s="1"/>
  <c r="B190" i="1"/>
  <c r="U7" i="1"/>
  <c r="V7" i="1" s="1"/>
  <c r="U6" i="1"/>
  <c r="V6" i="1" s="1"/>
  <c r="B189" i="1"/>
  <c r="E2" i="1" l="1"/>
</calcChain>
</file>

<file path=xl/sharedStrings.xml><?xml version="1.0" encoding="utf-8"?>
<sst xmlns="http://schemas.openxmlformats.org/spreadsheetml/2006/main" count="658" uniqueCount="421">
  <si>
    <t>Table 8-1</t>
  </si>
  <si>
    <t>Inside Diameter, ID (in)</t>
  </si>
  <si>
    <t>Pipe Stiffness, PS (pii)</t>
  </si>
  <si>
    <t>Outside Diameter, OD (in)</t>
  </si>
  <si>
    <t>Distance to Centroid, c (in)</t>
  </si>
  <si>
    <t>Table 8-2</t>
  </si>
  <si>
    <t>Long- and Short-Term AASHTO LRFD Section 12 HDPE Properties @ 73 degress F</t>
  </si>
  <si>
    <t>Long</t>
  </si>
  <si>
    <t>Short</t>
  </si>
  <si>
    <t>Young's Modulus, E (psi)</t>
  </si>
  <si>
    <t>Table 8-3</t>
  </si>
  <si>
    <t>Material*</t>
  </si>
  <si>
    <t>IA</t>
  </si>
  <si>
    <t>IB</t>
  </si>
  <si>
    <t>II</t>
  </si>
  <si>
    <t>III</t>
  </si>
  <si>
    <t>*ASTM D 2321</t>
  </si>
  <si>
    <t>Description</t>
  </si>
  <si>
    <t>Open-graded, clean manufactured aggregates</t>
  </si>
  <si>
    <t>Dense-graded, clean manufactured, processed aggregates</t>
  </si>
  <si>
    <t>Clean, coarse-grained soils</t>
  </si>
  <si>
    <t>Coarse-grained soils with fines</t>
  </si>
  <si>
    <t>Dumped</t>
  </si>
  <si>
    <t>Lift Placement Depth</t>
  </si>
  <si>
    <t>18"</t>
  </si>
  <si>
    <t>12"</t>
  </si>
  <si>
    <t>9"</t>
  </si>
  <si>
    <t>&lt;85%</t>
  </si>
  <si>
    <t>85 to 95%</t>
  </si>
  <si>
    <t>&gt;95%</t>
  </si>
  <si>
    <t>N/R</t>
  </si>
  <si>
    <t>Min. Req. Density</t>
  </si>
  <si>
    <t>N/R = Not Recommended</t>
  </si>
  <si>
    <t>Duration</t>
  </si>
  <si>
    <t>Table 8-4</t>
  </si>
  <si>
    <t>I</t>
  </si>
  <si>
    <t>Compacted</t>
  </si>
  <si>
    <t>Uncompacted</t>
  </si>
  <si>
    <r>
      <t>Secant Constrained Soil Modulus, M</t>
    </r>
    <r>
      <rPr>
        <vertAlign val="subscript"/>
        <sz val="11"/>
        <color theme="1"/>
        <rFont val="Calibri"/>
        <family val="2"/>
        <scheme val="minor"/>
      </rPr>
      <t>s</t>
    </r>
    <r>
      <rPr>
        <sz val="9"/>
        <color theme="1"/>
        <rFont val="Times New Roman"/>
        <family val="1"/>
      </rPr>
      <t xml:space="preserve"> (psi)</t>
    </r>
  </si>
  <si>
    <t>Cover (ft)</t>
  </si>
  <si>
    <r>
      <t>Section Area, A</t>
    </r>
    <r>
      <rPr>
        <b/>
        <vertAlign val="subscript"/>
        <sz val="11"/>
        <color theme="0"/>
        <rFont val="Calibri"/>
        <family val="2"/>
        <scheme val="minor"/>
      </rPr>
      <t>s</t>
    </r>
    <r>
      <rPr>
        <b/>
        <sz val="11"/>
        <color theme="0"/>
        <rFont val="Calibri"/>
        <family val="2"/>
        <scheme val="minor"/>
      </rPr>
      <t xml:space="preserve"> (in</t>
    </r>
    <r>
      <rPr>
        <b/>
        <vertAlign val="superscript"/>
        <sz val="11"/>
        <color theme="0"/>
        <rFont val="Calibri"/>
        <family val="2"/>
        <scheme val="minor"/>
      </rPr>
      <t>2</t>
    </r>
    <r>
      <rPr>
        <b/>
        <sz val="11"/>
        <color theme="0"/>
        <rFont val="Calibri"/>
        <family val="2"/>
        <scheme val="minor"/>
      </rPr>
      <t>/in)</t>
    </r>
  </si>
  <si>
    <t>Table 8-5</t>
  </si>
  <si>
    <r>
      <t>Shape Factors, D</t>
    </r>
    <r>
      <rPr>
        <vertAlign val="subscript"/>
        <sz val="11"/>
        <color theme="1"/>
        <rFont val="Calibri"/>
        <family val="2"/>
        <scheme val="minor"/>
      </rPr>
      <t>f</t>
    </r>
  </si>
  <si>
    <t>NOTE: Densities are Standard Proctor</t>
  </si>
  <si>
    <t>Gravel</t>
  </si>
  <si>
    <t xml:space="preserve">Gravel </t>
  </si>
  <si>
    <t>Sand</t>
  </si>
  <si>
    <t>≥85%</t>
  </si>
  <si>
    <t>Grout Design Properties</t>
  </si>
  <si>
    <t>Density (pcf)</t>
  </si>
  <si>
    <t>Young's Modulus (psi)</t>
  </si>
  <si>
    <t>Compressive Strength (psi)</t>
  </si>
  <si>
    <t>Strain Capacity (in/in)</t>
  </si>
  <si>
    <r>
      <t>γ</t>
    </r>
    <r>
      <rPr>
        <vertAlign val="subscript"/>
        <sz val="11"/>
        <color theme="1"/>
        <rFont val="Calibri"/>
        <family val="2"/>
        <scheme val="minor"/>
      </rPr>
      <t>soil</t>
    </r>
  </si>
  <si>
    <t>OD</t>
  </si>
  <si>
    <t>DR</t>
  </si>
  <si>
    <t>ID</t>
  </si>
  <si>
    <t>H</t>
  </si>
  <si>
    <r>
      <t>M</t>
    </r>
    <r>
      <rPr>
        <vertAlign val="subscript"/>
        <sz val="11"/>
        <color theme="1"/>
        <rFont val="Calibri"/>
        <family val="2"/>
        <scheme val="minor"/>
      </rPr>
      <t>s</t>
    </r>
  </si>
  <si>
    <t>c</t>
  </si>
  <si>
    <t>Modulus of Elasticity for PE</t>
  </si>
  <si>
    <t>A</t>
  </si>
  <si>
    <r>
      <t>E</t>
    </r>
    <r>
      <rPr>
        <vertAlign val="subscript"/>
        <sz val="11"/>
        <color theme="1"/>
        <rFont val="Calibri"/>
        <family val="2"/>
        <scheme val="minor"/>
      </rPr>
      <t>long</t>
    </r>
  </si>
  <si>
    <r>
      <t>E</t>
    </r>
    <r>
      <rPr>
        <vertAlign val="subscript"/>
        <sz val="11"/>
        <color theme="1"/>
        <rFont val="Calibri"/>
        <family val="2"/>
        <scheme val="minor"/>
      </rPr>
      <t>short</t>
    </r>
  </si>
  <si>
    <r>
      <t>γ</t>
    </r>
    <r>
      <rPr>
        <vertAlign val="subscript"/>
        <sz val="11"/>
        <color theme="1"/>
        <rFont val="Calibri"/>
        <family val="2"/>
        <scheme val="minor"/>
      </rPr>
      <t>water</t>
    </r>
  </si>
  <si>
    <r>
      <t>H</t>
    </r>
    <r>
      <rPr>
        <vertAlign val="subscript"/>
        <sz val="11"/>
        <color theme="1"/>
        <rFont val="Calibri"/>
        <family val="2"/>
        <scheme val="minor"/>
      </rPr>
      <t>gw</t>
    </r>
  </si>
  <si>
    <r>
      <t>φ</t>
    </r>
    <r>
      <rPr>
        <vertAlign val="subscript"/>
        <sz val="11"/>
        <color theme="1"/>
        <rFont val="Calibri"/>
        <family val="2"/>
        <scheme val="minor"/>
      </rPr>
      <t>soil</t>
    </r>
  </si>
  <si>
    <t>Bedding Constant</t>
  </si>
  <si>
    <r>
      <t>D</t>
    </r>
    <r>
      <rPr>
        <vertAlign val="subscript"/>
        <sz val="9"/>
        <color theme="1"/>
        <rFont val="Georgia"/>
        <family val="1"/>
      </rPr>
      <t>L</t>
    </r>
  </si>
  <si>
    <t>Deflection Lag Factor</t>
  </si>
  <si>
    <t>E'</t>
  </si>
  <si>
    <t>Pipe Stiffness</t>
  </si>
  <si>
    <t>PS</t>
  </si>
  <si>
    <t>B'</t>
  </si>
  <si>
    <t>Nonuniform Stress Distribution Factor</t>
  </si>
  <si>
    <t>in</t>
  </si>
  <si>
    <t>Mean Pipe Diameter</t>
  </si>
  <si>
    <r>
      <t>D</t>
    </r>
    <r>
      <rPr>
        <vertAlign val="subscript"/>
        <sz val="9"/>
        <color theme="1"/>
        <rFont val="Georgia"/>
        <family val="1"/>
      </rPr>
      <t>m</t>
    </r>
  </si>
  <si>
    <t>Grout Density</t>
  </si>
  <si>
    <t>pcf</t>
  </si>
  <si>
    <t>psi</t>
  </si>
  <si>
    <t>Grout Modulus of Elasticity</t>
  </si>
  <si>
    <t>Grout Unconfined Compressive Strength</t>
  </si>
  <si>
    <t>Grout Strain Capacity</t>
  </si>
  <si>
    <t>in/in</t>
  </si>
  <si>
    <t>Vertical Arching Factor</t>
  </si>
  <si>
    <t>VAF</t>
  </si>
  <si>
    <t>Hoop Stiffness Factor</t>
  </si>
  <si>
    <r>
      <t>S</t>
    </r>
    <r>
      <rPr>
        <vertAlign val="subscript"/>
        <sz val="9"/>
        <color theme="1"/>
        <rFont val="Georgia"/>
        <family val="1"/>
      </rPr>
      <t>h</t>
    </r>
  </si>
  <si>
    <r>
      <t>in</t>
    </r>
    <r>
      <rPr>
        <vertAlign val="superscript"/>
        <sz val="9"/>
        <color theme="1"/>
        <rFont val="Georgia"/>
        <family val="1"/>
      </rPr>
      <t>2</t>
    </r>
    <r>
      <rPr>
        <sz val="9"/>
        <color theme="1"/>
        <rFont val="Times New Roman"/>
        <family val="1"/>
      </rPr>
      <t>/in</t>
    </r>
  </si>
  <si>
    <t>Soil Class: IA, IB, II, or III</t>
  </si>
  <si>
    <t>ASTM D 2321</t>
  </si>
  <si>
    <t>Standard Proctor</t>
  </si>
  <si>
    <t>Row 1:</t>
  </si>
  <si>
    <t>Row 2:</t>
  </si>
  <si>
    <t>Interp:</t>
  </si>
  <si>
    <t>Class</t>
  </si>
  <si>
    <t>Lookup</t>
  </si>
  <si>
    <t>StdProctor</t>
  </si>
  <si>
    <t>&lt;- First</t>
  </si>
  <si>
    <t>&lt;- Second</t>
  </si>
  <si>
    <t>&lt;- First-Second</t>
  </si>
  <si>
    <t>Sand or Gravel</t>
  </si>
  <si>
    <t>Other Loads</t>
  </si>
  <si>
    <t>Cover Limit Check</t>
  </si>
  <si>
    <t>Live Load Type</t>
  </si>
  <si>
    <t>Ignored/NA</t>
  </si>
  <si>
    <t>Live Loading (kips)</t>
  </si>
  <si>
    <t>Name</t>
  </si>
  <si>
    <t>Axle Load</t>
  </si>
  <si>
    <t>HS-20 Truck</t>
  </si>
  <si>
    <t>HS-25 Truck</t>
  </si>
  <si>
    <t>E-80 Railroad</t>
  </si>
  <si>
    <t>&lt;--ENTER OTHER AXLE LOAD IF DESIRED</t>
  </si>
  <si>
    <t>^ enter name ^</t>
  </si>
  <si>
    <t>^ enter load^</t>
  </si>
  <si>
    <t>lbs</t>
  </si>
  <si>
    <r>
      <t>LL</t>
    </r>
    <r>
      <rPr>
        <vertAlign val="subscript"/>
        <sz val="9"/>
        <color theme="1"/>
        <rFont val="Georgia"/>
        <family val="1"/>
      </rPr>
      <t>type</t>
    </r>
  </si>
  <si>
    <t>Truck Axle Load</t>
  </si>
  <si>
    <t>Tandem Axle Load</t>
  </si>
  <si>
    <t>ft</t>
  </si>
  <si>
    <t>Depth of Water Over Crown</t>
  </si>
  <si>
    <t>Depth of Soil Cover Over Crown</t>
  </si>
  <si>
    <t>Live Load Distribution Factor</t>
  </si>
  <si>
    <r>
      <t>L</t>
    </r>
    <r>
      <rPr>
        <vertAlign val="subscript"/>
        <sz val="9"/>
        <color theme="1"/>
        <rFont val="Georgia"/>
        <family val="1"/>
      </rPr>
      <t>T</t>
    </r>
  </si>
  <si>
    <r>
      <t>W</t>
    </r>
    <r>
      <rPr>
        <vertAlign val="subscript"/>
        <sz val="9"/>
        <color theme="1"/>
        <rFont val="Georgia"/>
        <family val="1"/>
      </rPr>
      <t>T</t>
    </r>
  </si>
  <si>
    <t>Truck Axle Spacing (Longitudinal to Pipe)</t>
  </si>
  <si>
    <t>LLDF</t>
  </si>
  <si>
    <t>Single Tire Patch Width at Crown</t>
  </si>
  <si>
    <t>Single Tire Patch Length at Crown</t>
  </si>
  <si>
    <r>
      <t>L</t>
    </r>
    <r>
      <rPr>
        <vertAlign val="subscript"/>
        <sz val="9"/>
        <color theme="1"/>
        <rFont val="Georgia"/>
        <family val="1"/>
      </rPr>
      <t>Pc</t>
    </r>
  </si>
  <si>
    <r>
      <t>L</t>
    </r>
    <r>
      <rPr>
        <vertAlign val="subscript"/>
        <sz val="9"/>
        <color theme="1"/>
        <rFont val="Georgia"/>
        <family val="1"/>
      </rPr>
      <t>Pc_tire</t>
    </r>
  </si>
  <si>
    <r>
      <t>W</t>
    </r>
    <r>
      <rPr>
        <vertAlign val="subscript"/>
        <sz val="9"/>
        <color theme="1"/>
        <rFont val="Georgia"/>
        <family val="1"/>
      </rPr>
      <t>Pc_tire</t>
    </r>
  </si>
  <si>
    <r>
      <t>W</t>
    </r>
    <r>
      <rPr>
        <vertAlign val="subscript"/>
        <sz val="9"/>
        <color theme="1"/>
        <rFont val="Georgia"/>
        <family val="1"/>
      </rPr>
      <t>Pc</t>
    </r>
  </si>
  <si>
    <t>Truck Load Patch Length at Crown</t>
  </si>
  <si>
    <t>Truck Load Patch Width at Crown</t>
  </si>
  <si>
    <t>Tandem Load Patch Length at Crown</t>
  </si>
  <si>
    <t>Tandem Load Patch Width at Crown</t>
  </si>
  <si>
    <t>Truck Patch Load</t>
  </si>
  <si>
    <r>
      <t>P</t>
    </r>
    <r>
      <rPr>
        <vertAlign val="subscript"/>
        <sz val="9"/>
        <color theme="1"/>
        <rFont val="Georgia"/>
        <family val="1"/>
      </rPr>
      <t>patch</t>
    </r>
  </si>
  <si>
    <t>Tandem Patch Load</t>
  </si>
  <si>
    <r>
      <t>P</t>
    </r>
    <r>
      <rPr>
        <vertAlign val="subscript"/>
        <sz val="9"/>
        <color theme="1"/>
        <rFont val="Georgia"/>
        <family val="1"/>
      </rPr>
      <t>patch_tandem</t>
    </r>
  </si>
  <si>
    <t>Tandem Patch Pressure</t>
  </si>
  <si>
    <r>
      <t>Q</t>
    </r>
    <r>
      <rPr>
        <vertAlign val="subscript"/>
        <sz val="9"/>
        <color theme="1"/>
        <rFont val="Georgia"/>
        <family val="1"/>
      </rPr>
      <t>patch_tandem</t>
    </r>
  </si>
  <si>
    <r>
      <t>Q</t>
    </r>
    <r>
      <rPr>
        <vertAlign val="subscript"/>
        <sz val="9"/>
        <color theme="1"/>
        <rFont val="Georgia"/>
        <family val="1"/>
      </rPr>
      <t>patch</t>
    </r>
  </si>
  <si>
    <t>psf</t>
  </si>
  <si>
    <t>Truck Patch Pressure</t>
  </si>
  <si>
    <r>
      <t>L</t>
    </r>
    <r>
      <rPr>
        <vertAlign val="subscript"/>
        <sz val="9"/>
        <color theme="1"/>
        <rFont val="Georgia"/>
        <family val="1"/>
      </rPr>
      <t>Pc_tandem</t>
    </r>
  </si>
  <si>
    <r>
      <t>W</t>
    </r>
    <r>
      <rPr>
        <vertAlign val="subscript"/>
        <sz val="9"/>
        <color theme="1"/>
        <rFont val="Georgia"/>
        <family val="1"/>
      </rPr>
      <t>Pc_tandem</t>
    </r>
  </si>
  <si>
    <r>
      <t>Q</t>
    </r>
    <r>
      <rPr>
        <vertAlign val="subscript"/>
        <sz val="9"/>
        <color theme="1"/>
        <rFont val="Georgia"/>
        <family val="1"/>
      </rPr>
      <t>truck</t>
    </r>
  </si>
  <si>
    <r>
      <t>Q</t>
    </r>
    <r>
      <rPr>
        <vertAlign val="subscript"/>
        <sz val="9"/>
        <color theme="1"/>
        <rFont val="Georgia"/>
        <family val="1"/>
      </rPr>
      <t>tandem</t>
    </r>
  </si>
  <si>
    <t>Dimension Ratio</t>
  </si>
  <si>
    <t>Outer Diameter</t>
  </si>
  <si>
    <t>Inner Diameter</t>
  </si>
  <si>
    <t>Unit Weight of Water</t>
  </si>
  <si>
    <t>Unit Weight of Soil</t>
  </si>
  <si>
    <t>Vertical Earth Load Factor</t>
  </si>
  <si>
    <t>Load Factors and Modifiers</t>
  </si>
  <si>
    <t>Vertical Earth Load Modifier</t>
  </si>
  <si>
    <r>
      <t>η</t>
    </r>
    <r>
      <rPr>
        <vertAlign val="subscript"/>
        <sz val="11"/>
        <color theme="1"/>
        <rFont val="Calibri"/>
        <family val="2"/>
        <scheme val="minor"/>
      </rPr>
      <t>WA</t>
    </r>
  </si>
  <si>
    <r>
      <t>γ</t>
    </r>
    <r>
      <rPr>
        <vertAlign val="subscript"/>
        <sz val="11"/>
        <color theme="1"/>
        <rFont val="Calibri"/>
        <family val="2"/>
        <scheme val="minor"/>
      </rPr>
      <t>WA</t>
    </r>
  </si>
  <si>
    <t>Water Load Factor</t>
  </si>
  <si>
    <t>Water Load Modifier</t>
  </si>
  <si>
    <r>
      <t>γ</t>
    </r>
    <r>
      <rPr>
        <vertAlign val="subscript"/>
        <sz val="11"/>
        <color theme="1"/>
        <rFont val="Calibri"/>
        <family val="2"/>
        <scheme val="minor"/>
      </rPr>
      <t>EV</t>
    </r>
  </si>
  <si>
    <r>
      <t>η</t>
    </r>
    <r>
      <rPr>
        <vertAlign val="subscript"/>
        <sz val="11"/>
        <color theme="1"/>
        <rFont val="Calibri"/>
        <family val="2"/>
        <scheme val="minor"/>
      </rPr>
      <t>EV</t>
    </r>
  </si>
  <si>
    <t>Live Load Factor</t>
  </si>
  <si>
    <t>Live Load Modifier</t>
  </si>
  <si>
    <r>
      <t>η</t>
    </r>
    <r>
      <rPr>
        <vertAlign val="subscript"/>
        <sz val="11"/>
        <color theme="1"/>
        <rFont val="Calibri"/>
        <family val="2"/>
        <scheme val="minor"/>
      </rPr>
      <t>LL</t>
    </r>
  </si>
  <si>
    <r>
      <t>γ</t>
    </r>
    <r>
      <rPr>
        <vertAlign val="subscript"/>
        <sz val="11"/>
        <color theme="1"/>
        <rFont val="Calibri"/>
        <family val="2"/>
        <scheme val="minor"/>
      </rPr>
      <t>LL</t>
    </r>
  </si>
  <si>
    <t>Other Load Factor</t>
  </si>
  <si>
    <t>Other Load Modifier</t>
  </si>
  <si>
    <r>
      <t>γ</t>
    </r>
    <r>
      <rPr>
        <vertAlign val="subscript"/>
        <sz val="11"/>
        <color theme="1"/>
        <rFont val="Calibri"/>
        <family val="2"/>
        <scheme val="minor"/>
      </rPr>
      <t>Other</t>
    </r>
  </si>
  <si>
    <r>
      <t>η</t>
    </r>
    <r>
      <rPr>
        <vertAlign val="subscript"/>
        <sz val="11"/>
        <color theme="1"/>
        <rFont val="Calibri"/>
        <family val="2"/>
        <scheme val="minor"/>
      </rPr>
      <t>Other</t>
    </r>
  </si>
  <si>
    <t>Installation Factor</t>
  </si>
  <si>
    <r>
      <t>K</t>
    </r>
    <r>
      <rPr>
        <vertAlign val="subscript"/>
        <sz val="11"/>
        <color theme="1"/>
        <rFont val="Calibri"/>
        <family val="2"/>
        <scheme val="minor"/>
      </rPr>
      <t>γE</t>
    </r>
  </si>
  <si>
    <t>AASHTO LRFD 3.4.1</t>
  </si>
  <si>
    <t>AASHTO LRFD 12.5.4</t>
  </si>
  <si>
    <r>
      <t>T</t>
    </r>
    <r>
      <rPr>
        <vertAlign val="subscript"/>
        <sz val="9"/>
        <color theme="1"/>
        <rFont val="Georgia"/>
        <family val="1"/>
      </rPr>
      <t>S</t>
    </r>
  </si>
  <si>
    <r>
      <t>T</t>
    </r>
    <r>
      <rPr>
        <vertAlign val="subscript"/>
        <sz val="9"/>
        <color theme="1"/>
        <rFont val="Georgia"/>
        <family val="1"/>
      </rPr>
      <t>U</t>
    </r>
  </si>
  <si>
    <t>Service Case Thrust at Springline</t>
  </si>
  <si>
    <t>Strength Case Thrust at Springline</t>
  </si>
  <si>
    <r>
      <t>T</t>
    </r>
    <r>
      <rPr>
        <vertAlign val="subscript"/>
        <sz val="9"/>
        <color theme="1"/>
        <rFont val="Georgia"/>
        <family val="1"/>
      </rPr>
      <t>EV</t>
    </r>
  </si>
  <si>
    <t>klf</t>
  </si>
  <si>
    <r>
      <t>T</t>
    </r>
    <r>
      <rPr>
        <vertAlign val="subscript"/>
        <sz val="9"/>
        <color theme="1"/>
        <rFont val="Georgia"/>
        <family val="1"/>
      </rPr>
      <t>EV_Crown</t>
    </r>
  </si>
  <si>
    <r>
      <t>T</t>
    </r>
    <r>
      <rPr>
        <vertAlign val="subscript"/>
        <sz val="9"/>
        <color theme="1"/>
        <rFont val="Georgia"/>
        <family val="1"/>
      </rPr>
      <t>EVu</t>
    </r>
  </si>
  <si>
    <r>
      <t>T</t>
    </r>
    <r>
      <rPr>
        <vertAlign val="subscript"/>
        <sz val="9"/>
        <color theme="1"/>
        <rFont val="Georgia"/>
        <family val="1"/>
      </rPr>
      <t>EVu_Crown</t>
    </r>
  </si>
  <si>
    <r>
      <t>γ'</t>
    </r>
    <r>
      <rPr>
        <vertAlign val="subscript"/>
        <sz val="11"/>
        <color theme="1"/>
        <rFont val="Calibri"/>
        <family val="2"/>
        <scheme val="minor"/>
      </rPr>
      <t>soil</t>
    </r>
  </si>
  <si>
    <t>Live Load Pressure</t>
  </si>
  <si>
    <t>Soil Prism Pressure</t>
  </si>
  <si>
    <r>
      <t>P</t>
    </r>
    <r>
      <rPr>
        <vertAlign val="subscript"/>
        <sz val="9"/>
        <color theme="1"/>
        <rFont val="Georgia"/>
        <family val="1"/>
      </rPr>
      <t>SP</t>
    </r>
  </si>
  <si>
    <t>Factored EV Thrust at Springline</t>
  </si>
  <si>
    <t>Factored EV Thrust at Crown</t>
  </si>
  <si>
    <r>
      <t>T</t>
    </r>
    <r>
      <rPr>
        <vertAlign val="subscript"/>
        <sz val="9"/>
        <color theme="1"/>
        <rFont val="Georgia"/>
        <family val="1"/>
      </rPr>
      <t>LL</t>
    </r>
  </si>
  <si>
    <r>
      <t>T</t>
    </r>
    <r>
      <rPr>
        <vertAlign val="subscript"/>
        <sz val="9"/>
        <color theme="1"/>
        <rFont val="Georgia"/>
        <family val="1"/>
      </rPr>
      <t>LLu</t>
    </r>
  </si>
  <si>
    <r>
      <t>L</t>
    </r>
    <r>
      <rPr>
        <vertAlign val="subscript"/>
        <sz val="9"/>
        <color theme="1"/>
        <rFont val="Georgia"/>
        <family val="1"/>
      </rPr>
      <t>W</t>
    </r>
  </si>
  <si>
    <t>Live Load Effective Patch Width</t>
  </si>
  <si>
    <t>Service LL Thrust at Springline</t>
  </si>
  <si>
    <t>Factored LL Thrust at Springline</t>
  </si>
  <si>
    <r>
      <t>P</t>
    </r>
    <r>
      <rPr>
        <vertAlign val="subscript"/>
        <sz val="9"/>
        <color theme="1"/>
        <rFont val="Georgia"/>
        <family val="1"/>
      </rPr>
      <t>WA</t>
    </r>
  </si>
  <si>
    <t>Hydrostatic Pressure at Crown</t>
  </si>
  <si>
    <t>Service WA Thrust at Springline</t>
  </si>
  <si>
    <t>Factored WA Thrust at Springline</t>
  </si>
  <si>
    <r>
      <t>T</t>
    </r>
    <r>
      <rPr>
        <vertAlign val="subscript"/>
        <sz val="9"/>
        <color theme="1"/>
        <rFont val="Georgia"/>
        <family val="1"/>
      </rPr>
      <t>WA</t>
    </r>
  </si>
  <si>
    <r>
      <t>T</t>
    </r>
    <r>
      <rPr>
        <vertAlign val="subscript"/>
        <sz val="9"/>
        <color theme="1"/>
        <rFont val="Georgia"/>
        <family val="1"/>
      </rPr>
      <t>WAu</t>
    </r>
  </si>
  <si>
    <t xml:space="preserve">External Pressure Due to a Footing, etc. </t>
  </si>
  <si>
    <t>Service Other Thrust at Springline</t>
  </si>
  <si>
    <t>Factored Other Thrust at Springline</t>
  </si>
  <si>
    <r>
      <t>T</t>
    </r>
    <r>
      <rPr>
        <vertAlign val="subscript"/>
        <sz val="9"/>
        <color theme="1"/>
        <rFont val="Georgia"/>
        <family val="1"/>
      </rPr>
      <t>Other</t>
    </r>
  </si>
  <si>
    <r>
      <t>T</t>
    </r>
    <r>
      <rPr>
        <vertAlign val="subscript"/>
        <sz val="9"/>
        <color theme="1"/>
        <rFont val="Georgia"/>
        <family val="1"/>
      </rPr>
      <t>Otheru</t>
    </r>
  </si>
  <si>
    <r>
      <t>P</t>
    </r>
    <r>
      <rPr>
        <vertAlign val="subscript"/>
        <sz val="9"/>
        <color theme="1"/>
        <rFont val="Georgia"/>
        <family val="1"/>
      </rPr>
      <t>Other</t>
    </r>
  </si>
  <si>
    <r>
      <t>F</t>
    </r>
    <r>
      <rPr>
        <vertAlign val="subscript"/>
        <sz val="9"/>
        <color theme="1"/>
        <rFont val="Georgia"/>
        <family val="1"/>
      </rPr>
      <t>y_long</t>
    </r>
  </si>
  <si>
    <r>
      <t>F</t>
    </r>
    <r>
      <rPr>
        <vertAlign val="subscript"/>
        <sz val="9"/>
        <color theme="1"/>
        <rFont val="Georgia"/>
        <family val="1"/>
      </rPr>
      <t>y_short</t>
    </r>
  </si>
  <si>
    <t>Tensile Strength for PE</t>
  </si>
  <si>
    <t>Critical Wall Thrust</t>
  </si>
  <si>
    <r>
      <t>T</t>
    </r>
    <r>
      <rPr>
        <vertAlign val="subscript"/>
        <sz val="9"/>
        <color theme="1"/>
        <rFont val="Georgia"/>
        <family val="1"/>
      </rPr>
      <t>cr</t>
    </r>
  </si>
  <si>
    <t>Short or Long Term Loading Properties</t>
  </si>
  <si>
    <t>Term</t>
  </si>
  <si>
    <t>Tensile Strength, F (psi)</t>
  </si>
  <si>
    <t>Wall Area</t>
  </si>
  <si>
    <t>Soil Capacity Modification Factor</t>
  </si>
  <si>
    <t>ASD Safety Factor</t>
  </si>
  <si>
    <t>FS</t>
  </si>
  <si>
    <r>
      <t>R</t>
    </r>
    <r>
      <rPr>
        <vertAlign val="subscript"/>
        <sz val="9"/>
        <color theme="1"/>
        <rFont val="Georgia"/>
        <family val="1"/>
      </rPr>
      <t>W</t>
    </r>
  </si>
  <si>
    <t>Water Buoyancy Factor</t>
  </si>
  <si>
    <t>Unit Weight of Buoyant Soil</t>
  </si>
  <si>
    <r>
      <t>ρ</t>
    </r>
    <r>
      <rPr>
        <vertAlign val="subscript"/>
        <sz val="9"/>
        <color theme="1"/>
        <rFont val="Georgia"/>
        <family val="1"/>
      </rPr>
      <t>gr</t>
    </r>
  </si>
  <si>
    <r>
      <t>E</t>
    </r>
    <r>
      <rPr>
        <vertAlign val="subscript"/>
        <sz val="9"/>
        <color theme="1"/>
        <rFont val="Georgia"/>
        <family val="1"/>
      </rPr>
      <t>gr</t>
    </r>
  </si>
  <si>
    <r>
      <t>σ</t>
    </r>
    <r>
      <rPr>
        <vertAlign val="subscript"/>
        <sz val="9"/>
        <color theme="1"/>
        <rFont val="Georgia"/>
        <family val="1"/>
      </rPr>
      <t>gr</t>
    </r>
  </si>
  <si>
    <r>
      <t>ε</t>
    </r>
    <r>
      <rPr>
        <vertAlign val="subscript"/>
        <sz val="9"/>
        <color theme="1"/>
        <rFont val="Georgia"/>
        <family val="1"/>
      </rPr>
      <t>gr</t>
    </r>
  </si>
  <si>
    <t>Moment of Inertia</t>
  </si>
  <si>
    <r>
      <t>in</t>
    </r>
    <r>
      <rPr>
        <vertAlign val="superscript"/>
        <sz val="9"/>
        <color theme="1"/>
        <rFont val="Georgia"/>
        <family val="1"/>
      </rPr>
      <t>4</t>
    </r>
    <r>
      <rPr>
        <sz val="9"/>
        <color theme="1"/>
        <rFont val="Times New Roman"/>
        <family val="1"/>
      </rPr>
      <t>/in</t>
    </r>
  </si>
  <si>
    <r>
      <t>Moment of Intertia, I</t>
    </r>
    <r>
      <rPr>
        <b/>
        <sz val="11"/>
        <color theme="0"/>
        <rFont val="Calibri"/>
        <family val="2"/>
        <scheme val="minor"/>
      </rPr>
      <t xml:space="preserve"> (in</t>
    </r>
    <r>
      <rPr>
        <b/>
        <vertAlign val="superscript"/>
        <sz val="11"/>
        <color theme="0"/>
        <rFont val="Calibri"/>
        <family val="2"/>
        <scheme val="minor"/>
      </rPr>
      <t>4</t>
    </r>
    <r>
      <rPr>
        <b/>
        <sz val="11"/>
        <color theme="0"/>
        <rFont val="Calibri"/>
        <family val="2"/>
        <scheme val="minor"/>
      </rPr>
      <t>/in)</t>
    </r>
  </si>
  <si>
    <t>Critical Buckling Thrust</t>
  </si>
  <si>
    <t>Construction Induced Deflection Limit</t>
  </si>
  <si>
    <r>
      <t>Δ</t>
    </r>
    <r>
      <rPr>
        <vertAlign val="subscript"/>
        <sz val="9"/>
        <color theme="1"/>
        <rFont val="Georgia"/>
        <family val="1"/>
      </rPr>
      <t>C</t>
    </r>
  </si>
  <si>
    <r>
      <t>D</t>
    </r>
    <r>
      <rPr>
        <vertAlign val="subscript"/>
        <sz val="9"/>
        <color theme="1"/>
        <rFont val="Georgia"/>
        <family val="1"/>
      </rPr>
      <t>f</t>
    </r>
  </si>
  <si>
    <t>Shape Factor</t>
  </si>
  <si>
    <t>Max Cover Limit</t>
  </si>
  <si>
    <t>Min Cover Limit</t>
  </si>
  <si>
    <r>
      <t>H</t>
    </r>
    <r>
      <rPr>
        <vertAlign val="subscript"/>
        <sz val="9"/>
        <color theme="1"/>
        <rFont val="Georgia"/>
        <family val="1"/>
      </rPr>
      <t>max</t>
    </r>
  </si>
  <si>
    <r>
      <t>H</t>
    </r>
    <r>
      <rPr>
        <vertAlign val="subscript"/>
        <sz val="9"/>
        <color theme="1"/>
        <rFont val="Georgia"/>
        <family val="1"/>
      </rPr>
      <t>min</t>
    </r>
  </si>
  <si>
    <t>Secant Constrained Soil Modulus</t>
  </si>
  <si>
    <t>Pipe Design Information</t>
  </si>
  <si>
    <t>Backfill Design Information</t>
  </si>
  <si>
    <t>Loading Conditions</t>
  </si>
  <si>
    <t>Deflection</t>
  </si>
  <si>
    <t>pii</t>
  </si>
  <si>
    <t>Modulus of Soil Reaction (psi)</t>
  </si>
  <si>
    <r>
      <t>D</t>
    </r>
    <r>
      <rPr>
        <vertAlign val="subscript"/>
        <sz val="11"/>
        <color theme="1"/>
        <rFont val="Calibri"/>
        <family val="2"/>
        <scheme val="minor"/>
      </rPr>
      <t>f</t>
    </r>
  </si>
  <si>
    <t>Sand or Gravel (For Bending Strain Check Only)</t>
  </si>
  <si>
    <t>Sand/Gravel</t>
  </si>
  <si>
    <r>
      <t>=1/(1+4e</t>
    </r>
    <r>
      <rPr>
        <vertAlign val="superscript"/>
        <sz val="9"/>
        <color theme="1"/>
        <rFont val="Times New Roman"/>
        <family val="1"/>
      </rPr>
      <t>-0.065H</t>
    </r>
    <r>
      <rPr>
        <sz val="9"/>
        <color theme="1"/>
        <rFont val="Times New Roman"/>
        <family val="1"/>
      </rPr>
      <t>)</t>
    </r>
  </si>
  <si>
    <t>PHL-93</t>
  </si>
  <si>
    <t>* NOTE: 8" pipe is DR 17.0</t>
  </si>
  <si>
    <t>Soil Class</t>
  </si>
  <si>
    <t>Material</t>
  </si>
  <si>
    <t>Snap-tite Manual Table 8-2</t>
  </si>
  <si>
    <t>Snap-tite Manual Table 8-1</t>
  </si>
  <si>
    <t>Multiple Presence Factors, Table 3.6.1.1.2-1</t>
  </si>
  <si>
    <t>Number of Loaded Lanes</t>
  </si>
  <si>
    <t>Multiple Presence Factor</t>
  </si>
  <si>
    <t>Other</t>
  </si>
  <si>
    <t>PHL-93 Truck</t>
  </si>
  <si>
    <t>PHL-93 Tandem</t>
  </si>
  <si>
    <t>Truck or Tandem Name:</t>
  </si>
  <si>
    <t>Soil Dead Load Pressure</t>
  </si>
  <si>
    <r>
      <t>P</t>
    </r>
    <r>
      <rPr>
        <vertAlign val="subscript"/>
        <sz val="9"/>
        <color theme="1"/>
        <rFont val="Georgia"/>
        <family val="1"/>
      </rPr>
      <t>DL</t>
    </r>
  </si>
  <si>
    <r>
      <t>Service EV Thrust at Springline (K</t>
    </r>
    <r>
      <rPr>
        <vertAlign val="subscript"/>
        <sz val="9"/>
        <color theme="1"/>
        <rFont val="Times New Roman"/>
        <family val="1"/>
      </rPr>
      <t>2</t>
    </r>
    <r>
      <rPr>
        <sz val="9"/>
        <color theme="1"/>
        <rFont val="Times New Roman"/>
        <family val="1"/>
      </rPr>
      <t>=1.0)</t>
    </r>
  </si>
  <si>
    <r>
      <t>Service EV Thrust at Crown (K</t>
    </r>
    <r>
      <rPr>
        <vertAlign val="subscript"/>
        <sz val="9"/>
        <color theme="1"/>
        <rFont val="Times New Roman"/>
        <family val="1"/>
      </rPr>
      <t>2</t>
    </r>
    <r>
      <rPr>
        <sz val="9"/>
        <color theme="1"/>
        <rFont val="Times New Roman"/>
        <family val="1"/>
      </rPr>
      <t>=0.6)</t>
    </r>
  </si>
  <si>
    <t>Live Load Distribution Coefficient</t>
  </si>
  <si>
    <r>
      <t>C</t>
    </r>
    <r>
      <rPr>
        <vertAlign val="subscript"/>
        <sz val="9"/>
        <color theme="1"/>
        <rFont val="Georgia"/>
        <family val="1"/>
      </rPr>
      <t>L</t>
    </r>
  </si>
  <si>
    <r>
      <t>P</t>
    </r>
    <r>
      <rPr>
        <vertAlign val="subscript"/>
        <sz val="9"/>
        <color theme="1"/>
        <rFont val="Georgia"/>
        <family val="1"/>
      </rPr>
      <t>L</t>
    </r>
  </si>
  <si>
    <t>Dynamic Load Factor</t>
  </si>
  <si>
    <t>IM</t>
  </si>
  <si>
    <t>%</t>
  </si>
  <si>
    <t>m</t>
  </si>
  <si>
    <t>Number of Lanes Considered</t>
  </si>
  <si>
    <t>Nlanes</t>
  </si>
  <si>
    <t>All Checks</t>
  </si>
  <si>
    <t>Buckling</t>
  </si>
  <si>
    <t>Combined Tension Strain</t>
  </si>
  <si>
    <t>Combined Compression Strain</t>
  </si>
  <si>
    <t>Max Cover</t>
  </si>
  <si>
    <t>Min Cover</t>
  </si>
  <si>
    <t>Thrust</t>
  </si>
  <si>
    <t>HL-93</t>
  </si>
  <si>
    <t>HL-93 Truck</t>
  </si>
  <si>
    <t>HL-93 Tandem</t>
  </si>
  <si>
    <t>Tire Length (Circumferential Direction)</t>
  </si>
  <si>
    <t>Tire Width (Longitudinal Direction)</t>
  </si>
  <si>
    <r>
      <t>s</t>
    </r>
    <r>
      <rPr>
        <vertAlign val="subscript"/>
        <sz val="9"/>
        <color theme="1"/>
        <rFont val="Georgia"/>
        <family val="1"/>
      </rPr>
      <t>circumferential</t>
    </r>
  </si>
  <si>
    <r>
      <t>s</t>
    </r>
    <r>
      <rPr>
        <vertAlign val="subscript"/>
        <sz val="9"/>
        <color theme="1"/>
        <rFont val="Georgia"/>
        <family val="1"/>
      </rPr>
      <t>lateral</t>
    </r>
  </si>
  <si>
    <t>Truck Axle Spacing (Circumferential to Pipe)</t>
  </si>
  <si>
    <r>
      <t>s</t>
    </r>
    <r>
      <rPr>
        <vertAlign val="subscript"/>
        <sz val="9"/>
        <color theme="1"/>
        <rFont val="Georgia"/>
        <family val="1"/>
      </rPr>
      <t>circumferential_tandem</t>
    </r>
  </si>
  <si>
    <r>
      <t>s</t>
    </r>
    <r>
      <rPr>
        <vertAlign val="subscript"/>
        <sz val="9"/>
        <color theme="1"/>
        <rFont val="Georgia"/>
        <family val="1"/>
      </rPr>
      <t>longitudinal_tandem</t>
    </r>
  </si>
  <si>
    <r>
      <t>F</t>
    </r>
    <r>
      <rPr>
        <vertAlign val="subscript"/>
        <sz val="9"/>
        <color theme="1"/>
        <rFont val="Georgia"/>
        <family val="1"/>
      </rPr>
      <t>1</t>
    </r>
  </si>
  <si>
    <r>
      <t>F</t>
    </r>
    <r>
      <rPr>
        <vertAlign val="subscript"/>
        <sz val="9"/>
        <color theme="1"/>
        <rFont val="Georgia"/>
        <family val="1"/>
      </rPr>
      <t>2</t>
    </r>
  </si>
  <si>
    <t>Factor 1</t>
  </si>
  <si>
    <t>Factor 2</t>
  </si>
  <si>
    <t>Table 12.12.3.10.2b-1</t>
  </si>
  <si>
    <r>
      <t>K</t>
    </r>
    <r>
      <rPr>
        <vertAlign val="subscript"/>
        <sz val="9"/>
        <color theme="1"/>
        <rFont val="Georgia"/>
        <family val="1"/>
      </rPr>
      <t>B</t>
    </r>
  </si>
  <si>
    <r>
      <t>Δ</t>
    </r>
    <r>
      <rPr>
        <vertAlign val="subscript"/>
        <sz val="9"/>
        <color theme="1"/>
        <rFont val="Georgia"/>
        <family val="1"/>
      </rPr>
      <t>t_DL</t>
    </r>
  </si>
  <si>
    <r>
      <t>Δ</t>
    </r>
    <r>
      <rPr>
        <vertAlign val="subscript"/>
        <sz val="9"/>
        <color theme="1"/>
        <rFont val="Georgia"/>
        <family val="1"/>
      </rPr>
      <t>t_LL</t>
    </r>
  </si>
  <si>
    <t>Total Dead Load Deflection (long term E)</t>
  </si>
  <si>
    <t>Total Live Load Deflection (short term E)</t>
  </si>
  <si>
    <t>Service Compression Strain Due to Thrust</t>
  </si>
  <si>
    <r>
      <t>ε</t>
    </r>
    <r>
      <rPr>
        <vertAlign val="subscript"/>
        <sz val="9"/>
        <color theme="1"/>
        <rFont val="Times New Roman"/>
        <family val="1"/>
      </rPr>
      <t>sc</t>
    </r>
  </si>
  <si>
    <t>Service Compression Strain Due to Thrust (long term E)</t>
  </si>
  <si>
    <t>Service Compression Strain Due to Thrust (short term E)</t>
  </si>
  <si>
    <r>
      <t>ε</t>
    </r>
    <r>
      <rPr>
        <vertAlign val="subscript"/>
        <sz val="9"/>
        <color theme="1"/>
        <rFont val="Times New Roman"/>
        <family val="1"/>
      </rPr>
      <t>sc_long</t>
    </r>
  </si>
  <si>
    <r>
      <t>ε</t>
    </r>
    <r>
      <rPr>
        <vertAlign val="subscript"/>
        <sz val="9"/>
        <color theme="1"/>
        <rFont val="Times New Roman"/>
        <family val="1"/>
      </rPr>
      <t>sc_short</t>
    </r>
  </si>
  <si>
    <r>
      <t xml:space="preserve">Combined Strain Checks
</t>
    </r>
    <r>
      <rPr>
        <sz val="8"/>
        <rFont val="Calibri"/>
        <family val="2"/>
        <scheme val="minor"/>
      </rPr>
      <t>(AASHTO LRFD 12.12.3.10.2)</t>
    </r>
  </si>
  <si>
    <r>
      <t xml:space="preserve">Thrust Strain Check
</t>
    </r>
    <r>
      <rPr>
        <sz val="8"/>
        <rFont val="Calibri"/>
        <family val="2"/>
        <scheme val="minor"/>
      </rPr>
      <t>(AASHTO LRFD 12.12.3.10.1d)</t>
    </r>
  </si>
  <si>
    <r>
      <t xml:space="preserve">Deflection Check
</t>
    </r>
    <r>
      <rPr>
        <sz val="8"/>
        <rFont val="Calibri"/>
        <family val="2"/>
        <scheme val="minor"/>
      </rPr>
      <t>(AASHTO LRFD 12.12.2.2)</t>
    </r>
  </si>
  <si>
    <r>
      <t xml:space="preserve">Total Thrust
</t>
    </r>
    <r>
      <rPr>
        <sz val="8"/>
        <rFont val="Calibri"/>
        <family val="2"/>
        <scheme val="minor"/>
      </rPr>
      <t>(AASHTO LRFD 12.12.3.5)</t>
    </r>
  </si>
  <si>
    <r>
      <t xml:space="preserve">Hydrostatic Load
</t>
    </r>
    <r>
      <rPr>
        <sz val="8"/>
        <rFont val="Calibri"/>
        <family val="2"/>
        <scheme val="minor"/>
      </rPr>
      <t>(AASHTO LRFD 12.12.3.5)</t>
    </r>
  </si>
  <si>
    <r>
      <t xml:space="preserve">Soil Load
</t>
    </r>
    <r>
      <rPr>
        <sz val="8"/>
        <rFont val="Calibri"/>
        <family val="2"/>
        <scheme val="minor"/>
      </rPr>
      <t>(AASHTO LRFD 12.12.3.5)</t>
    </r>
  </si>
  <si>
    <r>
      <t xml:space="preserve">Live Load
</t>
    </r>
    <r>
      <rPr>
        <sz val="8"/>
        <rFont val="Calibri"/>
        <family val="2"/>
        <scheme val="minor"/>
      </rPr>
      <t>(AASHTO LRFD 12.12.3.5, 3.6.1, 3.6.2)</t>
    </r>
  </si>
  <si>
    <r>
      <t xml:space="preserve">Buckling Strain Check
</t>
    </r>
    <r>
      <rPr>
        <sz val="8"/>
        <rFont val="Calibri"/>
        <family val="2"/>
        <scheme val="minor"/>
      </rPr>
      <t>(AASHTO LRFD 12.12.3.10.1e)</t>
    </r>
  </si>
  <si>
    <r>
      <t xml:space="preserve">Buckling Check
</t>
    </r>
    <r>
      <rPr>
        <sz val="8"/>
        <rFont val="Calibri"/>
        <family val="2"/>
        <scheme val="minor"/>
      </rPr>
      <t>(Standard AASHTO 17.3.2)</t>
    </r>
  </si>
  <si>
    <r>
      <t xml:space="preserve">Thrust Check
</t>
    </r>
    <r>
      <rPr>
        <sz val="8"/>
        <rFont val="Calibri"/>
        <family val="2"/>
        <scheme val="minor"/>
      </rPr>
      <t>(Standard AASHTO 17.3.1)</t>
    </r>
  </si>
  <si>
    <r>
      <t>T</t>
    </r>
    <r>
      <rPr>
        <vertAlign val="subscript"/>
        <sz val="9"/>
        <color theme="1"/>
        <rFont val="Georgia"/>
        <family val="1"/>
      </rPr>
      <t>buckling_cr</t>
    </r>
  </si>
  <si>
    <t>Critical Buckling Stress</t>
  </si>
  <si>
    <t>=ϕ_soil_stiffness*9.24*R/A/12*
SQRT(B'*R_W*M_s*E*I/(0.149*R^3))</t>
  </si>
  <si>
    <r>
      <t>ϕf</t>
    </r>
    <r>
      <rPr>
        <vertAlign val="subscript"/>
        <sz val="9"/>
        <color theme="1"/>
        <rFont val="Georgia"/>
        <family val="1"/>
      </rPr>
      <t>cr</t>
    </r>
  </si>
  <si>
    <t>Critical Wall Stress</t>
  </si>
  <si>
    <r>
      <t>ϕF</t>
    </r>
    <r>
      <rPr>
        <vertAlign val="subscript"/>
        <sz val="9"/>
        <color theme="1"/>
        <rFont val="Georgia"/>
        <family val="1"/>
      </rPr>
      <t>y</t>
    </r>
  </si>
  <si>
    <t>Factored Compression Strain Limit</t>
  </si>
  <si>
    <r>
      <t>ε</t>
    </r>
    <r>
      <rPr>
        <vertAlign val="subscript"/>
        <sz val="9"/>
        <color theme="1"/>
        <rFont val="Times New Roman"/>
        <family val="1"/>
      </rPr>
      <t>yc</t>
    </r>
  </si>
  <si>
    <t>Table 12.12.3.3-1</t>
  </si>
  <si>
    <t>Critical Compression Strain</t>
  </si>
  <si>
    <r>
      <t>ϕ</t>
    </r>
    <r>
      <rPr>
        <sz val="9"/>
        <color theme="1"/>
        <rFont val="Times New Roman"/>
        <family val="1"/>
      </rPr>
      <t>ε</t>
    </r>
    <r>
      <rPr>
        <vertAlign val="subscript"/>
        <sz val="9"/>
        <color theme="1"/>
        <rFont val="Times New Roman"/>
        <family val="1"/>
      </rPr>
      <t>yc</t>
    </r>
  </si>
  <si>
    <t>Factored Compression Strain Due to Thrust</t>
  </si>
  <si>
    <r>
      <t>ε</t>
    </r>
    <r>
      <rPr>
        <vertAlign val="subscript"/>
        <sz val="9"/>
        <color theme="1"/>
        <rFont val="Times New Roman"/>
        <family val="1"/>
      </rPr>
      <t>uc</t>
    </r>
  </si>
  <si>
    <r>
      <t>ϕ</t>
    </r>
    <r>
      <rPr>
        <vertAlign val="subscript"/>
        <sz val="11"/>
        <color theme="1"/>
        <rFont val="Calibri"/>
        <family val="2"/>
        <scheme val="minor"/>
      </rPr>
      <t>buckling</t>
    </r>
  </si>
  <si>
    <t>Buckling Resistance Factor</t>
  </si>
  <si>
    <r>
      <t>ε</t>
    </r>
    <r>
      <rPr>
        <vertAlign val="subscript"/>
        <sz val="9"/>
        <color theme="1"/>
        <rFont val="Times New Roman"/>
        <family val="1"/>
      </rPr>
      <t>buckling</t>
    </r>
  </si>
  <si>
    <r>
      <t>ϕε</t>
    </r>
    <r>
      <rPr>
        <vertAlign val="subscript"/>
        <sz val="9"/>
        <color theme="1"/>
        <rFont val="Times New Roman"/>
        <family val="1"/>
      </rPr>
      <t>buckling</t>
    </r>
  </si>
  <si>
    <r>
      <t>C</t>
    </r>
    <r>
      <rPr>
        <vertAlign val="subscript"/>
        <sz val="9"/>
        <color theme="1"/>
        <rFont val="Times New Roman"/>
        <family val="1"/>
      </rPr>
      <t>n</t>
    </r>
  </si>
  <si>
    <t>ν</t>
  </si>
  <si>
    <t>Poisson's Ratio for Soil</t>
  </si>
  <si>
    <t>Calibration Factor to Account for Nonlinear Effects</t>
  </si>
  <si>
    <t>Soil Stiffness Resistance Factor</t>
  </si>
  <si>
    <r>
      <t>ϕ</t>
    </r>
    <r>
      <rPr>
        <vertAlign val="subscript"/>
        <sz val="11"/>
        <color theme="1"/>
        <rFont val="Calibri"/>
        <family val="2"/>
        <scheme val="minor"/>
      </rPr>
      <t>soil_stiffness</t>
    </r>
  </si>
  <si>
    <r>
      <t>R</t>
    </r>
    <r>
      <rPr>
        <vertAlign val="subscript"/>
        <sz val="9"/>
        <color theme="1"/>
        <rFont val="Times New Roman"/>
        <family val="1"/>
      </rPr>
      <t>h</t>
    </r>
  </si>
  <si>
    <t>Factored Buckling Strain Limit</t>
  </si>
  <si>
    <t>Critical Buckling Strain</t>
  </si>
  <si>
    <t>Correction Factor for Backfill Soil Geometry*</t>
  </si>
  <si>
    <r>
      <t>ε</t>
    </r>
    <r>
      <rPr>
        <vertAlign val="subscript"/>
        <sz val="9"/>
        <color theme="1"/>
        <rFont val="Georgia"/>
        <family val="1"/>
      </rPr>
      <t>fu</t>
    </r>
  </si>
  <si>
    <t>Factored Flexural Strain</t>
  </si>
  <si>
    <r>
      <t>Δ</t>
    </r>
    <r>
      <rPr>
        <vertAlign val="subscript"/>
        <sz val="9"/>
        <color theme="1"/>
        <rFont val="Times New Roman"/>
        <family val="1"/>
      </rPr>
      <t>f</t>
    </r>
  </si>
  <si>
    <t>Deflection of Pipe Due to Flexure</t>
  </si>
  <si>
    <r>
      <t>Δ</t>
    </r>
    <r>
      <rPr>
        <vertAlign val="subscript"/>
        <sz val="9"/>
        <color theme="1"/>
        <rFont val="Georgia"/>
        <family val="1"/>
      </rPr>
      <t>A</t>
    </r>
  </si>
  <si>
    <t>Allowable Deflection Limit</t>
  </si>
  <si>
    <t>Factored Flexural Strain + Factored Compression Strain</t>
  </si>
  <si>
    <t>Factored Flexural Strain + Factored Tension Strain</t>
  </si>
  <si>
    <r>
      <t>ε</t>
    </r>
    <r>
      <rPr>
        <vertAlign val="subscript"/>
        <sz val="9"/>
        <color theme="1"/>
        <rFont val="Georgia"/>
        <family val="1"/>
      </rPr>
      <t>fu+uc</t>
    </r>
  </si>
  <si>
    <r>
      <t>ε</t>
    </r>
    <r>
      <rPr>
        <vertAlign val="subscript"/>
        <sz val="9"/>
        <color theme="1"/>
        <rFont val="Georgia"/>
        <family val="1"/>
      </rPr>
      <t>fu-uc</t>
    </r>
  </si>
  <si>
    <r>
      <t>ϕ</t>
    </r>
    <r>
      <rPr>
        <vertAlign val="subscript"/>
        <sz val="11"/>
        <color theme="1"/>
        <rFont val="Calibri"/>
        <family val="2"/>
        <scheme val="minor"/>
      </rPr>
      <t>flexure</t>
    </r>
  </si>
  <si>
    <t>Flexure Resistance Factor</t>
  </si>
  <si>
    <r>
      <t>ϕε</t>
    </r>
    <r>
      <rPr>
        <vertAlign val="subscript"/>
        <sz val="9"/>
        <color theme="1"/>
        <rFont val="Georgia"/>
        <family val="1"/>
      </rPr>
      <t>yt</t>
    </r>
  </si>
  <si>
    <r>
      <t>ε</t>
    </r>
    <r>
      <rPr>
        <vertAlign val="subscript"/>
        <sz val="9"/>
        <color theme="1"/>
        <rFont val="Georgia"/>
        <family val="1"/>
      </rPr>
      <t>yt</t>
    </r>
  </si>
  <si>
    <t>Service Long-Term Tension Strain Limit</t>
  </si>
  <si>
    <t>Thrust Resistance Factor</t>
  </si>
  <si>
    <r>
      <t>ϕ</t>
    </r>
    <r>
      <rPr>
        <vertAlign val="subscript"/>
        <sz val="11"/>
        <color theme="1"/>
        <rFont val="Calibri"/>
        <family val="2"/>
        <scheme val="minor"/>
      </rPr>
      <t>thrust</t>
    </r>
  </si>
  <si>
    <t>Critical Tension Strain</t>
  </si>
  <si>
    <r>
      <t>ϕ1.5ε</t>
    </r>
    <r>
      <rPr>
        <vertAlign val="subscript"/>
        <sz val="9"/>
        <color theme="1"/>
        <rFont val="Times New Roman"/>
        <family val="1"/>
      </rPr>
      <t>yc</t>
    </r>
  </si>
  <si>
    <t>Thrust Strain</t>
  </si>
  <si>
    <t>Buckling Strain</t>
  </si>
  <si>
    <t>Summary</t>
  </si>
  <si>
    <t>MaxLookup</t>
  </si>
  <si>
    <t>MinLookup</t>
  </si>
  <si>
    <t>Centroid Distance from Inside Wall to N.A.</t>
  </si>
  <si>
    <r>
      <t>R</t>
    </r>
    <r>
      <rPr>
        <vertAlign val="subscript"/>
        <sz val="11"/>
        <color theme="1"/>
        <rFont val="Calibri"/>
        <family val="2"/>
        <scheme val="minor"/>
      </rPr>
      <t>m</t>
    </r>
  </si>
  <si>
    <t>Mean Effective Radius of Pipe</t>
  </si>
  <si>
    <r>
      <t>OD</t>
    </r>
    <r>
      <rPr>
        <vertAlign val="subscript"/>
        <sz val="11"/>
        <color theme="1"/>
        <rFont val="Calibri"/>
        <family val="2"/>
        <scheme val="minor"/>
      </rPr>
      <t>nom</t>
    </r>
  </si>
  <si>
    <t>Nominal Outer Diameter</t>
  </si>
  <si>
    <t>Psp (psi)</t>
  </si>
  <si>
    <t>Sn</t>
  </si>
  <si>
    <t>Si</t>
  </si>
  <si>
    <t>Cl</t>
  </si>
  <si>
    <t>ksi</t>
  </si>
  <si>
    <t>AASHTO LRFD Soil Type:</t>
  </si>
  <si>
    <t>Soil Type Coversion</t>
  </si>
  <si>
    <t>ASTM D2321
Class &amp; Compaction</t>
  </si>
  <si>
    <t>Psp:</t>
  </si>
  <si>
    <t>Entered Class:</t>
  </si>
  <si>
    <t>Class:</t>
  </si>
  <si>
    <t>Ms Based on Soil Type and Compaction Condition
Table 12.12.3.5-1 (ksi) based on Modified Proctor Compaction</t>
  </si>
  <si>
    <t>Modified Proctor</t>
  </si>
  <si>
    <t>Std to Modified Proctor Coversion</t>
  </si>
  <si>
    <t>Modified to Standard Proctor Coversion</t>
  </si>
  <si>
    <t>Modified Proctor:</t>
  </si>
  <si>
    <t>Standard Proctor:</t>
  </si>
  <si>
    <r>
      <t>* NOTE: For this value to be valid, backfill geometry must meet all AASHTO LRFD requirements, including the extents of the select backfill zone. For extreme cases with low modulus soil outside select zone or thin (0.1*S) select backfill side extents, R</t>
    </r>
    <r>
      <rPr>
        <vertAlign val="subscript"/>
        <sz val="8"/>
        <color theme="1"/>
        <rFont val="Times New Roman"/>
        <family val="1"/>
      </rPr>
      <t>h</t>
    </r>
    <r>
      <rPr>
        <sz val="8"/>
        <color theme="1"/>
        <rFont val="Times New Roman"/>
        <family val="1"/>
      </rPr>
      <t xml:space="preserve"> should be modified as: 20/(56+D_m/12/H)</t>
    </r>
  </si>
  <si>
    <t>Table 12.12.3.5-1</t>
  </si>
  <si>
    <t>Compaction*: Dumped, 85%, 90%, or 95%</t>
  </si>
  <si>
    <t>AASHTO LRFD Soil Type</t>
  </si>
  <si>
    <t>*</t>
  </si>
  <si>
    <t>Max Cover Limit Table</t>
  </si>
  <si>
    <t>Min Cover Limit Table</t>
  </si>
  <si>
    <t>MsLookup</t>
  </si>
  <si>
    <t>Table 8-14</t>
  </si>
  <si>
    <t>Section Properties for Snap-Tite DR 32.5 Pipe (DR 17 for 8 inch OD)</t>
  </si>
  <si>
    <t>Nominal Outside Diameter,
OD (in)</t>
  </si>
  <si>
    <t>Minimum Cover (ft)</t>
  </si>
  <si>
    <t>Table 8-12</t>
  </si>
  <si>
    <t>Table 3-11
Safe Deflection Limits for Pressurized Pipe</t>
  </si>
  <si>
    <t>Allowable Deflection</t>
  </si>
  <si>
    <t>Allowable Deflection % Limit</t>
  </si>
  <si>
    <r>
      <t>Δ</t>
    </r>
    <r>
      <rPr>
        <vertAlign val="subscript"/>
        <sz val="9"/>
        <color theme="1"/>
        <rFont val="Georgia"/>
        <family val="1"/>
      </rPr>
      <t>A</t>
    </r>
    <r>
      <rPr>
        <sz val="9"/>
        <color theme="1"/>
        <rFont val="Georgia"/>
        <family val="1"/>
      </rPr>
      <t>%</t>
    </r>
  </si>
  <si>
    <t>PPI Design Manual Chapter 6, Table 3-11</t>
  </si>
  <si>
    <t>Minimum Cover for Snap-Tite Pipe, ft.</t>
  </si>
  <si>
    <t>Maximum Cover for Snap-Tite Pipe, ft.</t>
  </si>
  <si>
    <r>
      <t xml:space="preserve">Flexibility Factor (Handling and Installation)
</t>
    </r>
    <r>
      <rPr>
        <sz val="8"/>
        <rFont val="Calibri"/>
        <family val="2"/>
        <scheme val="minor"/>
      </rPr>
      <t>(AASHTO LRFD 12.5.6.3, 12.12.3.6)</t>
    </r>
  </si>
  <si>
    <t>FF Limit</t>
  </si>
  <si>
    <r>
      <t>FF</t>
    </r>
    <r>
      <rPr>
        <vertAlign val="subscript"/>
        <sz val="9"/>
        <color theme="1"/>
        <rFont val="Georgia"/>
        <family val="1"/>
      </rPr>
      <t>max</t>
    </r>
  </si>
  <si>
    <t>in/kip</t>
  </si>
  <si>
    <t>AASHTO LRFD 12.5.6.3</t>
  </si>
  <si>
    <t>FF</t>
  </si>
  <si>
    <t>Flexibility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</si>
</sst>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General_)"/>
    <numFmt numFmtId="167" formatCode="0.000"/>
    <numFmt numFmtId="168" formatCode="0&quot;*&quot;"/>
    <numFmt numFmtId="169" formatCode="0.0%"/>
  </numFmts>
  <fonts count="23" x14ac:knownFonts="1">
    <font>
      <sz val="9"/>
      <color theme="1"/>
      <name val="Times New Roman"/>
      <family val="1"/>
    </font>
    <font>
      <b/>
      <sz val="11"/>
      <color theme="0"/>
      <name val="Calibri"/>
      <family val="2"/>
      <scheme val="minor"/>
    </font>
    <font>
      <vertAlign val="subscript"/>
      <sz val="11"/>
      <color theme="1"/>
      <name val="Calibri"/>
      <family val="2"/>
      <scheme val="minor"/>
    </font>
    <font>
      <b/>
      <vertAlign val="subscript"/>
      <sz val="11"/>
      <color theme="0"/>
      <name val="Calibri"/>
      <family val="2"/>
      <scheme val="minor"/>
    </font>
    <font>
      <b/>
      <vertAlign val="superscript"/>
      <sz val="11"/>
      <color theme="0"/>
      <name val="Calibri"/>
      <family val="2"/>
      <scheme val="minor"/>
    </font>
    <font>
      <sz val="11"/>
      <color theme="1"/>
      <name val="Calibri"/>
      <family val="2"/>
      <scheme val="minor"/>
    </font>
    <font>
      <vertAlign val="subscript"/>
      <sz val="9"/>
      <color theme="1"/>
      <name val="Georgia"/>
      <family val="1"/>
    </font>
    <font>
      <vertAlign val="superscript"/>
      <sz val="9"/>
      <color theme="1"/>
      <name val="Georgia"/>
      <family val="1"/>
    </font>
    <font>
      <sz val="9"/>
      <color theme="1"/>
      <name val="Times New Roman"/>
      <family val="1"/>
    </font>
    <font>
      <vertAlign val="superscript"/>
      <sz val="9"/>
      <color theme="1"/>
      <name val="Times New Roman"/>
      <family val="1"/>
    </font>
    <font>
      <sz val="9"/>
      <name val="Georgia"/>
      <family val="1"/>
    </font>
    <font>
      <sz val="9"/>
      <color rgb="FFFF0000"/>
      <name val="Times New Roman"/>
      <family val="1"/>
    </font>
    <font>
      <sz val="10"/>
      <color theme="0"/>
      <name val="Times New Roman"/>
      <family val="1"/>
    </font>
    <font>
      <sz val="18"/>
      <name val="Georgia"/>
      <family val="1"/>
    </font>
    <font>
      <b/>
      <sz val="15"/>
      <name val="Georgia"/>
      <family val="1"/>
    </font>
    <font>
      <sz val="8"/>
      <name val="Calibri"/>
      <family val="2"/>
      <scheme val="minor"/>
    </font>
    <font>
      <sz val="10"/>
      <name val="Arial"/>
      <family val="2"/>
    </font>
    <font>
      <sz val="14"/>
      <name val="Arial"/>
      <family val="2"/>
    </font>
    <font>
      <vertAlign val="subscript"/>
      <sz val="9"/>
      <color theme="1"/>
      <name val="Times New Roman"/>
      <family val="1"/>
    </font>
    <font>
      <sz val="8"/>
      <color rgb="FFFF0000"/>
      <name val="Georgia"/>
      <family val="1"/>
    </font>
    <font>
      <sz val="8"/>
      <color theme="1"/>
      <name val="Times New Roman"/>
      <family val="1"/>
    </font>
    <font>
      <vertAlign val="subscript"/>
      <sz val="8"/>
      <color theme="1"/>
      <name val="Times New Roman"/>
      <family val="1"/>
    </font>
    <font>
      <sz val="9"/>
      <color theme="1"/>
      <name val="Georgia"/>
      <family val="1"/>
    </font>
  </fonts>
  <fills count="2">
    <fill>
      <patternFill patternType="none"/>
    </fill>
    <fill>
      <patternFill patternType="gray125"/>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thick">
        <color auto="1"/>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s>
  <cellStyleXfs count="9">
    <xf numFmtId="0" fontId="0" fillId="0" borderId="0"/>
    <xf numFmtId="9" fontId="5" fillId="0" borderId="0" applyFont="0" applyFill="0" applyBorder="0" applyAlignment="0" applyProtection="0"/>
    <xf numFmtId="0" fontId="14" fillId="0" borderId="26" applyNumberFormat="0" applyFill="0" applyAlignment="0" applyProtection="0"/>
    <xf numFmtId="166" fontId="10" fillId="0" borderId="0"/>
    <xf numFmtId="0" fontId="13" fillId="0" borderId="0" applyNumberFormat="0" applyFill="0" applyBorder="0" applyAlignment="0" applyProtection="0"/>
    <xf numFmtId="0" fontId="16" fillId="0" borderId="0"/>
    <xf numFmtId="0" fontId="16" fillId="0" borderId="0"/>
    <xf numFmtId="0" fontId="16" fillId="0" borderId="0"/>
    <xf numFmtId="0" fontId="16" fillId="0" borderId="0"/>
  </cellStyleXfs>
  <cellXfs count="101">
    <xf numFmtId="0" fontId="0" fillId="0" borderId="0" xfId="0"/>
    <xf numFmtId="0" fontId="0" fillId="0" borderId="0" xfId="0" applyAlignment="1">
      <alignment wrapText="1"/>
    </xf>
    <xf numFmtId="0" fontId="0" fillId="0" borderId="1" xfId="0" applyBorder="1"/>
    <xf numFmtId="9" fontId="0" fillId="0" borderId="1" xfId="0" applyNumberFormat="1" applyBorder="1"/>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5" xfId="0" applyBorder="1"/>
    <xf numFmtId="9" fontId="0" fillId="0" borderId="6" xfId="0" applyNumberForma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3" xfId="0" applyBorder="1"/>
    <xf numFmtId="0" fontId="0" fillId="0" borderId="4" xfId="0" applyBorder="1"/>
    <xf numFmtId="0" fontId="0" fillId="0" borderId="11" xfId="0" applyBorder="1"/>
    <xf numFmtId="0" fontId="0" fillId="0" borderId="12" xfId="0"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3" xfId="0" applyBorder="1"/>
    <xf numFmtId="10" fontId="0" fillId="0" borderId="6" xfId="0" applyNumberFormat="1" applyBorder="1"/>
    <xf numFmtId="10" fontId="0" fillId="0" borderId="9" xfId="0" applyNumberFormat="1" applyBorder="1"/>
    <xf numFmtId="2" fontId="0" fillId="0" borderId="0" xfId="0" applyNumberFormat="1"/>
    <xf numFmtId="164" fontId="0" fillId="0" borderId="0" xfId="0" applyNumberFormat="1"/>
    <xf numFmtId="0" fontId="8" fillId="0" borderId="0" xfId="0" applyFont="1"/>
    <xf numFmtId="165" fontId="0" fillId="0" borderId="0" xfId="0" applyNumberFormat="1"/>
    <xf numFmtId="0" fontId="14" fillId="0" borderId="26" xfId="2"/>
    <xf numFmtId="164" fontId="0" fillId="0" borderId="0" xfId="0" applyNumberFormat="1" applyAlignment="1">
      <alignment horizontal="right"/>
    </xf>
    <xf numFmtId="9" fontId="0" fillId="0" borderId="0" xfId="1" applyFont="1" applyAlignment="1">
      <alignment horizontal="right"/>
    </xf>
    <xf numFmtId="166" fontId="10" fillId="0" borderId="0" xfId="3"/>
    <xf numFmtId="166" fontId="10" fillId="0" borderId="20" xfId="3" applyBorder="1"/>
    <xf numFmtId="166" fontId="10" fillId="0" borderId="18" xfId="3" applyBorder="1"/>
    <xf numFmtId="166" fontId="10" fillId="0" borderId="19" xfId="3" applyBorder="1"/>
    <xf numFmtId="1" fontId="0" fillId="0" borderId="0" xfId="0" applyNumberFormat="1"/>
    <xf numFmtId="0" fontId="0" fillId="0" borderId="0" xfId="0" applyAlignment="1">
      <alignment horizontal="right"/>
    </xf>
    <xf numFmtId="0" fontId="11" fillId="0" borderId="0" xfId="0" applyFont="1"/>
    <xf numFmtId="1" fontId="0" fillId="0" borderId="0" xfId="0" applyNumberFormat="1" applyAlignment="1">
      <alignment horizontal="right"/>
    </xf>
    <xf numFmtId="166" fontId="10" fillId="0" borderId="21" xfId="3" applyBorder="1"/>
    <xf numFmtId="166" fontId="10" fillId="0" borderId="17" xfId="3" applyBorder="1"/>
    <xf numFmtId="0" fontId="8" fillId="0" borderId="0" xfId="0" applyFont="1" applyAlignment="1">
      <alignment wrapText="1"/>
    </xf>
    <xf numFmtId="0" fontId="0" fillId="0" borderId="22" xfId="0" applyBorder="1" applyAlignment="1">
      <alignment wrapText="1"/>
    </xf>
    <xf numFmtId="0" fontId="0" fillId="0" borderId="23" xfId="0" applyBorder="1"/>
    <xf numFmtId="0" fontId="0" fillId="0" borderId="24" xfId="0" applyBorder="1"/>
    <xf numFmtId="0" fontId="0" fillId="0" borderId="25" xfId="0" applyBorder="1"/>
    <xf numFmtId="9" fontId="0" fillId="0" borderId="0" xfId="1" applyFont="1"/>
    <xf numFmtId="0" fontId="0" fillId="0" borderId="12" xfId="0" quotePrefix="1" applyBorder="1"/>
    <xf numFmtId="0" fontId="0" fillId="0" borderId="13" xfId="0" quotePrefix="1" applyBorder="1"/>
    <xf numFmtId="10" fontId="0" fillId="0" borderId="0" xfId="1" applyNumberFormat="1" applyFont="1"/>
    <xf numFmtId="0" fontId="12" fillId="0" borderId="0" xfId="0" applyFont="1" applyProtection="1">
      <protection locked="0"/>
    </xf>
    <xf numFmtId="0" fontId="0" fillId="0" borderId="0" xfId="0" quotePrefix="1" applyAlignment="1">
      <alignment wrapText="1"/>
    </xf>
    <xf numFmtId="167" fontId="0" fillId="0" borderId="0" xfId="0" applyNumberFormat="1"/>
    <xf numFmtId="0" fontId="0" fillId="0" borderId="0" xfId="0" applyAlignment="1">
      <alignment vertical="top"/>
    </xf>
    <xf numFmtId="0" fontId="0" fillId="0" borderId="0" xfId="0" quotePrefix="1"/>
    <xf numFmtId="0" fontId="0" fillId="0" borderId="0" xfId="0" applyAlignment="1">
      <alignment vertical="top" wrapText="1"/>
    </xf>
    <xf numFmtId="0" fontId="0" fillId="0" borderId="27" xfId="0" applyBorder="1"/>
    <xf numFmtId="0" fontId="0" fillId="0" borderId="28" xfId="0" applyBorder="1"/>
    <xf numFmtId="0" fontId="0" fillId="0" borderId="29" xfId="0" applyBorder="1"/>
    <xf numFmtId="168" fontId="0" fillId="0" borderId="2" xfId="0" applyNumberFormat="1" applyBorder="1"/>
    <xf numFmtId="0" fontId="16" fillId="0" borderId="24" xfId="5" applyBorder="1"/>
    <xf numFmtId="166" fontId="19" fillId="0" borderId="0" xfId="3" applyFont="1"/>
    <xf numFmtId="0" fontId="14" fillId="0" borderId="26" xfId="2" applyAlignment="1">
      <alignment wrapText="1"/>
    </xf>
    <xf numFmtId="0" fontId="0" fillId="0" borderId="0" xfId="1" applyNumberFormat="1" applyFont="1"/>
    <xf numFmtId="0" fontId="0" fillId="0" borderId="0" xfId="0" applyAlignment="1">
      <alignment horizontal="center"/>
    </xf>
    <xf numFmtId="2" fontId="0" fillId="0" borderId="0" xfId="1" applyNumberFormat="1" applyFont="1"/>
    <xf numFmtId="0" fontId="17" fillId="0" borderId="0" xfId="5" applyFont="1" applyAlignment="1">
      <alignment horizontal="center" wrapText="1"/>
    </xf>
    <xf numFmtId="167" fontId="0" fillId="0" borderId="1" xfId="0" applyNumberFormat="1" applyBorder="1"/>
    <xf numFmtId="0" fontId="16" fillId="0" borderId="0" xfId="5" applyAlignment="1">
      <alignment horizontal="center" vertical="center" wrapText="1"/>
    </xf>
    <xf numFmtId="0" fontId="16" fillId="0" borderId="0" xfId="5"/>
    <xf numFmtId="0" fontId="16" fillId="0" borderId="1" xfId="5" applyBorder="1" applyAlignment="1">
      <alignment vertical="center" wrapText="1"/>
    </xf>
    <xf numFmtId="9" fontId="0" fillId="0" borderId="0" xfId="0" applyNumberFormat="1"/>
    <xf numFmtId="9" fontId="0" fillId="0" borderId="1" xfId="0" quotePrefix="1" applyNumberFormat="1" applyBorder="1"/>
    <xf numFmtId="0" fontId="20" fillId="0" borderId="0" xfId="0" applyFont="1"/>
    <xf numFmtId="0" fontId="0" fillId="0" borderId="32" xfId="0" applyBorder="1"/>
    <xf numFmtId="167" fontId="0" fillId="0" borderId="4" xfId="0" applyNumberFormat="1" applyBorder="1"/>
    <xf numFmtId="0" fontId="0" fillId="0" borderId="28" xfId="0" applyBorder="1" applyAlignment="1">
      <alignment wrapText="1"/>
    </xf>
    <xf numFmtId="0" fontId="0" fillId="0" borderId="29" xfId="0" applyBorder="1" applyAlignment="1">
      <alignment wrapText="1"/>
    </xf>
    <xf numFmtId="169" fontId="16" fillId="0" borderId="24" xfId="1" applyNumberFormat="1" applyFont="1" applyBorder="1" applyAlignment="1"/>
    <xf numFmtId="169" fontId="0" fillId="0" borderId="0" xfId="1" applyNumberFormat="1" applyFont="1"/>
    <xf numFmtId="164" fontId="0" fillId="0" borderId="1" xfId="0" applyNumberFormat="1" applyBorder="1"/>
    <xf numFmtId="165" fontId="0" fillId="0" borderId="6" xfId="0" applyNumberFormat="1" applyBorder="1"/>
    <xf numFmtId="9" fontId="8" fillId="0" borderId="0" xfId="0" applyNumberFormat="1" applyFont="1"/>
    <xf numFmtId="0" fontId="20" fillId="0" borderId="0" xfId="0" applyFont="1" applyAlignment="1">
      <alignment horizontal="left" wrapText="1"/>
    </xf>
    <xf numFmtId="0" fontId="0" fillId="0" borderId="14" xfId="0" applyBorder="1" applyAlignment="1">
      <alignment horizontal="center" wrapText="1"/>
    </xf>
    <xf numFmtId="0" fontId="0" fillId="0" borderId="36" xfId="0" applyBorder="1" applyAlignment="1">
      <alignment horizontal="center" wrapText="1"/>
    </xf>
    <xf numFmtId="0" fontId="0" fillId="0" borderId="27" xfId="0" applyBorder="1" applyAlignment="1">
      <alignment horizontal="center" wrapText="1"/>
    </xf>
    <xf numFmtId="0" fontId="0" fillId="0" borderId="23" xfId="0" applyBorder="1" applyAlignment="1">
      <alignment horizontal="center" wrapText="1"/>
    </xf>
    <xf numFmtId="0" fontId="0" fillId="0" borderId="33" xfId="0" applyBorder="1" applyAlignment="1">
      <alignment horizontal="center" wrapText="1"/>
    </xf>
    <xf numFmtId="0" fontId="0" fillId="0" borderId="34" xfId="0" applyBorder="1" applyAlignment="1">
      <alignment horizontal="center" wrapText="1"/>
    </xf>
    <xf numFmtId="0" fontId="0" fillId="0" borderId="35" xfId="0" applyBorder="1" applyAlignment="1">
      <alignment horizontal="center" wrapText="1"/>
    </xf>
    <xf numFmtId="0" fontId="17" fillId="0" borderId="0" xfId="5" applyFont="1" applyAlignment="1">
      <alignment horizontal="center" wrapText="1"/>
    </xf>
    <xf numFmtId="0" fontId="17" fillId="0" borderId="30" xfId="5" applyFont="1" applyBorder="1" applyAlignment="1">
      <alignment horizontal="center" wrapText="1"/>
    </xf>
    <xf numFmtId="0" fontId="0" fillId="0" borderId="1" xfId="0" applyBorder="1" applyAlignment="1">
      <alignment horizontal="center" wrapText="1"/>
    </xf>
    <xf numFmtId="0" fontId="16" fillId="0" borderId="12" xfId="5" applyBorder="1" applyAlignment="1">
      <alignment horizontal="center" vertical="center" wrapText="1"/>
    </xf>
    <xf numFmtId="0" fontId="16" fillId="0" borderId="28" xfId="5" applyBorder="1" applyAlignment="1">
      <alignment horizontal="center" vertical="center" wrapText="1"/>
    </xf>
    <xf numFmtId="0" fontId="16" fillId="0" borderId="1" xfId="5" applyBorder="1" applyAlignment="1">
      <alignment horizontal="center" vertical="center" wrapText="1"/>
    </xf>
    <xf numFmtId="0" fontId="16" fillId="0" borderId="31" xfId="5" applyBorder="1" applyAlignment="1">
      <alignment horizontal="center" vertical="center" wrapText="1"/>
    </xf>
    <xf numFmtId="0" fontId="16" fillId="0" borderId="32" xfId="5" applyBorder="1" applyAlignment="1">
      <alignment horizontal="center" vertical="center" wrapText="1"/>
    </xf>
    <xf numFmtId="0" fontId="0" fillId="0" borderId="0" xfId="0" applyAlignment="1">
      <alignment horizontal="left" wrapText="1"/>
    </xf>
    <xf numFmtId="0" fontId="0" fillId="0" borderId="10" xfId="0" applyBorder="1" applyAlignment="1">
      <alignment horizontal="left" wrapText="1"/>
    </xf>
  </cellXfs>
  <cellStyles count="9">
    <cellStyle name="Heading 1" xfId="2" builtinId="16" customBuiltin="1"/>
    <cellStyle name="Normal" xfId="0" builtinId="0" customBuiltin="1"/>
    <cellStyle name="Normal 2" xfId="6" xr:uid="{00000000-0005-0000-0000-000002000000}"/>
    <cellStyle name="Normal 3" xfId="7" xr:uid="{00000000-0005-0000-0000-000003000000}"/>
    <cellStyle name="Normal 4" xfId="8" xr:uid="{00000000-0005-0000-0000-000004000000}"/>
    <cellStyle name="Normal 5" xfId="5" xr:uid="{00000000-0005-0000-0000-000005000000}"/>
    <cellStyle name="Normal_REACTIONCALC" xfId="3" xr:uid="{00000000-0005-0000-0000-000006000000}"/>
    <cellStyle name="Percent" xfId="1" builtinId="5"/>
    <cellStyle name="Title" xfId="4" builtinId="1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tructural_check">
    <pageSetUpPr fitToPage="1"/>
  </sheetPr>
  <dimension ref="A1:W194"/>
  <sheetViews>
    <sheetView tabSelected="1" workbookViewId="0"/>
  </sheetViews>
  <sheetFormatPr defaultRowHeight="12" x14ac:dyDescent="0.2"/>
  <cols>
    <col min="1" max="1" width="50" customWidth="1"/>
    <col min="2" max="2" width="18.5" customWidth="1"/>
    <col min="3" max="3" width="14.83203125" bestFit="1" customWidth="1"/>
    <col min="4" max="4" width="10.83203125" customWidth="1"/>
    <col min="5" max="5" width="39.33203125" style="26" customWidth="1"/>
    <col min="6" max="6" width="3.33203125" customWidth="1"/>
    <col min="7" max="7" width="16.6640625" customWidth="1"/>
    <col min="8" max="8" width="14.1640625" bestFit="1" customWidth="1"/>
    <col min="9" max="10" width="9.5" bestFit="1" customWidth="1"/>
    <col min="11" max="11" width="5.33203125" bestFit="1" customWidth="1"/>
    <col min="12" max="12" width="5.83203125" bestFit="1" customWidth="1"/>
    <col min="13" max="17" width="2.33203125" bestFit="1" customWidth="1"/>
    <col min="18" max="18" width="5.33203125" bestFit="1" customWidth="1"/>
    <col min="19" max="19" width="2.1640625" bestFit="1" customWidth="1"/>
    <col min="20" max="20" width="26.33203125" bestFit="1" customWidth="1"/>
    <col min="21" max="21" width="22.5" bestFit="1" customWidth="1"/>
    <col min="22" max="22" width="11.1640625" bestFit="1" customWidth="1"/>
    <col min="23" max="23" width="6.33203125" bestFit="1" customWidth="1"/>
    <col min="24" max="25" width="2.1640625" bestFit="1" customWidth="1"/>
  </cols>
  <sheetData>
    <row r="1" spans="1:22" ht="20.25" thickBot="1" x14ac:dyDescent="0.35">
      <c r="A1" s="28" t="s">
        <v>242</v>
      </c>
      <c r="E1" s="82">
        <v>0.95</v>
      </c>
      <c r="G1" s="39" t="s">
        <v>107</v>
      </c>
      <c r="H1" s="40"/>
    </row>
    <row r="2" spans="1:22" ht="13.5" customHeight="1" thickTop="1" x14ac:dyDescent="0.2">
      <c r="A2" t="s">
        <v>151</v>
      </c>
      <c r="B2" t="s">
        <v>55</v>
      </c>
      <c r="C2">
        <f>IF(OD_nom=8,17,32.5)</f>
        <v>32.5</v>
      </c>
      <c r="E2" s="37" t="str">
        <f>IFERROR(IF(COUNTIF(Checks,"*OK*")=ROWS(Checks),"All Checks OK","No Good: "&amp;INDEX(CheckNames,MATCH("NO GOOD",Checks,0))&amp;" check fails"),"CHECK ERROR")</f>
        <v>No Good: Flexibility Factor check fails</v>
      </c>
      <c r="G2" s="32" t="s">
        <v>108</v>
      </c>
      <c r="H2" s="32" t="s">
        <v>109</v>
      </c>
      <c r="I2" s="31"/>
      <c r="T2" t="s">
        <v>278</v>
      </c>
    </row>
    <row r="3" spans="1:22" ht="13.5" customHeight="1" x14ac:dyDescent="0.35">
      <c r="A3" t="s">
        <v>376</v>
      </c>
      <c r="B3" t="s">
        <v>375</v>
      </c>
      <c r="C3" s="24">
        <v>10.75</v>
      </c>
      <c r="D3" t="s">
        <v>75</v>
      </c>
      <c r="G3" s="33" t="s">
        <v>110</v>
      </c>
      <c r="H3" s="33">
        <v>32</v>
      </c>
      <c r="I3" s="31"/>
      <c r="T3" t="s">
        <v>245</v>
      </c>
      <c r="U3" s="37" t="str">
        <f>DeflectionCheck</f>
        <v>Δ_A&gt;Δ_t, OK</v>
      </c>
      <c r="V3" t="str">
        <f>TRIM(RIGHT(U3,LEN(U3)-FIND(", ",U3)))</f>
        <v>OK</v>
      </c>
    </row>
    <row r="4" spans="1:22" ht="13.5" customHeight="1" x14ac:dyDescent="0.2">
      <c r="A4" t="s">
        <v>153</v>
      </c>
      <c r="B4" t="s">
        <v>56</v>
      </c>
      <c r="C4" s="24">
        <f>INDEX(SnapTiteTables!$A$6:$F$23,MATCH(OD_nom,SnapTiteTables!$A$6:$A$23,0),2)</f>
        <v>10.1</v>
      </c>
      <c r="D4" t="s">
        <v>75</v>
      </c>
      <c r="E4" t="s">
        <v>257</v>
      </c>
      <c r="G4" s="33" t="s">
        <v>111</v>
      </c>
      <c r="H4" s="33">
        <v>40</v>
      </c>
      <c r="I4" s="31"/>
      <c r="T4" t="s">
        <v>367</v>
      </c>
      <c r="U4" s="37" t="str">
        <f>$B$140</f>
        <v>ϕε_yc&gt;ε_uc, OK</v>
      </c>
      <c r="V4" t="str">
        <f t="shared" ref="V4:V5" si="0">TRIM(RIGHT(U4,LEN(U4)-FIND(", ",U4)))</f>
        <v>OK</v>
      </c>
    </row>
    <row r="5" spans="1:22" ht="13.5" customHeight="1" x14ac:dyDescent="0.2">
      <c r="A5" t="s">
        <v>218</v>
      </c>
      <c r="B5" t="s">
        <v>61</v>
      </c>
      <c r="C5" s="52">
        <f>INDEX(SnapTiteTables!$A$6:$F$23,MATCH(OD_nom,SnapTiteTables!$A$6:$A$23,0),4)</f>
        <v>0.33100000000000002</v>
      </c>
      <c r="D5" t="s">
        <v>89</v>
      </c>
      <c r="E5" t="s">
        <v>257</v>
      </c>
      <c r="G5" s="33" t="s">
        <v>285</v>
      </c>
      <c r="H5" s="33">
        <v>32</v>
      </c>
      <c r="I5" s="31"/>
      <c r="T5" t="s">
        <v>368</v>
      </c>
      <c r="U5" s="37" t="str">
        <f>$B$151</f>
        <v>ϕε_buckling&gt;ε_uc, OK</v>
      </c>
      <c r="V5" t="str">
        <f t="shared" si="0"/>
        <v>OK</v>
      </c>
    </row>
    <row r="6" spans="1:22" ht="13.5" customHeight="1" x14ac:dyDescent="0.2">
      <c r="A6" t="s">
        <v>372</v>
      </c>
      <c r="B6" t="s">
        <v>59</v>
      </c>
      <c r="C6" s="52">
        <f>INDEX(SnapTiteTables!$A$6:$F$23,MATCH(OD_nom,SnapTiteTables!$A$6:$A$23,0),5)</f>
        <v>0.16600000000000001</v>
      </c>
      <c r="D6" t="s">
        <v>75</v>
      </c>
      <c r="E6" t="s">
        <v>257</v>
      </c>
      <c r="G6" s="33" t="s">
        <v>286</v>
      </c>
      <c r="H6" s="33">
        <v>32</v>
      </c>
      <c r="I6" s="31"/>
      <c r="T6" t="s">
        <v>281</v>
      </c>
      <c r="U6" s="37" t="str">
        <f>CombinedCompressionStrainCheck</f>
        <v>ϕ1.5ε_yc&gt;ε_fu+ε_uc, OK</v>
      </c>
      <c r="V6" t="str">
        <f t="shared" ref="V6:V10" si="1">TRIM(RIGHT(U6,LEN(U6)-FIND(", ",U6)))</f>
        <v>OK</v>
      </c>
    </row>
    <row r="7" spans="1:22" ht="13.5" customHeight="1" x14ac:dyDescent="0.2">
      <c r="A7" t="s">
        <v>229</v>
      </c>
      <c r="B7" t="s">
        <v>35</v>
      </c>
      <c r="C7" s="52">
        <f>INDEX(SnapTiteTables!$A$6:$F$23,MATCH(OD_nom,SnapTiteTables!$A$6:$A$23,0),6)</f>
        <v>3.0000000000000001E-3</v>
      </c>
      <c r="D7" t="s">
        <v>230</v>
      </c>
      <c r="E7" t="s">
        <v>257</v>
      </c>
      <c r="G7" s="33" t="s">
        <v>287</v>
      </c>
      <c r="H7" s="33">
        <v>50</v>
      </c>
      <c r="I7" s="31"/>
      <c r="T7" t="s">
        <v>280</v>
      </c>
      <c r="U7" s="37" t="str">
        <f>CombinedTensionStrainCheck</f>
        <v>ϕε_yt&gt;ε_t-ε_u, OK</v>
      </c>
      <c r="V7" t="str">
        <f t="shared" si="1"/>
        <v>OK</v>
      </c>
    </row>
    <row r="8" spans="1:22" ht="13.5" customHeight="1" x14ac:dyDescent="0.2">
      <c r="A8" t="s">
        <v>71</v>
      </c>
      <c r="B8" t="s">
        <v>72</v>
      </c>
      <c r="C8">
        <f>INDEX(SnapTiteTables!$A$6:$F$23,MATCH(OD_nom,SnapTiteTables!$A$6:$A$23,0),3)</f>
        <v>16</v>
      </c>
      <c r="D8" t="s">
        <v>246</v>
      </c>
      <c r="E8" t="s">
        <v>257</v>
      </c>
      <c r="G8" s="33" t="s">
        <v>252</v>
      </c>
      <c r="H8" s="33">
        <f>1.25*H5</f>
        <v>40</v>
      </c>
      <c r="I8" s="31"/>
      <c r="T8" t="s">
        <v>282</v>
      </c>
      <c r="U8" s="37" t="str">
        <f>MaxCoverCheck</f>
        <v>H_max≥H, OK</v>
      </c>
      <c r="V8" t="str">
        <f t="shared" si="1"/>
        <v>OK</v>
      </c>
    </row>
    <row r="9" spans="1:22" ht="13.5" customHeight="1" x14ac:dyDescent="0.2">
      <c r="A9" t="s">
        <v>152</v>
      </c>
      <c r="B9" t="s">
        <v>54</v>
      </c>
      <c r="C9" s="24">
        <f>ID+4*c_</f>
        <v>10.763999999999999</v>
      </c>
      <c r="E9" s="26" t="str">
        <f ca="1">IFERROR(_xlfn.FORMULATEXT(C9),"")</f>
        <v>=ID+4*c_</v>
      </c>
      <c r="G9" s="33" t="s">
        <v>262</v>
      </c>
      <c r="H9" s="33">
        <f>1.25*H6</f>
        <v>40</v>
      </c>
      <c r="I9" s="31"/>
      <c r="T9" t="s">
        <v>283</v>
      </c>
      <c r="U9" s="37" t="str">
        <f>MinCoverCheck</f>
        <v>H_min≤H, OK</v>
      </c>
      <c r="V9" t="str">
        <f t="shared" si="1"/>
        <v>OK</v>
      </c>
    </row>
    <row r="10" spans="1:22" ht="13.5" customHeight="1" x14ac:dyDescent="0.35">
      <c r="A10" t="s">
        <v>374</v>
      </c>
      <c r="B10" t="s">
        <v>373</v>
      </c>
      <c r="C10" s="25">
        <f>ID/2+c_</f>
        <v>5.2160000000000002</v>
      </c>
      <c r="D10" t="s">
        <v>75</v>
      </c>
      <c r="E10" s="26" t="str">
        <f ca="1">IFERROR(_xlfn.FORMULATEXT(C10),"")</f>
        <v>=ID/2+c_</v>
      </c>
      <c r="G10" s="33" t="s">
        <v>263</v>
      </c>
      <c r="H10" s="33">
        <f>1.25*H7</f>
        <v>62.5</v>
      </c>
      <c r="I10" s="31"/>
      <c r="T10" t="s">
        <v>420</v>
      </c>
      <c r="U10" s="37" t="str">
        <f>FlexibilityCheck</f>
        <v>FF&gt;FF_max, NO GOOD</v>
      </c>
      <c r="V10" t="str">
        <f t="shared" si="1"/>
        <v>NO GOOD</v>
      </c>
    </row>
    <row r="11" spans="1:22" ht="13.5" customHeight="1" x14ac:dyDescent="0.35">
      <c r="A11" t="s">
        <v>60</v>
      </c>
      <c r="B11" t="s">
        <v>62</v>
      </c>
      <c r="C11">
        <f>SnapTiteTables!I6</f>
        <v>22000</v>
      </c>
      <c r="D11" t="s">
        <v>80</v>
      </c>
      <c r="E11" t="s">
        <v>256</v>
      </c>
      <c r="G11" s="33" t="s">
        <v>112</v>
      </c>
      <c r="H11" s="33">
        <v>160</v>
      </c>
      <c r="I11" s="31"/>
      <c r="T11" t="s">
        <v>284</v>
      </c>
      <c r="U11" s="37" t="str">
        <f>ThrustCheck</f>
        <v>T_cr&gt;T_U, OK</v>
      </c>
      <c r="V11" t="str">
        <f>TRIM(RIGHT(U11,LEN(U11)-FIND(", ",U11)))</f>
        <v>OK</v>
      </c>
    </row>
    <row r="12" spans="1:22" ht="13.5" customHeight="1" x14ac:dyDescent="0.35">
      <c r="B12" t="s">
        <v>63</v>
      </c>
      <c r="C12">
        <f>SnapTiteTables!I7</f>
        <v>110000</v>
      </c>
      <c r="D12" t="s">
        <v>80</v>
      </c>
      <c r="E12" t="s">
        <v>256</v>
      </c>
      <c r="G12" s="33" t="s">
        <v>106</v>
      </c>
      <c r="H12" s="33">
        <v>0</v>
      </c>
      <c r="T12" t="s">
        <v>279</v>
      </c>
      <c r="U12" s="37" t="str">
        <f>BucklingCheck</f>
        <v>T_buckling&gt;T_U, OK</v>
      </c>
      <c r="V12" t="str">
        <f>TRIM(RIGHT(U12,LEN(U12)-FIND(", ",U12)))</f>
        <v>OK</v>
      </c>
    </row>
    <row r="13" spans="1:22" ht="13.5" customHeight="1" thickBot="1" x14ac:dyDescent="0.3">
      <c r="A13" t="s">
        <v>212</v>
      </c>
      <c r="B13" t="s">
        <v>210</v>
      </c>
      <c r="C13">
        <f>SnapTiteTables!$J$6</f>
        <v>1440</v>
      </c>
      <c r="D13" t="s">
        <v>80</v>
      </c>
      <c r="E13" t="s">
        <v>256</v>
      </c>
      <c r="G13" s="34" t="s">
        <v>261</v>
      </c>
      <c r="H13" s="34"/>
      <c r="I13" s="31" t="s">
        <v>113</v>
      </c>
    </row>
    <row r="14" spans="1:22" ht="13.5" customHeight="1" x14ac:dyDescent="0.25">
      <c r="B14" t="s">
        <v>211</v>
      </c>
      <c r="C14">
        <f>SnapTiteTables!J7</f>
        <v>3000</v>
      </c>
      <c r="D14" t="s">
        <v>80</v>
      </c>
      <c r="E14" t="s">
        <v>256</v>
      </c>
      <c r="G14" s="61" t="s">
        <v>114</v>
      </c>
      <c r="H14" s="61" t="s">
        <v>115</v>
      </c>
    </row>
    <row r="15" spans="1:22" x14ac:dyDescent="0.2">
      <c r="C15" s="25"/>
    </row>
    <row r="16" spans="1:22" ht="20.25" thickBot="1" x14ac:dyDescent="0.35">
      <c r="A16" s="28" t="s">
        <v>243</v>
      </c>
    </row>
    <row r="17" spans="1:7" ht="13.5" customHeight="1" thickTop="1" x14ac:dyDescent="0.2">
      <c r="A17" t="s">
        <v>122</v>
      </c>
      <c r="B17" t="s">
        <v>57</v>
      </c>
      <c r="C17" s="24">
        <f>MaxCoverLookup</f>
        <v>27</v>
      </c>
      <c r="D17" t="s">
        <v>120</v>
      </c>
    </row>
    <row r="18" spans="1:7" ht="13.5" customHeight="1" x14ac:dyDescent="0.35">
      <c r="A18" t="s">
        <v>121</v>
      </c>
      <c r="B18" t="s">
        <v>65</v>
      </c>
      <c r="C18" s="25">
        <v>0</v>
      </c>
      <c r="D18" t="s">
        <v>120</v>
      </c>
      <c r="G18" t="s">
        <v>264</v>
      </c>
    </row>
    <row r="19" spans="1:7" ht="13.5" customHeight="1" x14ac:dyDescent="0.35">
      <c r="A19" t="s">
        <v>154</v>
      </c>
      <c r="B19" t="s">
        <v>64</v>
      </c>
      <c r="C19">
        <v>62.4</v>
      </c>
      <c r="D19" t="s">
        <v>79</v>
      </c>
      <c r="G19" s="36" t="str">
        <f>LL_type</f>
        <v>PHL-93</v>
      </c>
    </row>
    <row r="20" spans="1:7" ht="13.5" customHeight="1" x14ac:dyDescent="0.35">
      <c r="A20" t="s">
        <v>155</v>
      </c>
      <c r="B20" t="s">
        <v>53</v>
      </c>
      <c r="C20">
        <v>140</v>
      </c>
      <c r="D20" t="s">
        <v>79</v>
      </c>
    </row>
    <row r="21" spans="1:7" ht="13.5" customHeight="1" x14ac:dyDescent="0.35">
      <c r="A21" t="s">
        <v>224</v>
      </c>
      <c r="B21" t="s">
        <v>186</v>
      </c>
      <c r="C21">
        <f>γ_soil-γ_water</f>
        <v>77.599999999999994</v>
      </c>
      <c r="D21" t="s">
        <v>79</v>
      </c>
    </row>
    <row r="22" spans="1:7" ht="13.5" customHeight="1" x14ac:dyDescent="0.2">
      <c r="A22" t="s">
        <v>90</v>
      </c>
      <c r="B22" t="s">
        <v>91</v>
      </c>
      <c r="C22" s="29" t="s">
        <v>15</v>
      </c>
    </row>
    <row r="23" spans="1:7" ht="13.5" customHeight="1" x14ac:dyDescent="0.2">
      <c r="A23" t="s">
        <v>396</v>
      </c>
      <c r="B23" t="s">
        <v>92</v>
      </c>
      <c r="C23" s="30">
        <v>0.95</v>
      </c>
      <c r="D23" s="73" t="s">
        <v>398</v>
      </c>
      <c r="E23" s="37" t="str">
        <f>IFERROR(_xlfn.IFS(AND(SoilClassLookup&lt;&gt;"I",Proctor="Compacted"),"Warning: select a compaction level for Class "&amp;SoilClass&amp;" soil",AND(SoilClassLookup&lt;&gt;"I",Proctor="Uncompacted"),"Warning: Class "&amp;SoilClass&amp;" not allowed to be uncompacted",AND(SoilClassLookup="I",OR(Proctor="Uncompacted",Proctor="Compacted")),TEXT(_xlfn.IFS(ProctorType="Standard Proctor",StdProctor,ProctorType="Modified Proctor",ModProctor),"0%")&amp;" compaction assumed"),"")</f>
        <v/>
      </c>
    </row>
    <row r="24" spans="1:7" ht="13.5" customHeight="1" x14ac:dyDescent="0.2">
      <c r="A24" t="s">
        <v>249</v>
      </c>
      <c r="B24" s="1" t="s">
        <v>250</v>
      </c>
      <c r="C24" s="30" t="s">
        <v>44</v>
      </c>
    </row>
    <row r="25" spans="1:7" ht="13.5" customHeight="1" x14ac:dyDescent="0.35">
      <c r="A25" t="s">
        <v>241</v>
      </c>
      <c r="B25" t="s">
        <v>58</v>
      </c>
      <c r="C25" s="35">
        <f>AASHTOtables!$E$27</f>
        <v>1946.6322562499997</v>
      </c>
      <c r="D25" t="s">
        <v>80</v>
      </c>
      <c r="E25" t="s">
        <v>395</v>
      </c>
    </row>
    <row r="26" spans="1:7" x14ac:dyDescent="0.2">
      <c r="A26" t="s">
        <v>340</v>
      </c>
      <c r="B26" t="s">
        <v>339</v>
      </c>
      <c r="C26">
        <v>0.35</v>
      </c>
    </row>
    <row r="27" spans="1:7" x14ac:dyDescent="0.2">
      <c r="A27" s="83" t="str">
        <f>"* NOTE "&amp;_xlfn.IFS(ProctorType="Standard Proctor","Modified",ProctorType="Modified Proctor","Standard")&amp;" Proctor compaction level assumed to be "&amp;TEXT(_xlfn.IFS(ProctorType="Standard Proctor",ModProctor,ProctorType="Modified Proctor",StdProctor),"0%")&amp;IF(AND(ProctorType="Standard Proctor",SoilClassLookup="I",Proctor&lt;&gt;"Dumped")," for Class I and compacted backfill","")</f>
        <v>* NOTE Modified Proctor compaction level assumed to be 90%</v>
      </c>
      <c r="B27" s="83"/>
      <c r="C27" s="83"/>
      <c r="D27" s="83"/>
      <c r="E27" s="83"/>
    </row>
    <row r="28" spans="1:7" x14ac:dyDescent="0.2">
      <c r="C28" s="25"/>
    </row>
    <row r="29" spans="1:7" ht="20.25" thickBot="1" x14ac:dyDescent="0.35">
      <c r="A29" s="28" t="s">
        <v>244</v>
      </c>
    </row>
    <row r="30" spans="1:7" ht="14.25" thickTop="1" x14ac:dyDescent="0.25">
      <c r="A30" t="s">
        <v>105</v>
      </c>
      <c r="B30" t="s">
        <v>117</v>
      </c>
      <c r="C30" s="36" t="s">
        <v>252</v>
      </c>
      <c r="E30" s="37" t="str">
        <f>IF(Tandem,IF(P_patch&gt;IFERROR(P_patch_tandem,0),"Truck Axle Load Controls",IF(P_patch&lt;P_patch_tandem,"Tandem Axle Load Controls","")),"")</f>
        <v>Truck Axle Load Controls</v>
      </c>
    </row>
    <row r="31" spans="1:7" x14ac:dyDescent="0.2">
      <c r="A31" t="s">
        <v>276</v>
      </c>
      <c r="B31" t="s">
        <v>277</v>
      </c>
      <c r="C31">
        <v>1</v>
      </c>
      <c r="E31" s="37"/>
    </row>
    <row r="32" spans="1:7" x14ac:dyDescent="0.2">
      <c r="A32" t="s">
        <v>215</v>
      </c>
      <c r="B32" t="s">
        <v>216</v>
      </c>
      <c r="C32" s="29" t="str">
        <f>_xlfn.IFS(IFERROR(FIND("Short",C132),0),"Short",IFERROR(FIND("Long",C132),0),"Long")</f>
        <v>Long</v>
      </c>
    </row>
    <row r="33" spans="1:5" ht="13.5" hidden="1" x14ac:dyDescent="0.25">
      <c r="A33" t="s">
        <v>78</v>
      </c>
      <c r="B33" t="s">
        <v>225</v>
      </c>
      <c r="C33">
        <v>50</v>
      </c>
      <c r="D33" t="s">
        <v>79</v>
      </c>
      <c r="E33" s="26" t="str">
        <f ca="1">IFERROR(_xlfn.FORMULATEXT(C33),"")</f>
        <v/>
      </c>
    </row>
    <row r="34" spans="1:5" ht="13.5" hidden="1" x14ac:dyDescent="0.25">
      <c r="A34" t="s">
        <v>81</v>
      </c>
      <c r="B34" t="s">
        <v>226</v>
      </c>
      <c r="C34">
        <f>6733*ρ_gr-158747</f>
        <v>177903</v>
      </c>
      <c r="D34" t="s">
        <v>80</v>
      </c>
      <c r="E34" s="26" t="str">
        <f ca="1">IFERROR(_xlfn.FORMULATEXT(C34),"")</f>
        <v>=6733*ρ_gr-158747</v>
      </c>
    </row>
    <row r="35" spans="1:5" ht="13.5" hidden="1" x14ac:dyDescent="0.25">
      <c r="A35" t="s">
        <v>82</v>
      </c>
      <c r="B35" t="s">
        <v>227</v>
      </c>
      <c r="C35" s="25">
        <f>31.926*ρ_gr-900.98</f>
        <v>695.31999999999994</v>
      </c>
      <c r="D35" t="s">
        <v>80</v>
      </c>
      <c r="E35" s="26" t="str">
        <f ca="1">IFERROR(_xlfn.FORMULATEXT(C35),"")</f>
        <v>=31.926*ρ_gr-900.98</v>
      </c>
    </row>
    <row r="36" spans="1:5" ht="12" hidden="1" customHeight="1" x14ac:dyDescent="0.25">
      <c r="A36" t="s">
        <v>83</v>
      </c>
      <c r="B36" t="s">
        <v>228</v>
      </c>
      <c r="C36" s="27">
        <f>σ_gr/E_gr</f>
        <v>3.9084220052500521E-3</v>
      </c>
      <c r="D36" t="s">
        <v>84</v>
      </c>
      <c r="E36" s="26" t="str">
        <f ca="1">IFERROR(_xlfn.FORMULATEXT(C36),"")</f>
        <v>=σ_gr/E_gr</v>
      </c>
    </row>
    <row r="38" spans="1:5" ht="20.25" thickBot="1" x14ac:dyDescent="0.35">
      <c r="A38" s="28" t="s">
        <v>157</v>
      </c>
    </row>
    <row r="39" spans="1:5" ht="13.5" customHeight="1" thickTop="1" x14ac:dyDescent="0.35">
      <c r="A39" t="s">
        <v>156</v>
      </c>
      <c r="B39" t="s">
        <v>163</v>
      </c>
      <c r="C39" s="24">
        <v>1.3</v>
      </c>
      <c r="E39" s="26" t="s">
        <v>175</v>
      </c>
    </row>
    <row r="40" spans="1:5" ht="13.5" customHeight="1" x14ac:dyDescent="0.35">
      <c r="A40" t="s">
        <v>158</v>
      </c>
      <c r="B40" t="s">
        <v>164</v>
      </c>
      <c r="C40" s="24">
        <v>1.05</v>
      </c>
      <c r="E40" s="26" t="s">
        <v>176</v>
      </c>
    </row>
    <row r="41" spans="1:5" ht="13.5" customHeight="1" x14ac:dyDescent="0.35">
      <c r="A41" t="s">
        <v>161</v>
      </c>
      <c r="B41" t="s">
        <v>160</v>
      </c>
      <c r="C41" s="24">
        <v>1</v>
      </c>
      <c r="E41" s="26" t="s">
        <v>175</v>
      </c>
    </row>
    <row r="42" spans="1:5" ht="13.5" customHeight="1" x14ac:dyDescent="0.35">
      <c r="A42" t="s">
        <v>162</v>
      </c>
      <c r="B42" t="s">
        <v>159</v>
      </c>
      <c r="C42" s="24">
        <f>η_EV</f>
        <v>1.05</v>
      </c>
      <c r="E42" s="26" t="s">
        <v>176</v>
      </c>
    </row>
    <row r="43" spans="1:5" ht="13.5" customHeight="1" x14ac:dyDescent="0.35">
      <c r="A43" t="s">
        <v>165</v>
      </c>
      <c r="B43" t="s">
        <v>168</v>
      </c>
      <c r="C43" s="24">
        <v>1.75</v>
      </c>
      <c r="E43" s="26" t="s">
        <v>175</v>
      </c>
    </row>
    <row r="44" spans="1:5" ht="13.5" customHeight="1" x14ac:dyDescent="0.35">
      <c r="A44" t="s">
        <v>166</v>
      </c>
      <c r="B44" t="s">
        <v>167</v>
      </c>
      <c r="C44" s="24">
        <v>1</v>
      </c>
      <c r="E44" s="26" t="s">
        <v>176</v>
      </c>
    </row>
    <row r="45" spans="1:5" ht="13.5" customHeight="1" x14ac:dyDescent="0.35">
      <c r="A45" t="s">
        <v>169</v>
      </c>
      <c r="B45" t="s">
        <v>171</v>
      </c>
      <c r="C45" s="24">
        <v>1</v>
      </c>
      <c r="E45" s="26" t="s">
        <v>175</v>
      </c>
    </row>
    <row r="46" spans="1:5" ht="18" x14ac:dyDescent="0.35">
      <c r="A46" t="s">
        <v>170</v>
      </c>
      <c r="B46" t="s">
        <v>172</v>
      </c>
      <c r="C46" s="24">
        <v>1</v>
      </c>
      <c r="E46" s="26" t="s">
        <v>176</v>
      </c>
    </row>
    <row r="48" spans="1:5" ht="31.5" thickBot="1" x14ac:dyDescent="0.25">
      <c r="A48" s="62" t="s">
        <v>316</v>
      </c>
    </row>
    <row r="49" spans="1:7" ht="13.5" customHeight="1" thickTop="1" x14ac:dyDescent="0.25">
      <c r="A49" t="s">
        <v>188</v>
      </c>
      <c r="B49" t="s">
        <v>189</v>
      </c>
      <c r="C49" s="25">
        <f>H_gw*γ_soil_prime+IF(H_gw&gt;H,0,(H-H_gw)*γ_soil)+0.11*OD/12*IF(H_gw=0,γ_soil,γ_soil_prime)</f>
        <v>3793.8137999999999</v>
      </c>
      <c r="D49" t="s">
        <v>145</v>
      </c>
      <c r="E49" s="26" t="str">
        <f>IF(H_gw&gt;H,"(H_gw+0.11*OD/12)*γ_soil_prime",IF(H_gw=0,"(H+0.11*OD/12)*γ_soil","(H_gw+0.11*OD/12)*γ_soil_prime+(H-H_gw)*γ_soil"))</f>
        <v>(H+0.11*OD/12)*γ_soil</v>
      </c>
      <c r="G49" s="25"/>
    </row>
    <row r="50" spans="1:7" ht="13.5" customHeight="1" x14ac:dyDescent="0.35">
      <c r="A50" t="s">
        <v>219</v>
      </c>
      <c r="B50" t="s">
        <v>66</v>
      </c>
      <c r="C50">
        <v>0.9</v>
      </c>
    </row>
    <row r="51" spans="1:7" ht="13.5" customHeight="1" x14ac:dyDescent="0.25">
      <c r="A51" t="s">
        <v>87</v>
      </c>
      <c r="B51" t="s">
        <v>88</v>
      </c>
      <c r="C51" s="24">
        <f>ϕ_soil*Ms*R_m/(E_long*A)</f>
        <v>1.2549121757401811</v>
      </c>
      <c r="E51" s="26" t="str">
        <f ca="1">IFERROR(_xlfn.FORMULATEXT(C51),"")</f>
        <v>=ϕ_soil*Ms*R_m/(E_long*A)</v>
      </c>
    </row>
    <row r="52" spans="1:7" ht="13.5" customHeight="1" x14ac:dyDescent="0.2">
      <c r="A52" t="s">
        <v>85</v>
      </c>
      <c r="B52" t="s">
        <v>86</v>
      </c>
      <c r="C52" s="24">
        <f>0.76-0.71*((S_h-1.17)/(S_h+2.92))</f>
        <v>0.74555954179686668</v>
      </c>
      <c r="E52" s="26" t="str">
        <f ca="1">IFERROR(_xlfn.FORMULATEXT(C52),"")</f>
        <v>=0.76-0.71*((S_h-1.17)/(S_h+2.92))</v>
      </c>
    </row>
    <row r="53" spans="1:7" ht="13.5" customHeight="1" x14ac:dyDescent="0.35">
      <c r="A53" t="s">
        <v>173</v>
      </c>
      <c r="B53" t="s">
        <v>174</v>
      </c>
      <c r="C53" s="25">
        <v>1.5</v>
      </c>
    </row>
    <row r="54" spans="1:7" ht="13.5" customHeight="1" x14ac:dyDescent="0.25">
      <c r="A54" t="s">
        <v>265</v>
      </c>
      <c r="B54" t="s">
        <v>266</v>
      </c>
      <c r="C54" s="25">
        <f>K_γE*VAF*P_SP</f>
        <v>4242.7711175859449</v>
      </c>
      <c r="D54" t="s">
        <v>145</v>
      </c>
      <c r="E54" s="26" t="str">
        <f ca="1">IFERROR(_xlfn.FORMULATEXT(C54),"")</f>
        <v>=K_γE*VAF*P_SP</v>
      </c>
    </row>
    <row r="55" spans="1:7" ht="13.5" customHeight="1" x14ac:dyDescent="0.25">
      <c r="A55" t="s">
        <v>267</v>
      </c>
      <c r="B55" t="s">
        <v>181</v>
      </c>
      <c r="C55" s="25">
        <f>P_DL*OD/12/2/1000</f>
        <v>1.902882846237296</v>
      </c>
      <c r="D55" t="s">
        <v>182</v>
      </c>
      <c r="E55" s="26" t="str">
        <f ca="1">IFERROR(_xlfn.FORMULATEXT(C55),"")</f>
        <v>=P_DL*OD/12/2/1000</v>
      </c>
    </row>
    <row r="56" spans="1:7" ht="13.5" customHeight="1" x14ac:dyDescent="0.25">
      <c r="A56" t="s">
        <v>268</v>
      </c>
      <c r="B56" t="s">
        <v>183</v>
      </c>
      <c r="C56" s="25">
        <f>0.6*P_DL*OD/12/2/1000</f>
        <v>1.1417297077423778</v>
      </c>
      <c r="D56" t="s">
        <v>182</v>
      </c>
      <c r="E56" s="26" t="str">
        <f ca="1">IFERROR(_xlfn.FORMULATEXT(C56),"")</f>
        <v>=0.6*P_DL*OD/12/2/1000</v>
      </c>
    </row>
    <row r="57" spans="1:7" ht="13.5" customHeight="1" x14ac:dyDescent="0.25">
      <c r="A57" t="s">
        <v>190</v>
      </c>
      <c r="B57" t="s">
        <v>184</v>
      </c>
      <c r="C57" s="25">
        <f>η_EV*γ_EV*T_EV</f>
        <v>2.5974350851139096</v>
      </c>
      <c r="D57" t="s">
        <v>182</v>
      </c>
      <c r="E57" s="26" t="str">
        <f ca="1">IFERROR(_xlfn.FORMULATEXT(C57),"")</f>
        <v>=η_EV*γ_EV*T_EV</v>
      </c>
    </row>
    <row r="58" spans="1:7" ht="13.5" x14ac:dyDescent="0.25">
      <c r="A58" t="s">
        <v>191</v>
      </c>
      <c r="B58" t="s">
        <v>185</v>
      </c>
      <c r="C58" s="25">
        <f>η_EV*γ_EV*T_EV_Crown</f>
        <v>1.5584610510683459</v>
      </c>
      <c r="D58" t="s">
        <v>182</v>
      </c>
      <c r="E58" s="26" t="str">
        <f ca="1">IFERROR(_xlfn.FORMULATEXT(C58),"")</f>
        <v>=η_EV*γ_EV*T_EV_Crown</v>
      </c>
    </row>
    <row r="60" spans="1:7" ht="31.5" thickBot="1" x14ac:dyDescent="0.25">
      <c r="A60" s="62" t="s">
        <v>317</v>
      </c>
    </row>
    <row r="61" spans="1:7" ht="12.75" thickTop="1" x14ac:dyDescent="0.2">
      <c r="A61" t="s">
        <v>123</v>
      </c>
      <c r="B61" t="s">
        <v>127</v>
      </c>
      <c r="C61">
        <v>1.1499999999999999</v>
      </c>
    </row>
    <row r="62" spans="1:7" ht="13.5" x14ac:dyDescent="0.25">
      <c r="A62" t="s">
        <v>288</v>
      </c>
      <c r="B62" t="s">
        <v>124</v>
      </c>
      <c r="C62">
        <v>10</v>
      </c>
      <c r="D62" t="s">
        <v>75</v>
      </c>
    </row>
    <row r="63" spans="1:7" ht="13.5" x14ac:dyDescent="0.25">
      <c r="A63" t="s">
        <v>289</v>
      </c>
      <c r="B63" t="s">
        <v>125</v>
      </c>
      <c r="C63">
        <v>20</v>
      </c>
      <c r="D63" t="s">
        <v>75</v>
      </c>
    </row>
    <row r="64" spans="1:7" ht="13.5" x14ac:dyDescent="0.25">
      <c r="A64" t="s">
        <v>129</v>
      </c>
      <c r="B64" t="s">
        <v>131</v>
      </c>
      <c r="C64" s="25">
        <f>LLDF*H+L_T/12</f>
        <v>31.883333333333329</v>
      </c>
      <c r="D64" t="s">
        <v>120</v>
      </c>
      <c r="E64" s="26" t="str">
        <f ca="1">IFERROR(_xlfn.FORMULATEXT(C64),"")</f>
        <v>=LLDF*H+L_T/12</v>
      </c>
    </row>
    <row r="65" spans="1:5" ht="13.5" x14ac:dyDescent="0.25">
      <c r="A65" t="s">
        <v>128</v>
      </c>
      <c r="B65" t="s">
        <v>132</v>
      </c>
      <c r="C65" s="25">
        <f>LLDF*H+W_T/12+0.06*OD/12</f>
        <v>32.770486666666663</v>
      </c>
      <c r="D65" t="s">
        <v>120</v>
      </c>
      <c r="E65" s="26" t="str">
        <f ca="1">IFERROR(_xlfn.FORMULATEXT(C65),"")</f>
        <v>=LLDF*H+W_T/12+0.06*OD/12</v>
      </c>
    </row>
    <row r="66" spans="1:5" x14ac:dyDescent="0.2">
      <c r="A66" t="s">
        <v>272</v>
      </c>
      <c r="B66" t="s">
        <v>273</v>
      </c>
      <c r="C66" s="24">
        <f>MAX(33*(1-0.125*H),0)</f>
        <v>0</v>
      </c>
      <c r="D66" t="s">
        <v>274</v>
      </c>
      <c r="E66" s="26" t="str">
        <f ca="1">IFERROR(_xlfn.FORMULATEXT(C66),"")</f>
        <v>=MAX(33*(1-0.125*H),0)</v>
      </c>
    </row>
    <row r="67" spans="1:5" x14ac:dyDescent="0.2">
      <c r="A67" t="s">
        <v>260</v>
      </c>
      <c r="B67" t="s">
        <v>275</v>
      </c>
      <c r="C67" s="25">
        <f>INDEX(AASHTOtables!$B$8:$B$12,MATCH(NLanes,AASHTOtables!$A$8:$A$12,0))</f>
        <v>1.2</v>
      </c>
    </row>
    <row r="69" spans="1:5" ht="13.5" x14ac:dyDescent="0.25">
      <c r="A69" t="s">
        <v>118</v>
      </c>
      <c r="B69" t="s">
        <v>149</v>
      </c>
      <c r="C69" s="35">
        <f>_xlfn.IFNA(INDEX(AxleLoads*1000,MATCH(LL_type,LiveLoadNames,0)),IF(ISBLANK(AxleLoadUserDefined),"ENTER VALUE →",AxleLoadUserDefined))</f>
        <v>40000</v>
      </c>
      <c r="D69" t="s">
        <v>116</v>
      </c>
      <c r="E69" s="50"/>
    </row>
    <row r="70" spans="1:5" ht="13.5" x14ac:dyDescent="0.25">
      <c r="A70" t="s">
        <v>292</v>
      </c>
      <c r="B70" t="s">
        <v>290</v>
      </c>
      <c r="C70">
        <v>14</v>
      </c>
      <c r="D70" t="s">
        <v>120</v>
      </c>
    </row>
    <row r="71" spans="1:5" ht="13.5" x14ac:dyDescent="0.25">
      <c r="A71" t="s">
        <v>126</v>
      </c>
      <c r="B71" t="s">
        <v>291</v>
      </c>
      <c r="C71">
        <v>6</v>
      </c>
      <c r="D71" t="s">
        <v>120</v>
      </c>
    </row>
    <row r="72" spans="1:5" ht="13.5" x14ac:dyDescent="0.25">
      <c r="A72" t="s">
        <v>134</v>
      </c>
      <c r="B72" t="s">
        <v>130</v>
      </c>
      <c r="C72" s="25">
        <f>IF((L_Pc_tire-0.06*OD/12)&gt;s_circum,L_Pc_tire+s_circum,L_Pc_tire)</f>
        <v>45.883333333333326</v>
      </c>
      <c r="D72" t="s">
        <v>120</v>
      </c>
    </row>
    <row r="73" spans="1:5" ht="13.5" x14ac:dyDescent="0.25">
      <c r="A73" t="s">
        <v>135</v>
      </c>
      <c r="B73" t="s">
        <v>133</v>
      </c>
      <c r="C73" s="25">
        <f>IF(W_Pc_tire&gt;s_long,W_Pc_tire+s_long,W_Pc_tire)</f>
        <v>38.770486666666663</v>
      </c>
      <c r="D73" t="s">
        <v>120</v>
      </c>
    </row>
    <row r="74" spans="1:5" ht="13.5" x14ac:dyDescent="0.25">
      <c r="A74" t="s">
        <v>138</v>
      </c>
      <c r="B74" t="s">
        <v>144</v>
      </c>
      <c r="C74" s="35">
        <f>Q_truck/2*(IF(L_Pc&gt;s_circum,2,1))*IF(W_Pc&gt;s_long,2,1)*(1+IM/100)*m</f>
        <v>96000</v>
      </c>
      <c r="D74" t="s">
        <v>116</v>
      </c>
    </row>
    <row r="75" spans="1:5" ht="13.5" x14ac:dyDescent="0.25">
      <c r="A75" t="s">
        <v>146</v>
      </c>
      <c r="B75" t="s">
        <v>139</v>
      </c>
      <c r="C75" s="25">
        <f>Q_patch/(L_Pc*W_Pc)</f>
        <v>53.965352661731778</v>
      </c>
      <c r="D75" t="s">
        <v>145</v>
      </c>
      <c r="E75" s="37" t="str">
        <f>IF(Tandem,IF(P_patch&gt;P_patch_tandem,"← Truck Axle Load Controls",""),"")</f>
        <v>← Truck Axle Load Controls</v>
      </c>
    </row>
    <row r="76" spans="1:5" x14ac:dyDescent="0.2">
      <c r="C76" s="25"/>
    </row>
    <row r="77" spans="1:5" ht="13.5" x14ac:dyDescent="0.25">
      <c r="A77" t="s">
        <v>119</v>
      </c>
      <c r="B77" t="s">
        <v>150</v>
      </c>
      <c r="C77" s="35">
        <f>_xlfn.IFNA(INDEX(AxleLoads*1000,MATCH(LL_type&amp;" Tandem",LiveLoadNames,0)),"N/A")</f>
        <v>62500</v>
      </c>
      <c r="D77" t="s">
        <v>116</v>
      </c>
    </row>
    <row r="78" spans="1:5" ht="13.5" x14ac:dyDescent="0.25">
      <c r="A78" t="s">
        <v>292</v>
      </c>
      <c r="B78" t="s">
        <v>293</v>
      </c>
      <c r="C78" s="36">
        <f>IF(Tandem,4,"N/A")</f>
        <v>4</v>
      </c>
      <c r="D78" t="s">
        <v>120</v>
      </c>
    </row>
    <row r="79" spans="1:5" ht="13.5" x14ac:dyDescent="0.25">
      <c r="A79" t="s">
        <v>126</v>
      </c>
      <c r="B79" t="s">
        <v>294</v>
      </c>
      <c r="C79" s="36">
        <f>IF(Tandem,6,"N/A")</f>
        <v>6</v>
      </c>
      <c r="D79" t="s">
        <v>120</v>
      </c>
    </row>
    <row r="80" spans="1:5" ht="13.5" x14ac:dyDescent="0.25">
      <c r="A80" t="s">
        <v>136</v>
      </c>
      <c r="B80" t="s">
        <v>147</v>
      </c>
      <c r="C80" s="29">
        <f>IF(Tandem,IF((L_Pc_tire-0.06*OD/12)&gt;s_circum_tandem,L_Pc_tire+s_circum_tandem,L_Pc_tire),"N/A")</f>
        <v>35.883333333333326</v>
      </c>
      <c r="D80" t="s">
        <v>120</v>
      </c>
    </row>
    <row r="81" spans="1:5" ht="13.5" x14ac:dyDescent="0.25">
      <c r="A81" t="s">
        <v>137</v>
      </c>
      <c r="B81" t="s">
        <v>148</v>
      </c>
      <c r="C81" s="29">
        <f>IF(Tandem,IF(W_Pc_tire&gt;s_long_tandem,W_Pc_tire+s_long_tandem,W_Pc_tire),"N/A")</f>
        <v>38.770486666666663</v>
      </c>
      <c r="D81" t="s">
        <v>120</v>
      </c>
    </row>
    <row r="82" spans="1:5" ht="13.5" x14ac:dyDescent="0.25">
      <c r="A82" t="s">
        <v>140</v>
      </c>
      <c r="B82" t="s">
        <v>143</v>
      </c>
      <c r="C82" s="38">
        <f>IF(Tandem,Q_tandem/4*IF(W_Pc_tandem&gt;s_long_tandem,2,1)*(IF(L_Pc_tandem&gt;s_circum_tandem,2,1))*(1+IM/100)*m,"N/A")</f>
        <v>75000</v>
      </c>
      <c r="D82" t="s">
        <v>116</v>
      </c>
    </row>
    <row r="83" spans="1:5" ht="13.5" x14ac:dyDescent="0.25">
      <c r="A83" t="s">
        <v>142</v>
      </c>
      <c r="B83" t="s">
        <v>141</v>
      </c>
      <c r="C83" s="29">
        <f>IF(Tandem,Q_patch_tandem/(L_Pc_tandem*W_Pc_tandem),0)</f>
        <v>53.90973927287056</v>
      </c>
      <c r="D83" t="s">
        <v>145</v>
      </c>
      <c r="E83" s="37" t="str">
        <f>IF(Tandem,IF(P_patch&lt;P_patch_tandem,"← Tandem Axle Load Controls",""),"")</f>
        <v/>
      </c>
    </row>
    <row r="85" spans="1:5" ht="13.5" x14ac:dyDescent="0.25">
      <c r="A85" t="s">
        <v>187</v>
      </c>
      <c r="B85" t="s">
        <v>271</v>
      </c>
      <c r="C85" s="25">
        <f>IF(Tandem,IF(P_patch&gt;P_patch_tandem,P_patch,IF(P_patch&lt;P_patch_tandem,P_patch_tandem)),P_patch)</f>
        <v>53.965352661731778</v>
      </c>
      <c r="D85" t="s">
        <v>145</v>
      </c>
    </row>
    <row r="86" spans="1:5" ht="13.5" x14ac:dyDescent="0.25">
      <c r="A86" t="s">
        <v>195</v>
      </c>
      <c r="B86" t="s">
        <v>194</v>
      </c>
      <c r="C86" s="25">
        <f>IF(Tandem,IF(P_patch&gt;P_patch_tandem,W_Pc,IF(P_patch&lt;P_patch_tandem,W_Pc_tandem)),W_Pc)</f>
        <v>38.770486666666663</v>
      </c>
      <c r="D86" t="s">
        <v>120</v>
      </c>
    </row>
    <row r="87" spans="1:5" ht="13.5" x14ac:dyDescent="0.25">
      <c r="A87" t="s">
        <v>269</v>
      </c>
      <c r="B87" t="s">
        <v>270</v>
      </c>
      <c r="C87" s="25">
        <f>MIN(L_W/(OD/12),1)</f>
        <v>1</v>
      </c>
      <c r="E87" s="26" t="str">
        <f ca="1">IFERROR(_xlfn.FORMULATEXT(C87),"")</f>
        <v>=MIN(L_W/(OD/12),1)</v>
      </c>
    </row>
    <row r="88" spans="1:5" ht="13.5" x14ac:dyDescent="0.25">
      <c r="A88" t="s">
        <v>297</v>
      </c>
      <c r="B88" t="s">
        <v>295</v>
      </c>
      <c r="C88" s="25">
        <f>MAX(0.75*OD/12/L_W,15/ID)</f>
        <v>1.4851485148514851</v>
      </c>
      <c r="E88" s="26" t="str">
        <f ca="1">IFERROR(_xlfn.FORMULATEXT(C88),"")</f>
        <v>=MAX(0.75*OD/12/L_W,15/ID)</v>
      </c>
    </row>
    <row r="89" spans="1:5" ht="13.5" x14ac:dyDescent="0.25">
      <c r="A89" t="s">
        <v>298</v>
      </c>
      <c r="B89" t="s">
        <v>296</v>
      </c>
      <c r="C89" s="25">
        <f>0.94/(1+0.6*S_h)</f>
        <v>0.53623973583270457</v>
      </c>
      <c r="E89" s="26" t="str">
        <f ca="1">IFERROR(_xlfn.FORMULATEXT(C89),"")</f>
        <v>=0.94/(1+0.6*S_h)</v>
      </c>
    </row>
    <row r="90" spans="1:5" ht="13.5" x14ac:dyDescent="0.25">
      <c r="A90" t="s">
        <v>196</v>
      </c>
      <c r="B90" t="s">
        <v>192</v>
      </c>
      <c r="C90" s="25">
        <f>P_L*C_L*F_1*F_2/2/1000</f>
        <v>2.1488885981766674E-2</v>
      </c>
      <c r="D90" t="s">
        <v>182</v>
      </c>
      <c r="E90" s="26" t="str">
        <f ca="1">IFERROR(_xlfn.FORMULATEXT(C90),"")</f>
        <v>=P_L*C_L*F_1*F_2/2/1000</v>
      </c>
    </row>
    <row r="91" spans="1:5" ht="13.5" x14ac:dyDescent="0.25">
      <c r="A91" t="s">
        <v>197</v>
      </c>
      <c r="B91" t="s">
        <v>193</v>
      </c>
      <c r="C91" s="25">
        <f>η_LL*γ_LL*T_LL</f>
        <v>3.7605550468091678E-2</v>
      </c>
      <c r="D91" t="s">
        <v>182</v>
      </c>
      <c r="E91" s="26" t="str">
        <f ca="1">IFERROR(_xlfn.FORMULATEXT(C91),"")</f>
        <v>=η_LL*γ_LL*T_LL</v>
      </c>
    </row>
    <row r="93" spans="1:5" ht="31.5" thickBot="1" x14ac:dyDescent="0.25">
      <c r="A93" s="62" t="s">
        <v>315</v>
      </c>
    </row>
    <row r="94" spans="1:5" ht="14.25" thickTop="1" x14ac:dyDescent="0.25">
      <c r="A94" t="s">
        <v>199</v>
      </c>
      <c r="B94" t="s">
        <v>198</v>
      </c>
      <c r="C94">
        <f>γ_water*H_gw</f>
        <v>0</v>
      </c>
      <c r="D94" t="s">
        <v>145</v>
      </c>
      <c r="E94" s="26" t="str">
        <f ca="1">IFERROR(_xlfn.FORMULATEXT(C94),"")</f>
        <v>=γ_water*H_gw</v>
      </c>
    </row>
    <row r="95" spans="1:5" ht="13.5" x14ac:dyDescent="0.25">
      <c r="A95" t="s">
        <v>200</v>
      </c>
      <c r="B95" t="s">
        <v>202</v>
      </c>
      <c r="C95" s="25">
        <f>P_WA*OD/12/2/1000</f>
        <v>0</v>
      </c>
      <c r="D95" t="s">
        <v>182</v>
      </c>
      <c r="E95" s="26" t="str">
        <f ca="1">IFERROR(_xlfn.FORMULATEXT(C95),"")</f>
        <v>=P_WA*OD/12/2/1000</v>
      </c>
    </row>
    <row r="96" spans="1:5" ht="13.5" x14ac:dyDescent="0.25">
      <c r="A96" t="s">
        <v>201</v>
      </c>
      <c r="B96" t="s">
        <v>203</v>
      </c>
      <c r="C96" s="25">
        <f>η_WA*γ_WA*T_WA</f>
        <v>0</v>
      </c>
      <c r="D96" t="s">
        <v>182</v>
      </c>
      <c r="E96" s="26" t="str">
        <f ca="1">IFERROR(_xlfn.FORMULATEXT(C96),"")</f>
        <v>=η_WA*γ_WA*T_WA</v>
      </c>
    </row>
    <row r="98" spans="1:5" ht="20.25" thickBot="1" x14ac:dyDescent="0.35">
      <c r="A98" s="28" t="s">
        <v>103</v>
      </c>
    </row>
    <row r="99" spans="1:5" ht="14.25" thickTop="1" x14ac:dyDescent="0.25">
      <c r="A99" t="s">
        <v>204</v>
      </c>
      <c r="B99" t="s">
        <v>209</v>
      </c>
      <c r="C99">
        <v>0</v>
      </c>
      <c r="D99" t="s">
        <v>145</v>
      </c>
    </row>
    <row r="100" spans="1:5" ht="13.5" x14ac:dyDescent="0.25">
      <c r="A100" t="s">
        <v>205</v>
      </c>
      <c r="B100" t="s">
        <v>207</v>
      </c>
      <c r="C100" s="25">
        <f>P_Other*OD/12/2/1000</f>
        <v>0</v>
      </c>
      <c r="D100" t="s">
        <v>182</v>
      </c>
      <c r="E100" s="26" t="str">
        <f ca="1">IFERROR(_xlfn.FORMULATEXT(C100),"")</f>
        <v>=P_Other*OD/12/2/1000</v>
      </c>
    </row>
    <row r="101" spans="1:5" ht="13.5" x14ac:dyDescent="0.25">
      <c r="A101" t="s">
        <v>206</v>
      </c>
      <c r="B101" t="s">
        <v>208</v>
      </c>
      <c r="C101" s="25">
        <f>η_Other*γ_Other*T_WA</f>
        <v>0</v>
      </c>
      <c r="D101" t="s">
        <v>182</v>
      </c>
      <c r="E101" s="26" t="str">
        <f ca="1">IFERROR(_xlfn.FORMULATEXT(C101),"")</f>
        <v>=η_Other*γ_Other*T_WA</v>
      </c>
    </row>
    <row r="103" spans="1:5" ht="31.5" thickBot="1" x14ac:dyDescent="0.25">
      <c r="A103" s="62" t="s">
        <v>314</v>
      </c>
    </row>
    <row r="104" spans="1:5" ht="14.25" thickTop="1" x14ac:dyDescent="0.25">
      <c r="A104" t="s">
        <v>179</v>
      </c>
      <c r="B104" t="s">
        <v>177</v>
      </c>
      <c r="C104" s="25">
        <f>T_EV+T_LL+T_WA+T_Other</f>
        <v>1.9243717322190625</v>
      </c>
      <c r="D104" t="s">
        <v>182</v>
      </c>
      <c r="E104" s="26" t="str">
        <f ca="1">IFERROR(_xlfn.FORMULATEXT(C104),"")</f>
        <v>=T_EV+T_LL+T_WA+T_Other</v>
      </c>
    </row>
    <row r="105" spans="1:5" ht="13.5" x14ac:dyDescent="0.25">
      <c r="A105" t="s">
        <v>180</v>
      </c>
      <c r="B105" t="s">
        <v>178</v>
      </c>
      <c r="C105" s="25">
        <f>T_EVu+T_LLu+T_WAu+T_Otheru</f>
        <v>2.6350406355820013</v>
      </c>
      <c r="D105" t="s">
        <v>182</v>
      </c>
      <c r="E105" s="26" t="str">
        <f ca="1">IFERROR(_xlfn.FORMULATEXT(C105),"")</f>
        <v>=T_EVu+T_LLu+T_WAu+T_Otheru</v>
      </c>
    </row>
    <row r="106" spans="1:5" hidden="1" x14ac:dyDescent="0.2"/>
    <row r="107" spans="1:5" ht="31.5" hidden="1" thickBot="1" x14ac:dyDescent="0.25">
      <c r="A107" s="62" t="s">
        <v>320</v>
      </c>
    </row>
    <row r="108" spans="1:5" ht="18" hidden="1" x14ac:dyDescent="0.35">
      <c r="A108" t="s">
        <v>363</v>
      </c>
      <c r="B108" t="s">
        <v>364</v>
      </c>
      <c r="C108" s="25">
        <v>1</v>
      </c>
    </row>
    <row r="109" spans="1:5" ht="13.5" hidden="1" x14ac:dyDescent="0.2">
      <c r="A109" s="55" t="s">
        <v>325</v>
      </c>
      <c r="B109" s="53" t="s">
        <v>326</v>
      </c>
      <c r="C109" s="53">
        <f>ϕ_thrust*F_y</f>
        <v>1440</v>
      </c>
      <c r="D109" s="53" t="s">
        <v>80</v>
      </c>
      <c r="E109" s="26" t="str">
        <f ca="1">IFERROR(_xlfn.FORMULATEXT(C109),"")</f>
        <v>=ϕ_thrust*@F_y</v>
      </c>
    </row>
    <row r="110" spans="1:5" ht="13.5" hidden="1" x14ac:dyDescent="0.25">
      <c r="A110" t="s">
        <v>213</v>
      </c>
      <c r="B110" t="s">
        <v>214</v>
      </c>
      <c r="C110" s="25">
        <f>ϕFy*A/1000*12</f>
        <v>5.7196800000000003</v>
      </c>
      <c r="D110" t="s">
        <v>182</v>
      </c>
      <c r="E110" s="26" t="str">
        <f ca="1">IFERROR(_xlfn.FORMULATEXT(C110),"")</f>
        <v>=ϕFy*A/1000*12</v>
      </c>
    </row>
    <row r="111" spans="1:5" hidden="1" x14ac:dyDescent="0.2">
      <c r="B111" s="37" t="str">
        <f>IF(T_cr&gt;T_U,"T_cr&gt;T_U, OK","T_cr&lt;T_U, NO GOOD")</f>
        <v>T_cr&gt;T_U, OK</v>
      </c>
      <c r="C111" s="25"/>
      <c r="E111" s="37"/>
    </row>
    <row r="112" spans="1:5" hidden="1" x14ac:dyDescent="0.2">
      <c r="A112" t="s">
        <v>220</v>
      </c>
      <c r="B112" t="s">
        <v>221</v>
      </c>
      <c r="C112" s="24">
        <f>T_cr/ϕ_thrust/T_S</f>
        <v>2.9722323936885267</v>
      </c>
      <c r="E112" s="26" t="str">
        <f ca="1">IFERROR(_xlfn.FORMULATEXT(C112),"")</f>
        <v>=T_cr/ϕ_thrust/T_S</v>
      </c>
    </row>
    <row r="113" spans="1:23" hidden="1" x14ac:dyDescent="0.2"/>
    <row r="114" spans="1:23" ht="31.5" hidden="1" thickBot="1" x14ac:dyDescent="0.25">
      <c r="A114" s="62" t="s">
        <v>319</v>
      </c>
      <c r="T114" s="64"/>
      <c r="U114" s="64"/>
      <c r="V114" s="64"/>
      <c r="W114" s="64"/>
    </row>
    <row r="115" spans="1:23" ht="18" hidden="1" x14ac:dyDescent="0.35">
      <c r="A115" t="s">
        <v>342</v>
      </c>
      <c r="B115" t="s">
        <v>343</v>
      </c>
      <c r="C115" s="25">
        <v>0.9</v>
      </c>
    </row>
    <row r="116" spans="1:23" ht="13.5" hidden="1" x14ac:dyDescent="0.25">
      <c r="A116" t="s">
        <v>223</v>
      </c>
      <c r="B116" t="s">
        <v>222</v>
      </c>
      <c r="C116" s="25">
        <f>1-0.33*H_gw/H</f>
        <v>1</v>
      </c>
      <c r="E116" s="26" t="str">
        <f ca="1">IFERROR(_xlfn.FORMULATEXT(C116),"")</f>
        <v>=1-0.33*H_gw/H</v>
      </c>
      <c r="L116" s="52"/>
      <c r="T116" s="36"/>
    </row>
    <row r="117" spans="1:23" ht="24.75" hidden="1" customHeight="1" x14ac:dyDescent="0.2">
      <c r="A117" t="s">
        <v>74</v>
      </c>
      <c r="B117" t="s">
        <v>73</v>
      </c>
      <c r="C117" s="24">
        <f>1/(1+4*EXP(-0.065*H))</f>
        <v>0.59114617816725157</v>
      </c>
      <c r="E117" s="54" t="s">
        <v>251</v>
      </c>
    </row>
    <row r="118" spans="1:23" ht="24" hidden="1" x14ac:dyDescent="0.2">
      <c r="A118" s="55" t="s">
        <v>322</v>
      </c>
      <c r="B118" s="53" t="s">
        <v>324</v>
      </c>
      <c r="C118" s="53">
        <f>9.24*R_m/A/12*SQRT(B_prime*R_W*ϕ_soil_stiffness*Ms*E*I/(0.149*R_m^3))</f>
        <v>689.89568581250876</v>
      </c>
      <c r="D118" s="53" t="s">
        <v>80</v>
      </c>
      <c r="E118" s="51" t="s">
        <v>323</v>
      </c>
    </row>
    <row r="119" spans="1:23" ht="13.5" hidden="1" x14ac:dyDescent="0.25">
      <c r="A119" t="s">
        <v>232</v>
      </c>
      <c r="B119" t="s">
        <v>321</v>
      </c>
      <c r="C119">
        <f>ϕf_cr/1000*A*12</f>
        <v>2.7402656640472847</v>
      </c>
      <c r="D119" t="s">
        <v>182</v>
      </c>
      <c r="E119" s="26" t="str">
        <f ca="1">IFERROR(_xlfn.FORMULATEXT(C119),"")</f>
        <v>=ϕf_cr/1000*A*12</v>
      </c>
    </row>
    <row r="120" spans="1:23" hidden="1" x14ac:dyDescent="0.2">
      <c r="B120" s="37" t="str">
        <f>IF(T_buckling_cr&gt;T_U,"T_buckling&gt;T_U, OK","T_buckling&lt;T_U, NO GOOD")</f>
        <v>T_buckling&gt;T_U, OK</v>
      </c>
      <c r="E120" s="37"/>
    </row>
    <row r="121" spans="1:23" hidden="1" x14ac:dyDescent="0.2">
      <c r="A121" t="s">
        <v>220</v>
      </c>
      <c r="B121" t="s">
        <v>221</v>
      </c>
      <c r="C121" s="24">
        <f>T_buckling_cr/ϕ_soil_stiffness/T_S</f>
        <v>1.5821993099057874</v>
      </c>
      <c r="E121" s="26" t="str">
        <f ca="1">IFERROR(_xlfn.FORMULATEXT(C121),"")</f>
        <v>=T_buckling_cr/ϕ_soil_stiffness/T_S</v>
      </c>
    </row>
    <row r="123" spans="1:23" ht="31.5" thickBot="1" x14ac:dyDescent="0.25">
      <c r="A123" s="62" t="s">
        <v>313</v>
      </c>
    </row>
    <row r="124" spans="1:23" ht="14.25" thickTop="1" x14ac:dyDescent="0.25">
      <c r="A124" t="s">
        <v>67</v>
      </c>
      <c r="B124" t="s">
        <v>300</v>
      </c>
      <c r="C124" s="24">
        <v>0.1</v>
      </c>
    </row>
    <row r="125" spans="1:23" ht="13.5" x14ac:dyDescent="0.25">
      <c r="A125" t="s">
        <v>69</v>
      </c>
      <c r="B125" t="s">
        <v>68</v>
      </c>
      <c r="C125" s="25">
        <v>1.5</v>
      </c>
    </row>
    <row r="126" spans="1:23" ht="13.5" x14ac:dyDescent="0.25">
      <c r="A126" t="s">
        <v>307</v>
      </c>
      <c r="B126" t="s">
        <v>309</v>
      </c>
      <c r="C126" s="49">
        <f>T_S/12/(A*E_long/1000)</f>
        <v>2.2022014696272345E-2</v>
      </c>
      <c r="E126" s="26" t="str">
        <f ca="1">IFERROR(_xlfn.FORMULATEXT(C126),"")</f>
        <v>=T_S/12/(A*E_long/1000)</v>
      </c>
    </row>
    <row r="127" spans="1:23" ht="13.5" x14ac:dyDescent="0.25">
      <c r="A127" t="s">
        <v>308</v>
      </c>
      <c r="B127" t="s">
        <v>310</v>
      </c>
      <c r="C127" s="49">
        <f>T_S/12/(A*E_short/1000)</f>
        <v>4.4044029392544693E-3</v>
      </c>
      <c r="E127" s="26" t="str">
        <f ca="1">IFERROR(_xlfn.FORMULATEXT(C127),"")</f>
        <v>=T_S/12/(A*E_short/1000)</v>
      </c>
    </row>
    <row r="128" spans="1:23" ht="26.25" customHeight="1" x14ac:dyDescent="0.25">
      <c r="A128" t="s">
        <v>303</v>
      </c>
      <c r="B128" t="s">
        <v>301</v>
      </c>
      <c r="C128" s="24">
        <f>K_B*(D_L*P_SP)/144*OD/(E_long*I/R_m^3+0.061*Ms)+ε_sc_long*2*R_m</f>
        <v>0.58656833245135787</v>
      </c>
      <c r="D128" t="s">
        <v>75</v>
      </c>
      <c r="E128" s="41" t="str">
        <f ca="1">IFERROR(_xlfn.FORMULATEXT(C128),"")</f>
        <v>=K_B*(D_L*P_SP)/144*OD/(E_long*I/R_m^3+0.061*Ms)+ε_sc_long*2*R_m</v>
      </c>
    </row>
    <row r="129" spans="1:5" ht="26.25" customHeight="1" x14ac:dyDescent="0.25">
      <c r="A129" t="s">
        <v>304</v>
      </c>
      <c r="B129" t="s">
        <v>302</v>
      </c>
      <c r="C129" s="24">
        <f>K_B*(D_L*P_SP+C_L*P_L)/144*OD/(E_short*I/R_m^3+0.061*Ms)+ε_sc_short*2*R_m</f>
        <v>0.40063024540098524</v>
      </c>
      <c r="D129" t="s">
        <v>75</v>
      </c>
      <c r="E129" s="41" t="str">
        <f ca="1">IFERROR(_xlfn.FORMULATEXT(C129),"")</f>
        <v>=K_B*(D_L*P_SP+C_L*P_L)/144*OD/(E_short*I/R_m^3+0.061*Ms)+ε_sc_short*2*R_m</v>
      </c>
    </row>
    <row r="130" spans="1:5" ht="13.5" x14ac:dyDescent="0.25">
      <c r="A130" t="s">
        <v>409</v>
      </c>
      <c r="B130" t="s">
        <v>410</v>
      </c>
      <c r="C130" s="79">
        <f>INDEX(Table_3_11,MATCH(PipeType,Table_3_11_rows,0),2)</f>
        <v>7.4999999999999997E-2</v>
      </c>
      <c r="E130" t="s">
        <v>411</v>
      </c>
    </row>
    <row r="131" spans="1:5" ht="13.5" x14ac:dyDescent="0.25">
      <c r="A131" t="s">
        <v>353</v>
      </c>
      <c r="B131" t="s">
        <v>352</v>
      </c>
      <c r="C131" s="24">
        <f>Δ_A_pcnt*ID</f>
        <v>0.75749999999999995</v>
      </c>
      <c r="D131" t="s">
        <v>75</v>
      </c>
      <c r="E131" s="26" t="str">
        <f ca="1">IFERROR(_xlfn.FORMULATEXT(C131),"")</f>
        <v>=Δ_A_pcnt*ID</v>
      </c>
    </row>
    <row r="132" spans="1:5" x14ac:dyDescent="0.2">
      <c r="B132" s="37" t="str">
        <f>IF(Δ_A&gt;Δ_t,"Δ_A&gt;Δ_t, OK","Δ_A&lt;Δ_y, NO GOOD")</f>
        <v>Δ_A&gt;Δ_t, OK</v>
      </c>
      <c r="C132" s="37" t="str">
        <f>"← "&amp;IF(Δ_t_LL&gt;Δ_t_DL,"Short","Long")&amp;" Term Deflection Controls"</f>
        <v>← Long Term Deflection Controls</v>
      </c>
    </row>
    <row r="133" spans="1:5" x14ac:dyDescent="0.2">
      <c r="B133" s="37"/>
    </row>
    <row r="134" spans="1:5" ht="31.5" thickBot="1" x14ac:dyDescent="0.25">
      <c r="A134" s="62" t="s">
        <v>312</v>
      </c>
    </row>
    <row r="135" spans="1:5" ht="14.25" thickTop="1" x14ac:dyDescent="0.25">
      <c r="A135" t="s">
        <v>305</v>
      </c>
      <c r="B135" t="s">
        <v>306</v>
      </c>
      <c r="C135" s="49">
        <f>_xlfn.IFS(Term="Short",ε_sc_short,Term="Long",ε_sc_long)</f>
        <v>2.2022014696272345E-2</v>
      </c>
      <c r="E135" s="37" t="str">
        <f>"← "&amp;IF(Δ_t_LL&gt;Δ_t_DL,"Short","Long")&amp;" Term Deflection Controls"</f>
        <v>← Long Term Deflection Controls</v>
      </c>
    </row>
    <row r="136" spans="1:5" ht="13.5" x14ac:dyDescent="0.25">
      <c r="A136" t="s">
        <v>332</v>
      </c>
      <c r="B136" t="s">
        <v>333</v>
      </c>
      <c r="C136" s="49">
        <f>ε_sc*T_U/T_S</f>
        <v>3.0154726672869191E-2</v>
      </c>
      <c r="E136" s="37"/>
    </row>
    <row r="137" spans="1:5" ht="18" x14ac:dyDescent="0.35">
      <c r="A137" t="s">
        <v>363</v>
      </c>
      <c r="B137" t="s">
        <v>364</v>
      </c>
      <c r="C137" s="25">
        <f>ϕ_thrust</f>
        <v>1</v>
      </c>
    </row>
    <row r="138" spans="1:5" ht="13.5" x14ac:dyDescent="0.25">
      <c r="A138" t="s">
        <v>327</v>
      </c>
      <c r="B138" t="s">
        <v>328</v>
      </c>
      <c r="C138" s="49">
        <v>4.1000000000000002E-2</v>
      </c>
      <c r="E138" t="s">
        <v>329</v>
      </c>
    </row>
    <row r="139" spans="1:5" ht="13.5" x14ac:dyDescent="0.25">
      <c r="A139" t="s">
        <v>330</v>
      </c>
      <c r="B139" t="s">
        <v>331</v>
      </c>
      <c r="C139" s="49">
        <f>ϕ_thrust*ε_yc</f>
        <v>4.1000000000000002E-2</v>
      </c>
      <c r="E139" s="26" t="str">
        <f ca="1">IFERROR(_xlfn.FORMULATEXT(C139),"")</f>
        <v>=ϕ_thrust*ε_yc</v>
      </c>
    </row>
    <row r="140" spans="1:5" x14ac:dyDescent="0.2">
      <c r="B140" s="37" t="str">
        <f>IF(ϕε_yc&gt;ε_uc,"ϕε_yc&gt;ε_uc, OK","ϕε_yc&lt;ε_uc, NO GOOD")</f>
        <v>ϕε_yc&gt;ε_uc, OK</v>
      </c>
    </row>
    <row r="142" spans="1:5" ht="31.5" thickBot="1" x14ac:dyDescent="0.25">
      <c r="A142" s="62" t="s">
        <v>318</v>
      </c>
    </row>
    <row r="143" spans="1:5" ht="14.25" thickTop="1" x14ac:dyDescent="0.25">
      <c r="A143" t="s">
        <v>332</v>
      </c>
      <c r="B143" t="s">
        <v>333</v>
      </c>
      <c r="C143" s="49">
        <f>ε_uc</f>
        <v>3.0154726672869191E-2</v>
      </c>
      <c r="E143" s="37" t="str">
        <f>"← "&amp;IF(Δ_t_LL&gt;Δ_t_DL,"Short","Long")&amp;" Term Deflection Controls"</f>
        <v>← Long Term Deflection Controls</v>
      </c>
    </row>
    <row r="144" spans="1:5" ht="13.5" x14ac:dyDescent="0.25">
      <c r="A144" t="s">
        <v>341</v>
      </c>
      <c r="B144" t="s">
        <v>338</v>
      </c>
      <c r="C144" s="63">
        <v>0.55000000000000004</v>
      </c>
    </row>
    <row r="145" spans="1:5" ht="13.5" x14ac:dyDescent="0.25">
      <c r="A145" t="s">
        <v>76</v>
      </c>
      <c r="B145" t="s">
        <v>77</v>
      </c>
      <c r="C145" s="25">
        <f>2*R_m</f>
        <v>10.432</v>
      </c>
      <c r="D145" t="s">
        <v>75</v>
      </c>
      <c r="E145" s="26" t="str">
        <f ca="1">IFERROR(_xlfn.FORMULATEXT(C145),"")</f>
        <v>=2*R_m</v>
      </c>
    </row>
    <row r="146" spans="1:5" ht="13.5" x14ac:dyDescent="0.25">
      <c r="A146" t="s">
        <v>347</v>
      </c>
      <c r="B146" t="s">
        <v>344</v>
      </c>
      <c r="C146" s="65">
        <f>11.4/(11+D_m/12/H)</f>
        <v>1.0333390032318421</v>
      </c>
      <c r="D146" s="73" t="s">
        <v>398</v>
      </c>
      <c r="E146" s="26" t="str">
        <f ca="1">IFERROR(_xlfn.FORMULATEXT(C146),"")</f>
        <v>=11.4/(11+D_m/12/H)</v>
      </c>
    </row>
    <row r="147" spans="1:5" ht="18" x14ac:dyDescent="0.35">
      <c r="A147" t="s">
        <v>342</v>
      </c>
      <c r="B147" t="s">
        <v>343</v>
      </c>
      <c r="C147" s="25">
        <f>ϕ_soil_stiffness</f>
        <v>0.9</v>
      </c>
    </row>
    <row r="148" spans="1:5" ht="18" x14ac:dyDescent="0.35">
      <c r="A148" t="s">
        <v>335</v>
      </c>
      <c r="B148" t="s">
        <v>334</v>
      </c>
      <c r="C148" s="25">
        <v>0.7</v>
      </c>
    </row>
    <row r="149" spans="1:5" ht="24.75" x14ac:dyDescent="0.25">
      <c r="A149" t="s">
        <v>345</v>
      </c>
      <c r="B149" t="s">
        <v>336</v>
      </c>
      <c r="C149" s="49">
        <f>(1.2*C_n*(E*I)^(1/3))/(A*E)*((ϕ_soil_stiffness*Ms*(1-2*ν))/(1-ν)^2)^(2/3)*R_h</f>
        <v>4.3778885948124721E-2</v>
      </c>
      <c r="E149" s="41" t="str">
        <f ca="1">IFERROR(_xlfn.FORMULATEXT(C149),"")</f>
        <v>=(1.2*C_n*(@E*I)^(1/3))/(A*@E)*((ϕ_soil_stiffness*Ms*(1-2*ν))/(1-ν)^2)^(2/3)*R_h</v>
      </c>
    </row>
    <row r="150" spans="1:5" ht="13.5" x14ac:dyDescent="0.25">
      <c r="A150" t="s">
        <v>346</v>
      </c>
      <c r="B150" t="s">
        <v>337</v>
      </c>
      <c r="C150" s="49">
        <f>ϕ_buckling*ε_buckling</f>
        <v>3.0645220163687304E-2</v>
      </c>
      <c r="E150" s="26" t="str">
        <f ca="1">IFERROR(_xlfn.FORMULATEXT(C150),"")</f>
        <v>=ϕ_buckling*ε_buckling</v>
      </c>
    </row>
    <row r="151" spans="1:5" ht="21" customHeight="1" x14ac:dyDescent="0.2">
      <c r="B151" s="37" t="str">
        <f>IF(ϕε_buckling&gt;ε_uc,"ϕε_buckling&gt;ε_uc, OK","ϕε_buckling&lt;ε_uc, NO GOOD")</f>
        <v>ϕε_buckling&gt;ε_uc, OK</v>
      </c>
    </row>
    <row r="152" spans="1:5" ht="24.75" customHeight="1" x14ac:dyDescent="0.25">
      <c r="A152" s="83" t="s">
        <v>394</v>
      </c>
      <c r="B152" s="83"/>
      <c r="C152" s="83"/>
      <c r="D152" s="83"/>
      <c r="E152" s="83"/>
    </row>
    <row r="153" spans="1:5" x14ac:dyDescent="0.2">
      <c r="B153" s="37"/>
    </row>
    <row r="154" spans="1:5" ht="31.5" thickBot="1" x14ac:dyDescent="0.25">
      <c r="A154" s="62" t="s">
        <v>311</v>
      </c>
    </row>
    <row r="155" spans="1:5" ht="14.25" thickTop="1" x14ac:dyDescent="0.25">
      <c r="A155" t="s">
        <v>233</v>
      </c>
      <c r="B155" t="s">
        <v>234</v>
      </c>
      <c r="C155" s="24">
        <f>Δ_A</f>
        <v>0.75749999999999995</v>
      </c>
      <c r="D155" t="s">
        <v>75</v>
      </c>
      <c r="E155" s="41" t="str">
        <f ca="1">IFERROR(_xlfn.FORMULATEXT(C155),"")</f>
        <v>=Δ_A</v>
      </c>
    </row>
    <row r="156" spans="1:5" ht="13.5" x14ac:dyDescent="0.25">
      <c r="A156" t="s">
        <v>351</v>
      </c>
      <c r="B156" t="s">
        <v>350</v>
      </c>
      <c r="C156" s="24">
        <f>Δ_C-ε_sc*D_m</f>
        <v>0.52776634268848688</v>
      </c>
      <c r="D156" t="s">
        <v>75</v>
      </c>
      <c r="E156" s="41" t="str">
        <f ca="1">IFERROR(_xlfn.FORMULATEXT(C156),"")</f>
        <v>=Δ_C-ε_sc*D_m</v>
      </c>
    </row>
    <row r="157" spans="1:5" ht="13.5" x14ac:dyDescent="0.25">
      <c r="A157" t="s">
        <v>236</v>
      </c>
      <c r="B157" t="s">
        <v>235</v>
      </c>
      <c r="C157">
        <f>SnapTiteTables!$AG$28</f>
        <v>5.8</v>
      </c>
      <c r="E157" t="s">
        <v>299</v>
      </c>
    </row>
    <row r="158" spans="1:5" ht="13.5" x14ac:dyDescent="0.25">
      <c r="A158" t="s">
        <v>349</v>
      </c>
      <c r="B158" t="s">
        <v>348</v>
      </c>
      <c r="C158" s="49">
        <f>γ_EV*D_f*(c_/R_m)*(Δ_f/D_m)</f>
        <v>1.2139923869413018E-2</v>
      </c>
      <c r="E158" s="26" t="str">
        <f ca="1">IFERROR(_xlfn.FORMULATEXT(C158),"")</f>
        <v>=γ_EV*D_f*(c_/R_m)*(Δ_f/D_m)</v>
      </c>
    </row>
    <row r="159" spans="1:5" x14ac:dyDescent="0.2">
      <c r="C159" s="49"/>
    </row>
    <row r="160" spans="1:5" ht="13.5" customHeight="1" x14ac:dyDescent="0.25">
      <c r="A160" t="s">
        <v>354</v>
      </c>
      <c r="B160" t="s">
        <v>356</v>
      </c>
      <c r="C160" s="49">
        <f>ε_fu+ε_uc</f>
        <v>4.2294650542282208E-2</v>
      </c>
      <c r="E160" s="26" t="str">
        <f ca="1">IFERROR(_xlfn.FORMULATEXT(C160),"")</f>
        <v>=ε_fu+ε_uc</v>
      </c>
    </row>
    <row r="161" spans="1:5" ht="18" x14ac:dyDescent="0.35">
      <c r="A161" t="s">
        <v>363</v>
      </c>
      <c r="B161" t="s">
        <v>364</v>
      </c>
      <c r="C161" s="25">
        <f>ϕ_thrust</f>
        <v>1</v>
      </c>
    </row>
    <row r="162" spans="1:5" ht="13.5" x14ac:dyDescent="0.25">
      <c r="A162" t="s">
        <v>327</v>
      </c>
      <c r="B162" t="s">
        <v>328</v>
      </c>
      <c r="C162" s="49">
        <f>ε_yc</f>
        <v>4.1000000000000002E-2</v>
      </c>
      <c r="E162" t="s">
        <v>329</v>
      </c>
    </row>
    <row r="163" spans="1:5" ht="13.5" x14ac:dyDescent="0.25">
      <c r="A163" t="s">
        <v>330</v>
      </c>
      <c r="B163" t="s">
        <v>366</v>
      </c>
      <c r="C163" s="49">
        <f>1.5*ϕε_yc</f>
        <v>6.1499999999999999E-2</v>
      </c>
      <c r="E163" s="26" t="str">
        <f ca="1">IFERROR(_xlfn.FORMULATEXT(C163),"")</f>
        <v>=1.5*ϕε_yc</v>
      </c>
    </row>
    <row r="164" spans="1:5" x14ac:dyDescent="0.2">
      <c r="B164" s="37" t="str">
        <f>IF(ϕ1.5ε_yc&gt;ε_fcu,"ϕ1.5ε_yc&gt;ε_fu+ε_uc, OK","ϕ1.5ε_yc&lt;ε_fu+ε_uc, NO GOOD")</f>
        <v>ϕ1.5ε_yc&gt;ε_fu+ε_uc, OK</v>
      </c>
      <c r="E164" s="37"/>
    </row>
    <row r="165" spans="1:5" x14ac:dyDescent="0.2">
      <c r="B165" s="37"/>
      <c r="E165" s="37"/>
    </row>
    <row r="166" spans="1:5" ht="13.5" x14ac:dyDescent="0.25">
      <c r="A166" t="s">
        <v>355</v>
      </c>
      <c r="B166" t="s">
        <v>357</v>
      </c>
      <c r="C166" s="49">
        <f>ε_fu-ε_uc</f>
        <v>-1.8014802803456173E-2</v>
      </c>
      <c r="E166" s="26" t="str">
        <f ca="1">IFERROR(_xlfn.FORMULATEXT(C166),"")</f>
        <v>=ε_fu-ε_uc</v>
      </c>
    </row>
    <row r="167" spans="1:5" ht="18" x14ac:dyDescent="0.35">
      <c r="A167" t="s">
        <v>359</v>
      </c>
      <c r="B167" t="s">
        <v>358</v>
      </c>
      <c r="C167" s="25">
        <v>1</v>
      </c>
    </row>
    <row r="168" spans="1:5" ht="13.5" x14ac:dyDescent="0.25">
      <c r="A168" t="s">
        <v>362</v>
      </c>
      <c r="B168" t="s">
        <v>361</v>
      </c>
      <c r="C168" s="49">
        <v>0.05</v>
      </c>
      <c r="E168" t="s">
        <v>329</v>
      </c>
    </row>
    <row r="169" spans="1:5" ht="13.5" x14ac:dyDescent="0.25">
      <c r="A169" t="s">
        <v>365</v>
      </c>
      <c r="B169" t="s">
        <v>360</v>
      </c>
      <c r="C169" s="49">
        <f>ϕ_flexure*ε_yt</f>
        <v>0.05</v>
      </c>
      <c r="E169" s="26" t="str">
        <f ca="1">IFERROR(_xlfn.FORMULATEXT(C169),"")</f>
        <v>=ϕ_flexure*ε_yt</v>
      </c>
    </row>
    <row r="170" spans="1:5" x14ac:dyDescent="0.2">
      <c r="B170" s="37" t="str">
        <f>IF(ϕε_yt&gt;ε_ftu,"ϕε_yt&gt;ε_t-ε_u, OK","ϕε_yt&lt;ε_t-ε_u, NO GOOD")</f>
        <v>ϕε_yt&gt;ε_t-ε_u, OK</v>
      </c>
    </row>
    <row r="172" spans="1:5" ht="20.25" thickBot="1" x14ac:dyDescent="0.35">
      <c r="A172" s="28" t="s">
        <v>104</v>
      </c>
    </row>
    <row r="173" spans="1:5" ht="14.25" thickTop="1" x14ac:dyDescent="0.25">
      <c r="A173" t="s">
        <v>237</v>
      </c>
      <c r="B173" t="s">
        <v>239</v>
      </c>
      <c r="C173">
        <f>MaxCoverLookup</f>
        <v>27</v>
      </c>
      <c r="D173" t="s">
        <v>120</v>
      </c>
      <c r="E173" t="s">
        <v>399</v>
      </c>
    </row>
    <row r="174" spans="1:5" x14ac:dyDescent="0.2">
      <c r="B174" s="37" t="str">
        <f>IF(H_max&gt;=H,"H_max≥H, OK","H_max&lt;H, NO GOOD")</f>
        <v>H_max≥H, OK</v>
      </c>
    </row>
    <row r="175" spans="1:5" ht="13.5" x14ac:dyDescent="0.25">
      <c r="A175" t="s">
        <v>238</v>
      </c>
      <c r="B175" t="s">
        <v>240</v>
      </c>
      <c r="C175">
        <f>MinCoverLookup</f>
        <v>1.25</v>
      </c>
      <c r="D175" t="s">
        <v>120</v>
      </c>
      <c r="E175" t="s">
        <v>400</v>
      </c>
    </row>
    <row r="176" spans="1:5" x14ac:dyDescent="0.2">
      <c r="B176" s="37" t="str">
        <f>IF(H_min&lt;=H,"H_min≤H, OK","H_min&gt;H, NO GOOD")</f>
        <v>H_min≤H, OK</v>
      </c>
    </row>
    <row r="178" spans="1:5" ht="70.5" thickBot="1" x14ac:dyDescent="0.25">
      <c r="A178" s="62" t="s">
        <v>414</v>
      </c>
    </row>
    <row r="179" spans="1:5" ht="14.25" thickTop="1" x14ac:dyDescent="0.25">
      <c r="A179" t="s">
        <v>415</v>
      </c>
      <c r="B179" t="s">
        <v>416</v>
      </c>
      <c r="C179" s="25">
        <v>95</v>
      </c>
      <c r="D179" t="s">
        <v>417</v>
      </c>
      <c r="E179" t="s">
        <v>418</v>
      </c>
    </row>
    <row r="180" spans="1:5" x14ac:dyDescent="0.2">
      <c r="A180" t="s">
        <v>419</v>
      </c>
      <c r="B180" t="s">
        <v>419</v>
      </c>
      <c r="C180" s="25">
        <f>OD^2/(E_short/1000*I)</f>
        <v>351.10210909090904</v>
      </c>
      <c r="D180" t="s">
        <v>417</v>
      </c>
      <c r="E180" s="26" t="str">
        <f ca="1">IFERROR(_xlfn.FORMULATEXT(C180),"")</f>
        <v>=OD^2/(E_short/1000*I)</v>
      </c>
    </row>
    <row r="181" spans="1:5" x14ac:dyDescent="0.2">
      <c r="B181" s="37" t="str">
        <f>IF(FF&lt;=FF_max,"FF≤FF_max, OK","FF&gt;FF_max, NO GOOD")</f>
        <v>FF&gt;FF_max, NO GOOD</v>
      </c>
    </row>
    <row r="183" spans="1:5" ht="20.25" thickBot="1" x14ac:dyDescent="0.35">
      <c r="A183" s="28" t="s">
        <v>369</v>
      </c>
    </row>
    <row r="184" spans="1:5" ht="12" hidden="1" customHeight="1" thickTop="1" x14ac:dyDescent="0.2">
      <c r="A184" t="s">
        <v>284</v>
      </c>
      <c r="B184" s="37" t="str">
        <f>ThrustCheck</f>
        <v>T_cr&gt;T_U, OK</v>
      </c>
    </row>
    <row r="185" spans="1:5" ht="12.75" hidden="1" thickTop="1" x14ac:dyDescent="0.2">
      <c r="A185" t="s">
        <v>279</v>
      </c>
      <c r="B185" s="37" t="str">
        <f>BucklingCheck</f>
        <v>T_buckling&gt;T_U, OK</v>
      </c>
    </row>
    <row r="186" spans="1:5" ht="12.75" thickTop="1" x14ac:dyDescent="0.2">
      <c r="A186" t="s">
        <v>245</v>
      </c>
      <c r="B186" s="37" t="str">
        <f>DeflectionCheck</f>
        <v>Δ_A&gt;Δ_t, OK</v>
      </c>
    </row>
    <row r="187" spans="1:5" x14ac:dyDescent="0.2">
      <c r="A187" t="s">
        <v>367</v>
      </c>
      <c r="B187" s="37" t="str">
        <f>$B$140</f>
        <v>ϕε_yc&gt;ε_uc, OK</v>
      </c>
    </row>
    <row r="188" spans="1:5" x14ac:dyDescent="0.2">
      <c r="A188" t="s">
        <v>368</v>
      </c>
      <c r="B188" s="37" t="str">
        <f>$B$151</f>
        <v>ϕε_buckling&gt;ε_uc, OK</v>
      </c>
    </row>
    <row r="189" spans="1:5" x14ac:dyDescent="0.2">
      <c r="A189" t="s">
        <v>281</v>
      </c>
      <c r="B189" s="37" t="str">
        <f>CombinedCompressionStrainCheck</f>
        <v>ϕ1.5ε_yc&gt;ε_fu+ε_uc, OK</v>
      </c>
    </row>
    <row r="190" spans="1:5" x14ac:dyDescent="0.2">
      <c r="A190" t="s">
        <v>280</v>
      </c>
      <c r="B190" s="37" t="str">
        <f>CombinedTensionStrainCheck</f>
        <v>ϕε_yt&gt;ε_t-ε_u, OK</v>
      </c>
    </row>
    <row r="191" spans="1:5" x14ac:dyDescent="0.2">
      <c r="A191" t="s">
        <v>282</v>
      </c>
      <c r="B191" s="37" t="str">
        <f>MaxCoverCheck</f>
        <v>H_max≥H, OK</v>
      </c>
    </row>
    <row r="192" spans="1:5" x14ac:dyDescent="0.2">
      <c r="A192" t="s">
        <v>283</v>
      </c>
      <c r="B192" s="37" t="str">
        <f>MinCoverCheck</f>
        <v>H_min≤H, OK</v>
      </c>
    </row>
    <row r="193" spans="1:2" x14ac:dyDescent="0.2">
      <c r="A193" t="s">
        <v>420</v>
      </c>
      <c r="B193" s="37" t="str">
        <f>FlexibilityCheck</f>
        <v>FF&gt;FF_max, NO GOOD</v>
      </c>
    </row>
    <row r="194" spans="1:2" ht="55.5" customHeight="1" x14ac:dyDescent="0.2"/>
  </sheetData>
  <mergeCells count="2">
    <mergeCell ref="A152:E152"/>
    <mergeCell ref="A27:E27"/>
  </mergeCells>
  <dataValidations xWindow="396" yWindow="710" count="13">
    <dataValidation type="list" allowBlank="1" showInputMessage="1" showErrorMessage="1" sqref="C22" xr:uid="{00000000-0002-0000-0000-000000000000}">
      <formula1>"I, IA, IB, II, III"</formula1>
    </dataValidation>
    <dataValidation type="list" allowBlank="1" showInputMessage="1" showErrorMessage="1" sqref="C23" xr:uid="{00000000-0002-0000-0000-000001000000}">
      <formula1>"Compacted, Uncompacted, 85%, 90%, 95%, 100%"</formula1>
    </dataValidation>
    <dataValidation type="list" allowBlank="1" showInputMessage="1" showErrorMessage="1" sqref="C24" xr:uid="{00000000-0002-0000-0000-000002000000}">
      <formula1>"Sand, Gravel"</formula1>
    </dataValidation>
    <dataValidation type="list" errorStyle="information" allowBlank="1" showInputMessage="1" showErrorMessage="1" errorTitle="Enter Custom Live Load" error="For a live load type not listed, enter the load (in lbs) in cell E11 down and to the right." promptTitle="Live Load Type" prompt="You may enter any live load type in this cell (even if it is not in the dropdown list). " sqref="C30" xr:uid="{00000000-0002-0000-0000-000003000000}">
      <formula1>LiveLoadNames</formula1>
    </dataValidation>
    <dataValidation allowBlank="1" showInputMessage="1" showErrorMessage="1" promptTitle="Live Axle Load" prompt="Select Live Load Type from dropdown menu above._x000a__x000a_For &quot;Other&quot;, enter the live load at the bottom of the live loading table above and to the right (kips)." sqref="C69" xr:uid="{00000000-0002-0000-0000-000004000000}"/>
    <dataValidation type="whole" errorStyle="warning" operator="notBetween" allowBlank="1" showInputMessage="1" showErrorMessage="1" errorTitle="Live Load in lbs" error="The value you entered seems low. Make sure it is in lbs and not kips." promptTitle="Alternative Live Load" prompt="Enter the alternative live load value here in lbs. You may enter a name for the alternative live loading type on the Live Load Type line. " sqref="E69" xr:uid="{00000000-0002-0000-0000-000005000000}">
      <formula1>1</formula1>
      <formula2>10000</formula2>
    </dataValidation>
    <dataValidation type="list" allowBlank="1" showInputMessage="1" showErrorMessage="1" sqref="D30" xr:uid="{00000000-0002-0000-0000-000006000000}">
      <formula1>"with Tandem, no Tandem"</formula1>
    </dataValidation>
    <dataValidation type="list" allowBlank="1" showInputMessage="1" sqref="C32" xr:uid="{00000000-0002-0000-0000-000007000000}">
      <formula1>"Short, Long"</formula1>
    </dataValidation>
    <dataValidation type="decimal" errorStyle="warning" operator="equal" allowBlank="1" showInputMessage="1" showErrorMessage="1" errorTitle="Invalid Pipe Type Entered" error="Proceed with caution- this calculator currently only contains design info for DR 32.5 pipe except for 8 inch nominal." sqref="C2" xr:uid="{00000000-0002-0000-0000-000008000000}">
      <formula1>32.5</formula1>
    </dataValidation>
    <dataValidation allowBlank="1" showInputMessage="1" showErrorMessage="1" promptTitle="Live Tandem Load" prompt="If Tandem load analysis is desired, select Live Load Type from dropdown menu above and specify the name of the tandem load below he live loading table." sqref="C77" xr:uid="{00000000-0002-0000-0000-000009000000}"/>
    <dataValidation type="list" errorStyle="information" allowBlank="1" errorTitle="Enter Custom Live Load" error="For a live load type not listed, enter the load (in lbs) in cell E11 down and to the right." promptTitle="Live Load Type" prompt="You may enter any live load type in this cell (even if it is not in the dropdown list). " sqref="G19" xr:uid="{00000000-0002-0000-0000-00000A000000}">
      <formula1>LiveLoadNames</formula1>
    </dataValidation>
    <dataValidation type="list" allowBlank="1" showInputMessage="1" showErrorMessage="1" sqref="C3" xr:uid="{00000000-0002-0000-0000-00000B000000}">
      <formula1>PipeDiameters</formula1>
    </dataValidation>
    <dataValidation type="list" allowBlank="1" showInputMessage="1" showErrorMessage="1" sqref="B23" xr:uid="{00000000-0002-0000-0000-00000C000000}">
      <formula1>"Standard Proctor, Modified Proctor"</formula1>
    </dataValidation>
  </dataValidations>
  <pageMargins left="0.7" right="0.7" top="1.3" bottom="0.75" header="0.3" footer="0.3"/>
  <pageSetup scale="83" fitToHeight="0" orientation="portrait" r:id="rId1"/>
  <headerFooter scaleWithDoc="0">
    <oddHeader>&amp;L&amp;G&amp;C&amp;"Arial,Bold"&amp;12Structural Design Check
for Thermoplastic Pipe&amp;"Arial,Regular"&amp;10
Per AASHTO LRFD Bridge Design
Specifications Section 12.12, 2014&amp;R&amp;"Arial,Regular"&amp;10&amp;D
Prepared by:
Rick Teachey</oddHeader>
    <oddFooter>&amp;C&amp;"Arial,Regular"&amp;10&amp;P of &amp;N
CBC Engineers | 125 Westpark Rd, Centerville, OH | (937) 428-6150</oddFooter>
  </headerFooter>
  <rowBreaks count="3" manualBreakCount="3">
    <brk id="47" max="4" man="1"/>
    <brk id="97" max="4" man="1"/>
    <brk id="141" max="4" man="1"/>
  </rowBreaks>
  <legacyDrawingHF r:id="rId2"/>
  <extLst>
    <ext xmlns:x14="http://schemas.microsoft.com/office/spreadsheetml/2009/9/main" uri="{CCE6A557-97BC-4b89-ADB6-D9C93CAAB3DF}">
      <x14:dataValidations xmlns:xm="http://schemas.microsoft.com/office/excel/2006/main" xWindow="396" yWindow="710" count="1">
        <x14:dataValidation type="list" allowBlank="1" showInputMessage="1" showErrorMessage="1" xr:uid="{00000000-0002-0000-0000-00000D000000}">
          <x14:formula1>
            <xm:f>SnapTiteTables!$AM$6:$AM$17</xm:f>
          </x14:formula1>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8"/>
  <sheetViews>
    <sheetView workbookViewId="0"/>
  </sheetViews>
  <sheetFormatPr defaultRowHeight="12" x14ac:dyDescent="0.2"/>
  <cols>
    <col min="2" max="2" width="11.6640625" customWidth="1"/>
    <col min="3" max="3" width="13.83203125" customWidth="1"/>
    <col min="10" max="10" width="3.5" customWidth="1"/>
    <col min="11" max="11" width="11" customWidth="1"/>
    <col min="12" max="12" width="11.6640625" customWidth="1"/>
    <col min="13" max="13" width="10.6640625" customWidth="1"/>
    <col min="14" max="14" width="12.33203125" customWidth="1"/>
  </cols>
  <sheetData>
    <row r="1" spans="1:20" x14ac:dyDescent="0.2">
      <c r="A1" t="s">
        <v>413</v>
      </c>
      <c r="L1" t="s">
        <v>413</v>
      </c>
    </row>
    <row r="2" spans="1:20" ht="12.75" thickBot="1" x14ac:dyDescent="0.25"/>
    <row r="3" spans="1:20" ht="36" customHeight="1" x14ac:dyDescent="0.2">
      <c r="A3" s="84" t="s">
        <v>3</v>
      </c>
      <c r="B3" s="5" t="s">
        <v>35</v>
      </c>
      <c r="C3" s="5" t="s">
        <v>35</v>
      </c>
      <c r="D3" s="5" t="s">
        <v>14</v>
      </c>
      <c r="E3" s="5" t="s">
        <v>14</v>
      </c>
      <c r="F3" s="5" t="s">
        <v>14</v>
      </c>
      <c r="G3" s="5" t="s">
        <v>15</v>
      </c>
      <c r="H3" s="5" t="s">
        <v>15</v>
      </c>
      <c r="I3" s="6" t="s">
        <v>15</v>
      </c>
      <c r="L3" s="84" t="s">
        <v>3</v>
      </c>
      <c r="M3" s="87" t="s">
        <v>35</v>
      </c>
      <c r="N3" s="90"/>
      <c r="O3" s="87" t="s">
        <v>14</v>
      </c>
      <c r="P3" s="88"/>
      <c r="Q3" s="90"/>
      <c r="R3" s="87" t="s">
        <v>15</v>
      </c>
      <c r="S3" s="88"/>
      <c r="T3" s="89"/>
    </row>
    <row r="4" spans="1:20" ht="36" hidden="1" customHeight="1" x14ac:dyDescent="0.2">
      <c r="A4" s="85"/>
      <c r="B4" s="76"/>
      <c r="C4" s="76"/>
      <c r="D4" s="76"/>
      <c r="E4" s="76"/>
      <c r="F4" s="76"/>
      <c r="G4" s="76"/>
      <c r="H4" s="76"/>
      <c r="I4" s="77"/>
      <c r="L4" s="85"/>
      <c r="M4" s="76" t="s">
        <v>35</v>
      </c>
      <c r="N4" s="76" t="s">
        <v>35</v>
      </c>
      <c r="O4" s="76" t="s">
        <v>14</v>
      </c>
      <c r="P4" s="76" t="s">
        <v>14</v>
      </c>
      <c r="Q4" s="76" t="s">
        <v>14</v>
      </c>
      <c r="R4" s="76" t="s">
        <v>15</v>
      </c>
      <c r="S4" s="76" t="s">
        <v>15</v>
      </c>
      <c r="T4" s="77" t="s">
        <v>15</v>
      </c>
    </row>
    <row r="5" spans="1:20" ht="12.75" thickBot="1" x14ac:dyDescent="0.25">
      <c r="A5" s="86"/>
      <c r="B5" s="2" t="s">
        <v>36</v>
      </c>
      <c r="C5" s="2" t="s">
        <v>37</v>
      </c>
      <c r="D5" s="3">
        <v>0.95</v>
      </c>
      <c r="E5" s="3">
        <v>0.9</v>
      </c>
      <c r="F5" s="3">
        <v>0.85</v>
      </c>
      <c r="G5" s="3">
        <v>0.95</v>
      </c>
      <c r="H5" s="3">
        <v>0.9</v>
      </c>
      <c r="I5" s="8">
        <v>0.85</v>
      </c>
      <c r="J5" s="1"/>
      <c r="L5" s="86"/>
      <c r="M5" s="2" t="s">
        <v>36</v>
      </c>
      <c r="N5" s="2" t="s">
        <v>37</v>
      </c>
      <c r="O5" s="3">
        <v>0.95</v>
      </c>
      <c r="P5" s="3">
        <v>0.9</v>
      </c>
      <c r="Q5" s="3">
        <v>0.85</v>
      </c>
      <c r="R5" s="3">
        <v>0.95</v>
      </c>
      <c r="S5" s="3">
        <v>0.9</v>
      </c>
      <c r="T5" s="8">
        <v>0.85</v>
      </c>
    </row>
    <row r="6" spans="1:20" ht="12.75" hidden="1" thickBot="1" x14ac:dyDescent="0.25">
      <c r="A6" s="10"/>
      <c r="B6" s="11" t="str">
        <f t="shared" ref="B6:I6" si="0">_xlfn.CONCAT(B3,"-",TEXT(B5,"00%"))</f>
        <v>I-Compacted</v>
      </c>
      <c r="C6" s="11" t="str">
        <f t="shared" si="0"/>
        <v>I-Uncompacted</v>
      </c>
      <c r="D6" s="11" t="str">
        <f t="shared" si="0"/>
        <v>II-95%</v>
      </c>
      <c r="E6" s="11" t="str">
        <f t="shared" si="0"/>
        <v>II-90%</v>
      </c>
      <c r="F6" s="11" t="str">
        <f t="shared" si="0"/>
        <v>II-85%</v>
      </c>
      <c r="G6" s="11" t="str">
        <f t="shared" si="0"/>
        <v>III-95%</v>
      </c>
      <c r="H6" s="11" t="str">
        <f t="shared" si="0"/>
        <v>III-90%</v>
      </c>
      <c r="I6" s="12" t="str">
        <f t="shared" si="0"/>
        <v>III-85%</v>
      </c>
      <c r="J6" s="1"/>
      <c r="L6" s="10"/>
      <c r="M6" s="11" t="str">
        <f t="shared" ref="M6:T6" si="1">_xlfn.CONCAT(M4,"-",TEXT(M5,"00%"))</f>
        <v>I-Compacted</v>
      </c>
      <c r="N6" s="11" t="str">
        <f t="shared" si="1"/>
        <v>I-Uncompacted</v>
      </c>
      <c r="O6" s="11" t="str">
        <f t="shared" si="1"/>
        <v>II-95%</v>
      </c>
      <c r="P6" s="11" t="str">
        <f t="shared" si="1"/>
        <v>II-90%</v>
      </c>
      <c r="Q6" s="11" t="str">
        <f t="shared" si="1"/>
        <v>II-85%</v>
      </c>
      <c r="R6" s="11" t="str">
        <f t="shared" si="1"/>
        <v>III-95%</v>
      </c>
      <c r="S6" s="11" t="str">
        <f t="shared" si="1"/>
        <v>III-90%</v>
      </c>
      <c r="T6" s="12" t="str">
        <f t="shared" si="1"/>
        <v>III-85%</v>
      </c>
    </row>
    <row r="7" spans="1:20" x14ac:dyDescent="0.2">
      <c r="A7" s="13">
        <v>8</v>
      </c>
      <c r="B7" s="14">
        <v>61</v>
      </c>
      <c r="C7" s="14">
        <v>32</v>
      </c>
      <c r="D7" s="14">
        <v>61</v>
      </c>
      <c r="E7" s="14">
        <v>32</v>
      </c>
      <c r="F7" s="14">
        <v>12</v>
      </c>
      <c r="G7" s="14">
        <v>32</v>
      </c>
      <c r="H7" s="14">
        <v>15</v>
      </c>
      <c r="I7" s="15">
        <v>9</v>
      </c>
      <c r="L7" s="59">
        <v>8</v>
      </c>
      <c r="M7" s="14">
        <v>61</v>
      </c>
      <c r="N7" s="14">
        <v>32</v>
      </c>
      <c r="O7" s="14">
        <v>61</v>
      </c>
      <c r="P7" s="14">
        <v>32</v>
      </c>
      <c r="Q7" s="14">
        <v>12</v>
      </c>
      <c r="R7" s="14">
        <v>32</v>
      </c>
      <c r="S7" s="14">
        <v>15</v>
      </c>
      <c r="T7" s="15">
        <v>9</v>
      </c>
    </row>
    <row r="8" spans="1:20" x14ac:dyDescent="0.2">
      <c r="A8" s="56">
        <v>10.75</v>
      </c>
      <c r="B8" s="2">
        <v>61</v>
      </c>
      <c r="C8" s="2">
        <v>26</v>
      </c>
      <c r="D8" s="2">
        <v>51</v>
      </c>
      <c r="E8" s="2">
        <v>26</v>
      </c>
      <c r="F8" s="2">
        <v>6</v>
      </c>
      <c r="G8" s="2">
        <v>27</v>
      </c>
      <c r="H8" s="2">
        <v>10</v>
      </c>
      <c r="I8" s="9">
        <v>6</v>
      </c>
      <c r="L8" s="56">
        <v>10.75</v>
      </c>
      <c r="M8" s="2">
        <v>61</v>
      </c>
      <c r="N8" s="2">
        <v>26</v>
      </c>
      <c r="O8" s="2">
        <v>51</v>
      </c>
      <c r="P8" s="2">
        <v>26</v>
      </c>
      <c r="Q8" s="2">
        <v>6</v>
      </c>
      <c r="R8" s="2">
        <v>27</v>
      </c>
      <c r="S8" s="2">
        <v>10</v>
      </c>
      <c r="T8" s="9">
        <v>6</v>
      </c>
    </row>
    <row r="9" spans="1:20" x14ac:dyDescent="0.2">
      <c r="A9" s="7">
        <v>12.75</v>
      </c>
      <c r="B9" s="2">
        <v>61</v>
      </c>
      <c r="C9" s="2">
        <v>26</v>
      </c>
      <c r="D9" s="2">
        <v>51</v>
      </c>
      <c r="E9" s="2">
        <v>26</v>
      </c>
      <c r="F9" s="2">
        <v>6</v>
      </c>
      <c r="G9" s="2">
        <v>27</v>
      </c>
      <c r="H9" s="2">
        <v>10</v>
      </c>
      <c r="I9" s="9">
        <v>6</v>
      </c>
      <c r="L9" s="7">
        <v>12.75</v>
      </c>
      <c r="M9" s="2">
        <v>61</v>
      </c>
      <c r="N9" s="2">
        <v>26</v>
      </c>
      <c r="O9" s="2">
        <v>51</v>
      </c>
      <c r="P9" s="2">
        <v>26</v>
      </c>
      <c r="Q9" s="2">
        <v>6</v>
      </c>
      <c r="R9" s="2">
        <v>27</v>
      </c>
      <c r="S9" s="2">
        <v>10</v>
      </c>
      <c r="T9" s="9">
        <v>6</v>
      </c>
    </row>
    <row r="10" spans="1:20" x14ac:dyDescent="0.2">
      <c r="A10" s="7">
        <v>14</v>
      </c>
      <c r="B10" s="2">
        <v>61</v>
      </c>
      <c r="C10" s="2">
        <v>26</v>
      </c>
      <c r="D10" s="2">
        <v>51</v>
      </c>
      <c r="E10" s="2">
        <v>26</v>
      </c>
      <c r="F10" s="2">
        <v>7</v>
      </c>
      <c r="G10" s="2">
        <v>27</v>
      </c>
      <c r="H10" s="2">
        <v>11</v>
      </c>
      <c r="I10" s="9">
        <v>7</v>
      </c>
      <c r="L10" s="7">
        <v>14</v>
      </c>
      <c r="M10" s="2">
        <v>61</v>
      </c>
      <c r="N10" s="2">
        <v>26</v>
      </c>
      <c r="O10" s="2">
        <v>51</v>
      </c>
      <c r="P10" s="2">
        <v>26</v>
      </c>
      <c r="Q10" s="2">
        <v>7</v>
      </c>
      <c r="R10" s="2">
        <v>27</v>
      </c>
      <c r="S10" s="2">
        <v>11</v>
      </c>
      <c r="T10" s="9">
        <v>7</v>
      </c>
    </row>
    <row r="11" spans="1:20" x14ac:dyDescent="0.2">
      <c r="A11" s="7">
        <v>16</v>
      </c>
      <c r="B11" s="2">
        <v>61</v>
      </c>
      <c r="C11" s="2">
        <v>26</v>
      </c>
      <c r="D11" s="2">
        <v>51</v>
      </c>
      <c r="E11" s="2">
        <v>26</v>
      </c>
      <c r="F11" s="2">
        <v>8</v>
      </c>
      <c r="G11" s="2">
        <v>27</v>
      </c>
      <c r="H11" s="2">
        <v>11</v>
      </c>
      <c r="I11" s="9">
        <v>7</v>
      </c>
      <c r="L11" s="7">
        <v>16</v>
      </c>
      <c r="M11" s="2">
        <v>61</v>
      </c>
      <c r="N11" s="2">
        <v>26</v>
      </c>
      <c r="O11" s="2">
        <v>51</v>
      </c>
      <c r="P11" s="2">
        <v>26</v>
      </c>
      <c r="Q11" s="2">
        <v>8</v>
      </c>
      <c r="R11" s="2">
        <v>27</v>
      </c>
      <c r="S11" s="2">
        <v>11</v>
      </c>
      <c r="T11" s="9">
        <v>7</v>
      </c>
    </row>
    <row r="12" spans="1:20" x14ac:dyDescent="0.2">
      <c r="A12" s="7">
        <v>18</v>
      </c>
      <c r="B12" s="2">
        <v>61</v>
      </c>
      <c r="C12" s="2">
        <v>26</v>
      </c>
      <c r="D12" s="2">
        <v>51</v>
      </c>
      <c r="E12" s="2">
        <v>26</v>
      </c>
      <c r="F12" s="2">
        <v>8</v>
      </c>
      <c r="G12" s="2">
        <v>27</v>
      </c>
      <c r="H12" s="2">
        <v>11</v>
      </c>
      <c r="I12" s="9">
        <v>7</v>
      </c>
      <c r="L12" s="7">
        <v>18</v>
      </c>
      <c r="M12" s="2">
        <v>61</v>
      </c>
      <c r="N12" s="2">
        <v>26</v>
      </c>
      <c r="O12" s="2">
        <v>51</v>
      </c>
      <c r="P12" s="2">
        <v>26</v>
      </c>
      <c r="Q12" s="2">
        <v>8</v>
      </c>
      <c r="R12" s="2">
        <v>27</v>
      </c>
      <c r="S12" s="2">
        <v>11</v>
      </c>
      <c r="T12" s="9">
        <v>7</v>
      </c>
    </row>
    <row r="13" spans="1:20" x14ac:dyDescent="0.2">
      <c r="A13" s="7">
        <v>20</v>
      </c>
      <c r="B13" s="2">
        <v>61</v>
      </c>
      <c r="C13" s="2">
        <v>26</v>
      </c>
      <c r="D13" s="2">
        <v>51</v>
      </c>
      <c r="E13" s="2">
        <v>26</v>
      </c>
      <c r="F13" s="2">
        <v>8</v>
      </c>
      <c r="G13" s="2">
        <v>27</v>
      </c>
      <c r="H13" s="2">
        <v>11</v>
      </c>
      <c r="I13" s="9">
        <v>7</v>
      </c>
      <c r="L13" s="7">
        <v>20</v>
      </c>
      <c r="M13" s="2">
        <v>61</v>
      </c>
      <c r="N13" s="2">
        <v>26</v>
      </c>
      <c r="O13" s="2">
        <v>51</v>
      </c>
      <c r="P13" s="2">
        <v>26</v>
      </c>
      <c r="Q13" s="2">
        <v>8</v>
      </c>
      <c r="R13" s="2">
        <v>27</v>
      </c>
      <c r="S13" s="2">
        <v>11</v>
      </c>
      <c r="T13" s="9">
        <v>7</v>
      </c>
    </row>
    <row r="14" spans="1:20" x14ac:dyDescent="0.2">
      <c r="A14" s="7">
        <v>22</v>
      </c>
      <c r="B14" s="2">
        <v>61</v>
      </c>
      <c r="C14" s="2">
        <v>26</v>
      </c>
      <c r="D14" s="2">
        <v>51</v>
      </c>
      <c r="E14" s="2">
        <v>26</v>
      </c>
      <c r="F14" s="2">
        <v>8</v>
      </c>
      <c r="G14" s="2">
        <v>27</v>
      </c>
      <c r="H14" s="2">
        <v>11</v>
      </c>
      <c r="I14" s="9">
        <v>7</v>
      </c>
      <c r="L14" s="7">
        <v>22</v>
      </c>
      <c r="M14" s="2">
        <v>61</v>
      </c>
      <c r="N14" s="2">
        <v>26</v>
      </c>
      <c r="O14" s="2">
        <v>51</v>
      </c>
      <c r="P14" s="2">
        <v>26</v>
      </c>
      <c r="Q14" s="2">
        <v>8</v>
      </c>
      <c r="R14" s="2">
        <v>27</v>
      </c>
      <c r="S14" s="2">
        <v>11</v>
      </c>
      <c r="T14" s="9">
        <v>7</v>
      </c>
    </row>
    <row r="15" spans="1:20" x14ac:dyDescent="0.2">
      <c r="A15" s="7">
        <v>24</v>
      </c>
      <c r="B15" s="2">
        <v>61</v>
      </c>
      <c r="C15" s="2">
        <v>26</v>
      </c>
      <c r="D15" s="2">
        <v>51</v>
      </c>
      <c r="E15" s="2">
        <v>26</v>
      </c>
      <c r="F15" s="2">
        <v>8</v>
      </c>
      <c r="G15" s="2">
        <v>27</v>
      </c>
      <c r="H15" s="2">
        <v>11</v>
      </c>
      <c r="I15" s="9">
        <v>7</v>
      </c>
      <c r="L15" s="7">
        <v>24</v>
      </c>
      <c r="M15" s="2">
        <v>61</v>
      </c>
      <c r="N15" s="2">
        <v>26</v>
      </c>
      <c r="O15" s="2">
        <v>51</v>
      </c>
      <c r="P15" s="2">
        <v>26</v>
      </c>
      <c r="Q15" s="2">
        <v>8</v>
      </c>
      <c r="R15" s="2">
        <v>27</v>
      </c>
      <c r="S15" s="2">
        <v>11</v>
      </c>
      <c r="T15" s="9">
        <v>7</v>
      </c>
    </row>
    <row r="16" spans="1:20" x14ac:dyDescent="0.2">
      <c r="A16" s="7">
        <v>26</v>
      </c>
      <c r="B16" s="2">
        <v>61</v>
      </c>
      <c r="C16" s="2">
        <v>26</v>
      </c>
      <c r="D16" s="2">
        <v>51</v>
      </c>
      <c r="E16" s="2">
        <v>26</v>
      </c>
      <c r="F16" s="2">
        <v>8</v>
      </c>
      <c r="G16" s="2">
        <v>27</v>
      </c>
      <c r="H16" s="2">
        <v>11</v>
      </c>
      <c r="I16" s="9">
        <v>7</v>
      </c>
      <c r="L16" s="7">
        <v>26</v>
      </c>
      <c r="M16" s="2">
        <v>61</v>
      </c>
      <c r="N16" s="2">
        <v>26</v>
      </c>
      <c r="O16" s="2">
        <v>51</v>
      </c>
      <c r="P16" s="2">
        <v>26</v>
      </c>
      <c r="Q16" s="2">
        <v>8</v>
      </c>
      <c r="R16" s="2">
        <v>27</v>
      </c>
      <c r="S16" s="2">
        <v>11</v>
      </c>
      <c r="T16" s="9">
        <v>7</v>
      </c>
    </row>
    <row r="17" spans="1:20" x14ac:dyDescent="0.2">
      <c r="A17" s="7">
        <v>28</v>
      </c>
      <c r="B17" s="2">
        <v>61</v>
      </c>
      <c r="C17" s="2">
        <v>26</v>
      </c>
      <c r="D17" s="2">
        <v>51</v>
      </c>
      <c r="E17" s="2">
        <v>26</v>
      </c>
      <c r="F17" s="2">
        <v>8</v>
      </c>
      <c r="G17" s="2">
        <v>27</v>
      </c>
      <c r="H17" s="2">
        <v>11</v>
      </c>
      <c r="I17" s="9">
        <v>7</v>
      </c>
      <c r="L17" s="7">
        <v>28</v>
      </c>
      <c r="M17" s="2">
        <v>61</v>
      </c>
      <c r="N17" s="2">
        <v>26</v>
      </c>
      <c r="O17" s="2">
        <v>51</v>
      </c>
      <c r="P17" s="2">
        <v>26</v>
      </c>
      <c r="Q17" s="2">
        <v>8</v>
      </c>
      <c r="R17" s="2">
        <v>27</v>
      </c>
      <c r="S17" s="2">
        <v>11</v>
      </c>
      <c r="T17" s="9">
        <v>7</v>
      </c>
    </row>
    <row r="18" spans="1:20" x14ac:dyDescent="0.2">
      <c r="A18" s="7">
        <v>30</v>
      </c>
      <c r="B18" s="2">
        <v>61</v>
      </c>
      <c r="C18" s="2">
        <v>26</v>
      </c>
      <c r="D18" s="2">
        <v>51</v>
      </c>
      <c r="E18" s="2">
        <v>26</v>
      </c>
      <c r="F18" s="2">
        <v>8</v>
      </c>
      <c r="G18" s="2">
        <v>27</v>
      </c>
      <c r="H18" s="2">
        <v>11</v>
      </c>
      <c r="I18" s="9">
        <v>7</v>
      </c>
      <c r="L18" s="7">
        <v>30</v>
      </c>
      <c r="M18" s="2">
        <v>61</v>
      </c>
      <c r="N18" s="2">
        <v>26</v>
      </c>
      <c r="O18" s="2">
        <v>51</v>
      </c>
      <c r="P18" s="2">
        <v>26</v>
      </c>
      <c r="Q18" s="2">
        <v>8</v>
      </c>
      <c r="R18" s="2">
        <v>27</v>
      </c>
      <c r="S18" s="2">
        <v>11</v>
      </c>
      <c r="T18" s="9">
        <v>7</v>
      </c>
    </row>
    <row r="19" spans="1:20" x14ac:dyDescent="0.2">
      <c r="A19" s="7">
        <v>32</v>
      </c>
      <c r="B19" s="2">
        <v>61</v>
      </c>
      <c r="C19" s="2">
        <v>26</v>
      </c>
      <c r="D19" s="2">
        <v>51</v>
      </c>
      <c r="E19" s="2">
        <v>26</v>
      </c>
      <c r="F19" s="2">
        <v>8</v>
      </c>
      <c r="G19" s="2">
        <v>27</v>
      </c>
      <c r="H19" s="2">
        <v>11</v>
      </c>
      <c r="I19" s="9">
        <v>7</v>
      </c>
      <c r="L19" s="7">
        <v>32</v>
      </c>
      <c r="M19" s="2">
        <v>61</v>
      </c>
      <c r="N19" s="2">
        <v>26</v>
      </c>
      <c r="O19" s="2">
        <v>51</v>
      </c>
      <c r="P19" s="2">
        <v>26</v>
      </c>
      <c r="Q19" s="2">
        <v>8</v>
      </c>
      <c r="R19" s="2">
        <v>27</v>
      </c>
      <c r="S19" s="2">
        <v>11</v>
      </c>
      <c r="T19" s="9">
        <v>7</v>
      </c>
    </row>
    <row r="20" spans="1:20" x14ac:dyDescent="0.2">
      <c r="A20" s="7">
        <v>36</v>
      </c>
      <c r="B20" s="2">
        <v>61</v>
      </c>
      <c r="C20" s="2">
        <v>26</v>
      </c>
      <c r="D20" s="2">
        <v>51</v>
      </c>
      <c r="E20" s="2">
        <v>26</v>
      </c>
      <c r="F20" s="2">
        <v>8</v>
      </c>
      <c r="G20" s="2">
        <v>27</v>
      </c>
      <c r="H20" s="2">
        <v>11</v>
      </c>
      <c r="I20" s="9">
        <v>7</v>
      </c>
      <c r="L20" s="7">
        <v>36</v>
      </c>
      <c r="M20" s="2">
        <v>61</v>
      </c>
      <c r="N20" s="2">
        <v>26</v>
      </c>
      <c r="O20" s="2">
        <v>51</v>
      </c>
      <c r="P20" s="2">
        <v>26</v>
      </c>
      <c r="Q20" s="2">
        <v>8</v>
      </c>
      <c r="R20" s="2">
        <v>27</v>
      </c>
      <c r="S20" s="2">
        <v>11</v>
      </c>
      <c r="T20" s="9">
        <v>7</v>
      </c>
    </row>
    <row r="21" spans="1:20" x14ac:dyDescent="0.2">
      <c r="A21" s="7">
        <v>42</v>
      </c>
      <c r="B21" s="2">
        <v>61</v>
      </c>
      <c r="C21" s="2">
        <v>26</v>
      </c>
      <c r="D21" s="2">
        <v>50</v>
      </c>
      <c r="E21" s="2">
        <v>26</v>
      </c>
      <c r="F21" s="2">
        <v>8</v>
      </c>
      <c r="G21" s="2">
        <v>27</v>
      </c>
      <c r="H21" s="2">
        <v>11</v>
      </c>
      <c r="I21" s="9">
        <v>7</v>
      </c>
      <c r="L21" s="7">
        <v>42</v>
      </c>
      <c r="M21" s="2">
        <v>61</v>
      </c>
      <c r="N21" s="2">
        <v>26</v>
      </c>
      <c r="O21" s="2">
        <v>50</v>
      </c>
      <c r="P21" s="2">
        <v>26</v>
      </c>
      <c r="Q21" s="2">
        <v>8</v>
      </c>
      <c r="R21" s="2">
        <v>27</v>
      </c>
      <c r="S21" s="2">
        <v>11</v>
      </c>
      <c r="T21" s="9">
        <v>7</v>
      </c>
    </row>
    <row r="22" spans="1:20" x14ac:dyDescent="0.2">
      <c r="A22" s="7">
        <v>48</v>
      </c>
      <c r="B22" s="2">
        <v>61</v>
      </c>
      <c r="C22" s="2">
        <v>26</v>
      </c>
      <c r="D22" s="2">
        <v>50</v>
      </c>
      <c r="E22" s="2">
        <v>26</v>
      </c>
      <c r="F22" s="2">
        <v>8</v>
      </c>
      <c r="G22" s="2">
        <v>27</v>
      </c>
      <c r="H22" s="2">
        <v>11</v>
      </c>
      <c r="I22" s="9">
        <v>7</v>
      </c>
      <c r="L22" s="7">
        <v>48</v>
      </c>
      <c r="M22" s="2">
        <v>61</v>
      </c>
      <c r="N22" s="2">
        <v>26</v>
      </c>
      <c r="O22" s="2">
        <v>50</v>
      </c>
      <c r="P22" s="2">
        <v>26</v>
      </c>
      <c r="Q22" s="2">
        <v>8</v>
      </c>
      <c r="R22" s="2">
        <v>27</v>
      </c>
      <c r="S22" s="2">
        <v>11</v>
      </c>
      <c r="T22" s="9">
        <v>7</v>
      </c>
    </row>
    <row r="23" spans="1:20" x14ac:dyDescent="0.2">
      <c r="A23" s="7">
        <v>54</v>
      </c>
      <c r="B23" s="2">
        <v>61</v>
      </c>
      <c r="C23" s="2">
        <v>26</v>
      </c>
      <c r="D23" s="2">
        <v>50</v>
      </c>
      <c r="E23" s="2">
        <v>26</v>
      </c>
      <c r="F23" s="2">
        <v>8</v>
      </c>
      <c r="G23" s="2">
        <v>27</v>
      </c>
      <c r="H23" s="2">
        <v>11</v>
      </c>
      <c r="I23" s="9">
        <v>7</v>
      </c>
      <c r="L23" s="7">
        <v>54</v>
      </c>
      <c r="M23" s="2">
        <v>61</v>
      </c>
      <c r="N23" s="2">
        <v>26</v>
      </c>
      <c r="O23" s="2">
        <v>50</v>
      </c>
      <c r="P23" s="2">
        <v>26</v>
      </c>
      <c r="Q23" s="2">
        <v>8</v>
      </c>
      <c r="R23" s="2">
        <v>27</v>
      </c>
      <c r="S23" s="2">
        <v>11</v>
      </c>
      <c r="T23" s="9">
        <v>7</v>
      </c>
    </row>
    <row r="24" spans="1:20" ht="12.75" thickBot="1" x14ac:dyDescent="0.25">
      <c r="A24" s="10">
        <v>63</v>
      </c>
      <c r="B24" s="11">
        <v>61</v>
      </c>
      <c r="C24" s="11">
        <v>26</v>
      </c>
      <c r="D24" s="11">
        <v>50</v>
      </c>
      <c r="E24" s="11">
        <v>26</v>
      </c>
      <c r="F24" s="11">
        <v>8</v>
      </c>
      <c r="G24" s="11">
        <v>27</v>
      </c>
      <c r="H24" s="11">
        <v>11</v>
      </c>
      <c r="I24" s="12">
        <v>7</v>
      </c>
      <c r="L24" s="10">
        <v>63</v>
      </c>
      <c r="M24" s="11">
        <v>61</v>
      </c>
      <c r="N24" s="11">
        <v>26</v>
      </c>
      <c r="O24" s="11">
        <v>50</v>
      </c>
      <c r="P24" s="11">
        <v>26</v>
      </c>
      <c r="Q24" s="11">
        <v>8</v>
      </c>
      <c r="R24" s="11">
        <v>27</v>
      </c>
      <c r="S24" s="11">
        <v>11</v>
      </c>
      <c r="T24" s="12">
        <v>7</v>
      </c>
    </row>
    <row r="25" spans="1:20" x14ac:dyDescent="0.2">
      <c r="L25" t="s">
        <v>253</v>
      </c>
    </row>
    <row r="27" spans="1:20" x14ac:dyDescent="0.2">
      <c r="K27" t="s">
        <v>93</v>
      </c>
      <c r="L27">
        <f>MATCH(OD_nom,$L$7:$L$24,1)</f>
        <v>2</v>
      </c>
      <c r="M27">
        <f t="shared" ref="M27:T27" si="2">INDEX(M$7:M$24,$L27)</f>
        <v>61</v>
      </c>
      <c r="N27">
        <f t="shared" si="2"/>
        <v>26</v>
      </c>
      <c r="O27">
        <f t="shared" si="2"/>
        <v>51</v>
      </c>
      <c r="P27">
        <f t="shared" si="2"/>
        <v>26</v>
      </c>
      <c r="Q27">
        <f t="shared" si="2"/>
        <v>6</v>
      </c>
      <c r="R27">
        <f t="shared" si="2"/>
        <v>27</v>
      </c>
      <c r="S27">
        <f t="shared" si="2"/>
        <v>10</v>
      </c>
      <c r="T27">
        <f t="shared" si="2"/>
        <v>6</v>
      </c>
    </row>
    <row r="28" spans="1:20" x14ac:dyDescent="0.2">
      <c r="K28" t="s">
        <v>94</v>
      </c>
      <c r="L28">
        <f>L27+1</f>
        <v>3</v>
      </c>
      <c r="M28">
        <f t="shared" ref="M28:T28" si="3">IFERROR(INDEX(M$7:M$24,$L28),0)</f>
        <v>61</v>
      </c>
      <c r="N28">
        <f t="shared" si="3"/>
        <v>26</v>
      </c>
      <c r="O28">
        <f t="shared" si="3"/>
        <v>51</v>
      </c>
      <c r="P28">
        <f t="shared" si="3"/>
        <v>26</v>
      </c>
      <c r="Q28">
        <f t="shared" si="3"/>
        <v>6</v>
      </c>
      <c r="R28">
        <f t="shared" si="3"/>
        <v>27</v>
      </c>
      <c r="S28">
        <f t="shared" si="3"/>
        <v>10</v>
      </c>
      <c r="T28">
        <f t="shared" si="3"/>
        <v>6</v>
      </c>
    </row>
    <row r="29" spans="1:20" x14ac:dyDescent="0.2">
      <c r="K29" t="s">
        <v>95</v>
      </c>
      <c r="L29">
        <f>IFERROR((OD_nom-INDEX($L$7:$L$24,$L$27))/(INDEX($L$7:$L$24,$L$28)-INDEX($L$7:$L$24,$L$27)),0)</f>
        <v>0</v>
      </c>
      <c r="M29">
        <f t="shared" ref="M29:T29" si="4">M27+$L$29*(M28-M27)</f>
        <v>61</v>
      </c>
      <c r="N29">
        <f t="shared" si="4"/>
        <v>26</v>
      </c>
      <c r="O29">
        <f t="shared" si="4"/>
        <v>51</v>
      </c>
      <c r="P29">
        <f t="shared" si="4"/>
        <v>26</v>
      </c>
      <c r="Q29">
        <f t="shared" si="4"/>
        <v>6</v>
      </c>
      <c r="R29">
        <f t="shared" si="4"/>
        <v>27</v>
      </c>
      <c r="S29">
        <f t="shared" si="4"/>
        <v>10</v>
      </c>
      <c r="T29">
        <f t="shared" si="4"/>
        <v>6</v>
      </c>
    </row>
    <row r="32" spans="1:20" x14ac:dyDescent="0.2">
      <c r="K32" t="s">
        <v>96</v>
      </c>
      <c r="L32" t="str">
        <f>SoilClass</f>
        <v>III</v>
      </c>
    </row>
    <row r="33" spans="11:13" x14ac:dyDescent="0.2">
      <c r="K33" t="s">
        <v>98</v>
      </c>
      <c r="L33" s="46">
        <f>StdProctor</f>
        <v>0.95</v>
      </c>
    </row>
    <row r="34" spans="11:13" x14ac:dyDescent="0.2">
      <c r="L34" t="str">
        <f>IF(OR(SoilClass="IA",SoilClass="IB"),"I",SoilClass)</f>
        <v>III</v>
      </c>
      <c r="M34" t="s">
        <v>99</v>
      </c>
    </row>
    <row r="35" spans="11:13" x14ac:dyDescent="0.2">
      <c r="L35" t="str">
        <f>IF(Table_MaxCover_first="I",IF(Proctor="Uncompacted","Uncompacted","Compacted"),TEXT(StdProctor,"0%"))</f>
        <v>95%</v>
      </c>
      <c r="M35" t="s">
        <v>100</v>
      </c>
    </row>
    <row r="36" spans="11:13" x14ac:dyDescent="0.2">
      <c r="K36" t="s">
        <v>97</v>
      </c>
      <c r="L36" t="str">
        <f>_xlfn.CONCAT(Table_MaxCover_first,"-",Table_MaxCover_second)</f>
        <v>III-95%</v>
      </c>
      <c r="M36" t="s">
        <v>101</v>
      </c>
    </row>
    <row r="38" spans="11:13" x14ac:dyDescent="0.2">
      <c r="K38" t="s">
        <v>370</v>
      </c>
      <c r="L38">
        <f>INDEX(Table_MaxCover_interp,MATCH(Table_MaxCover_lookup,Table_MaxCover_Headers,0))</f>
        <v>27</v>
      </c>
      <c r="M38" t="s">
        <v>120</v>
      </c>
    </row>
  </sheetData>
  <mergeCells count="5">
    <mergeCell ref="A3:A5"/>
    <mergeCell ref="L3:L5"/>
    <mergeCell ref="R3:T3"/>
    <mergeCell ref="O3:Q3"/>
    <mergeCell ref="M3:N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
  <sheetViews>
    <sheetView workbookViewId="0"/>
  </sheetViews>
  <sheetFormatPr defaultRowHeight="12" x14ac:dyDescent="0.2"/>
  <cols>
    <col min="2" max="2" width="11.6640625" customWidth="1"/>
    <col min="3" max="3" width="13.83203125" customWidth="1"/>
    <col min="10" max="10" width="3.5" customWidth="1"/>
    <col min="11" max="11" width="11" customWidth="1"/>
    <col min="12" max="12" width="11.6640625" bestFit="1" customWidth="1"/>
    <col min="13" max="13" width="10.6640625" customWidth="1"/>
    <col min="14" max="14" width="12.33203125" customWidth="1"/>
  </cols>
  <sheetData>
    <row r="1" spans="1:20" x14ac:dyDescent="0.2">
      <c r="A1" t="s">
        <v>412</v>
      </c>
      <c r="L1" t="s">
        <v>412</v>
      </c>
    </row>
    <row r="2" spans="1:20" ht="12.75" thickBot="1" x14ac:dyDescent="0.25"/>
    <row r="3" spans="1:20" ht="36" customHeight="1" x14ac:dyDescent="0.2">
      <c r="A3" s="84" t="s">
        <v>3</v>
      </c>
      <c r="B3" s="5" t="s">
        <v>35</v>
      </c>
      <c r="C3" s="5" t="s">
        <v>35</v>
      </c>
      <c r="D3" s="5" t="s">
        <v>14</v>
      </c>
      <c r="E3" s="5" t="s">
        <v>14</v>
      </c>
      <c r="F3" s="5" t="s">
        <v>14</v>
      </c>
      <c r="G3" s="5" t="s">
        <v>15</v>
      </c>
      <c r="H3" s="5" t="s">
        <v>15</v>
      </c>
      <c r="I3" s="6" t="s">
        <v>15</v>
      </c>
      <c r="L3" s="84" t="s">
        <v>3</v>
      </c>
      <c r="M3" s="87" t="s">
        <v>35</v>
      </c>
      <c r="N3" s="90"/>
      <c r="O3" s="87" t="s">
        <v>14</v>
      </c>
      <c r="P3" s="88"/>
      <c r="Q3" s="90"/>
      <c r="R3" s="87" t="s">
        <v>15</v>
      </c>
      <c r="S3" s="88"/>
      <c r="T3" s="89"/>
    </row>
    <row r="4" spans="1:20" ht="12" hidden="1" customHeight="1" x14ac:dyDescent="0.2">
      <c r="A4" s="85"/>
      <c r="B4" s="76"/>
      <c r="C4" s="76"/>
      <c r="D4" s="76"/>
      <c r="E4" s="76"/>
      <c r="F4" s="76"/>
      <c r="G4" s="76"/>
      <c r="H4" s="76"/>
      <c r="I4" s="77"/>
      <c r="L4" s="85"/>
      <c r="M4" s="76" t="s">
        <v>35</v>
      </c>
      <c r="N4" s="76" t="s">
        <v>35</v>
      </c>
      <c r="O4" s="76" t="s">
        <v>14</v>
      </c>
      <c r="P4" s="76" t="s">
        <v>14</v>
      </c>
      <c r="Q4" s="76" t="s">
        <v>14</v>
      </c>
      <c r="R4" s="76" t="s">
        <v>15</v>
      </c>
      <c r="S4" s="76" t="s">
        <v>15</v>
      </c>
      <c r="T4" s="77" t="s">
        <v>15</v>
      </c>
    </row>
    <row r="5" spans="1:20" ht="12.75" thickBot="1" x14ac:dyDescent="0.25">
      <c r="A5" s="86"/>
      <c r="B5" s="2" t="s">
        <v>36</v>
      </c>
      <c r="C5" s="2" t="s">
        <v>37</v>
      </c>
      <c r="D5" s="3">
        <v>0.95</v>
      </c>
      <c r="E5" s="3">
        <v>0.9</v>
      </c>
      <c r="F5" s="3">
        <v>0.85</v>
      </c>
      <c r="G5" s="3">
        <v>0.95</v>
      </c>
      <c r="H5" s="3">
        <v>0.9</v>
      </c>
      <c r="I5" s="8">
        <v>0.85</v>
      </c>
      <c r="K5" s="1"/>
      <c r="L5" s="86"/>
      <c r="M5" s="2" t="s">
        <v>36</v>
      </c>
      <c r="N5" s="2" t="s">
        <v>37</v>
      </c>
      <c r="O5" s="3">
        <v>0.95</v>
      </c>
      <c r="P5" s="3">
        <v>0.9</v>
      </c>
      <c r="Q5" s="3">
        <v>0.85</v>
      </c>
      <c r="R5" s="3">
        <v>0.95</v>
      </c>
      <c r="S5" s="3">
        <v>0.9</v>
      </c>
      <c r="T5" s="8">
        <v>0.85</v>
      </c>
    </row>
    <row r="6" spans="1:20" ht="12.75" hidden="1" thickBot="1" x14ac:dyDescent="0.25">
      <c r="A6" s="10"/>
      <c r="B6" s="11" t="str">
        <f t="shared" ref="B6:I6" si="0">_xlfn.CONCAT(B3,"-",TEXT(B5,"00%"))</f>
        <v>I-Compacted</v>
      </c>
      <c r="C6" s="11" t="str">
        <f t="shared" si="0"/>
        <v>I-Uncompacted</v>
      </c>
      <c r="D6" s="11" t="str">
        <f t="shared" si="0"/>
        <v>II-95%</v>
      </c>
      <c r="E6" s="11" t="str">
        <f t="shared" si="0"/>
        <v>II-90%</v>
      </c>
      <c r="F6" s="11" t="str">
        <f t="shared" si="0"/>
        <v>II-85%</v>
      </c>
      <c r="G6" s="11" t="str">
        <f t="shared" si="0"/>
        <v>III-95%</v>
      </c>
      <c r="H6" s="11" t="str">
        <f t="shared" si="0"/>
        <v>III-90%</v>
      </c>
      <c r="I6" s="12" t="str">
        <f t="shared" si="0"/>
        <v>III-85%</v>
      </c>
      <c r="K6" s="1"/>
      <c r="L6" s="10"/>
      <c r="M6" s="11" t="str">
        <f t="shared" ref="M6:T6" si="1">_xlfn.CONCAT(M4,"-",TEXT(M5,"00%"))</f>
        <v>I-Compacted</v>
      </c>
      <c r="N6" s="11" t="str">
        <f t="shared" si="1"/>
        <v>I-Uncompacted</v>
      </c>
      <c r="O6" s="11" t="str">
        <f t="shared" si="1"/>
        <v>II-95%</v>
      </c>
      <c r="P6" s="11" t="str">
        <f t="shared" si="1"/>
        <v>II-90%</v>
      </c>
      <c r="Q6" s="11" t="str">
        <f t="shared" si="1"/>
        <v>II-85%</v>
      </c>
      <c r="R6" s="11" t="str">
        <f t="shared" si="1"/>
        <v>III-95%</v>
      </c>
      <c r="S6" s="11" t="str">
        <f t="shared" si="1"/>
        <v>III-90%</v>
      </c>
      <c r="T6" s="12" t="str">
        <f t="shared" si="1"/>
        <v>III-85%</v>
      </c>
    </row>
    <row r="7" spans="1:20" x14ac:dyDescent="0.2">
      <c r="A7" s="13">
        <v>8</v>
      </c>
      <c r="B7" s="14">
        <v>1</v>
      </c>
      <c r="C7" s="14">
        <v>1.5</v>
      </c>
      <c r="D7" s="14">
        <v>1</v>
      </c>
      <c r="E7" s="14">
        <v>1.5</v>
      </c>
      <c r="F7" s="14">
        <v>2.5</v>
      </c>
      <c r="G7" s="14">
        <v>1.25</v>
      </c>
      <c r="H7" s="14">
        <v>2.25</v>
      </c>
      <c r="I7" s="15">
        <v>3</v>
      </c>
      <c r="L7" s="59">
        <v>8</v>
      </c>
      <c r="M7" s="14">
        <v>1</v>
      </c>
      <c r="N7" s="14">
        <v>1.5</v>
      </c>
      <c r="O7" s="14">
        <v>1</v>
      </c>
      <c r="P7" s="14">
        <v>1.5</v>
      </c>
      <c r="Q7" s="14">
        <v>2.5</v>
      </c>
      <c r="R7" s="14">
        <v>1.25</v>
      </c>
      <c r="S7" s="14">
        <v>2.25</v>
      </c>
      <c r="T7" s="15">
        <v>3</v>
      </c>
    </row>
    <row r="8" spans="1:20" x14ac:dyDescent="0.2">
      <c r="A8" s="56">
        <v>10.75</v>
      </c>
      <c r="B8" s="57">
        <v>1</v>
      </c>
      <c r="C8" s="57">
        <v>1.5</v>
      </c>
      <c r="D8" s="57">
        <v>1</v>
      </c>
      <c r="E8" s="57">
        <v>1.5</v>
      </c>
      <c r="F8" s="57">
        <v>3</v>
      </c>
      <c r="G8" s="57">
        <v>1.25</v>
      </c>
      <c r="H8" s="57">
        <v>2.25</v>
      </c>
      <c r="I8" s="58">
        <v>3.75</v>
      </c>
      <c r="L8" s="56">
        <v>10.75</v>
      </c>
      <c r="M8" s="57">
        <v>1</v>
      </c>
      <c r="N8" s="57">
        <v>1.5</v>
      </c>
      <c r="O8" s="57">
        <v>1</v>
      </c>
      <c r="P8" s="57">
        <v>1.5</v>
      </c>
      <c r="Q8" s="57">
        <v>3</v>
      </c>
      <c r="R8" s="57">
        <v>1.25</v>
      </c>
      <c r="S8" s="57">
        <v>2.25</v>
      </c>
      <c r="T8" s="58">
        <v>3.75</v>
      </c>
    </row>
    <row r="9" spans="1:20" x14ac:dyDescent="0.2">
      <c r="A9" s="7">
        <v>12.75</v>
      </c>
      <c r="B9" s="2">
        <v>1</v>
      </c>
      <c r="C9" s="2">
        <v>1.25</v>
      </c>
      <c r="D9" s="2">
        <v>1</v>
      </c>
      <c r="E9" s="2">
        <v>1.25</v>
      </c>
      <c r="F9" s="2">
        <v>2.5</v>
      </c>
      <c r="G9" s="2">
        <v>1</v>
      </c>
      <c r="H9" s="2">
        <v>1.75</v>
      </c>
      <c r="I9" s="9">
        <v>3</v>
      </c>
      <c r="L9" s="7">
        <v>12.75</v>
      </c>
      <c r="M9" s="2">
        <v>1</v>
      </c>
      <c r="N9" s="2">
        <v>1.25</v>
      </c>
      <c r="O9" s="2">
        <v>1</v>
      </c>
      <c r="P9" s="2">
        <v>1.25</v>
      </c>
      <c r="Q9" s="2">
        <v>2.5</v>
      </c>
      <c r="R9" s="2">
        <v>1</v>
      </c>
      <c r="S9" s="2">
        <v>1.75</v>
      </c>
      <c r="T9" s="9">
        <v>3</v>
      </c>
    </row>
    <row r="10" spans="1:20" x14ac:dyDescent="0.2">
      <c r="A10" s="7">
        <v>14</v>
      </c>
      <c r="B10" s="2">
        <v>1</v>
      </c>
      <c r="C10" s="2">
        <v>1</v>
      </c>
      <c r="D10" s="2">
        <v>1</v>
      </c>
      <c r="E10" s="2">
        <v>1</v>
      </c>
      <c r="F10" s="2">
        <v>2</v>
      </c>
      <c r="G10" s="2">
        <v>1</v>
      </c>
      <c r="H10" s="2">
        <v>1.75</v>
      </c>
      <c r="I10" s="9">
        <v>2.5</v>
      </c>
      <c r="L10" s="7">
        <v>14</v>
      </c>
      <c r="M10" s="2">
        <v>1</v>
      </c>
      <c r="N10" s="2">
        <v>1</v>
      </c>
      <c r="O10" s="2">
        <v>1</v>
      </c>
      <c r="P10" s="2">
        <v>1</v>
      </c>
      <c r="Q10" s="2">
        <v>2</v>
      </c>
      <c r="R10" s="2">
        <v>1</v>
      </c>
      <c r="S10" s="2">
        <v>1.75</v>
      </c>
      <c r="T10" s="9">
        <v>2.5</v>
      </c>
    </row>
    <row r="11" spans="1:20" x14ac:dyDescent="0.2">
      <c r="A11" s="7">
        <v>16</v>
      </c>
      <c r="B11" s="2">
        <v>1</v>
      </c>
      <c r="C11" s="2">
        <v>1</v>
      </c>
      <c r="D11" s="2">
        <v>1</v>
      </c>
      <c r="E11" s="2">
        <v>1</v>
      </c>
      <c r="F11" s="2">
        <v>2</v>
      </c>
      <c r="G11" s="2">
        <v>1</v>
      </c>
      <c r="H11" s="2">
        <v>1.5</v>
      </c>
      <c r="I11" s="9">
        <v>2.5</v>
      </c>
      <c r="L11" s="7">
        <v>16</v>
      </c>
      <c r="M11" s="2">
        <v>1</v>
      </c>
      <c r="N11" s="2">
        <v>1</v>
      </c>
      <c r="O11" s="2">
        <v>1</v>
      </c>
      <c r="P11" s="2">
        <v>1</v>
      </c>
      <c r="Q11" s="2">
        <v>2</v>
      </c>
      <c r="R11" s="2">
        <v>1</v>
      </c>
      <c r="S11" s="2">
        <v>1.5</v>
      </c>
      <c r="T11" s="9">
        <v>2.5</v>
      </c>
    </row>
    <row r="12" spans="1:20" x14ac:dyDescent="0.2">
      <c r="A12" s="7">
        <v>18</v>
      </c>
      <c r="B12" s="2">
        <v>1</v>
      </c>
      <c r="C12" s="2">
        <v>1</v>
      </c>
      <c r="D12" s="2">
        <v>1</v>
      </c>
      <c r="E12" s="2">
        <v>1</v>
      </c>
      <c r="F12" s="2">
        <v>2</v>
      </c>
      <c r="G12" s="2">
        <v>1</v>
      </c>
      <c r="H12" s="2">
        <v>1.5</v>
      </c>
      <c r="I12" s="9">
        <v>2.5</v>
      </c>
      <c r="L12" s="7">
        <v>18</v>
      </c>
      <c r="M12" s="2">
        <v>1</v>
      </c>
      <c r="N12" s="2">
        <v>1</v>
      </c>
      <c r="O12" s="2">
        <v>1</v>
      </c>
      <c r="P12" s="2">
        <v>1</v>
      </c>
      <c r="Q12" s="2">
        <v>2</v>
      </c>
      <c r="R12" s="2">
        <v>1</v>
      </c>
      <c r="S12" s="2">
        <v>1.5</v>
      </c>
      <c r="T12" s="9">
        <v>2.5</v>
      </c>
    </row>
    <row r="13" spans="1:20" x14ac:dyDescent="0.2">
      <c r="A13" s="7">
        <v>20</v>
      </c>
      <c r="B13" s="2">
        <v>1</v>
      </c>
      <c r="C13" s="2">
        <v>1</v>
      </c>
      <c r="D13" s="2">
        <v>1</v>
      </c>
      <c r="E13" s="2">
        <v>1</v>
      </c>
      <c r="F13" s="2">
        <v>2</v>
      </c>
      <c r="G13" s="2">
        <v>1</v>
      </c>
      <c r="H13" s="2">
        <v>1.5</v>
      </c>
      <c r="I13" s="9">
        <v>2.5</v>
      </c>
      <c r="L13" s="7">
        <v>20</v>
      </c>
      <c r="M13" s="2">
        <v>1</v>
      </c>
      <c r="N13" s="2">
        <v>1</v>
      </c>
      <c r="O13" s="2">
        <v>1</v>
      </c>
      <c r="P13" s="2">
        <v>1</v>
      </c>
      <c r="Q13" s="2">
        <v>2</v>
      </c>
      <c r="R13" s="2">
        <v>1</v>
      </c>
      <c r="S13" s="2">
        <v>1.5</v>
      </c>
      <c r="T13" s="9">
        <v>2.5</v>
      </c>
    </row>
    <row r="14" spans="1:20" x14ac:dyDescent="0.2">
      <c r="A14" s="7">
        <v>22</v>
      </c>
      <c r="B14" s="2">
        <v>1</v>
      </c>
      <c r="C14" s="2">
        <v>1</v>
      </c>
      <c r="D14" s="2">
        <v>1</v>
      </c>
      <c r="E14" s="2">
        <v>1</v>
      </c>
      <c r="F14" s="2">
        <v>2</v>
      </c>
      <c r="G14" s="2">
        <v>1</v>
      </c>
      <c r="H14" s="2">
        <v>1.5</v>
      </c>
      <c r="I14" s="9">
        <v>2.5</v>
      </c>
      <c r="L14" s="7">
        <v>22</v>
      </c>
      <c r="M14" s="2">
        <v>1</v>
      </c>
      <c r="N14" s="2">
        <v>1</v>
      </c>
      <c r="O14" s="2">
        <v>1</v>
      </c>
      <c r="P14" s="2">
        <v>1</v>
      </c>
      <c r="Q14" s="2">
        <v>2</v>
      </c>
      <c r="R14" s="2">
        <v>1</v>
      </c>
      <c r="S14" s="2">
        <v>1.5</v>
      </c>
      <c r="T14" s="9">
        <v>2.5</v>
      </c>
    </row>
    <row r="15" spans="1:20" x14ac:dyDescent="0.2">
      <c r="A15" s="7">
        <v>24</v>
      </c>
      <c r="B15" s="2">
        <v>1</v>
      </c>
      <c r="C15" s="2">
        <v>1</v>
      </c>
      <c r="D15" s="2">
        <v>1</v>
      </c>
      <c r="E15" s="2">
        <v>1</v>
      </c>
      <c r="F15" s="2">
        <v>2</v>
      </c>
      <c r="G15" s="2">
        <v>1</v>
      </c>
      <c r="H15" s="2">
        <v>1.5</v>
      </c>
      <c r="I15" s="9">
        <v>2.5</v>
      </c>
      <c r="L15" s="7">
        <v>24</v>
      </c>
      <c r="M15" s="2">
        <v>1</v>
      </c>
      <c r="N15" s="2">
        <v>1</v>
      </c>
      <c r="O15" s="2">
        <v>1</v>
      </c>
      <c r="P15" s="2">
        <v>1</v>
      </c>
      <c r="Q15" s="2">
        <v>2</v>
      </c>
      <c r="R15" s="2">
        <v>1</v>
      </c>
      <c r="S15" s="2">
        <v>1.5</v>
      </c>
      <c r="T15" s="9">
        <v>2.5</v>
      </c>
    </row>
    <row r="16" spans="1:20" x14ac:dyDescent="0.2">
      <c r="A16" s="7">
        <v>26</v>
      </c>
      <c r="B16" s="2">
        <v>1</v>
      </c>
      <c r="C16" s="2">
        <v>1</v>
      </c>
      <c r="D16" s="2">
        <v>1</v>
      </c>
      <c r="E16" s="2">
        <v>1</v>
      </c>
      <c r="F16" s="2">
        <v>2</v>
      </c>
      <c r="G16" s="2">
        <v>1</v>
      </c>
      <c r="H16" s="2">
        <v>1.5</v>
      </c>
      <c r="I16" s="9">
        <v>2.5</v>
      </c>
      <c r="L16" s="7">
        <v>26</v>
      </c>
      <c r="M16" s="2">
        <v>1</v>
      </c>
      <c r="N16" s="2">
        <v>1</v>
      </c>
      <c r="O16" s="2">
        <v>1</v>
      </c>
      <c r="P16" s="2">
        <v>1</v>
      </c>
      <c r="Q16" s="2">
        <v>2</v>
      </c>
      <c r="R16" s="2">
        <v>1</v>
      </c>
      <c r="S16" s="2">
        <v>1.5</v>
      </c>
      <c r="T16" s="9">
        <v>2.5</v>
      </c>
    </row>
    <row r="17" spans="1:20" x14ac:dyDescent="0.2">
      <c r="A17" s="7">
        <v>28</v>
      </c>
      <c r="B17" s="2">
        <v>1</v>
      </c>
      <c r="C17" s="2">
        <v>1</v>
      </c>
      <c r="D17" s="2">
        <v>1</v>
      </c>
      <c r="E17" s="2">
        <v>1</v>
      </c>
      <c r="F17" s="2">
        <v>2</v>
      </c>
      <c r="G17" s="2">
        <v>1</v>
      </c>
      <c r="H17" s="2">
        <v>1.5</v>
      </c>
      <c r="I17" s="9">
        <v>2.5</v>
      </c>
      <c r="L17" s="7">
        <v>28</v>
      </c>
      <c r="M17" s="2">
        <v>1</v>
      </c>
      <c r="N17" s="2">
        <v>1</v>
      </c>
      <c r="O17" s="2">
        <v>1</v>
      </c>
      <c r="P17" s="2">
        <v>1</v>
      </c>
      <c r="Q17" s="2">
        <v>2</v>
      </c>
      <c r="R17" s="2">
        <v>1</v>
      </c>
      <c r="S17" s="2">
        <v>1.5</v>
      </c>
      <c r="T17" s="9">
        <v>2.5</v>
      </c>
    </row>
    <row r="18" spans="1:20" x14ac:dyDescent="0.2">
      <c r="A18" s="7">
        <v>30</v>
      </c>
      <c r="B18" s="2">
        <v>1</v>
      </c>
      <c r="C18" s="2">
        <v>1</v>
      </c>
      <c r="D18" s="2">
        <v>1</v>
      </c>
      <c r="E18" s="2">
        <v>1</v>
      </c>
      <c r="F18" s="2">
        <v>2</v>
      </c>
      <c r="G18" s="2">
        <v>1</v>
      </c>
      <c r="H18" s="2">
        <v>1.5</v>
      </c>
      <c r="I18" s="9">
        <v>2.5</v>
      </c>
      <c r="L18" s="7">
        <v>30</v>
      </c>
      <c r="M18" s="2">
        <v>1</v>
      </c>
      <c r="N18" s="2">
        <v>1</v>
      </c>
      <c r="O18" s="2">
        <v>1</v>
      </c>
      <c r="P18" s="2">
        <v>1</v>
      </c>
      <c r="Q18" s="2">
        <v>2</v>
      </c>
      <c r="R18" s="2">
        <v>1</v>
      </c>
      <c r="S18" s="2">
        <v>1.5</v>
      </c>
      <c r="T18" s="9">
        <v>2.5</v>
      </c>
    </row>
    <row r="19" spans="1:20" x14ac:dyDescent="0.2">
      <c r="A19" s="7">
        <v>32</v>
      </c>
      <c r="B19" s="2">
        <v>1</v>
      </c>
      <c r="C19" s="2">
        <v>1</v>
      </c>
      <c r="D19" s="2">
        <v>1</v>
      </c>
      <c r="E19" s="2">
        <v>1</v>
      </c>
      <c r="F19" s="2">
        <v>2</v>
      </c>
      <c r="G19" s="2">
        <v>1</v>
      </c>
      <c r="H19" s="2">
        <v>1.5</v>
      </c>
      <c r="I19" s="9">
        <v>2.25</v>
      </c>
      <c r="L19" s="7">
        <v>32</v>
      </c>
      <c r="M19" s="2">
        <v>1</v>
      </c>
      <c r="N19" s="2">
        <v>1</v>
      </c>
      <c r="O19" s="2">
        <v>1</v>
      </c>
      <c r="P19" s="2">
        <v>1</v>
      </c>
      <c r="Q19" s="2">
        <v>2</v>
      </c>
      <c r="R19" s="2">
        <v>1</v>
      </c>
      <c r="S19" s="2">
        <v>1.5</v>
      </c>
      <c r="T19" s="9">
        <v>2.25</v>
      </c>
    </row>
    <row r="20" spans="1:20" x14ac:dyDescent="0.2">
      <c r="A20" s="7">
        <v>36</v>
      </c>
      <c r="B20" s="2">
        <v>1</v>
      </c>
      <c r="C20" s="2">
        <v>1</v>
      </c>
      <c r="D20" s="2">
        <v>1</v>
      </c>
      <c r="E20" s="2">
        <v>1</v>
      </c>
      <c r="F20" s="2">
        <v>2</v>
      </c>
      <c r="G20" s="2">
        <v>1</v>
      </c>
      <c r="H20" s="2">
        <v>1.5</v>
      </c>
      <c r="I20" s="9">
        <v>2.25</v>
      </c>
      <c r="L20" s="7">
        <v>36</v>
      </c>
      <c r="M20" s="2">
        <v>1</v>
      </c>
      <c r="N20" s="2">
        <v>1</v>
      </c>
      <c r="O20" s="2">
        <v>1</v>
      </c>
      <c r="P20" s="2">
        <v>1</v>
      </c>
      <c r="Q20" s="2">
        <v>2</v>
      </c>
      <c r="R20" s="2">
        <v>1</v>
      </c>
      <c r="S20" s="2">
        <v>1.5</v>
      </c>
      <c r="T20" s="9">
        <v>2.25</v>
      </c>
    </row>
    <row r="21" spans="1:20" x14ac:dyDescent="0.2">
      <c r="A21" s="7">
        <v>42</v>
      </c>
      <c r="B21" s="2">
        <v>1</v>
      </c>
      <c r="C21" s="2">
        <v>1</v>
      </c>
      <c r="D21" s="2">
        <v>1</v>
      </c>
      <c r="E21" s="2">
        <v>1</v>
      </c>
      <c r="F21" s="2">
        <v>1.75</v>
      </c>
      <c r="G21" s="2">
        <v>1</v>
      </c>
      <c r="H21" s="2">
        <v>1.25</v>
      </c>
      <c r="I21" s="9">
        <v>2.25</v>
      </c>
      <c r="L21" s="7">
        <v>42</v>
      </c>
      <c r="M21" s="2">
        <v>1</v>
      </c>
      <c r="N21" s="2">
        <v>1</v>
      </c>
      <c r="O21" s="2">
        <v>1</v>
      </c>
      <c r="P21" s="2">
        <v>1</v>
      </c>
      <c r="Q21" s="2">
        <v>1.75</v>
      </c>
      <c r="R21" s="2">
        <v>1</v>
      </c>
      <c r="S21" s="2">
        <v>1.25</v>
      </c>
      <c r="T21" s="9">
        <v>2.25</v>
      </c>
    </row>
    <row r="22" spans="1:20" x14ac:dyDescent="0.2">
      <c r="A22" s="7">
        <v>48</v>
      </c>
      <c r="B22" s="2">
        <v>1</v>
      </c>
      <c r="C22" s="2">
        <v>1</v>
      </c>
      <c r="D22" s="2">
        <v>1</v>
      </c>
      <c r="E22" s="2">
        <v>1</v>
      </c>
      <c r="F22" s="2">
        <v>1.75</v>
      </c>
      <c r="G22" s="2">
        <v>1</v>
      </c>
      <c r="H22" s="2">
        <v>1</v>
      </c>
      <c r="I22" s="9">
        <v>2.25</v>
      </c>
      <c r="L22" s="7">
        <v>48</v>
      </c>
      <c r="M22" s="2">
        <v>1</v>
      </c>
      <c r="N22" s="2">
        <v>1</v>
      </c>
      <c r="O22" s="2">
        <v>1</v>
      </c>
      <c r="P22" s="2">
        <v>1</v>
      </c>
      <c r="Q22" s="2">
        <v>1.75</v>
      </c>
      <c r="R22" s="2">
        <v>1</v>
      </c>
      <c r="S22" s="2">
        <v>1</v>
      </c>
      <c r="T22" s="9">
        <v>2.25</v>
      </c>
    </row>
    <row r="23" spans="1:20" x14ac:dyDescent="0.2">
      <c r="A23" s="7">
        <v>54</v>
      </c>
      <c r="B23" s="2">
        <v>1</v>
      </c>
      <c r="C23" s="2">
        <v>1</v>
      </c>
      <c r="D23" s="2">
        <v>1</v>
      </c>
      <c r="E23" s="2">
        <v>1</v>
      </c>
      <c r="F23" s="2">
        <v>1.5</v>
      </c>
      <c r="G23" s="2">
        <v>1</v>
      </c>
      <c r="H23" s="2">
        <v>1</v>
      </c>
      <c r="I23" s="9">
        <v>2.25</v>
      </c>
      <c r="L23" s="7">
        <v>54</v>
      </c>
      <c r="M23" s="2">
        <v>1</v>
      </c>
      <c r="N23" s="2">
        <v>1</v>
      </c>
      <c r="O23" s="2">
        <v>1</v>
      </c>
      <c r="P23" s="2">
        <v>1</v>
      </c>
      <c r="Q23" s="2">
        <v>1.5</v>
      </c>
      <c r="R23" s="2">
        <v>1</v>
      </c>
      <c r="S23" s="2">
        <v>1</v>
      </c>
      <c r="T23" s="9">
        <v>2.25</v>
      </c>
    </row>
    <row r="24" spans="1:20" ht="12.75" thickBot="1" x14ac:dyDescent="0.25">
      <c r="A24" s="10">
        <v>63</v>
      </c>
      <c r="B24" s="11">
        <v>1</v>
      </c>
      <c r="C24" s="11">
        <v>1</v>
      </c>
      <c r="D24" s="11">
        <v>1</v>
      </c>
      <c r="E24" s="11">
        <v>1</v>
      </c>
      <c r="F24" s="11">
        <v>1.25</v>
      </c>
      <c r="G24" s="11">
        <v>1</v>
      </c>
      <c r="H24" s="11">
        <v>1</v>
      </c>
      <c r="I24" s="12">
        <v>2</v>
      </c>
      <c r="L24" s="10">
        <v>63</v>
      </c>
      <c r="M24" s="11">
        <v>1</v>
      </c>
      <c r="N24" s="11">
        <v>1</v>
      </c>
      <c r="O24" s="11">
        <v>1</v>
      </c>
      <c r="P24" s="11">
        <v>1</v>
      </c>
      <c r="Q24" s="11">
        <v>1.25</v>
      </c>
      <c r="R24" s="11">
        <v>1</v>
      </c>
      <c r="S24" s="11">
        <v>1</v>
      </c>
      <c r="T24" s="12">
        <v>2</v>
      </c>
    </row>
    <row r="25" spans="1:20" x14ac:dyDescent="0.2">
      <c r="L25" t="s">
        <v>253</v>
      </c>
    </row>
    <row r="27" spans="1:20" x14ac:dyDescent="0.2">
      <c r="K27" t="s">
        <v>93</v>
      </c>
      <c r="L27">
        <f>MATCH(OD_nom,$L$7:$L$24,1)</f>
        <v>2</v>
      </c>
      <c r="M27">
        <f t="shared" ref="M27:T27" si="2">INDEX(M$7:M$24,$L27)</f>
        <v>1</v>
      </c>
      <c r="N27">
        <f t="shared" si="2"/>
        <v>1.5</v>
      </c>
      <c r="O27">
        <f t="shared" si="2"/>
        <v>1</v>
      </c>
      <c r="P27">
        <f t="shared" si="2"/>
        <v>1.5</v>
      </c>
      <c r="Q27">
        <f t="shared" si="2"/>
        <v>3</v>
      </c>
      <c r="R27">
        <f t="shared" si="2"/>
        <v>1.25</v>
      </c>
      <c r="S27">
        <f t="shared" si="2"/>
        <v>2.25</v>
      </c>
      <c r="T27">
        <f t="shared" si="2"/>
        <v>3.75</v>
      </c>
    </row>
    <row r="28" spans="1:20" x14ac:dyDescent="0.2">
      <c r="K28" t="s">
        <v>94</v>
      </c>
      <c r="L28">
        <f>L27+1</f>
        <v>3</v>
      </c>
      <c r="M28">
        <f t="shared" ref="M28:T28" si="3">IFERROR(INDEX(M$7:M$24,$L28),0)</f>
        <v>1</v>
      </c>
      <c r="N28">
        <f t="shared" si="3"/>
        <v>1.25</v>
      </c>
      <c r="O28">
        <f t="shared" si="3"/>
        <v>1</v>
      </c>
      <c r="P28">
        <f t="shared" si="3"/>
        <v>1.25</v>
      </c>
      <c r="Q28">
        <f t="shared" si="3"/>
        <v>2.5</v>
      </c>
      <c r="R28">
        <f t="shared" si="3"/>
        <v>1</v>
      </c>
      <c r="S28">
        <f t="shared" si="3"/>
        <v>1.75</v>
      </c>
      <c r="T28">
        <f t="shared" si="3"/>
        <v>3</v>
      </c>
    </row>
    <row r="29" spans="1:20" x14ac:dyDescent="0.2">
      <c r="K29" t="s">
        <v>95</v>
      </c>
      <c r="L29">
        <f>IFERROR((OD_nom-INDEX($L$7:$L$24,$L$27))/(INDEX($L$7:$L$24,$L$28)-INDEX($L$7:$L$24,$L$27)),0)</f>
        <v>0</v>
      </c>
      <c r="M29">
        <f t="shared" ref="M29:T29" si="4">M27+$L$29*(M28-M27)</f>
        <v>1</v>
      </c>
      <c r="N29">
        <f t="shared" si="4"/>
        <v>1.5</v>
      </c>
      <c r="O29">
        <f t="shared" si="4"/>
        <v>1</v>
      </c>
      <c r="P29">
        <f t="shared" si="4"/>
        <v>1.5</v>
      </c>
      <c r="Q29">
        <f t="shared" si="4"/>
        <v>3</v>
      </c>
      <c r="R29">
        <f t="shared" si="4"/>
        <v>1.25</v>
      </c>
      <c r="S29">
        <f t="shared" si="4"/>
        <v>2.25</v>
      </c>
      <c r="T29">
        <f t="shared" si="4"/>
        <v>3.75</v>
      </c>
    </row>
    <row r="32" spans="1:20" x14ac:dyDescent="0.2">
      <c r="K32" t="s">
        <v>96</v>
      </c>
      <c r="L32" t="str">
        <f>SoilClass</f>
        <v>III</v>
      </c>
    </row>
    <row r="33" spans="11:13" x14ac:dyDescent="0.2">
      <c r="K33" t="s">
        <v>98</v>
      </c>
      <c r="L33" s="46">
        <f>StdProctor</f>
        <v>0.95</v>
      </c>
    </row>
    <row r="34" spans="11:13" x14ac:dyDescent="0.2">
      <c r="L34" t="str">
        <f>IF(OR(SoilClass="IA",SoilClass="IB"),"I",SoilClass)</f>
        <v>III</v>
      </c>
      <c r="M34" t="s">
        <v>99</v>
      </c>
    </row>
    <row r="35" spans="11:13" x14ac:dyDescent="0.2">
      <c r="L35" t="str">
        <f>IF(Table_MinCover_first="I",IF(Proctor="Uncompacted","Uncompacted","Compacted"),TEXT(StdProctor,"0%"))</f>
        <v>95%</v>
      </c>
      <c r="M35" t="s">
        <v>100</v>
      </c>
    </row>
    <row r="36" spans="11:13" x14ac:dyDescent="0.2">
      <c r="K36" t="s">
        <v>97</v>
      </c>
      <c r="L36" t="str">
        <f>_xlfn.CONCAT(Table_MinCover_first,"-",Table_MinCover_second)</f>
        <v>III-95%</v>
      </c>
      <c r="M36" t="s">
        <v>101</v>
      </c>
    </row>
    <row r="38" spans="11:13" x14ac:dyDescent="0.2">
      <c r="K38" t="s">
        <v>371</v>
      </c>
      <c r="L38">
        <f>INDEX(Table_MinCover_interp,MATCH(Table_MinCover_lookup,Table_MinCover_Headers,0))</f>
        <v>1.25</v>
      </c>
    </row>
  </sheetData>
  <mergeCells count="5">
    <mergeCell ref="R3:T3"/>
    <mergeCell ref="O3:Q3"/>
    <mergeCell ref="M3:N3"/>
    <mergeCell ref="A3:A5"/>
    <mergeCell ref="L3:L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5"/>
  <sheetViews>
    <sheetView workbookViewId="0">
      <selection sqref="A1:B5"/>
    </sheetView>
  </sheetViews>
  <sheetFormatPr defaultRowHeight="12" x14ac:dyDescent="0.2"/>
  <cols>
    <col min="1" max="1" width="15" customWidth="1"/>
    <col min="2" max="2" width="24.6640625" customWidth="1"/>
    <col min="3" max="3" width="4.1640625" customWidth="1"/>
    <col min="4" max="4" width="9.83203125" bestFit="1" customWidth="1"/>
    <col min="6" max="6" width="10.5" customWidth="1"/>
    <col min="17" max="17" width="19.33203125" customWidth="1"/>
    <col min="18" max="18" width="16.33203125" bestFit="1" customWidth="1"/>
  </cols>
  <sheetData>
    <row r="1" spans="1:18" ht="12" customHeight="1" x14ac:dyDescent="0.25">
      <c r="A1" s="91" t="s">
        <v>258</v>
      </c>
      <c r="B1" s="91"/>
      <c r="C1" s="66"/>
      <c r="E1" s="91" t="s">
        <v>388</v>
      </c>
      <c r="F1" s="91"/>
      <c r="G1" s="91"/>
      <c r="H1" s="91"/>
      <c r="I1" s="91"/>
      <c r="J1" s="91"/>
      <c r="K1" s="91"/>
      <c r="L1" s="91"/>
      <c r="M1" s="91"/>
      <c r="N1" s="91"/>
      <c r="O1" s="91"/>
      <c r="Q1" s="91" t="s">
        <v>383</v>
      </c>
      <c r="R1" s="91"/>
    </row>
    <row r="2" spans="1:18" ht="12" customHeight="1" x14ac:dyDescent="0.25">
      <c r="A2" s="91"/>
      <c r="B2" s="91"/>
      <c r="C2" s="66"/>
      <c r="E2" s="91"/>
      <c r="F2" s="91"/>
      <c r="G2" s="91"/>
      <c r="H2" s="91"/>
      <c r="I2" s="91"/>
      <c r="J2" s="91"/>
      <c r="K2" s="91"/>
      <c r="L2" s="91"/>
      <c r="M2" s="91"/>
      <c r="N2" s="91"/>
      <c r="O2" s="91"/>
      <c r="Q2" s="91"/>
      <c r="R2" s="91"/>
    </row>
    <row r="3" spans="1:18" ht="12" customHeight="1" x14ac:dyDescent="0.25">
      <c r="A3" s="91"/>
      <c r="B3" s="91"/>
      <c r="C3" s="66"/>
      <c r="E3" s="92"/>
      <c r="F3" s="92"/>
      <c r="G3" s="92"/>
      <c r="H3" s="92"/>
      <c r="I3" s="92"/>
      <c r="J3" s="92"/>
      <c r="K3" s="92"/>
      <c r="L3" s="92"/>
      <c r="M3" s="92"/>
      <c r="N3" s="92"/>
      <c r="O3" s="92"/>
      <c r="Q3" s="91"/>
      <c r="R3" s="91"/>
    </row>
    <row r="4" spans="1:18" ht="12" customHeight="1" x14ac:dyDescent="0.25">
      <c r="A4" s="91"/>
      <c r="B4" s="91"/>
      <c r="C4" s="66"/>
      <c r="E4" s="96" t="s">
        <v>377</v>
      </c>
      <c r="F4" s="70" t="s">
        <v>378</v>
      </c>
      <c r="G4" s="70" t="s">
        <v>378</v>
      </c>
      <c r="H4" s="70" t="s">
        <v>378</v>
      </c>
      <c r="I4" s="70" t="s">
        <v>378</v>
      </c>
      <c r="J4" s="70" t="s">
        <v>379</v>
      </c>
      <c r="K4" s="70" t="s">
        <v>379</v>
      </c>
      <c r="L4" s="70" t="s">
        <v>379</v>
      </c>
      <c r="M4" s="70" t="s">
        <v>380</v>
      </c>
      <c r="N4" s="70" t="s">
        <v>380</v>
      </c>
      <c r="O4" s="70" t="s">
        <v>380</v>
      </c>
      <c r="Q4" s="91"/>
      <c r="R4" s="91"/>
    </row>
    <row r="5" spans="1:18" ht="12" customHeight="1" x14ac:dyDescent="0.25">
      <c r="A5" s="92"/>
      <c r="B5" s="92"/>
      <c r="C5" s="66"/>
      <c r="E5" s="96"/>
      <c r="F5" s="3">
        <v>1</v>
      </c>
      <c r="G5" s="3">
        <v>0.95</v>
      </c>
      <c r="H5" s="3">
        <v>0.9</v>
      </c>
      <c r="I5" s="3">
        <v>0.85</v>
      </c>
      <c r="J5" s="3">
        <v>0.95</v>
      </c>
      <c r="K5" s="3">
        <v>0.9</v>
      </c>
      <c r="L5" s="8">
        <v>0.85</v>
      </c>
      <c r="M5" s="3">
        <v>0.95</v>
      </c>
      <c r="N5" s="3">
        <v>0.9</v>
      </c>
      <c r="O5" s="3">
        <v>0.85</v>
      </c>
      <c r="Q5" s="92"/>
      <c r="R5" s="92"/>
    </row>
    <row r="6" spans="1:18" ht="12" customHeight="1" x14ac:dyDescent="0.2">
      <c r="A6" s="97" t="s">
        <v>259</v>
      </c>
      <c r="B6" s="97" t="s">
        <v>260</v>
      </c>
      <c r="C6" s="68"/>
      <c r="E6" s="96"/>
      <c r="F6" s="94" t="str">
        <f>_xlfn.CONCAT(F4,"-",TEXT(F5,"00%"))</f>
        <v>Sn-100%</v>
      </c>
      <c r="G6" s="94" t="str">
        <f t="shared" ref="G6:O6" si="0">_xlfn.CONCAT(G4,"-",TEXT(G5,"00%"))</f>
        <v>Sn-95%</v>
      </c>
      <c r="H6" s="94" t="str">
        <f t="shared" si="0"/>
        <v>Sn-90%</v>
      </c>
      <c r="I6" s="94" t="str">
        <f t="shared" si="0"/>
        <v>Sn-85%</v>
      </c>
      <c r="J6" s="94" t="str">
        <f t="shared" si="0"/>
        <v>Si-95%</v>
      </c>
      <c r="K6" s="94" t="str">
        <f t="shared" si="0"/>
        <v>Si-90%</v>
      </c>
      <c r="L6" s="94" t="str">
        <f t="shared" si="0"/>
        <v>Si-85%</v>
      </c>
      <c r="M6" s="94" t="str">
        <f t="shared" si="0"/>
        <v>Cl-95%</v>
      </c>
      <c r="N6" s="94" t="str">
        <f t="shared" si="0"/>
        <v>Cl-90%</v>
      </c>
      <c r="O6" s="94" t="str">
        <f t="shared" si="0"/>
        <v>Cl-85%</v>
      </c>
      <c r="Q6" s="93" t="s">
        <v>384</v>
      </c>
      <c r="R6" s="93" t="s">
        <v>397</v>
      </c>
    </row>
    <row r="7" spans="1:18" ht="12" customHeight="1" x14ac:dyDescent="0.2">
      <c r="A7" s="98"/>
      <c r="B7" s="98"/>
      <c r="C7" s="68"/>
      <c r="E7" s="96"/>
      <c r="F7" s="95"/>
      <c r="G7" s="95"/>
      <c r="H7" s="95"/>
      <c r="I7" s="95"/>
      <c r="J7" s="95"/>
      <c r="K7" s="95"/>
      <c r="L7" s="95"/>
      <c r="M7" s="95"/>
      <c r="N7" s="95"/>
      <c r="O7" s="95"/>
      <c r="Q7" s="93"/>
      <c r="R7" s="93"/>
    </row>
    <row r="8" spans="1:18" ht="12.75" x14ac:dyDescent="0.2">
      <c r="A8" s="60">
        <v>1</v>
      </c>
      <c r="B8" s="60">
        <v>1.2</v>
      </c>
      <c r="C8" s="69"/>
      <c r="E8" s="67">
        <v>0</v>
      </c>
      <c r="F8" s="67">
        <v>0</v>
      </c>
      <c r="G8" s="67">
        <v>0</v>
      </c>
      <c r="H8" s="67">
        <v>0</v>
      </c>
      <c r="I8" s="67">
        <v>0</v>
      </c>
      <c r="J8" s="67">
        <v>0</v>
      </c>
      <c r="K8" s="67">
        <v>0</v>
      </c>
      <c r="L8" s="67">
        <v>0</v>
      </c>
      <c r="M8" s="67">
        <v>0</v>
      </c>
      <c r="N8" s="67">
        <v>0</v>
      </c>
      <c r="O8" s="67">
        <v>0</v>
      </c>
      <c r="Q8" s="2" t="s">
        <v>35</v>
      </c>
      <c r="R8" s="2" t="s">
        <v>378</v>
      </c>
    </row>
    <row r="9" spans="1:18" ht="12.75" x14ac:dyDescent="0.2">
      <c r="A9" s="60">
        <v>2</v>
      </c>
      <c r="B9" s="60">
        <v>1</v>
      </c>
      <c r="C9" s="69"/>
      <c r="E9" s="67">
        <v>1</v>
      </c>
      <c r="F9" s="67">
        <v>2.35</v>
      </c>
      <c r="G9" s="67">
        <v>2</v>
      </c>
      <c r="H9" s="67">
        <v>1.2749999999999999</v>
      </c>
      <c r="I9" s="67">
        <v>0.47</v>
      </c>
      <c r="J9" s="67">
        <v>1.415</v>
      </c>
      <c r="K9" s="67">
        <v>0.67</v>
      </c>
      <c r="L9" s="67">
        <v>0.36</v>
      </c>
      <c r="M9" s="67">
        <v>0.53</v>
      </c>
      <c r="N9" s="67">
        <v>0.2545</v>
      </c>
      <c r="O9" s="67">
        <v>0.13</v>
      </c>
      <c r="Q9" s="2" t="s">
        <v>14</v>
      </c>
      <c r="R9" s="2" t="s">
        <v>378</v>
      </c>
    </row>
    <row r="10" spans="1:18" ht="12.75" x14ac:dyDescent="0.2">
      <c r="A10" s="60">
        <v>3</v>
      </c>
      <c r="B10" s="60">
        <v>0.85</v>
      </c>
      <c r="C10" s="69"/>
      <c r="E10" s="67">
        <v>5</v>
      </c>
      <c r="F10" s="67">
        <v>3.45</v>
      </c>
      <c r="G10" s="67">
        <v>2.6</v>
      </c>
      <c r="H10" s="67">
        <v>1.5</v>
      </c>
      <c r="I10" s="67">
        <v>0.52</v>
      </c>
      <c r="J10" s="67">
        <v>1.67</v>
      </c>
      <c r="K10" s="67">
        <v>0.74</v>
      </c>
      <c r="L10" s="67">
        <v>0.39</v>
      </c>
      <c r="M10" s="67">
        <v>0.625</v>
      </c>
      <c r="N10" s="67">
        <v>0.32</v>
      </c>
      <c r="O10" s="67">
        <v>0.17499999999999999</v>
      </c>
      <c r="Q10" s="2" t="s">
        <v>15</v>
      </c>
      <c r="R10" s="2" t="s">
        <v>379</v>
      </c>
    </row>
    <row r="11" spans="1:18" ht="12.75" x14ac:dyDescent="0.2">
      <c r="A11" s="60">
        <v>4</v>
      </c>
      <c r="B11" s="60">
        <v>0.65</v>
      </c>
      <c r="C11" s="69"/>
      <c r="E11" s="67">
        <v>10</v>
      </c>
      <c r="F11" s="67">
        <v>4.2</v>
      </c>
      <c r="G11" s="67">
        <v>3</v>
      </c>
      <c r="H11" s="67">
        <v>1.625</v>
      </c>
      <c r="I11" s="67">
        <v>0.56999999999999995</v>
      </c>
      <c r="J11" s="67">
        <v>1.77</v>
      </c>
      <c r="K11" s="67">
        <v>0.75</v>
      </c>
      <c r="L11" s="67">
        <v>0.4</v>
      </c>
      <c r="M11" s="67">
        <v>0.69</v>
      </c>
      <c r="N11" s="67">
        <v>0.35499999999999998</v>
      </c>
      <c r="O11" s="67">
        <v>0.2</v>
      </c>
    </row>
    <row r="12" spans="1:18" ht="12.75" x14ac:dyDescent="0.2">
      <c r="A12" s="60">
        <v>5</v>
      </c>
      <c r="B12" s="60">
        <v>0.65</v>
      </c>
      <c r="C12" s="69"/>
      <c r="E12" s="67">
        <v>20</v>
      </c>
      <c r="F12" s="67">
        <v>5.5</v>
      </c>
      <c r="G12" s="67">
        <v>3.45</v>
      </c>
      <c r="H12" s="67">
        <v>1.8</v>
      </c>
      <c r="I12" s="67">
        <v>0.65</v>
      </c>
      <c r="J12" s="67">
        <v>1.88</v>
      </c>
      <c r="K12" s="67">
        <v>0.79</v>
      </c>
      <c r="L12" s="67">
        <v>0.43</v>
      </c>
      <c r="M12" s="67">
        <v>0.74</v>
      </c>
      <c r="N12" s="67">
        <v>0.39500000000000002</v>
      </c>
      <c r="O12" s="67">
        <v>0.23</v>
      </c>
      <c r="Q12" s="91" t="s">
        <v>390</v>
      </c>
      <c r="R12" s="91"/>
    </row>
    <row r="13" spans="1:18" x14ac:dyDescent="0.2">
      <c r="E13" s="67">
        <v>40</v>
      </c>
      <c r="F13" s="67">
        <v>7.5</v>
      </c>
      <c r="G13" s="67">
        <v>4.25</v>
      </c>
      <c r="H13" s="67">
        <v>2.1</v>
      </c>
      <c r="I13" s="67">
        <v>0.82499999999999996</v>
      </c>
      <c r="J13" s="67">
        <v>2.09</v>
      </c>
      <c r="K13" s="67">
        <v>0.9</v>
      </c>
      <c r="L13" s="67">
        <v>0.51</v>
      </c>
      <c r="M13" s="67">
        <v>0.81499999999999995</v>
      </c>
      <c r="N13" s="67">
        <v>0.46</v>
      </c>
      <c r="O13" s="67">
        <v>0.28499999999999998</v>
      </c>
      <c r="Q13" s="91"/>
      <c r="R13" s="91"/>
    </row>
    <row r="14" spans="1:18" x14ac:dyDescent="0.2">
      <c r="E14" s="67">
        <v>60</v>
      </c>
      <c r="F14" s="67">
        <v>9.3000000000000007</v>
      </c>
      <c r="G14" s="67">
        <v>5</v>
      </c>
      <c r="H14" s="67">
        <v>2.5</v>
      </c>
      <c r="I14" s="67">
        <v>1</v>
      </c>
      <c r="J14" s="2" t="e">
        <f>NA()</f>
        <v>#N/A</v>
      </c>
      <c r="K14" s="2" t="e">
        <f>NA()</f>
        <v>#N/A</v>
      </c>
      <c r="L14" s="2" t="e">
        <f>NA()</f>
        <v>#N/A</v>
      </c>
      <c r="M14" s="67">
        <v>0.89500000000000002</v>
      </c>
      <c r="N14" s="67">
        <v>0.52500000000000002</v>
      </c>
      <c r="O14" s="67">
        <v>0.34499999999999997</v>
      </c>
      <c r="Q14" s="91"/>
      <c r="R14" s="91"/>
    </row>
    <row r="15" spans="1:18" x14ac:dyDescent="0.2">
      <c r="D15" t="s">
        <v>93</v>
      </c>
      <c r="E15">
        <f>MATCH(Psp,Table_12_12_3_5_1_Rows,1)</f>
        <v>5</v>
      </c>
      <c r="F15">
        <f>INDEX(F$8:F$14,$E15)</f>
        <v>5.5</v>
      </c>
      <c r="G15">
        <f t="shared" ref="G15:O16" si="1">INDEX(G$8:G$14,$E15)</f>
        <v>3.45</v>
      </c>
      <c r="H15">
        <f t="shared" si="1"/>
        <v>1.8</v>
      </c>
      <c r="I15">
        <f t="shared" si="1"/>
        <v>0.65</v>
      </c>
      <c r="J15">
        <f t="shared" si="1"/>
        <v>1.88</v>
      </c>
      <c r="K15">
        <f t="shared" si="1"/>
        <v>0.79</v>
      </c>
      <c r="L15">
        <f t="shared" si="1"/>
        <v>0.43</v>
      </c>
      <c r="M15">
        <f t="shared" si="1"/>
        <v>0.74</v>
      </c>
      <c r="N15">
        <f t="shared" si="1"/>
        <v>0.39500000000000002</v>
      </c>
      <c r="O15">
        <f t="shared" si="1"/>
        <v>0.23</v>
      </c>
      <c r="Q15" s="91"/>
      <c r="R15" s="91"/>
    </row>
    <row r="16" spans="1:18" x14ac:dyDescent="0.2">
      <c r="D16" t="s">
        <v>94</v>
      </c>
      <c r="E16">
        <f>E15+1</f>
        <v>6</v>
      </c>
      <c r="F16">
        <f>INDEX(F$8:F$14,$E16)</f>
        <v>7.5</v>
      </c>
      <c r="G16">
        <f t="shared" si="1"/>
        <v>4.25</v>
      </c>
      <c r="H16">
        <f t="shared" si="1"/>
        <v>2.1</v>
      </c>
      <c r="I16">
        <f t="shared" si="1"/>
        <v>0.82499999999999996</v>
      </c>
      <c r="J16">
        <f t="shared" si="1"/>
        <v>2.09</v>
      </c>
      <c r="K16">
        <f t="shared" si="1"/>
        <v>0.9</v>
      </c>
      <c r="L16">
        <f t="shared" si="1"/>
        <v>0.51</v>
      </c>
      <c r="M16">
        <f t="shared" si="1"/>
        <v>0.81499999999999995</v>
      </c>
      <c r="N16">
        <f t="shared" si="1"/>
        <v>0.46</v>
      </c>
      <c r="O16">
        <f t="shared" si="1"/>
        <v>0.28499999999999998</v>
      </c>
      <c r="Q16" s="92"/>
      <c r="R16" s="92"/>
    </row>
    <row r="17" spans="4:18" x14ac:dyDescent="0.2">
      <c r="D17" t="s">
        <v>95</v>
      </c>
      <c r="E17">
        <f>(Psp-INDEX(Table_12_12_3_5_1_Rows,$E$15))/(INDEX(Table_12_12_3_5_1_Rows,$E$16)-INDEX(Table_12_12_3_5_1_Rows,$E$15))</f>
        <v>0.3172964583333332</v>
      </c>
      <c r="F17">
        <f t="shared" ref="F17:O17" si="2">F15+$E$17*(F16-F15)</f>
        <v>6.1345929166666666</v>
      </c>
      <c r="G17">
        <f t="shared" si="2"/>
        <v>3.7038371666666667</v>
      </c>
      <c r="H17">
        <f t="shared" si="2"/>
        <v>1.8951889374999999</v>
      </c>
      <c r="I17">
        <f t="shared" si="2"/>
        <v>0.70552688020833332</v>
      </c>
      <c r="J17">
        <f t="shared" si="2"/>
        <v>1.9466322562499998</v>
      </c>
      <c r="K17">
        <f t="shared" si="2"/>
        <v>0.82490261041666668</v>
      </c>
      <c r="L17">
        <f t="shared" si="2"/>
        <v>0.45538371666666666</v>
      </c>
      <c r="M17">
        <f t="shared" si="2"/>
        <v>0.76379723437499991</v>
      </c>
      <c r="N17">
        <f t="shared" si="2"/>
        <v>0.41562426979166667</v>
      </c>
      <c r="O17">
        <f t="shared" si="2"/>
        <v>0.24745130520833333</v>
      </c>
      <c r="Q17" s="93" t="s">
        <v>92</v>
      </c>
      <c r="R17" s="93" t="s">
        <v>389</v>
      </c>
    </row>
    <row r="18" spans="4:18" x14ac:dyDescent="0.2">
      <c r="Q18" s="93"/>
      <c r="R18" s="93"/>
    </row>
    <row r="19" spans="4:18" x14ac:dyDescent="0.2">
      <c r="D19" s="36" t="s">
        <v>385</v>
      </c>
      <c r="E19">
        <f>P_SP/144</f>
        <v>26.345929166666664</v>
      </c>
      <c r="F19" t="s">
        <v>381</v>
      </c>
      <c r="Q19" s="72">
        <v>0.85</v>
      </c>
      <c r="R19" s="72">
        <v>0.85</v>
      </c>
    </row>
    <row r="20" spans="4:18" x14ac:dyDescent="0.2">
      <c r="D20" s="36" t="s">
        <v>386</v>
      </c>
      <c r="E20" t="str">
        <f>SoilClass</f>
        <v>III</v>
      </c>
      <c r="Q20" s="72">
        <v>0.9</v>
      </c>
      <c r="R20" s="72">
        <v>0.85</v>
      </c>
    </row>
    <row r="21" spans="4:18" x14ac:dyDescent="0.2">
      <c r="D21" s="36" t="s">
        <v>387</v>
      </c>
      <c r="E21" t="str">
        <f>IF(OR(SoilClass="IA",SoilClass="IB"),"I",SoilClass)</f>
        <v>III</v>
      </c>
      <c r="Q21" s="72">
        <v>0.95</v>
      </c>
      <c r="R21" s="72">
        <v>0.9</v>
      </c>
    </row>
    <row r="22" spans="4:18" x14ac:dyDescent="0.2">
      <c r="D22" s="36" t="s">
        <v>393</v>
      </c>
      <c r="E22" s="46">
        <f>StdProctor</f>
        <v>0.95</v>
      </c>
      <c r="Q22" t="s">
        <v>392</v>
      </c>
      <c r="R22" s="71">
        <f>IF(ProctorType="Standard Proctor",INDEX($R$19:$R$21,MATCH(IF(Proctor="Uncompacted",90%,Proctor),$Q$19:$Q$21)),NA())</f>
        <v>0.9</v>
      </c>
    </row>
    <row r="23" spans="4:18" x14ac:dyDescent="0.2">
      <c r="D23" s="36" t="s">
        <v>392</v>
      </c>
      <c r="E23" s="46">
        <f>ModProctor</f>
        <v>0.9</v>
      </c>
    </row>
    <row r="24" spans="4:18" x14ac:dyDescent="0.2">
      <c r="D24" s="36" t="s">
        <v>382</v>
      </c>
      <c r="E24" t="str">
        <f>INDEX($R$8:$R$10,MATCH($E$21,$Q$8:$Q$10,0))</f>
        <v>Si</v>
      </c>
      <c r="F24" t="s">
        <v>99</v>
      </c>
      <c r="Q24" s="91" t="s">
        <v>391</v>
      </c>
      <c r="R24" s="91"/>
    </row>
    <row r="25" spans="4:18" x14ac:dyDescent="0.2">
      <c r="D25" s="36"/>
      <c r="E25" t="str">
        <f>TEXT(StdProctor,"0%")</f>
        <v>95%</v>
      </c>
      <c r="F25" t="s">
        <v>100</v>
      </c>
      <c r="Q25" s="91"/>
      <c r="R25" s="91"/>
    </row>
    <row r="26" spans="4:18" x14ac:dyDescent="0.2">
      <c r="D26" s="36" t="s">
        <v>97</v>
      </c>
      <c r="E26" t="str">
        <f>_xlfn.CONCAT(Table_12_12_3_5_1_first,"-",Table_12_12_3_5_1_second)</f>
        <v>Si-95%</v>
      </c>
      <c r="F26" t="s">
        <v>101</v>
      </c>
      <c r="Q26" s="91"/>
      <c r="R26" s="91"/>
    </row>
    <row r="27" spans="4:18" x14ac:dyDescent="0.2">
      <c r="D27" s="36" t="s">
        <v>401</v>
      </c>
      <c r="E27">
        <f>INDEX(Table_12_12_3_5_1_interp,MATCH(Table_12_12_3_5_1_lookup,Table_12_12_3_5_1_Headers,0))*1000</f>
        <v>1946.6322562499997</v>
      </c>
      <c r="Q27" s="91"/>
      <c r="R27" s="91"/>
    </row>
    <row r="28" spans="4:18" x14ac:dyDescent="0.2">
      <c r="Q28" s="92"/>
      <c r="R28" s="92"/>
    </row>
    <row r="29" spans="4:18" x14ac:dyDescent="0.2">
      <c r="Q29" s="93" t="s">
        <v>389</v>
      </c>
      <c r="R29" s="93" t="s">
        <v>92</v>
      </c>
    </row>
    <row r="30" spans="4:18" x14ac:dyDescent="0.2">
      <c r="Q30" s="93"/>
      <c r="R30" s="93"/>
    </row>
    <row r="31" spans="4:18" x14ac:dyDescent="0.2">
      <c r="Q31" s="72">
        <v>0.85</v>
      </c>
      <c r="R31" s="72">
        <v>0.9</v>
      </c>
    </row>
    <row r="32" spans="4:18" x14ac:dyDescent="0.2">
      <c r="Q32" s="72">
        <v>0.9</v>
      </c>
      <c r="R32" s="72">
        <v>0.95</v>
      </c>
    </row>
    <row r="33" spans="17:18" x14ac:dyDescent="0.2">
      <c r="Q33" s="72">
        <v>0.95</v>
      </c>
      <c r="R33" s="72">
        <v>0.95</v>
      </c>
    </row>
    <row r="34" spans="17:18" x14ac:dyDescent="0.2">
      <c r="Q34" s="3">
        <v>1</v>
      </c>
      <c r="R34" s="3">
        <v>0.95</v>
      </c>
    </row>
    <row r="35" spans="17:18" x14ac:dyDescent="0.2">
      <c r="Q35" t="s">
        <v>393</v>
      </c>
      <c r="R35" s="71" t="e">
        <f>IF(ProctorType="Modified Proctor",INDEX($R$31:$R$34,MATCH(IF(Proctor="Uncompacted",85%,Proctor),$Q$31:$Q$34)),NA())</f>
        <v>#N/A</v>
      </c>
    </row>
  </sheetData>
  <mergeCells count="24">
    <mergeCell ref="A6:A7"/>
    <mergeCell ref="B6:B7"/>
    <mergeCell ref="F6:F7"/>
    <mergeCell ref="A1:B5"/>
    <mergeCell ref="L6:L7"/>
    <mergeCell ref="M6:M7"/>
    <mergeCell ref="N6:N7"/>
    <mergeCell ref="O6:O7"/>
    <mergeCell ref="E1:O3"/>
    <mergeCell ref="E4:E7"/>
    <mergeCell ref="G6:G7"/>
    <mergeCell ref="H6:H7"/>
    <mergeCell ref="I6:I7"/>
    <mergeCell ref="J6:J7"/>
    <mergeCell ref="K6:K7"/>
    <mergeCell ref="Q24:R28"/>
    <mergeCell ref="Q29:Q30"/>
    <mergeCell ref="R29:R30"/>
    <mergeCell ref="Q1:R5"/>
    <mergeCell ref="Q6:Q7"/>
    <mergeCell ref="R6:R7"/>
    <mergeCell ref="Q12:R16"/>
    <mergeCell ref="Q17:Q18"/>
    <mergeCell ref="R17:R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
  <sheetViews>
    <sheetView workbookViewId="0">
      <selection sqref="A1:B5"/>
    </sheetView>
  </sheetViews>
  <sheetFormatPr defaultRowHeight="12" x14ac:dyDescent="0.2"/>
  <cols>
    <col min="1" max="1" width="18.1640625" customWidth="1"/>
    <col min="2" max="2" width="20.5" customWidth="1"/>
  </cols>
  <sheetData>
    <row r="1" spans="1:2" ht="11.25" customHeight="1" x14ac:dyDescent="0.2">
      <c r="A1" s="91" t="s">
        <v>407</v>
      </c>
      <c r="B1" s="91"/>
    </row>
    <row r="2" spans="1:2" ht="11.25" customHeight="1" x14ac:dyDescent="0.2">
      <c r="A2" s="91"/>
      <c r="B2" s="91"/>
    </row>
    <row r="3" spans="1:2" ht="11.25" customHeight="1" x14ac:dyDescent="0.2">
      <c r="A3" s="91"/>
      <c r="B3" s="91"/>
    </row>
    <row r="4" spans="1:2" ht="11.25" customHeight="1" x14ac:dyDescent="0.2">
      <c r="A4" s="91"/>
      <c r="B4" s="91"/>
    </row>
    <row r="5" spans="1:2" ht="11.25" customHeight="1" x14ac:dyDescent="0.2">
      <c r="A5" s="92"/>
      <c r="B5" s="92"/>
    </row>
    <row r="6" spans="1:2" x14ac:dyDescent="0.2">
      <c r="A6" s="97" t="s">
        <v>55</v>
      </c>
      <c r="B6" s="97" t="s">
        <v>408</v>
      </c>
    </row>
    <row r="7" spans="1:2" x14ac:dyDescent="0.2">
      <c r="A7" s="98"/>
      <c r="B7" s="98"/>
    </row>
    <row r="8" spans="1:2" ht="12.75" x14ac:dyDescent="0.2">
      <c r="A8" s="60">
        <v>32.5</v>
      </c>
      <c r="B8" s="78">
        <v>7.4999999999999997E-2</v>
      </c>
    </row>
    <row r="9" spans="1:2" ht="12.75" x14ac:dyDescent="0.2">
      <c r="A9" s="60">
        <v>26</v>
      </c>
      <c r="B9" s="78">
        <v>7.4999999999999997E-2</v>
      </c>
    </row>
    <row r="10" spans="1:2" ht="12.75" x14ac:dyDescent="0.2">
      <c r="A10" s="60">
        <v>21</v>
      </c>
      <c r="B10" s="78">
        <v>7.4999999999999997E-2</v>
      </c>
    </row>
    <row r="11" spans="1:2" ht="12.75" x14ac:dyDescent="0.2">
      <c r="A11" s="60">
        <v>17</v>
      </c>
      <c r="B11" s="78">
        <v>0.06</v>
      </c>
    </row>
    <row r="12" spans="1:2" ht="12.75" x14ac:dyDescent="0.2">
      <c r="A12" s="60">
        <v>15.5</v>
      </c>
      <c r="B12" s="78">
        <v>0.06</v>
      </c>
    </row>
    <row r="13" spans="1:2" ht="12.75" x14ac:dyDescent="0.2">
      <c r="A13" s="60">
        <v>13.5</v>
      </c>
      <c r="B13" s="78">
        <v>0.06</v>
      </c>
    </row>
    <row r="14" spans="1:2" ht="12.75" x14ac:dyDescent="0.2">
      <c r="A14" s="60">
        <v>11</v>
      </c>
      <c r="B14" s="78">
        <v>0.05</v>
      </c>
    </row>
    <row r="15" spans="1:2" ht="12.75" x14ac:dyDescent="0.2">
      <c r="A15" s="60">
        <v>9</v>
      </c>
      <c r="B15" s="78">
        <v>0.04</v>
      </c>
    </row>
    <row r="16" spans="1:2" ht="12.75" x14ac:dyDescent="0.2">
      <c r="A16" s="60">
        <v>7.3</v>
      </c>
      <c r="B16" s="78">
        <v>0.03</v>
      </c>
    </row>
  </sheetData>
  <mergeCells count="3">
    <mergeCell ref="A1:B5"/>
    <mergeCell ref="A6:A7"/>
    <mergeCell ref="B6:B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les"/>
  <dimension ref="A1:BC30"/>
  <sheetViews>
    <sheetView workbookViewId="0">
      <selection activeCell="F15" sqref="F15"/>
    </sheetView>
  </sheetViews>
  <sheetFormatPr defaultRowHeight="12" x14ac:dyDescent="0.2"/>
  <cols>
    <col min="1" max="1" width="26.33203125" customWidth="1"/>
    <col min="2" max="2" width="14.5" customWidth="1"/>
    <col min="3" max="3" width="11.1640625" customWidth="1"/>
    <col min="4" max="5" width="15.1640625" customWidth="1"/>
    <col min="6" max="6" width="13.33203125" customWidth="1"/>
    <col min="7" max="7" width="1.83203125" customWidth="1"/>
    <col min="8" max="8" width="9.5" customWidth="1"/>
    <col min="9" max="9" width="10.6640625" customWidth="1"/>
    <col min="10" max="10" width="23.1640625" customWidth="1"/>
    <col min="11" max="11" width="2" customWidth="1"/>
    <col min="12" max="12" width="9.6640625" customWidth="1"/>
    <col min="13" max="13" width="12.33203125" customWidth="1"/>
    <col min="14" max="14" width="10.1640625" customWidth="1"/>
    <col min="15" max="15" width="11.1640625" customWidth="1"/>
    <col min="16" max="16" width="11" customWidth="1"/>
    <col min="17" max="17" width="8" customWidth="1"/>
    <col min="18" max="18" width="11.6640625" customWidth="1"/>
    <col min="19" max="19" width="8" customWidth="1"/>
    <col min="20" max="20" width="1.6640625" customWidth="1"/>
    <col min="21" max="21" width="8.6640625" customWidth="1"/>
    <col min="22" max="22" width="9.5" customWidth="1"/>
    <col min="23" max="23" width="12.33203125" customWidth="1"/>
    <col min="24" max="24" width="12" customWidth="1"/>
    <col min="25" max="27" width="6.5" customWidth="1"/>
    <col min="28" max="30" width="7.1640625" customWidth="1"/>
    <col min="31" max="31" width="3.33203125" customWidth="1"/>
    <col min="32" max="32" width="12" customWidth="1"/>
    <col min="33" max="33" width="11.33203125" bestFit="1" customWidth="1"/>
    <col min="37" max="37" width="9.83203125" customWidth="1"/>
    <col min="38" max="38" width="2.33203125" customWidth="1"/>
    <col min="41" max="41" width="12.5" customWidth="1"/>
    <col min="43" max="43" width="3" customWidth="1"/>
    <col min="44" max="45" width="11.1640625" customWidth="1"/>
    <col min="46" max="46" width="3" customWidth="1"/>
  </cols>
  <sheetData>
    <row r="1" spans="1:55" x14ac:dyDescent="0.2">
      <c r="A1" t="s">
        <v>43</v>
      </c>
    </row>
    <row r="3" spans="1:55" x14ac:dyDescent="0.2">
      <c r="A3" t="s">
        <v>0</v>
      </c>
      <c r="H3" t="s">
        <v>5</v>
      </c>
      <c r="L3" t="s">
        <v>10</v>
      </c>
      <c r="V3" t="s">
        <v>34</v>
      </c>
      <c r="AG3" t="s">
        <v>41</v>
      </c>
      <c r="AM3" t="s">
        <v>41</v>
      </c>
      <c r="AR3" t="s">
        <v>406</v>
      </c>
      <c r="AU3" t="s">
        <v>402</v>
      </c>
    </row>
    <row r="4" spans="1:55" s="1" customFormat="1" ht="55.5" customHeight="1" thickBot="1" x14ac:dyDescent="0.4">
      <c r="A4" s="99" t="s">
        <v>403</v>
      </c>
      <c r="B4" s="99"/>
      <c r="C4" s="99"/>
      <c r="D4" s="99"/>
      <c r="E4" s="99"/>
      <c r="F4" s="99"/>
      <c r="H4" s="99" t="s">
        <v>6</v>
      </c>
      <c r="I4" s="99"/>
      <c r="J4" s="99"/>
      <c r="L4" s="99" t="s">
        <v>247</v>
      </c>
      <c r="M4" s="99"/>
      <c r="N4" s="99"/>
      <c r="O4" s="99"/>
      <c r="P4" s="99"/>
      <c r="Q4" s="99"/>
      <c r="R4" s="99"/>
      <c r="S4" s="99"/>
      <c r="V4" s="99" t="s">
        <v>38</v>
      </c>
      <c r="W4" s="99"/>
      <c r="X4" s="99"/>
      <c r="Y4" s="99"/>
      <c r="Z4" s="99"/>
      <c r="AA4" s="99"/>
      <c r="AB4" s="99"/>
      <c r="AC4" s="99"/>
      <c r="AD4" s="99"/>
      <c r="AG4" s="100" t="s">
        <v>42</v>
      </c>
      <c r="AH4" s="100"/>
      <c r="AI4" s="100"/>
      <c r="AJ4" s="100"/>
      <c r="AK4" s="100"/>
      <c r="AM4" s="100" t="s">
        <v>48</v>
      </c>
      <c r="AN4" s="100"/>
      <c r="AO4" s="100"/>
      <c r="AP4" s="100"/>
    </row>
    <row r="5" spans="1:55" s="1" customFormat="1" ht="45" thickBot="1" x14ac:dyDescent="0.3">
      <c r="A5" s="18" t="s">
        <v>404</v>
      </c>
      <c r="B5" s="19" t="s">
        <v>1</v>
      </c>
      <c r="C5" s="19" t="s">
        <v>2</v>
      </c>
      <c r="D5" s="19" t="s">
        <v>40</v>
      </c>
      <c r="E5" s="42" t="s">
        <v>4</v>
      </c>
      <c r="F5" s="19" t="s">
        <v>231</v>
      </c>
      <c r="H5" s="18" t="s">
        <v>33</v>
      </c>
      <c r="I5" s="19" t="s">
        <v>9</v>
      </c>
      <c r="J5" s="20" t="s">
        <v>217</v>
      </c>
      <c r="L5" s="18" t="s">
        <v>11</v>
      </c>
      <c r="M5" s="19" t="s">
        <v>17</v>
      </c>
      <c r="N5" s="19" t="s">
        <v>31</v>
      </c>
      <c r="O5" s="19" t="s">
        <v>23</v>
      </c>
      <c r="P5" s="19" t="s">
        <v>22</v>
      </c>
      <c r="Q5" s="19" t="s">
        <v>27</v>
      </c>
      <c r="R5" s="19" t="s">
        <v>28</v>
      </c>
      <c r="S5" s="20" t="s">
        <v>29</v>
      </c>
      <c r="V5" s="4"/>
      <c r="W5" s="5" t="s">
        <v>35</v>
      </c>
      <c r="X5" s="5" t="s">
        <v>35</v>
      </c>
      <c r="Y5" s="5" t="s">
        <v>14</v>
      </c>
      <c r="Z5" s="5" t="s">
        <v>14</v>
      </c>
      <c r="AA5" s="5" t="s">
        <v>14</v>
      </c>
      <c r="AB5" s="5" t="s">
        <v>15</v>
      </c>
      <c r="AC5" s="5" t="s">
        <v>15</v>
      </c>
      <c r="AD5" s="6" t="s">
        <v>15</v>
      </c>
      <c r="AG5" s="4" t="s">
        <v>2</v>
      </c>
      <c r="AH5" s="5" t="s">
        <v>44</v>
      </c>
      <c r="AI5" s="5" t="s">
        <v>45</v>
      </c>
      <c r="AJ5" s="5" t="s">
        <v>46</v>
      </c>
      <c r="AK5" s="6" t="s">
        <v>46</v>
      </c>
      <c r="AM5" s="4" t="s">
        <v>49</v>
      </c>
      <c r="AN5" s="5" t="s">
        <v>50</v>
      </c>
      <c r="AO5" s="5" t="s">
        <v>51</v>
      </c>
      <c r="AP5" s="6" t="s">
        <v>52</v>
      </c>
      <c r="AR5" s="4" t="s">
        <v>3</v>
      </c>
      <c r="AS5" s="6" t="s">
        <v>405</v>
      </c>
      <c r="AU5" s="4" t="s">
        <v>3</v>
      </c>
      <c r="AV5" s="5" t="s">
        <v>35</v>
      </c>
      <c r="AW5" s="5" t="s">
        <v>35</v>
      </c>
      <c r="AX5" s="5" t="s">
        <v>14</v>
      </c>
      <c r="AY5" s="5" t="s">
        <v>14</v>
      </c>
      <c r="AZ5" s="5" t="s">
        <v>14</v>
      </c>
      <c r="BA5" s="5" t="s">
        <v>15</v>
      </c>
      <c r="BB5" s="5" t="s">
        <v>15</v>
      </c>
      <c r="BC5" s="6" t="s">
        <v>15</v>
      </c>
    </row>
    <row r="6" spans="1:55" ht="12.75" thickBot="1" x14ac:dyDescent="0.25">
      <c r="A6" s="13">
        <v>8</v>
      </c>
      <c r="B6" s="14">
        <v>7.5490000000000004</v>
      </c>
      <c r="C6" s="14">
        <v>16</v>
      </c>
      <c r="D6" s="14">
        <f>2*E6</f>
        <v>0.53799999999999981</v>
      </c>
      <c r="E6" s="43">
        <f>(8.625-B6)/4</f>
        <v>0.26899999999999991</v>
      </c>
      <c r="F6" s="75">
        <f>1/12*(2*E6)^3</f>
        <v>1.297673933333332E-2</v>
      </c>
      <c r="H6" s="13" t="s">
        <v>7</v>
      </c>
      <c r="I6" s="14">
        <v>22000</v>
      </c>
      <c r="J6" s="15">
        <v>1440</v>
      </c>
      <c r="L6" s="13" t="s">
        <v>12</v>
      </c>
      <c r="M6" s="14" t="s">
        <v>18</v>
      </c>
      <c r="N6" s="14" t="s">
        <v>22</v>
      </c>
      <c r="O6" s="14" t="s">
        <v>24</v>
      </c>
      <c r="P6" s="14">
        <v>1000</v>
      </c>
      <c r="Q6" s="14">
        <v>3000</v>
      </c>
      <c r="R6" s="14">
        <v>3000</v>
      </c>
      <c r="S6" s="15">
        <v>3000</v>
      </c>
      <c r="V6" s="7"/>
      <c r="W6" s="2" t="s">
        <v>36</v>
      </c>
      <c r="X6" s="2" t="s">
        <v>37</v>
      </c>
      <c r="Y6" s="3">
        <v>0.95</v>
      </c>
      <c r="Z6" s="3">
        <v>0.9</v>
      </c>
      <c r="AA6" s="3">
        <v>0.85</v>
      </c>
      <c r="AB6" s="3">
        <v>0.95</v>
      </c>
      <c r="AC6" s="3">
        <v>0.9</v>
      </c>
      <c r="AD6" s="8">
        <v>0.85</v>
      </c>
      <c r="AG6" s="16"/>
      <c r="AH6" s="47" t="s">
        <v>27</v>
      </c>
      <c r="AI6" s="47" t="s">
        <v>47</v>
      </c>
      <c r="AJ6" s="47" t="s">
        <v>27</v>
      </c>
      <c r="AK6" s="48" t="s">
        <v>47</v>
      </c>
      <c r="AM6" s="7">
        <v>30</v>
      </c>
      <c r="AN6" s="2">
        <v>43200</v>
      </c>
      <c r="AO6" s="2">
        <v>55</v>
      </c>
      <c r="AP6" s="22">
        <v>1.2999999999999999E-3</v>
      </c>
      <c r="AR6" s="13">
        <v>10.75</v>
      </c>
      <c r="AS6" s="15">
        <v>1</v>
      </c>
      <c r="AU6" s="7"/>
      <c r="AV6" s="2" t="s">
        <v>36</v>
      </c>
      <c r="AW6" s="2" t="s">
        <v>37</v>
      </c>
      <c r="AX6" s="3">
        <v>0.95</v>
      </c>
      <c r="AY6" s="3">
        <v>0.9</v>
      </c>
      <c r="AZ6" s="3">
        <v>0.85</v>
      </c>
      <c r="BA6" s="3">
        <v>0.95</v>
      </c>
      <c r="BB6" s="3">
        <v>0.9</v>
      </c>
      <c r="BC6" s="8">
        <v>0.85</v>
      </c>
    </row>
    <row r="7" spans="1:55" ht="12.75" thickBot="1" x14ac:dyDescent="0.25">
      <c r="A7" s="56">
        <v>10.75</v>
      </c>
      <c r="B7" s="57">
        <v>10.1</v>
      </c>
      <c r="C7" s="57">
        <v>16</v>
      </c>
      <c r="D7" s="57">
        <v>0.33100000000000002</v>
      </c>
      <c r="E7" s="74">
        <v>0.16600000000000001</v>
      </c>
      <c r="F7" s="58">
        <v>3.0000000000000001E-3</v>
      </c>
      <c r="H7" s="10" t="s">
        <v>8</v>
      </c>
      <c r="I7" s="11">
        <v>110000</v>
      </c>
      <c r="J7" s="12">
        <v>3000</v>
      </c>
      <c r="L7" s="7" t="s">
        <v>13</v>
      </c>
      <c r="M7" s="2" t="s">
        <v>19</v>
      </c>
      <c r="N7" s="2" t="s">
        <v>22</v>
      </c>
      <c r="O7" s="2" t="s">
        <v>24</v>
      </c>
      <c r="P7" s="2">
        <v>1000</v>
      </c>
      <c r="Q7" s="2">
        <v>3000</v>
      </c>
      <c r="R7" s="2">
        <v>3000</v>
      </c>
      <c r="S7" s="9">
        <v>3000</v>
      </c>
      <c r="V7" s="16" t="s">
        <v>39</v>
      </c>
      <c r="W7" s="17" t="str">
        <f t="shared" ref="W7:AD7" si="0">_xlfn.CONCAT(W5,"-",TEXT(W6,"00%"))</f>
        <v>I-Compacted</v>
      </c>
      <c r="X7" s="17" t="str">
        <f t="shared" si="0"/>
        <v>I-Uncompacted</v>
      </c>
      <c r="Y7" s="17" t="str">
        <f t="shared" si="0"/>
        <v>II-95%</v>
      </c>
      <c r="Z7" s="17" t="str">
        <f t="shared" si="0"/>
        <v>II-90%</v>
      </c>
      <c r="AA7" s="17" t="str">
        <f t="shared" si="0"/>
        <v>II-85%</v>
      </c>
      <c r="AB7" s="17" t="str">
        <f t="shared" si="0"/>
        <v>III-95%</v>
      </c>
      <c r="AC7" s="17" t="str">
        <f t="shared" si="0"/>
        <v>III-90%</v>
      </c>
      <c r="AD7" s="21" t="str">
        <f t="shared" si="0"/>
        <v>III-85%</v>
      </c>
      <c r="AG7" s="13"/>
      <c r="AH7" s="14" t="str">
        <f>_xlfn.CONCAT(AH5,AH6)</f>
        <v>Gravel&lt;85%</v>
      </c>
      <c r="AI7" s="14" t="str">
        <f>_xlfn.CONCAT(AI5,AI6)</f>
        <v>Gravel ≥85%</v>
      </c>
      <c r="AJ7" s="14" t="str">
        <f>_xlfn.CONCAT(AJ5,AJ6)</f>
        <v>Sand&lt;85%</v>
      </c>
      <c r="AK7" s="15" t="str">
        <f>_xlfn.CONCAT(AK5,AK6)</f>
        <v>Sand≥85%</v>
      </c>
      <c r="AM7" s="7">
        <v>35</v>
      </c>
      <c r="AN7" s="2">
        <v>46900</v>
      </c>
      <c r="AO7" s="2">
        <v>200</v>
      </c>
      <c r="AP7" s="22">
        <v>2.8E-3</v>
      </c>
      <c r="AR7" s="7">
        <v>12.75</v>
      </c>
      <c r="AS7" s="9">
        <v>1</v>
      </c>
      <c r="AU7" s="10"/>
      <c r="AV7" s="11" t="str">
        <f t="shared" ref="AV7:BC7" si="1">_xlfn.CONCAT(AV5,"-",TEXT(AV6,"00%"))</f>
        <v>I-Compacted</v>
      </c>
      <c r="AW7" s="11" t="str">
        <f t="shared" si="1"/>
        <v>I-Uncompacted</v>
      </c>
      <c r="AX7" s="11" t="str">
        <f t="shared" si="1"/>
        <v>II-95%</v>
      </c>
      <c r="AY7" s="11" t="str">
        <f t="shared" si="1"/>
        <v>II-90%</v>
      </c>
      <c r="AZ7" s="11" t="str">
        <f t="shared" si="1"/>
        <v>II-85%</v>
      </c>
      <c r="BA7" s="11" t="str">
        <f t="shared" si="1"/>
        <v>III-95%</v>
      </c>
      <c r="BB7" s="11" t="str">
        <f t="shared" si="1"/>
        <v>III-90%</v>
      </c>
      <c r="BC7" s="12" t="str">
        <f t="shared" si="1"/>
        <v>III-85%</v>
      </c>
    </row>
    <row r="8" spans="1:55" x14ac:dyDescent="0.2">
      <c r="A8" s="7">
        <v>12.75</v>
      </c>
      <c r="B8" s="2">
        <v>12</v>
      </c>
      <c r="C8" s="2">
        <v>16</v>
      </c>
      <c r="D8" s="2">
        <v>0.39200000000000002</v>
      </c>
      <c r="E8" s="44">
        <v>0.19600000000000001</v>
      </c>
      <c r="F8" s="9">
        <v>5.0000000000000001E-3</v>
      </c>
      <c r="L8" s="7" t="s">
        <v>14</v>
      </c>
      <c r="M8" s="2" t="s">
        <v>20</v>
      </c>
      <c r="N8" s="2">
        <v>0.85</v>
      </c>
      <c r="O8" s="2" t="s">
        <v>25</v>
      </c>
      <c r="P8" s="2" t="s">
        <v>30</v>
      </c>
      <c r="Q8" s="2">
        <v>1000</v>
      </c>
      <c r="R8" s="2">
        <v>2000</v>
      </c>
      <c r="S8" s="9">
        <v>3000</v>
      </c>
      <c r="V8" s="13">
        <v>1</v>
      </c>
      <c r="W8" s="14">
        <v>2350</v>
      </c>
      <c r="X8" s="14">
        <v>1280</v>
      </c>
      <c r="Y8" s="14">
        <v>2000</v>
      </c>
      <c r="Z8" s="14">
        <v>1280</v>
      </c>
      <c r="AA8" s="14">
        <v>470</v>
      </c>
      <c r="AB8" s="14">
        <v>1420</v>
      </c>
      <c r="AC8" s="14">
        <v>670</v>
      </c>
      <c r="AD8" s="15">
        <v>360</v>
      </c>
      <c r="AG8" s="7">
        <v>14</v>
      </c>
      <c r="AH8" s="2">
        <v>4.9000000000000004</v>
      </c>
      <c r="AI8" s="2">
        <v>6.2</v>
      </c>
      <c r="AJ8" s="2">
        <v>5.4</v>
      </c>
      <c r="AK8" s="9">
        <v>7.2</v>
      </c>
      <c r="AM8" s="7">
        <v>40</v>
      </c>
      <c r="AN8" s="2">
        <v>110500</v>
      </c>
      <c r="AO8" s="2">
        <v>375</v>
      </c>
      <c r="AP8" s="22">
        <v>3.3999999999999998E-3</v>
      </c>
      <c r="AR8" s="7">
        <v>14</v>
      </c>
      <c r="AS8" s="9">
        <v>1</v>
      </c>
      <c r="AU8" s="13">
        <v>10.75</v>
      </c>
      <c r="AV8" s="14">
        <v>65</v>
      </c>
      <c r="AW8" s="14">
        <v>10</v>
      </c>
      <c r="AX8" s="14">
        <v>65</v>
      </c>
      <c r="AY8" s="14">
        <v>37</v>
      </c>
      <c r="AZ8" s="14">
        <v>10</v>
      </c>
      <c r="BA8" s="14">
        <v>38</v>
      </c>
      <c r="BB8" s="14">
        <v>13</v>
      </c>
      <c r="BC8" s="15">
        <v>8</v>
      </c>
    </row>
    <row r="9" spans="1:55" ht="12.75" thickBot="1" x14ac:dyDescent="0.25">
      <c r="A9" s="7">
        <v>14</v>
      </c>
      <c r="B9" s="2">
        <v>13.1</v>
      </c>
      <c r="C9" s="2">
        <v>16</v>
      </c>
      <c r="D9" s="2">
        <v>0.43099999999999999</v>
      </c>
      <c r="E9" s="44">
        <v>0.216</v>
      </c>
      <c r="F9" s="9">
        <v>6.7000000000000002E-3</v>
      </c>
      <c r="L9" s="10" t="s">
        <v>15</v>
      </c>
      <c r="M9" s="11" t="s">
        <v>21</v>
      </c>
      <c r="N9" s="11">
        <v>0.9</v>
      </c>
      <c r="O9" s="11" t="s">
        <v>26</v>
      </c>
      <c r="P9" s="11" t="s">
        <v>30</v>
      </c>
      <c r="Q9" s="11" t="s">
        <v>30</v>
      </c>
      <c r="R9" s="11">
        <v>1000</v>
      </c>
      <c r="S9" s="12">
        <v>2000</v>
      </c>
      <c r="V9" s="7">
        <v>5</v>
      </c>
      <c r="W9" s="2">
        <v>3138</v>
      </c>
      <c r="X9" s="2">
        <v>1440</v>
      </c>
      <c r="Y9" s="2">
        <v>2450</v>
      </c>
      <c r="Z9" s="2">
        <v>1440</v>
      </c>
      <c r="AA9" s="2">
        <v>510</v>
      </c>
      <c r="AB9" s="2">
        <v>1610</v>
      </c>
      <c r="AC9" s="2">
        <v>720</v>
      </c>
      <c r="AD9" s="9">
        <v>380</v>
      </c>
      <c r="AG9" s="7">
        <v>16</v>
      </c>
      <c r="AH9" s="2">
        <v>4.7</v>
      </c>
      <c r="AI9" s="2">
        <v>5.8</v>
      </c>
      <c r="AJ9" s="2">
        <v>5.2</v>
      </c>
      <c r="AK9" s="9">
        <v>6.8</v>
      </c>
      <c r="AM9" s="7">
        <v>45</v>
      </c>
      <c r="AN9" s="2">
        <v>144200</v>
      </c>
      <c r="AO9" s="2">
        <v>530</v>
      </c>
      <c r="AP9" s="22">
        <v>3.7000000000000002E-3</v>
      </c>
      <c r="AR9" s="7">
        <v>16</v>
      </c>
      <c r="AS9" s="9">
        <v>1</v>
      </c>
      <c r="AU9" s="7">
        <v>12.75</v>
      </c>
      <c r="AV9" s="2">
        <v>65</v>
      </c>
      <c r="AW9" s="2">
        <v>10</v>
      </c>
      <c r="AX9" s="2">
        <v>65</v>
      </c>
      <c r="AY9" s="2">
        <v>37</v>
      </c>
      <c r="AZ9" s="2">
        <v>10</v>
      </c>
      <c r="BA9" s="2">
        <v>38</v>
      </c>
      <c r="BB9" s="2">
        <v>13</v>
      </c>
      <c r="BC9" s="9">
        <v>8</v>
      </c>
    </row>
    <row r="10" spans="1:55" x14ac:dyDescent="0.2">
      <c r="A10" s="7">
        <v>16</v>
      </c>
      <c r="B10" s="2">
        <v>15</v>
      </c>
      <c r="C10" s="2">
        <v>16</v>
      </c>
      <c r="D10" s="2">
        <v>0.49199999999999999</v>
      </c>
      <c r="E10" s="44">
        <v>0.246</v>
      </c>
      <c r="F10" s="9">
        <v>9.9000000000000008E-3</v>
      </c>
      <c r="L10" t="s">
        <v>16</v>
      </c>
      <c r="V10" s="7">
        <v>10</v>
      </c>
      <c r="W10" s="2">
        <v>3900</v>
      </c>
      <c r="X10" s="2">
        <v>1580</v>
      </c>
      <c r="Y10" s="2">
        <v>2840</v>
      </c>
      <c r="Z10" s="2">
        <v>1580</v>
      </c>
      <c r="AA10" s="2">
        <v>550</v>
      </c>
      <c r="AB10" s="2">
        <v>1730</v>
      </c>
      <c r="AC10" s="2">
        <v>750</v>
      </c>
      <c r="AD10" s="9">
        <v>400</v>
      </c>
      <c r="AG10" s="7">
        <v>18</v>
      </c>
      <c r="AH10" s="2">
        <v>4.5</v>
      </c>
      <c r="AI10" s="2">
        <v>5.5</v>
      </c>
      <c r="AJ10" s="2">
        <v>5</v>
      </c>
      <c r="AK10" s="9">
        <v>6.5</v>
      </c>
      <c r="AM10" s="7">
        <v>50</v>
      </c>
      <c r="AN10" s="2">
        <v>177900</v>
      </c>
      <c r="AO10" s="2">
        <v>690</v>
      </c>
      <c r="AP10" s="22">
        <v>3.8999999999999998E-3</v>
      </c>
      <c r="AR10" s="7">
        <v>18</v>
      </c>
      <c r="AS10" s="9">
        <v>1</v>
      </c>
      <c r="AU10" s="7">
        <v>14</v>
      </c>
      <c r="AV10" s="2">
        <v>65</v>
      </c>
      <c r="AW10" s="2">
        <v>10</v>
      </c>
      <c r="AX10" s="2">
        <v>65</v>
      </c>
      <c r="AY10" s="2">
        <v>37</v>
      </c>
      <c r="AZ10" s="2">
        <v>10</v>
      </c>
      <c r="BA10" s="2">
        <v>38</v>
      </c>
      <c r="BB10" s="2">
        <v>13</v>
      </c>
      <c r="BC10" s="9">
        <v>8</v>
      </c>
    </row>
    <row r="11" spans="1:55" x14ac:dyDescent="0.2">
      <c r="A11" s="7">
        <v>18</v>
      </c>
      <c r="B11" s="2">
        <v>16.899999999999999</v>
      </c>
      <c r="C11" s="2">
        <v>16</v>
      </c>
      <c r="D11" s="2">
        <v>0.55400000000000005</v>
      </c>
      <c r="E11" s="44">
        <v>0.27700000000000002</v>
      </c>
      <c r="F11" s="9">
        <v>1.4200000000000001E-2</v>
      </c>
      <c r="L11" t="s">
        <v>32</v>
      </c>
      <c r="V11" s="7">
        <v>15</v>
      </c>
      <c r="W11" s="2">
        <v>4460</v>
      </c>
      <c r="X11" s="2">
        <v>1660</v>
      </c>
      <c r="Y11" s="2">
        <v>3090</v>
      </c>
      <c r="Z11" s="2">
        <v>1660</v>
      </c>
      <c r="AA11" s="2">
        <v>590</v>
      </c>
      <c r="AB11" s="2">
        <v>1790</v>
      </c>
      <c r="AC11" s="2">
        <v>760</v>
      </c>
      <c r="AD11" s="9">
        <v>410</v>
      </c>
      <c r="AG11" s="7">
        <v>20</v>
      </c>
      <c r="AH11" s="2">
        <v>4.4000000000000004</v>
      </c>
      <c r="AI11" s="2">
        <v>5.4</v>
      </c>
      <c r="AJ11" s="2">
        <v>4.9000000000000004</v>
      </c>
      <c r="AK11" s="9">
        <v>6.4</v>
      </c>
      <c r="AM11" s="7">
        <v>55</v>
      </c>
      <c r="AN11" s="2">
        <v>211500</v>
      </c>
      <c r="AO11" s="2">
        <v>850</v>
      </c>
      <c r="AP11" s="22">
        <v>4.0000000000000001E-3</v>
      </c>
      <c r="AR11" s="7">
        <v>20</v>
      </c>
      <c r="AS11" s="9">
        <v>1</v>
      </c>
      <c r="AU11" s="7">
        <v>16</v>
      </c>
      <c r="AV11" s="2">
        <v>65</v>
      </c>
      <c r="AW11" s="2">
        <v>10</v>
      </c>
      <c r="AX11" s="2">
        <v>65</v>
      </c>
      <c r="AY11" s="2">
        <v>37</v>
      </c>
      <c r="AZ11" s="2">
        <v>10</v>
      </c>
      <c r="BA11" s="2">
        <v>38</v>
      </c>
      <c r="BB11" s="2">
        <v>13</v>
      </c>
      <c r="BC11" s="9">
        <v>8</v>
      </c>
    </row>
    <row r="12" spans="1:55" x14ac:dyDescent="0.2">
      <c r="A12" s="7">
        <v>20</v>
      </c>
      <c r="B12" s="2">
        <v>18.8</v>
      </c>
      <c r="C12" s="2">
        <v>16</v>
      </c>
      <c r="D12" s="2">
        <v>0.61499999999999999</v>
      </c>
      <c r="E12" s="44">
        <v>0.308</v>
      </c>
      <c r="F12" s="9">
        <v>1.9400000000000001E-2</v>
      </c>
      <c r="V12" s="7">
        <v>20</v>
      </c>
      <c r="W12" s="2">
        <v>4980</v>
      </c>
      <c r="X12" s="2">
        <v>1730</v>
      </c>
      <c r="Y12" s="2">
        <v>3270</v>
      </c>
      <c r="Z12" s="2">
        <v>1730</v>
      </c>
      <c r="AA12" s="2">
        <v>620</v>
      </c>
      <c r="AB12" s="2">
        <v>1840</v>
      </c>
      <c r="AC12" s="2">
        <v>770</v>
      </c>
      <c r="AD12" s="9">
        <v>420</v>
      </c>
      <c r="AG12" s="7">
        <v>22</v>
      </c>
      <c r="AH12" s="2">
        <v>4.3</v>
      </c>
      <c r="AI12" s="2">
        <v>5.3</v>
      </c>
      <c r="AJ12" s="2">
        <v>4.8</v>
      </c>
      <c r="AK12" s="9">
        <v>6.3</v>
      </c>
      <c r="AM12" s="7">
        <v>60</v>
      </c>
      <c r="AN12" s="2">
        <v>245200</v>
      </c>
      <c r="AO12" s="2">
        <v>1010</v>
      </c>
      <c r="AP12" s="22">
        <v>4.1000000000000003E-3</v>
      </c>
      <c r="AR12" s="7">
        <v>22</v>
      </c>
      <c r="AS12" s="9">
        <v>1</v>
      </c>
      <c r="AU12" s="7">
        <v>18</v>
      </c>
      <c r="AV12" s="2">
        <v>65</v>
      </c>
      <c r="AW12" s="2">
        <v>10</v>
      </c>
      <c r="AX12" s="2">
        <v>65</v>
      </c>
      <c r="AY12" s="2">
        <v>37</v>
      </c>
      <c r="AZ12" s="2">
        <v>10</v>
      </c>
      <c r="BA12" s="2">
        <v>38</v>
      </c>
      <c r="BB12" s="2">
        <v>13</v>
      </c>
      <c r="BC12" s="9">
        <v>8</v>
      </c>
    </row>
    <row r="13" spans="1:55" x14ac:dyDescent="0.2">
      <c r="A13" s="7">
        <v>22</v>
      </c>
      <c r="B13" s="2">
        <v>20.6</v>
      </c>
      <c r="C13" s="2">
        <v>16</v>
      </c>
      <c r="D13" s="2">
        <v>0.67700000000000005</v>
      </c>
      <c r="E13" s="44">
        <v>0.33900000000000002</v>
      </c>
      <c r="F13" s="9">
        <v>2.5899999999999999E-2</v>
      </c>
      <c r="V13" s="7">
        <v>25</v>
      </c>
      <c r="W13" s="2">
        <v>5500</v>
      </c>
      <c r="X13" s="2">
        <v>1800</v>
      </c>
      <c r="Y13" s="2">
        <v>3450</v>
      </c>
      <c r="Z13" s="2">
        <v>1800</v>
      </c>
      <c r="AA13" s="2">
        <v>650</v>
      </c>
      <c r="AB13" s="2">
        <v>1880</v>
      </c>
      <c r="AC13" s="2">
        <v>790</v>
      </c>
      <c r="AD13" s="9">
        <v>430</v>
      </c>
      <c r="AG13" s="7">
        <v>28</v>
      </c>
      <c r="AH13" s="2">
        <v>4.0999999999999996</v>
      </c>
      <c r="AI13" s="2">
        <v>4.9000000000000004</v>
      </c>
      <c r="AJ13" s="2">
        <v>4.4000000000000004</v>
      </c>
      <c r="AK13" s="9">
        <v>5.9</v>
      </c>
      <c r="AM13" s="7">
        <v>65</v>
      </c>
      <c r="AN13" s="2">
        <v>278900</v>
      </c>
      <c r="AO13" s="2">
        <v>1100</v>
      </c>
      <c r="AP13" s="22">
        <v>4.1999999999999997E-3</v>
      </c>
      <c r="AR13" s="7">
        <v>24</v>
      </c>
      <c r="AS13" s="9">
        <v>1</v>
      </c>
      <c r="AU13" s="7">
        <v>20</v>
      </c>
      <c r="AV13" s="2">
        <v>65</v>
      </c>
      <c r="AW13" s="2">
        <v>10</v>
      </c>
      <c r="AX13" s="2">
        <v>65</v>
      </c>
      <c r="AY13" s="2">
        <v>37</v>
      </c>
      <c r="AZ13" s="2">
        <v>10</v>
      </c>
      <c r="BA13" s="2">
        <v>38</v>
      </c>
      <c r="BB13" s="2">
        <v>13</v>
      </c>
      <c r="BC13" s="9">
        <v>8</v>
      </c>
    </row>
    <row r="14" spans="1:55" x14ac:dyDescent="0.2">
      <c r="A14" s="7">
        <v>24</v>
      </c>
      <c r="B14" s="2">
        <v>22.5</v>
      </c>
      <c r="C14" s="2">
        <v>16</v>
      </c>
      <c r="D14" s="2">
        <v>0.73799999999999999</v>
      </c>
      <c r="E14" s="44">
        <v>0.36899999999999999</v>
      </c>
      <c r="F14" s="9">
        <v>3.39E-2</v>
      </c>
      <c r="L14" t="s">
        <v>254</v>
      </c>
      <c r="M14" t="str">
        <f>SoilClass</f>
        <v>III</v>
      </c>
      <c r="V14" s="7">
        <v>30</v>
      </c>
      <c r="W14" s="2">
        <v>5900</v>
      </c>
      <c r="X14" s="2">
        <v>1860</v>
      </c>
      <c r="Y14" s="2">
        <v>3610</v>
      </c>
      <c r="Z14" s="2">
        <v>1860</v>
      </c>
      <c r="AA14" s="2">
        <v>690</v>
      </c>
      <c r="AB14" s="2">
        <v>1920</v>
      </c>
      <c r="AC14" s="2">
        <v>810</v>
      </c>
      <c r="AD14" s="9">
        <v>450</v>
      </c>
      <c r="AG14" s="7">
        <v>34</v>
      </c>
      <c r="AH14" s="2">
        <v>3.9</v>
      </c>
      <c r="AI14" s="2">
        <v>4.5999999999999996</v>
      </c>
      <c r="AJ14" s="2">
        <v>4.0999999999999996</v>
      </c>
      <c r="AK14" s="9">
        <v>5.6</v>
      </c>
      <c r="AM14" s="7">
        <v>70</v>
      </c>
      <c r="AN14" s="2">
        <v>312500</v>
      </c>
      <c r="AO14" s="2">
        <v>1300</v>
      </c>
      <c r="AP14" s="22">
        <v>4.3E-3</v>
      </c>
      <c r="AR14" s="7">
        <v>28</v>
      </c>
      <c r="AS14" s="9">
        <v>1</v>
      </c>
      <c r="AU14" s="7">
        <v>22</v>
      </c>
      <c r="AV14" s="2">
        <v>65</v>
      </c>
      <c r="AW14" s="2">
        <v>10</v>
      </c>
      <c r="AX14" s="2">
        <v>65</v>
      </c>
      <c r="AY14" s="2">
        <v>37</v>
      </c>
      <c r="AZ14" s="2">
        <v>10</v>
      </c>
      <c r="BA14" s="2">
        <v>38</v>
      </c>
      <c r="BB14" s="2">
        <v>13</v>
      </c>
      <c r="BC14" s="9">
        <v>8</v>
      </c>
    </row>
    <row r="15" spans="1:55" x14ac:dyDescent="0.2">
      <c r="A15" s="7">
        <v>26</v>
      </c>
      <c r="B15" s="80">
        <v>24.303999999999998</v>
      </c>
      <c r="C15" s="2">
        <v>16</v>
      </c>
      <c r="D15" s="2">
        <f>2*E15</f>
        <v>0.7970000000000006</v>
      </c>
      <c r="E15" s="44">
        <f>(25.898-B15)/4</f>
        <v>0.3985000000000003</v>
      </c>
      <c r="F15" s="81">
        <f>1/12*(2*E15)^3</f>
        <v>4.2188464416666752E-2</v>
      </c>
      <c r="L15" t="s">
        <v>98</v>
      </c>
      <c r="M15" s="46">
        <f>StdProctor</f>
        <v>0.95</v>
      </c>
      <c r="V15" s="7">
        <v>35</v>
      </c>
      <c r="W15" s="2">
        <v>6300</v>
      </c>
      <c r="X15" s="2">
        <v>1920</v>
      </c>
      <c r="Y15" s="2">
        <v>3770</v>
      </c>
      <c r="Z15" s="2">
        <v>1920</v>
      </c>
      <c r="AA15" s="2">
        <v>720</v>
      </c>
      <c r="AB15" s="2">
        <v>1960</v>
      </c>
      <c r="AC15" s="2">
        <v>830</v>
      </c>
      <c r="AD15" s="9">
        <v>460</v>
      </c>
      <c r="AG15" s="7">
        <v>35</v>
      </c>
      <c r="AH15" s="2">
        <v>3.8</v>
      </c>
      <c r="AI15" s="2">
        <v>4.5999999999999996</v>
      </c>
      <c r="AJ15" s="2">
        <v>4.0999999999999996</v>
      </c>
      <c r="AK15" s="9">
        <v>5.6</v>
      </c>
      <c r="AM15" s="7">
        <v>75</v>
      </c>
      <c r="AN15" s="2">
        <v>346200</v>
      </c>
      <c r="AO15" s="2">
        <v>1490</v>
      </c>
      <c r="AP15" s="22">
        <v>4.3E-3</v>
      </c>
      <c r="AR15" s="7">
        <v>30</v>
      </c>
      <c r="AS15" s="9">
        <v>1</v>
      </c>
      <c r="AU15" s="7">
        <v>24</v>
      </c>
      <c r="AV15" s="2">
        <v>65</v>
      </c>
      <c r="AW15" s="2">
        <v>10</v>
      </c>
      <c r="AX15" s="2">
        <v>65</v>
      </c>
      <c r="AY15" s="2">
        <v>37</v>
      </c>
      <c r="AZ15" s="2">
        <v>10</v>
      </c>
      <c r="BA15" s="2">
        <v>38</v>
      </c>
      <c r="BB15" s="2">
        <v>13</v>
      </c>
      <c r="BC15" s="9">
        <v>8</v>
      </c>
    </row>
    <row r="16" spans="1:55" x14ac:dyDescent="0.2">
      <c r="A16" s="7">
        <v>28</v>
      </c>
      <c r="B16" s="2">
        <v>26.3</v>
      </c>
      <c r="C16" s="2">
        <v>16</v>
      </c>
      <c r="D16" s="2">
        <v>0.86199999999999999</v>
      </c>
      <c r="E16" s="44">
        <v>0.43099999999999999</v>
      </c>
      <c r="F16" s="9">
        <v>5.3400000000000003E-2</v>
      </c>
      <c r="L16" t="s">
        <v>97</v>
      </c>
      <c r="M16" t="str">
        <f>CHOOSE(MATCH(TEXT(StdProctor,"0%"),{"Dumped","85%","90%","95%","100%"},0),"Dumped","&lt;85%","85 to 95%","&gt;95%","&gt;95%")</f>
        <v>&gt;95%</v>
      </c>
      <c r="V16" s="7">
        <v>40</v>
      </c>
      <c r="W16" s="2">
        <v>6700</v>
      </c>
      <c r="X16" s="2">
        <v>1980</v>
      </c>
      <c r="Y16" s="2">
        <v>3930</v>
      </c>
      <c r="Z16" s="2">
        <v>1980</v>
      </c>
      <c r="AA16" s="2">
        <v>780</v>
      </c>
      <c r="AB16" s="2">
        <v>2010</v>
      </c>
      <c r="AC16" s="2">
        <v>860</v>
      </c>
      <c r="AD16" s="9">
        <v>480</v>
      </c>
      <c r="AG16" s="7">
        <v>40</v>
      </c>
      <c r="AH16" s="2">
        <v>3.7</v>
      </c>
      <c r="AI16" s="2">
        <v>4.4000000000000004</v>
      </c>
      <c r="AJ16" s="2">
        <v>3.9</v>
      </c>
      <c r="AK16" s="9">
        <v>5.4</v>
      </c>
      <c r="AM16" s="7">
        <v>80</v>
      </c>
      <c r="AN16" s="2">
        <v>379900</v>
      </c>
      <c r="AO16" s="2">
        <v>1650</v>
      </c>
      <c r="AP16" s="22">
        <v>4.4000000000000003E-3</v>
      </c>
      <c r="AR16" s="7">
        <v>32</v>
      </c>
      <c r="AS16" s="9">
        <v>1</v>
      </c>
      <c r="AU16" s="7">
        <v>28</v>
      </c>
      <c r="AV16" s="2">
        <v>65</v>
      </c>
      <c r="AW16" s="2">
        <v>10</v>
      </c>
      <c r="AX16" s="2">
        <v>65</v>
      </c>
      <c r="AY16" s="2">
        <v>37</v>
      </c>
      <c r="AZ16" s="2">
        <v>10</v>
      </c>
      <c r="BA16" s="2">
        <v>38</v>
      </c>
      <c r="BB16" s="2">
        <v>13</v>
      </c>
      <c r="BC16" s="9">
        <v>8</v>
      </c>
    </row>
    <row r="17" spans="1:55" ht="12.75" thickBot="1" x14ac:dyDescent="0.25">
      <c r="A17" s="7">
        <v>30</v>
      </c>
      <c r="B17" s="2">
        <v>28.2</v>
      </c>
      <c r="C17" s="2">
        <v>16</v>
      </c>
      <c r="D17" s="2">
        <v>0.92300000000000004</v>
      </c>
      <c r="E17" s="44">
        <v>0.46200000000000002</v>
      </c>
      <c r="F17" s="9">
        <v>6.5500000000000003E-2</v>
      </c>
      <c r="L17" t="s">
        <v>255</v>
      </c>
      <c r="M17" t="str">
        <f>IF(SoilClass="I", "IA", SoilClass)</f>
        <v>III</v>
      </c>
      <c r="V17" s="7">
        <v>45</v>
      </c>
      <c r="W17" s="2">
        <v>7100</v>
      </c>
      <c r="X17" s="2">
        <v>2040</v>
      </c>
      <c r="Y17" s="2">
        <v>4090</v>
      </c>
      <c r="Z17" s="2">
        <v>2040</v>
      </c>
      <c r="AA17" s="2">
        <v>790</v>
      </c>
      <c r="AB17" s="2">
        <v>2050</v>
      </c>
      <c r="AC17" s="2">
        <v>880</v>
      </c>
      <c r="AD17" s="9">
        <v>490</v>
      </c>
      <c r="AG17" s="10">
        <v>42</v>
      </c>
      <c r="AH17" s="11">
        <v>3.7</v>
      </c>
      <c r="AI17" s="11">
        <v>4.4000000000000004</v>
      </c>
      <c r="AJ17" s="11">
        <v>3.9</v>
      </c>
      <c r="AK17" s="12">
        <v>5.3</v>
      </c>
      <c r="AM17" s="10">
        <v>85</v>
      </c>
      <c r="AN17" s="11">
        <v>413500</v>
      </c>
      <c r="AO17" s="11">
        <v>1810</v>
      </c>
      <c r="AP17" s="23">
        <v>4.4000000000000003E-3</v>
      </c>
      <c r="AR17" s="7">
        <v>36</v>
      </c>
      <c r="AS17" s="9">
        <v>1</v>
      </c>
      <c r="AU17" s="7">
        <v>30</v>
      </c>
      <c r="AV17" s="2">
        <v>65</v>
      </c>
      <c r="AW17" s="2">
        <v>10</v>
      </c>
      <c r="AX17" s="2">
        <v>65</v>
      </c>
      <c r="AY17" s="2">
        <v>37</v>
      </c>
      <c r="AZ17" s="2">
        <v>10</v>
      </c>
      <c r="BA17" s="2">
        <v>38</v>
      </c>
      <c r="BB17" s="2">
        <v>13</v>
      </c>
      <c r="BC17" s="9">
        <v>8</v>
      </c>
    </row>
    <row r="18" spans="1:55" x14ac:dyDescent="0.2">
      <c r="A18" s="7">
        <v>32</v>
      </c>
      <c r="B18" s="2">
        <v>30</v>
      </c>
      <c r="C18" s="2">
        <v>16</v>
      </c>
      <c r="D18" s="2">
        <v>0.98499999999999999</v>
      </c>
      <c r="E18" s="44">
        <v>0.49199999999999999</v>
      </c>
      <c r="F18" s="9">
        <v>7.9500000000000001E-2</v>
      </c>
      <c r="L18" t="s">
        <v>70</v>
      </c>
      <c r="M18">
        <f>INDEX($P$5:$S$9,MATCH(Material,$L$6:$L$9,0)+1,MATCH(Table_8_3_lookup,$P$5:$S$5,0))</f>
        <v>2000</v>
      </c>
      <c r="V18" s="7">
        <v>50</v>
      </c>
      <c r="W18" s="2">
        <v>7500</v>
      </c>
      <c r="X18" s="2">
        <v>2100</v>
      </c>
      <c r="Y18" s="2">
        <v>4250</v>
      </c>
      <c r="Z18" s="2">
        <v>2100</v>
      </c>
      <c r="AA18" s="2">
        <v>830</v>
      </c>
      <c r="AB18" s="2">
        <v>2090</v>
      </c>
      <c r="AC18" s="2">
        <v>900</v>
      </c>
      <c r="AD18" s="9">
        <v>510</v>
      </c>
      <c r="AF18" t="s">
        <v>93</v>
      </c>
      <c r="AG18">
        <f>MATCH(PS,$AG$8:$AG$17,1)</f>
        <v>2</v>
      </c>
      <c r="AH18">
        <f t="shared" ref="AH18:AK19" si="2">INDEX(AH$8:AH$17,$AG18)</f>
        <v>4.7</v>
      </c>
      <c r="AI18">
        <f t="shared" si="2"/>
        <v>5.8</v>
      </c>
      <c r="AJ18">
        <f t="shared" si="2"/>
        <v>5.2</v>
      </c>
      <c r="AK18">
        <f t="shared" si="2"/>
        <v>6.8</v>
      </c>
      <c r="AR18" s="7">
        <v>42</v>
      </c>
      <c r="AS18" s="9">
        <v>1</v>
      </c>
      <c r="AU18" s="7">
        <v>32</v>
      </c>
      <c r="AV18" s="2">
        <v>65</v>
      </c>
      <c r="AW18" s="2">
        <v>10</v>
      </c>
      <c r="AX18" s="2">
        <v>65</v>
      </c>
      <c r="AY18" s="2">
        <v>37</v>
      </c>
      <c r="AZ18" s="2">
        <v>10</v>
      </c>
      <c r="BA18" s="2">
        <v>38</v>
      </c>
      <c r="BB18" s="2">
        <v>13</v>
      </c>
      <c r="BC18" s="9">
        <v>8</v>
      </c>
    </row>
    <row r="19" spans="1:55" x14ac:dyDescent="0.2">
      <c r="A19" s="7">
        <v>36</v>
      </c>
      <c r="B19" s="2">
        <v>33.799999999999997</v>
      </c>
      <c r="C19" s="2">
        <v>16</v>
      </c>
      <c r="D19" s="2">
        <v>1.1080000000000001</v>
      </c>
      <c r="E19" s="44">
        <v>0.55400000000000005</v>
      </c>
      <c r="F19" s="9">
        <v>0.1133</v>
      </c>
      <c r="V19" s="7">
        <v>55</v>
      </c>
      <c r="W19" s="2">
        <v>7860</v>
      </c>
      <c r="X19" s="2">
        <v>2180</v>
      </c>
      <c r="Y19" s="2">
        <v>4400</v>
      </c>
      <c r="Z19" s="2">
        <v>2180</v>
      </c>
      <c r="AA19" s="2">
        <v>860</v>
      </c>
      <c r="AB19" s="2" t="e">
        <f>NA()</f>
        <v>#N/A</v>
      </c>
      <c r="AC19" s="2" t="e">
        <f>NA()</f>
        <v>#N/A</v>
      </c>
      <c r="AD19" s="9" t="e">
        <f>NA()</f>
        <v>#N/A</v>
      </c>
      <c r="AF19" t="s">
        <v>94</v>
      </c>
      <c r="AG19">
        <f>AG18+1</f>
        <v>3</v>
      </c>
      <c r="AH19">
        <f t="shared" si="2"/>
        <v>4.5</v>
      </c>
      <c r="AI19">
        <f t="shared" si="2"/>
        <v>5.5</v>
      </c>
      <c r="AJ19">
        <f t="shared" si="2"/>
        <v>5</v>
      </c>
      <c r="AK19">
        <f t="shared" si="2"/>
        <v>6.5</v>
      </c>
      <c r="AR19" s="7">
        <v>48</v>
      </c>
      <c r="AS19" s="9">
        <v>1</v>
      </c>
      <c r="AU19" s="7">
        <v>36</v>
      </c>
      <c r="AV19" s="2">
        <v>65</v>
      </c>
      <c r="AW19" s="2">
        <v>10</v>
      </c>
      <c r="AX19" s="2">
        <v>65</v>
      </c>
      <c r="AY19" s="2">
        <v>37</v>
      </c>
      <c r="AZ19" s="2">
        <v>10</v>
      </c>
      <c r="BA19" s="2">
        <v>38</v>
      </c>
      <c r="BB19" s="2">
        <v>13</v>
      </c>
      <c r="BC19" s="9">
        <v>8</v>
      </c>
    </row>
    <row r="20" spans="1:55" x14ac:dyDescent="0.2">
      <c r="A20" s="7">
        <v>42</v>
      </c>
      <c r="B20" s="2">
        <v>39.4</v>
      </c>
      <c r="C20" s="2">
        <v>16</v>
      </c>
      <c r="D20" s="2">
        <v>1.292</v>
      </c>
      <c r="E20" s="44">
        <v>0.66459999999999997</v>
      </c>
      <c r="F20" s="9">
        <v>0.1799</v>
      </c>
      <c r="V20" s="7">
        <v>60</v>
      </c>
      <c r="W20" s="2">
        <v>8220</v>
      </c>
      <c r="X20" s="2">
        <v>2260</v>
      </c>
      <c r="Y20" s="2">
        <v>4550</v>
      </c>
      <c r="Z20" s="2">
        <v>2260</v>
      </c>
      <c r="AA20" s="2">
        <v>895</v>
      </c>
      <c r="AB20" s="2" t="e">
        <f>NA()</f>
        <v>#N/A</v>
      </c>
      <c r="AC20" s="2" t="e">
        <f>NA()</f>
        <v>#N/A</v>
      </c>
      <c r="AD20" s="9" t="e">
        <f>NA()</f>
        <v>#N/A</v>
      </c>
      <c r="AF20" t="s">
        <v>95</v>
      </c>
      <c r="AG20">
        <f>(PS-INDEX($AG$8:$AG$17,$AG$18))/(INDEX($AG$8:$AG$17,$AG$19)-INDEX($AG$8:$AG$17,$AG$18))</f>
        <v>0</v>
      </c>
      <c r="AH20">
        <f>AH18+$AG$20*(AH19-AH18)</f>
        <v>4.7</v>
      </c>
      <c r="AI20">
        <f>AI18+$AG$20*(AI19-AI18)</f>
        <v>5.8</v>
      </c>
      <c r="AJ20">
        <f>AJ18+$AG$20*(AJ19-AJ18)</f>
        <v>5.2</v>
      </c>
      <c r="AK20">
        <f>AK18+$AG$20*(AK19-AK18)</f>
        <v>6.8</v>
      </c>
      <c r="AR20" s="7">
        <v>54</v>
      </c>
      <c r="AS20" s="9">
        <v>1</v>
      </c>
      <c r="AU20" s="7">
        <v>42</v>
      </c>
      <c r="AV20" s="2">
        <v>65</v>
      </c>
      <c r="AW20" s="2">
        <v>10</v>
      </c>
      <c r="AX20" s="2">
        <v>65</v>
      </c>
      <c r="AY20" s="2">
        <v>37</v>
      </c>
      <c r="AZ20" s="2">
        <v>10</v>
      </c>
      <c r="BA20" s="2">
        <v>38</v>
      </c>
      <c r="BB20" s="2">
        <v>13</v>
      </c>
      <c r="BC20" s="9">
        <v>8</v>
      </c>
    </row>
    <row r="21" spans="1:55" ht="12.75" thickBot="1" x14ac:dyDescent="0.25">
      <c r="A21" s="7">
        <v>48</v>
      </c>
      <c r="B21" s="2">
        <v>45</v>
      </c>
      <c r="C21" s="2">
        <v>16</v>
      </c>
      <c r="D21" s="2">
        <v>1.4770000000000001</v>
      </c>
      <c r="E21" s="44">
        <v>0.73899999999999999</v>
      </c>
      <c r="F21" s="9">
        <v>0.26850000000000002</v>
      </c>
      <c r="V21" s="7">
        <v>65</v>
      </c>
      <c r="W21" s="2">
        <v>8580</v>
      </c>
      <c r="X21" s="2">
        <v>2340</v>
      </c>
      <c r="Y21" s="2">
        <v>4700</v>
      </c>
      <c r="Z21" s="2">
        <v>2340</v>
      </c>
      <c r="AA21" s="2">
        <v>930</v>
      </c>
      <c r="AB21" s="2" t="e">
        <f>NA()</f>
        <v>#N/A</v>
      </c>
      <c r="AC21" s="2" t="e">
        <f>NA()</f>
        <v>#N/A</v>
      </c>
      <c r="AD21" s="9" t="e">
        <f>NA()</f>
        <v>#N/A</v>
      </c>
      <c r="AR21" s="10">
        <v>63</v>
      </c>
      <c r="AS21" s="12">
        <v>1</v>
      </c>
      <c r="AU21" s="7">
        <v>48</v>
      </c>
      <c r="AV21" s="2">
        <v>65</v>
      </c>
      <c r="AW21" s="2">
        <v>10</v>
      </c>
      <c r="AX21" s="2">
        <v>65</v>
      </c>
      <c r="AY21" s="2">
        <v>37</v>
      </c>
      <c r="AZ21" s="2">
        <v>10</v>
      </c>
      <c r="BA21" s="2">
        <v>38</v>
      </c>
      <c r="BB21" s="2">
        <v>13</v>
      </c>
      <c r="BC21" s="9">
        <v>8</v>
      </c>
    </row>
    <row r="22" spans="1:55" x14ac:dyDescent="0.2">
      <c r="A22" s="7">
        <v>54</v>
      </c>
      <c r="B22" s="2">
        <v>50.7</v>
      </c>
      <c r="C22" s="2">
        <v>16</v>
      </c>
      <c r="D22" s="2">
        <v>1.6619999999999999</v>
      </c>
      <c r="E22" s="44">
        <v>0.83099999999999996</v>
      </c>
      <c r="F22" s="9">
        <v>0.38229999999999997</v>
      </c>
      <c r="V22" s="7">
        <v>70</v>
      </c>
      <c r="W22" s="2">
        <v>8940</v>
      </c>
      <c r="X22" s="2">
        <v>2420</v>
      </c>
      <c r="Y22" s="2">
        <v>4850</v>
      </c>
      <c r="Z22" s="2">
        <v>2420</v>
      </c>
      <c r="AA22" s="2">
        <v>965</v>
      </c>
      <c r="AB22" s="2" t="e">
        <f>NA()</f>
        <v>#N/A</v>
      </c>
      <c r="AC22" s="2" t="e">
        <f>NA()</f>
        <v>#N/A</v>
      </c>
      <c r="AD22" s="9" t="e">
        <f>NA()</f>
        <v>#N/A</v>
      </c>
      <c r="AU22" s="7">
        <v>54</v>
      </c>
      <c r="AV22" s="2">
        <v>65</v>
      </c>
      <c r="AW22" s="2">
        <v>10</v>
      </c>
      <c r="AX22" s="2">
        <v>65</v>
      </c>
      <c r="AY22" s="2">
        <v>37</v>
      </c>
      <c r="AZ22" s="2">
        <v>10</v>
      </c>
      <c r="BA22" s="2">
        <v>38</v>
      </c>
      <c r="BB22" s="2">
        <v>13</v>
      </c>
      <c r="BC22" s="9">
        <v>8</v>
      </c>
    </row>
    <row r="23" spans="1:55" ht="12.75" thickBot="1" x14ac:dyDescent="0.25">
      <c r="A23" s="10">
        <v>63</v>
      </c>
      <c r="B23" s="11">
        <v>59.1</v>
      </c>
      <c r="C23" s="11">
        <v>16</v>
      </c>
      <c r="D23" s="11">
        <v>1.9379999999999999</v>
      </c>
      <c r="E23" s="45">
        <v>0.96899999999999997</v>
      </c>
      <c r="F23" s="12">
        <v>0.60699999999999998</v>
      </c>
      <c r="V23" s="10">
        <v>75</v>
      </c>
      <c r="W23" s="11">
        <v>9300</v>
      </c>
      <c r="X23" s="11">
        <v>2500</v>
      </c>
      <c r="Y23" s="11">
        <v>5000</v>
      </c>
      <c r="Z23" s="11">
        <v>2500</v>
      </c>
      <c r="AA23" s="11">
        <v>1000</v>
      </c>
      <c r="AB23" s="11" t="e">
        <f>NA()</f>
        <v>#N/A</v>
      </c>
      <c r="AC23" s="11" t="e">
        <f>NA()</f>
        <v>#N/A</v>
      </c>
      <c r="AD23" s="12" t="e">
        <f>NA()</f>
        <v>#N/A</v>
      </c>
      <c r="AF23" t="s">
        <v>102</v>
      </c>
      <c r="AG23" t="str">
        <f>Grain</f>
        <v>Gravel</v>
      </c>
      <c r="AU23" s="10">
        <v>63</v>
      </c>
      <c r="AV23" s="11">
        <v>65</v>
      </c>
      <c r="AW23" s="11">
        <v>10</v>
      </c>
      <c r="AX23" s="11">
        <v>65</v>
      </c>
      <c r="AY23" s="11">
        <v>37</v>
      </c>
      <c r="AZ23" s="11">
        <v>10</v>
      </c>
      <c r="BA23" s="11">
        <v>38</v>
      </c>
      <c r="BB23" s="11">
        <v>13</v>
      </c>
      <c r="BC23" s="12">
        <v>8</v>
      </c>
    </row>
    <row r="24" spans="1:55" x14ac:dyDescent="0.2">
      <c r="U24" t="s">
        <v>93</v>
      </c>
      <c r="V24">
        <f>MATCH(H,$V$8:$V$23,1)</f>
        <v>6</v>
      </c>
      <c r="W24">
        <f t="shared" ref="W24:AD24" si="3">INDEX(W$8:W$23,$V$24)</f>
        <v>5500</v>
      </c>
      <c r="X24">
        <f t="shared" si="3"/>
        <v>1800</v>
      </c>
      <c r="Y24">
        <f t="shared" si="3"/>
        <v>3450</v>
      </c>
      <c r="Z24">
        <f t="shared" si="3"/>
        <v>1800</v>
      </c>
      <c r="AA24">
        <f t="shared" si="3"/>
        <v>650</v>
      </c>
      <c r="AB24">
        <f t="shared" si="3"/>
        <v>1880</v>
      </c>
      <c r="AC24">
        <f t="shared" si="3"/>
        <v>790</v>
      </c>
      <c r="AD24">
        <f t="shared" si="3"/>
        <v>430</v>
      </c>
      <c r="AF24" t="s">
        <v>98</v>
      </c>
      <c r="AG24">
        <f>StdProctor</f>
        <v>0.95</v>
      </c>
    </row>
    <row r="25" spans="1:55" x14ac:dyDescent="0.2">
      <c r="U25" t="s">
        <v>94</v>
      </c>
      <c r="V25">
        <f>V24+1</f>
        <v>7</v>
      </c>
      <c r="W25">
        <f t="shared" ref="W25:AD25" si="4">INDEX(W$8:W$23,$V$25)</f>
        <v>5900</v>
      </c>
      <c r="X25">
        <f t="shared" si="4"/>
        <v>1860</v>
      </c>
      <c r="Y25">
        <f t="shared" si="4"/>
        <v>3610</v>
      </c>
      <c r="Z25">
        <f t="shared" si="4"/>
        <v>1860</v>
      </c>
      <c r="AA25">
        <f t="shared" si="4"/>
        <v>690</v>
      </c>
      <c r="AB25">
        <f t="shared" si="4"/>
        <v>1920</v>
      </c>
      <c r="AC25">
        <f t="shared" si="4"/>
        <v>810</v>
      </c>
      <c r="AD25">
        <f t="shared" si="4"/>
        <v>450</v>
      </c>
      <c r="AG25" t="str">
        <f>AG23</f>
        <v>Gravel</v>
      </c>
      <c r="AH25" t="s">
        <v>99</v>
      </c>
    </row>
    <row r="26" spans="1:55" x14ac:dyDescent="0.2">
      <c r="U26" t="s">
        <v>95</v>
      </c>
      <c r="V26">
        <f>(H-INDEX($V$8:$V$23,$V$24))/(INDEX($V$8:$V$23,$V$25)-INDEX($V$8:$V$23,$V$24))</f>
        <v>0.4</v>
      </c>
      <c r="W26">
        <f t="shared" ref="W26:AD26" si="5">W24+$E$19*(W25-W24)</f>
        <v>5721.6</v>
      </c>
      <c r="X26">
        <f t="shared" si="5"/>
        <v>1833.24</v>
      </c>
      <c r="Y26">
        <f t="shared" si="5"/>
        <v>3538.64</v>
      </c>
      <c r="Z26">
        <f t="shared" si="5"/>
        <v>1833.24</v>
      </c>
      <c r="AA26">
        <f t="shared" si="5"/>
        <v>672.16</v>
      </c>
      <c r="AB26">
        <f t="shared" si="5"/>
        <v>1902.16</v>
      </c>
      <c r="AC26">
        <f t="shared" si="5"/>
        <v>801.08</v>
      </c>
      <c r="AD26">
        <f t="shared" si="5"/>
        <v>441.08</v>
      </c>
      <c r="AG26" t="str">
        <f>IF(StdProctor="Dumped","&lt;85%","≥85%")</f>
        <v>≥85%</v>
      </c>
      <c r="AH26" t="s">
        <v>100</v>
      </c>
    </row>
    <row r="27" spans="1:55" x14ac:dyDescent="0.2">
      <c r="AF27" t="s">
        <v>97</v>
      </c>
      <c r="AG27" t="str">
        <f>_xlfn.CONCAT(Table_8_5_first,Table_8_5_second)</f>
        <v>Gravel≥85%</v>
      </c>
      <c r="AH27" t="s">
        <v>101</v>
      </c>
    </row>
    <row r="28" spans="1:55" ht="15" customHeight="1" x14ac:dyDescent="0.35">
      <c r="AF28" s="1" t="s">
        <v>248</v>
      </c>
      <c r="AG28" s="1">
        <f>HLOOKUP(Table_8_5_lookup,$AH$7:$AK$17,MATCH(PS,$AG$8:$AG$17,0)+1)</f>
        <v>5.8</v>
      </c>
      <c r="AH28" s="1"/>
      <c r="AI28" s="1"/>
      <c r="AJ28" s="1"/>
    </row>
    <row r="30" spans="1:55" x14ac:dyDescent="0.2">
      <c r="AU30" s="46"/>
    </row>
  </sheetData>
  <mergeCells count="6">
    <mergeCell ref="A4:F4"/>
    <mergeCell ref="V4:AD4"/>
    <mergeCell ref="AG4:AK4"/>
    <mergeCell ref="AM4:AP4"/>
    <mergeCell ref="L4:S4"/>
    <mergeCell ref="H4:J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186</vt:i4>
      </vt:variant>
    </vt:vector>
  </HeadingPairs>
  <TitlesOfParts>
    <vt:vector size="192" baseType="lpstr">
      <vt:lpstr>StructuralCheck</vt:lpstr>
      <vt:lpstr>MaxCover</vt:lpstr>
      <vt:lpstr>MinCover</vt:lpstr>
      <vt:lpstr>AASHTOtables</vt:lpstr>
      <vt:lpstr>PPI Tables</vt:lpstr>
      <vt:lpstr>SnapTiteTables</vt:lpstr>
      <vt:lpstr>A</vt:lpstr>
      <vt:lpstr>AxleLoads</vt:lpstr>
      <vt:lpstr>AxleLoadUserDefined</vt:lpstr>
      <vt:lpstr>B_prime</vt:lpstr>
      <vt:lpstr>BucklingCheck</vt:lpstr>
      <vt:lpstr>c_</vt:lpstr>
      <vt:lpstr>C_L</vt:lpstr>
      <vt:lpstr>C_n</vt:lpstr>
      <vt:lpstr>CheckAll</vt:lpstr>
      <vt:lpstr>CheckDescription</vt:lpstr>
      <vt:lpstr>CheckNames</vt:lpstr>
      <vt:lpstr>Checks</vt:lpstr>
      <vt:lpstr>MaxCover!Classes</vt:lpstr>
      <vt:lpstr>MinCover!Classes</vt:lpstr>
      <vt:lpstr>CombinedCompressionStrainCheck</vt:lpstr>
      <vt:lpstr>CombinedTensionStrainCheck</vt:lpstr>
      <vt:lpstr>MaxCover!Compactions</vt:lpstr>
      <vt:lpstr>MinCover!Compactions</vt:lpstr>
      <vt:lpstr>D_f</vt:lpstr>
      <vt:lpstr>D_L</vt:lpstr>
      <vt:lpstr>D_m</vt:lpstr>
      <vt:lpstr>DeflectionCheck</vt:lpstr>
      <vt:lpstr>E_gr</vt:lpstr>
      <vt:lpstr>E_long</vt:lpstr>
      <vt:lpstr>E_short</vt:lpstr>
      <vt:lpstr>F_1</vt:lpstr>
      <vt:lpstr>F_2</vt:lpstr>
      <vt:lpstr>FF</vt:lpstr>
      <vt:lpstr>FF_max</vt:lpstr>
      <vt:lpstr>FlexibilityCheck</vt:lpstr>
      <vt:lpstr>Fy_long</vt:lpstr>
      <vt:lpstr>Fy_short</vt:lpstr>
      <vt:lpstr>Grain</vt:lpstr>
      <vt:lpstr>H</vt:lpstr>
      <vt:lpstr>H_gw</vt:lpstr>
      <vt:lpstr>H_max</vt:lpstr>
      <vt:lpstr>H_min</vt:lpstr>
      <vt:lpstr>I</vt:lpstr>
      <vt:lpstr>ID</vt:lpstr>
      <vt:lpstr>IM</vt:lpstr>
      <vt:lpstr>K_B</vt:lpstr>
      <vt:lpstr>K_γE</vt:lpstr>
      <vt:lpstr>L_Pc</vt:lpstr>
      <vt:lpstr>L_Pc_tandem</vt:lpstr>
      <vt:lpstr>L_Pc_tire</vt:lpstr>
      <vt:lpstr>L_T</vt:lpstr>
      <vt:lpstr>L_W</vt:lpstr>
      <vt:lpstr>LiveLoadNames</vt:lpstr>
      <vt:lpstr>LL_type</vt:lpstr>
      <vt:lpstr>LLDF</vt:lpstr>
      <vt:lpstr>m</vt:lpstr>
      <vt:lpstr>SnapTiteTables!Material</vt:lpstr>
      <vt:lpstr>MaxCoverCheck</vt:lpstr>
      <vt:lpstr>MaxCoverLookup</vt:lpstr>
      <vt:lpstr>MinCoverCheck</vt:lpstr>
      <vt:lpstr>MinCoverLookup</vt:lpstr>
      <vt:lpstr>ModProctorLookup</vt:lpstr>
      <vt:lpstr>Ms</vt:lpstr>
      <vt:lpstr>NLanes</vt:lpstr>
      <vt:lpstr>OD</vt:lpstr>
      <vt:lpstr>OD_nom</vt:lpstr>
      <vt:lpstr>MaxCover!ODs</vt:lpstr>
      <vt:lpstr>MinCover!ODs</vt:lpstr>
      <vt:lpstr>P_DL</vt:lpstr>
      <vt:lpstr>P_L</vt:lpstr>
      <vt:lpstr>P_Other</vt:lpstr>
      <vt:lpstr>P_patch</vt:lpstr>
      <vt:lpstr>P_patch_tandem</vt:lpstr>
      <vt:lpstr>P_SP</vt:lpstr>
      <vt:lpstr>P_WA</vt:lpstr>
      <vt:lpstr>PipeDiameters</vt:lpstr>
      <vt:lpstr>PipeType</vt:lpstr>
      <vt:lpstr>StructuralCheck!Print_Area</vt:lpstr>
      <vt:lpstr>Proctor</vt:lpstr>
      <vt:lpstr>ProctorType</vt:lpstr>
      <vt:lpstr>PS</vt:lpstr>
      <vt:lpstr>AASHTOtables!Psp</vt:lpstr>
      <vt:lpstr>SnapTiteTables!Psp</vt:lpstr>
      <vt:lpstr>Q_patch</vt:lpstr>
      <vt:lpstr>Q_patch_tandem</vt:lpstr>
      <vt:lpstr>Q_tandem</vt:lpstr>
      <vt:lpstr>Q_truck</vt:lpstr>
      <vt:lpstr>R_h</vt:lpstr>
      <vt:lpstr>R_m</vt:lpstr>
      <vt:lpstr>R_W</vt:lpstr>
      <vt:lpstr>s_circum</vt:lpstr>
      <vt:lpstr>s_circum_tandem</vt:lpstr>
      <vt:lpstr>S_h</vt:lpstr>
      <vt:lpstr>s_long</vt:lpstr>
      <vt:lpstr>s_long_tandem</vt:lpstr>
      <vt:lpstr>SoilClass</vt:lpstr>
      <vt:lpstr>SoilClassLookup</vt:lpstr>
      <vt:lpstr>StdProctorLookup</vt:lpstr>
      <vt:lpstr>T_buckling_cr</vt:lpstr>
      <vt:lpstr>T_cr</vt:lpstr>
      <vt:lpstr>T_EV</vt:lpstr>
      <vt:lpstr>T_EV_Crown</vt:lpstr>
      <vt:lpstr>T_EVu</vt:lpstr>
      <vt:lpstr>T_EVu_Crown</vt:lpstr>
      <vt:lpstr>T_LL</vt:lpstr>
      <vt:lpstr>T_LLu</vt:lpstr>
      <vt:lpstr>T_Other</vt:lpstr>
      <vt:lpstr>T_Otheru</vt:lpstr>
      <vt:lpstr>T_S</vt:lpstr>
      <vt:lpstr>T_U</vt:lpstr>
      <vt:lpstr>T_WA</vt:lpstr>
      <vt:lpstr>T_WAu</vt:lpstr>
      <vt:lpstr>Table_12_12_3_5_1</vt:lpstr>
      <vt:lpstr>Table_12_12_3_5_1_first</vt:lpstr>
      <vt:lpstr>Table_12_12_3_5_1_Headers</vt:lpstr>
      <vt:lpstr>Table_12_12_3_5_1_interp</vt:lpstr>
      <vt:lpstr>Table_12_12_3_5_1_lookup</vt:lpstr>
      <vt:lpstr>Table_12_12_3_5_1_Rows</vt:lpstr>
      <vt:lpstr>Table_12_12_3_5_1_second</vt:lpstr>
      <vt:lpstr>Table_3_11</vt:lpstr>
      <vt:lpstr>Table_3_11_rows</vt:lpstr>
      <vt:lpstr>Table_8_1</vt:lpstr>
      <vt:lpstr>Table_8_3_lookup</vt:lpstr>
      <vt:lpstr>Table_8_5_first</vt:lpstr>
      <vt:lpstr>Table_8_5_lookup</vt:lpstr>
      <vt:lpstr>Table_8_5_second</vt:lpstr>
      <vt:lpstr>Table_MaxCover</vt:lpstr>
      <vt:lpstr>Table_MaxCover_first</vt:lpstr>
      <vt:lpstr>Table_MaxCover_Headers</vt:lpstr>
      <vt:lpstr>Table_MaxCover_interp</vt:lpstr>
      <vt:lpstr>Table_MaxCover_lookup</vt:lpstr>
      <vt:lpstr>Table_MaxCover_Rows</vt:lpstr>
      <vt:lpstr>Table_MaxCover_second</vt:lpstr>
      <vt:lpstr>Table_MinCover</vt:lpstr>
      <vt:lpstr>Table_MinCover_first</vt:lpstr>
      <vt:lpstr>Table_MinCover_Headers</vt:lpstr>
      <vt:lpstr>Table_MinCover_interp</vt:lpstr>
      <vt:lpstr>Table_MinCover_lookup</vt:lpstr>
      <vt:lpstr>Table_MinCover_Rows</vt:lpstr>
      <vt:lpstr>Table_MinCover_second</vt:lpstr>
      <vt:lpstr>Tandem_Designation</vt:lpstr>
      <vt:lpstr>TandemName</vt:lpstr>
      <vt:lpstr>Term</vt:lpstr>
      <vt:lpstr>ThrustCheck</vt:lpstr>
      <vt:lpstr>VAF</vt:lpstr>
      <vt:lpstr>W_Pc</vt:lpstr>
      <vt:lpstr>W_Pc_tandem</vt:lpstr>
      <vt:lpstr>W_Pc_tire</vt:lpstr>
      <vt:lpstr>W_T</vt:lpstr>
      <vt:lpstr>γ_EV</vt:lpstr>
      <vt:lpstr>γ_LL</vt:lpstr>
      <vt:lpstr>γ_Other</vt:lpstr>
      <vt:lpstr>γ_soil</vt:lpstr>
      <vt:lpstr>γ_soil_prime</vt:lpstr>
      <vt:lpstr>γ_WA</vt:lpstr>
      <vt:lpstr>γ_water</vt:lpstr>
      <vt:lpstr>Δ_A</vt:lpstr>
      <vt:lpstr>Δ_A_pcnt</vt:lpstr>
      <vt:lpstr>Δ_C</vt:lpstr>
      <vt:lpstr>Δ_f</vt:lpstr>
      <vt:lpstr>Δ_t_DL</vt:lpstr>
      <vt:lpstr>Δ_t_LL</vt:lpstr>
      <vt:lpstr>ε_buckling</vt:lpstr>
      <vt:lpstr>ε_fcu</vt:lpstr>
      <vt:lpstr>ε_ftu</vt:lpstr>
      <vt:lpstr>ε_fu</vt:lpstr>
      <vt:lpstr>ε_gr</vt:lpstr>
      <vt:lpstr>ε_sc</vt:lpstr>
      <vt:lpstr>ε_sc_long</vt:lpstr>
      <vt:lpstr>ε_sc_short</vt:lpstr>
      <vt:lpstr>ε_uc</vt:lpstr>
      <vt:lpstr>ε_yc</vt:lpstr>
      <vt:lpstr>ε_yt</vt:lpstr>
      <vt:lpstr>η_EV</vt:lpstr>
      <vt:lpstr>η_LL</vt:lpstr>
      <vt:lpstr>η_Other</vt:lpstr>
      <vt:lpstr>η_WA</vt:lpstr>
      <vt:lpstr>ν</vt:lpstr>
      <vt:lpstr>ρ_gr</vt:lpstr>
      <vt:lpstr>σ_gr</vt:lpstr>
      <vt:lpstr>ϕ_buckling</vt:lpstr>
      <vt:lpstr>ϕ_flexure</vt:lpstr>
      <vt:lpstr>ϕ_soil</vt:lpstr>
      <vt:lpstr>ϕ_soil_stiffness</vt:lpstr>
      <vt:lpstr>ϕ_thrust</vt:lpstr>
      <vt:lpstr>ϕ1.5ε_yc</vt:lpstr>
      <vt:lpstr>ϕf_cr</vt:lpstr>
      <vt:lpstr>ϕFy</vt:lpstr>
      <vt:lpstr>ϕε_buckling</vt:lpstr>
      <vt:lpstr>ϕε_yc</vt:lpstr>
      <vt:lpstr>ϕε_yt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rick.teachey</dc:creator>
  <cp:lastModifiedBy>Rick Teachey</cp:lastModifiedBy>
  <cp:lastPrinted>2017-12-08T14:06:47Z</cp:lastPrinted>
  <dcterms:created xsi:type="dcterms:W3CDTF">2016-08-02T18:13:24Z</dcterms:created>
  <dcterms:modified xsi:type="dcterms:W3CDTF">2023-12-31T06:10:40Z</dcterms:modified>
</cp:coreProperties>
</file>