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tkarsh/Downloads/"/>
    </mc:Choice>
  </mc:AlternateContent>
  <xr:revisionPtr revIDLastSave="0" documentId="13_ncr:1_{73EDBDFC-9B50-0243-8AF7-505FE9C4BC8A}" xr6:coauthVersionLast="47" xr6:coauthVersionMax="47" xr10:uidLastSave="{00000000-0000-0000-0000-000000000000}"/>
  <bookViews>
    <workbookView xWindow="0" yWindow="0" windowWidth="38400" windowHeight="21600" firstSheet="1" activeTab="1" xr2:uid="{00000000-000D-0000-FFFF-FFFF00000000}"/>
  </bookViews>
  <sheets>
    <sheet name="catalog" sheetId="26" r:id="rId1"/>
    <sheet name="knn" sheetId="12" r:id="rId2"/>
    <sheet name="knn_full" sheetId="13" r:id="rId3"/>
    <sheet name="knn_in_movie" sheetId="3" r:id="rId4"/>
    <sheet name="ROC_no_cost" sheetId="45" r:id="rId5"/>
    <sheet name="ROC_with_cost" sheetId="48" r:id="rId6"/>
    <sheet name="random_funcs" sheetId="56" r:id="rId7"/>
    <sheet name="RMSE" sheetId="57" r:id="rId8"/>
  </sheets>
  <externalReferences>
    <externalReference r:id="rId9"/>
  </externalReferences>
  <definedNames>
    <definedName name="BuildDate" localSheetId="0" hidden="1">4202</definedName>
    <definedName name="BuildDate" localSheetId="1" hidden="1">4202</definedName>
    <definedName name="BuildDate" localSheetId="2" hidden="1">4202</definedName>
    <definedName name="BuildDate" hidden="1">3097</definedName>
    <definedName name="BuildNo" localSheetId="0" hidden="1">83</definedName>
    <definedName name="BuildNo" localSheetId="1" hidden="1">83</definedName>
    <definedName name="BuildNo" localSheetId="2" hidden="1">83</definedName>
    <definedName name="BuildNo" hidden="1">53</definedName>
    <definedName name="CBWorkbookPriority" hidden="1">-1564014285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ers" localSheetId="0" hidden="1">" 12.5.2E"</definedName>
    <definedName name="Vers" localSheetId="1" hidden="1">" 12.5.2E"</definedName>
    <definedName name="Vers" localSheetId="2" hidden="1">" 12.5.2E"</definedName>
    <definedName name="Vers" hidden="1">" 3.2.3.A"</definedName>
    <definedName name="VersionMajor" hidden="1">3</definedName>
    <definedName name="VersionMinor" hidden="1">2</definedName>
    <definedName name="VersionPatch" localSheetId="0" hidden="1">10</definedName>
    <definedName name="VersionPatch" localSheetId="1" hidden="1">10</definedName>
    <definedName name="VersionPatch" localSheetId="2" hidden="1">10</definedName>
    <definedName name="VersionPatch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57" l="1" a="1"/>
  <c r="E4" i="57"/>
  <c r="C9" i="45"/>
  <c r="C12" i="56" a="1"/>
  <c r="J6" i="56" a="1"/>
  <c r="F18" i="48" a="1"/>
  <c r="E8" i="48"/>
  <c r="E8" i="45"/>
  <c r="J7" i="56" a="1"/>
  <c r="F14" i="45" a="1"/>
  <c r="C6" i="56" a="1"/>
  <c r="H3" i="48" a="1"/>
  <c r="H3" i="45" a="1"/>
  <c r="B25" i="3" a="1"/>
  <c r="Q10" i="13" a="1"/>
  <c r="H21" i="13"/>
  <c r="H17" i="13"/>
  <c r="H13" i="13"/>
  <c r="H9" i="13"/>
  <c r="D6" i="12" a="1"/>
  <c r="G17" i="12"/>
  <c r="G13" i="12"/>
  <c r="S17" i="3" a="1"/>
  <c r="S15" i="3" a="1"/>
  <c r="S13" i="3" a="1"/>
  <c r="S11" i="3" a="1"/>
  <c r="K10" i="3" a="1"/>
  <c r="E9" i="13" a="1"/>
  <c r="H20" i="13"/>
  <c r="H16" i="13"/>
  <c r="H12" i="13"/>
  <c r="K6" i="12" a="1"/>
  <c r="G16" i="12"/>
  <c r="G12" i="12"/>
  <c r="G8" i="12"/>
  <c r="G10" i="12"/>
  <c r="F25" i="3" a="1"/>
  <c r="S10" i="13" a="1"/>
  <c r="M9" i="13" a="1"/>
  <c r="H19" i="13"/>
  <c r="H15" i="13"/>
  <c r="H11" i="13"/>
  <c r="G19" i="12"/>
  <c r="G15" i="12"/>
  <c r="G11" i="12"/>
  <c r="G7" i="12"/>
  <c r="G9" i="12"/>
  <c r="S18" i="3" a="1"/>
  <c r="S16" i="3" a="1"/>
  <c r="S14" i="3" a="1"/>
  <c r="S12" i="3" a="1"/>
  <c r="S10" i="3" a="1"/>
  <c r="H22" i="13"/>
  <c r="H18" i="13"/>
  <c r="H14" i="13"/>
  <c r="H10" i="13"/>
  <c r="G18" i="12"/>
  <c r="G14" i="12"/>
  <c r="G6" i="12"/>
  <c r="S10" i="3" l="1"/>
  <c r="S12" i="3"/>
  <c r="S14" i="3"/>
  <c r="S16" i="3"/>
  <c r="S18" i="3"/>
  <c r="M10" i="13"/>
  <c r="M14" i="13"/>
  <c r="M11" i="13"/>
  <c r="M12" i="13"/>
  <c r="M9" i="13"/>
  <c r="M13" i="13"/>
  <c r="S11" i="13"/>
  <c r="S15" i="13"/>
  <c r="S19" i="13"/>
  <c r="S12" i="13"/>
  <c r="S16" i="13"/>
  <c r="S20" i="13"/>
  <c r="S13" i="13"/>
  <c r="S17" i="13"/>
  <c r="S21" i="13"/>
  <c r="S10" i="13"/>
  <c r="S14" i="13"/>
  <c r="S18" i="13"/>
  <c r="S22" i="13"/>
  <c r="F27" i="3"/>
  <c r="F31" i="3"/>
  <c r="F26" i="3"/>
  <c r="F30" i="3"/>
  <c r="F34" i="3"/>
  <c r="F28" i="3"/>
  <c r="F29" i="3"/>
  <c r="F32" i="3"/>
  <c r="F25" i="3"/>
  <c r="F33" i="3"/>
  <c r="K8" i="12"/>
  <c r="K9" i="12"/>
  <c r="K6" i="12"/>
  <c r="K10" i="12"/>
  <c r="K7" i="12"/>
  <c r="K11" i="12"/>
  <c r="E11" i="13"/>
  <c r="E15" i="13"/>
  <c r="E19" i="13"/>
  <c r="E12" i="13"/>
  <c r="E16" i="13"/>
  <c r="E20" i="13"/>
  <c r="E9" i="13"/>
  <c r="E13" i="13"/>
  <c r="E17" i="13"/>
  <c r="E21" i="13"/>
  <c r="E10" i="13"/>
  <c r="E14" i="13"/>
  <c r="E18" i="13"/>
  <c r="M10" i="3"/>
  <c r="K11" i="3"/>
  <c r="O11" i="3"/>
  <c r="M12" i="3"/>
  <c r="K13" i="3"/>
  <c r="O13" i="3"/>
  <c r="M14" i="3"/>
  <c r="K15" i="3"/>
  <c r="O15" i="3"/>
  <c r="M16" i="3"/>
  <c r="K17" i="3"/>
  <c r="O17" i="3"/>
  <c r="M18" i="3"/>
  <c r="K19" i="3"/>
  <c r="O19" i="3"/>
  <c r="N10" i="3"/>
  <c r="L11" i="3"/>
  <c r="P11" i="3"/>
  <c r="N12" i="3"/>
  <c r="L13" i="3"/>
  <c r="P13" i="3"/>
  <c r="N14" i="3"/>
  <c r="L15" i="3"/>
  <c r="P15" i="3"/>
  <c r="N16" i="3"/>
  <c r="L17" i="3"/>
  <c r="P17" i="3"/>
  <c r="N18" i="3"/>
  <c r="L19" i="3"/>
  <c r="P19" i="3"/>
  <c r="K10" i="3"/>
  <c r="O10" i="3"/>
  <c r="M11" i="3"/>
  <c r="K12" i="3"/>
  <c r="O12" i="3"/>
  <c r="M13" i="3"/>
  <c r="K14" i="3"/>
  <c r="O14" i="3"/>
  <c r="M15" i="3"/>
  <c r="K16" i="3"/>
  <c r="O16" i="3"/>
  <c r="M17" i="3"/>
  <c r="K18" i="3"/>
  <c r="O18" i="3"/>
  <c r="M19" i="3"/>
  <c r="L10" i="3"/>
  <c r="P10" i="3"/>
  <c r="N11" i="3"/>
  <c r="L12" i="3"/>
  <c r="P12" i="3"/>
  <c r="N13" i="3"/>
  <c r="L14" i="3"/>
  <c r="P14" i="3"/>
  <c r="N15" i="3"/>
  <c r="L16" i="3"/>
  <c r="P16" i="3"/>
  <c r="N17" i="3"/>
  <c r="L18" i="3"/>
  <c r="P18" i="3"/>
  <c r="N19" i="3"/>
  <c r="S11" i="3"/>
  <c r="S13" i="3"/>
  <c r="S15" i="3"/>
  <c r="S17" i="3"/>
  <c r="D9" i="12"/>
  <c r="D13" i="12"/>
  <c r="D17" i="12"/>
  <c r="D6" i="12"/>
  <c r="D10" i="12"/>
  <c r="D14" i="12"/>
  <c r="D18" i="12"/>
  <c r="D7" i="12"/>
  <c r="D11" i="12"/>
  <c r="D15" i="12"/>
  <c r="D8" i="12"/>
  <c r="D12" i="12"/>
  <c r="D16" i="12"/>
  <c r="Q13" i="13"/>
  <c r="Q17" i="13"/>
  <c r="Q21" i="13"/>
  <c r="Q10" i="13"/>
  <c r="Q14" i="13"/>
  <c r="Q18" i="13"/>
  <c r="Q22" i="13"/>
  <c r="Q11" i="13"/>
  <c r="Q15" i="13"/>
  <c r="Q19" i="13"/>
  <c r="Q12" i="13"/>
  <c r="Q16" i="13"/>
  <c r="Q20" i="13"/>
  <c r="B28" i="3"/>
  <c r="B32" i="3"/>
  <c r="B25" i="3"/>
  <c r="B29" i="3"/>
  <c r="B33" i="3"/>
  <c r="B26" i="3"/>
  <c r="B30" i="3"/>
  <c r="B34" i="3"/>
  <c r="B27" i="3"/>
  <c r="B31" i="3"/>
  <c r="H3" i="45"/>
  <c r="H4" i="45"/>
  <c r="H5" i="45"/>
  <c r="H6" i="45"/>
  <c r="H7" i="45"/>
  <c r="K3" i="45"/>
  <c r="K4" i="45"/>
  <c r="K5" i="45"/>
  <c r="K6" i="45"/>
  <c r="K7" i="45"/>
  <c r="I3" i="45"/>
  <c r="I5" i="45"/>
  <c r="I7" i="45"/>
  <c r="J3" i="45"/>
  <c r="J5" i="45"/>
  <c r="J7" i="45"/>
  <c r="I4" i="45"/>
  <c r="I6" i="45"/>
  <c r="J4" i="45"/>
  <c r="J6" i="45"/>
  <c r="J3" i="48"/>
  <c r="J4" i="48"/>
  <c r="J5" i="48"/>
  <c r="J6" i="48"/>
  <c r="J7" i="48"/>
  <c r="H3" i="48"/>
  <c r="H4" i="48"/>
  <c r="H5" i="48"/>
  <c r="H6" i="48"/>
  <c r="H7" i="48"/>
  <c r="K3" i="48"/>
  <c r="K5" i="48"/>
  <c r="K7" i="48"/>
  <c r="I4" i="48"/>
  <c r="I6" i="48"/>
  <c r="K4" i="48"/>
  <c r="K6" i="48"/>
  <c r="I3" i="48"/>
  <c r="I5" i="48"/>
  <c r="I7" i="48"/>
  <c r="C6" i="56"/>
  <c r="F15" i="45"/>
  <c r="G15" i="45"/>
  <c r="G17" i="45"/>
  <c r="G19" i="45"/>
  <c r="G21" i="45"/>
  <c r="G23" i="45"/>
  <c r="G25" i="45"/>
  <c r="G27" i="45"/>
  <c r="G29" i="45"/>
  <c r="G31" i="45"/>
  <c r="G33" i="45"/>
  <c r="G35" i="45"/>
  <c r="G37" i="45"/>
  <c r="G39" i="45"/>
  <c r="G41" i="45"/>
  <c r="G43" i="45"/>
  <c r="G45" i="45"/>
  <c r="G47" i="45"/>
  <c r="G49" i="45"/>
  <c r="G51" i="45"/>
  <c r="G53" i="45"/>
  <c r="G55" i="45"/>
  <c r="G57" i="45"/>
  <c r="G59" i="45"/>
  <c r="G61" i="45"/>
  <c r="G63" i="45"/>
  <c r="G65" i="45"/>
  <c r="G67" i="45"/>
  <c r="G69" i="45"/>
  <c r="G71" i="45"/>
  <c r="G73" i="45"/>
  <c r="G75" i="45"/>
  <c r="G77" i="45"/>
  <c r="G79" i="45"/>
  <c r="G81" i="45"/>
  <c r="G83" i="45"/>
  <c r="G85" i="45"/>
  <c r="G87" i="45"/>
  <c r="G89" i="45"/>
  <c r="G91" i="45"/>
  <c r="G93" i="45"/>
  <c r="G95" i="45"/>
  <c r="G97" i="45"/>
  <c r="G99" i="45"/>
  <c r="G101" i="45"/>
  <c r="G103" i="45"/>
  <c r="G105" i="45"/>
  <c r="G107" i="45"/>
  <c r="G109" i="45"/>
  <c r="G111" i="45"/>
  <c r="G113" i="45"/>
  <c r="F16" i="45"/>
  <c r="F18" i="45"/>
  <c r="F20" i="45"/>
  <c r="F22" i="45"/>
  <c r="F24" i="45"/>
  <c r="F26" i="45"/>
  <c r="F14" i="45"/>
  <c r="G16" i="45"/>
  <c r="G18" i="45"/>
  <c r="G20" i="45"/>
  <c r="G22" i="45"/>
  <c r="G24" i="45"/>
  <c r="G26" i="45"/>
  <c r="G14" i="45"/>
  <c r="F17" i="45"/>
  <c r="F19" i="45"/>
  <c r="F21" i="45"/>
  <c r="F23" i="45"/>
  <c r="F25" i="45"/>
  <c r="F27" i="45"/>
  <c r="F29" i="45"/>
  <c r="F31" i="45"/>
  <c r="F33" i="45"/>
  <c r="F35" i="45"/>
  <c r="F37" i="45"/>
  <c r="F39" i="45"/>
  <c r="F41" i="45"/>
  <c r="F43" i="45"/>
  <c r="F45" i="45"/>
  <c r="F47" i="45"/>
  <c r="F49" i="45"/>
  <c r="F51" i="45"/>
  <c r="F53" i="45"/>
  <c r="F55" i="45"/>
  <c r="F57" i="45"/>
  <c r="F59" i="45"/>
  <c r="F61" i="45"/>
  <c r="F63" i="45"/>
  <c r="F65" i="45"/>
  <c r="F67" i="45"/>
  <c r="F69" i="45"/>
  <c r="F71" i="45"/>
  <c r="F73" i="45"/>
  <c r="F75" i="45"/>
  <c r="F77" i="45"/>
  <c r="F79" i="45"/>
  <c r="F81" i="45"/>
  <c r="F83" i="45"/>
  <c r="F85" i="45"/>
  <c r="F87" i="45"/>
  <c r="F89" i="45"/>
  <c r="F91" i="45"/>
  <c r="F93" i="45"/>
  <c r="F95" i="45"/>
  <c r="F97" i="45"/>
  <c r="F99" i="45"/>
  <c r="F101" i="45"/>
  <c r="F103" i="45"/>
  <c r="F105" i="45"/>
  <c r="F107" i="45"/>
  <c r="F109" i="45"/>
  <c r="F111" i="45"/>
  <c r="F113" i="45"/>
  <c r="F28" i="45"/>
  <c r="F32" i="45"/>
  <c r="F36" i="45"/>
  <c r="F40" i="45"/>
  <c r="F44" i="45"/>
  <c r="F48" i="45"/>
  <c r="F52" i="45"/>
  <c r="F56" i="45"/>
  <c r="F60" i="45"/>
  <c r="F64" i="45"/>
  <c r="F68" i="45"/>
  <c r="F72" i="45"/>
  <c r="F76" i="45"/>
  <c r="F80" i="45"/>
  <c r="F84" i="45"/>
  <c r="F88" i="45"/>
  <c r="F92" i="45"/>
  <c r="F96" i="45"/>
  <c r="F100" i="45"/>
  <c r="F104" i="45"/>
  <c r="F108" i="45"/>
  <c r="F112" i="45"/>
  <c r="G28" i="45"/>
  <c r="G32" i="45"/>
  <c r="G36" i="45"/>
  <c r="G40" i="45"/>
  <c r="G44" i="45"/>
  <c r="G48" i="45"/>
  <c r="G52" i="45"/>
  <c r="G56" i="45"/>
  <c r="G60" i="45"/>
  <c r="G64" i="45"/>
  <c r="G68" i="45"/>
  <c r="G72" i="45"/>
  <c r="G76" i="45"/>
  <c r="G80" i="45"/>
  <c r="G84" i="45"/>
  <c r="G88" i="45"/>
  <c r="G92" i="45"/>
  <c r="G96" i="45"/>
  <c r="G100" i="45"/>
  <c r="G104" i="45"/>
  <c r="G108" i="45"/>
  <c r="G112" i="45"/>
  <c r="F30" i="45"/>
  <c r="F34" i="45"/>
  <c r="F38" i="45"/>
  <c r="F42" i="45"/>
  <c r="F46" i="45"/>
  <c r="F50" i="45"/>
  <c r="F54" i="45"/>
  <c r="F58" i="45"/>
  <c r="F62" i="45"/>
  <c r="F66" i="45"/>
  <c r="F70" i="45"/>
  <c r="F74" i="45"/>
  <c r="F78" i="45"/>
  <c r="F82" i="45"/>
  <c r="F86" i="45"/>
  <c r="F90" i="45"/>
  <c r="F94" i="45"/>
  <c r="F98" i="45"/>
  <c r="F102" i="45"/>
  <c r="F106" i="45"/>
  <c r="F110" i="45"/>
  <c r="F114" i="45"/>
  <c r="G30" i="45"/>
  <c r="G34" i="45"/>
  <c r="G38" i="45"/>
  <c r="G42" i="45"/>
  <c r="G46" i="45"/>
  <c r="G50" i="45"/>
  <c r="G54" i="45"/>
  <c r="G58" i="45"/>
  <c r="G62" i="45"/>
  <c r="G66" i="45"/>
  <c r="G70" i="45"/>
  <c r="G74" i="45"/>
  <c r="G78" i="45"/>
  <c r="G82" i="45"/>
  <c r="G86" i="45"/>
  <c r="G90" i="45"/>
  <c r="G94" i="45"/>
  <c r="G98" i="45"/>
  <c r="G102" i="45"/>
  <c r="G106" i="45"/>
  <c r="G110" i="45"/>
  <c r="G114" i="45"/>
  <c r="J7" i="56"/>
  <c r="H18" i="48"/>
  <c r="F20" i="48"/>
  <c r="G21" i="48"/>
  <c r="H22" i="48"/>
  <c r="F24" i="48"/>
  <c r="G25" i="48"/>
  <c r="H26" i="48"/>
  <c r="F28" i="48"/>
  <c r="G29" i="48"/>
  <c r="H30" i="48"/>
  <c r="F32" i="48"/>
  <c r="G33" i="48"/>
  <c r="H34" i="48"/>
  <c r="F36" i="48"/>
  <c r="G37" i="48"/>
  <c r="H38" i="48"/>
  <c r="F40" i="48"/>
  <c r="G41" i="48"/>
  <c r="H42" i="48"/>
  <c r="F44" i="48"/>
  <c r="G45" i="48"/>
  <c r="H46" i="48"/>
  <c r="F48" i="48"/>
  <c r="G49" i="48"/>
  <c r="H50" i="48"/>
  <c r="F52" i="48"/>
  <c r="G53" i="48"/>
  <c r="H54" i="48"/>
  <c r="F56" i="48"/>
  <c r="G57" i="48"/>
  <c r="H58" i="48"/>
  <c r="F60" i="48"/>
  <c r="G61" i="48"/>
  <c r="H62" i="48"/>
  <c r="F64" i="48"/>
  <c r="G65" i="48"/>
  <c r="H66" i="48"/>
  <c r="F68" i="48"/>
  <c r="G69" i="48"/>
  <c r="H70" i="48"/>
  <c r="F72" i="48"/>
  <c r="G73" i="48"/>
  <c r="H74" i="48"/>
  <c r="F76" i="48"/>
  <c r="G77" i="48"/>
  <c r="H78" i="48"/>
  <c r="F80" i="48"/>
  <c r="G81" i="48"/>
  <c r="H82" i="48"/>
  <c r="F84" i="48"/>
  <c r="G85" i="48"/>
  <c r="H86" i="48"/>
  <c r="F88" i="48"/>
  <c r="G89" i="48"/>
  <c r="H90" i="48"/>
  <c r="F92" i="48"/>
  <c r="G93" i="48"/>
  <c r="H94" i="48"/>
  <c r="F96" i="48"/>
  <c r="G97" i="48"/>
  <c r="H98" i="48"/>
  <c r="F100" i="48"/>
  <c r="G101" i="48"/>
  <c r="H102" i="48"/>
  <c r="F104" i="48"/>
  <c r="G105" i="48"/>
  <c r="H106" i="48"/>
  <c r="F108" i="48"/>
  <c r="G109" i="48"/>
  <c r="H110" i="48"/>
  <c r="F112" i="48"/>
  <c r="G113" i="48"/>
  <c r="H114" i="48"/>
  <c r="F116" i="48"/>
  <c r="G117" i="48"/>
  <c r="H118" i="48"/>
  <c r="F19" i="48"/>
  <c r="G20" i="48"/>
  <c r="H21" i="48"/>
  <c r="F23" i="48"/>
  <c r="G24" i="48"/>
  <c r="H25" i="48"/>
  <c r="F27" i="48"/>
  <c r="G28" i="48"/>
  <c r="H29" i="48"/>
  <c r="F31" i="48"/>
  <c r="G32" i="48"/>
  <c r="H33" i="48"/>
  <c r="F35" i="48"/>
  <c r="G36" i="48"/>
  <c r="H37" i="48"/>
  <c r="F39" i="48"/>
  <c r="G40" i="48"/>
  <c r="H41" i="48"/>
  <c r="F43" i="48"/>
  <c r="G44" i="48"/>
  <c r="H45" i="48"/>
  <c r="F47" i="48"/>
  <c r="G48" i="48"/>
  <c r="H49" i="48"/>
  <c r="F51" i="48"/>
  <c r="G52" i="48"/>
  <c r="H53" i="48"/>
  <c r="F55" i="48"/>
  <c r="G56" i="48"/>
  <c r="H57" i="48"/>
  <c r="F59" i="48"/>
  <c r="G60" i="48"/>
  <c r="H61" i="48"/>
  <c r="F63" i="48"/>
  <c r="G64" i="48"/>
  <c r="H65" i="48"/>
  <c r="F67" i="48"/>
  <c r="G68" i="48"/>
  <c r="H69" i="48"/>
  <c r="F71" i="48"/>
  <c r="G72" i="48"/>
  <c r="H73" i="48"/>
  <c r="F75" i="48"/>
  <c r="G76" i="48"/>
  <c r="H77" i="48"/>
  <c r="F79" i="48"/>
  <c r="G80" i="48"/>
  <c r="H81" i="48"/>
  <c r="F83" i="48"/>
  <c r="G84" i="48"/>
  <c r="H85" i="48"/>
  <c r="F87" i="48"/>
  <c r="G88" i="48"/>
  <c r="H89" i="48"/>
  <c r="F91" i="48"/>
  <c r="G92" i="48"/>
  <c r="F18" i="48"/>
  <c r="G19" i="48"/>
  <c r="H20" i="48"/>
  <c r="F22" i="48"/>
  <c r="G23" i="48"/>
  <c r="H24" i="48"/>
  <c r="F26" i="48"/>
  <c r="G27" i="48"/>
  <c r="H28" i="48"/>
  <c r="F30" i="48"/>
  <c r="G31" i="48"/>
  <c r="H32" i="48"/>
  <c r="F34" i="48"/>
  <c r="G35" i="48"/>
  <c r="H36" i="48"/>
  <c r="F38" i="48"/>
  <c r="G39" i="48"/>
  <c r="H40" i="48"/>
  <c r="F42" i="48"/>
  <c r="G43" i="48"/>
  <c r="H44" i="48"/>
  <c r="F46" i="48"/>
  <c r="G47" i="48"/>
  <c r="H48" i="48"/>
  <c r="F50" i="48"/>
  <c r="G51" i="48"/>
  <c r="H52" i="48"/>
  <c r="F54" i="48"/>
  <c r="G55" i="48"/>
  <c r="H56" i="48"/>
  <c r="F58" i="48"/>
  <c r="G59" i="48"/>
  <c r="H60" i="48"/>
  <c r="F62" i="48"/>
  <c r="G63" i="48"/>
  <c r="H64" i="48"/>
  <c r="F66" i="48"/>
  <c r="G67" i="48"/>
  <c r="H68" i="48"/>
  <c r="F70" i="48"/>
  <c r="G71" i="48"/>
  <c r="H72" i="48"/>
  <c r="F74" i="48"/>
  <c r="G75" i="48"/>
  <c r="H76" i="48"/>
  <c r="F78" i="48"/>
  <c r="G79" i="48"/>
  <c r="H80" i="48"/>
  <c r="F82" i="48"/>
  <c r="G83" i="48"/>
  <c r="H84" i="48"/>
  <c r="F86" i="48"/>
  <c r="G87" i="48"/>
  <c r="H88" i="48"/>
  <c r="F90" i="48"/>
  <c r="G91" i="48"/>
  <c r="H92" i="48"/>
  <c r="F94" i="48"/>
  <c r="G95" i="48"/>
  <c r="H96" i="48"/>
  <c r="F98" i="48"/>
  <c r="G99" i="48"/>
  <c r="H100" i="48"/>
  <c r="F102" i="48"/>
  <c r="G103" i="48"/>
  <c r="H104" i="48"/>
  <c r="F106" i="48"/>
  <c r="G107" i="48"/>
  <c r="H108" i="48"/>
  <c r="F110" i="48"/>
  <c r="G111" i="48"/>
  <c r="H112" i="48"/>
  <c r="F114" i="48"/>
  <c r="G115" i="48"/>
  <c r="H116" i="48"/>
  <c r="F118" i="48"/>
  <c r="H19" i="48"/>
  <c r="F25" i="48"/>
  <c r="G30" i="48"/>
  <c r="H35" i="48"/>
  <c r="F41" i="48"/>
  <c r="G46" i="48"/>
  <c r="H51" i="48"/>
  <c r="F57" i="48"/>
  <c r="G62" i="48"/>
  <c r="H67" i="48"/>
  <c r="F73" i="48"/>
  <c r="G78" i="48"/>
  <c r="H83" i="48"/>
  <c r="F89" i="48"/>
  <c r="H93" i="48"/>
  <c r="G96" i="48"/>
  <c r="F99" i="48"/>
  <c r="H101" i="48"/>
  <c r="G104" i="48"/>
  <c r="F107" i="48"/>
  <c r="H109" i="48"/>
  <c r="G112" i="48"/>
  <c r="F115" i="48"/>
  <c r="H117" i="48"/>
  <c r="F21" i="48"/>
  <c r="G26" i="48"/>
  <c r="H31" i="48"/>
  <c r="F37" i="48"/>
  <c r="G42" i="48"/>
  <c r="H47" i="48"/>
  <c r="F53" i="48"/>
  <c r="G58" i="48"/>
  <c r="H63" i="48"/>
  <c r="F69" i="48"/>
  <c r="G74" i="48"/>
  <c r="H79" i="48"/>
  <c r="F85" i="48"/>
  <c r="G90" i="48"/>
  <c r="G94" i="48"/>
  <c r="F97" i="48"/>
  <c r="H99" i="48"/>
  <c r="G102" i="48"/>
  <c r="F105" i="48"/>
  <c r="H107" i="48"/>
  <c r="G110" i="48"/>
  <c r="F113" i="48"/>
  <c r="H115" i="48"/>
  <c r="G118" i="48"/>
  <c r="G22" i="48"/>
  <c r="H27" i="48"/>
  <c r="F33" i="48"/>
  <c r="G38" i="48"/>
  <c r="H43" i="48"/>
  <c r="F49" i="48"/>
  <c r="G54" i="48"/>
  <c r="H59" i="48"/>
  <c r="F65" i="48"/>
  <c r="G70" i="48"/>
  <c r="H75" i="48"/>
  <c r="F81" i="48"/>
  <c r="G86" i="48"/>
  <c r="H91" i="48"/>
  <c r="F95" i="48"/>
  <c r="H97" i="48"/>
  <c r="G100" i="48"/>
  <c r="F103" i="48"/>
  <c r="H105" i="48"/>
  <c r="G108" i="48"/>
  <c r="F111" i="48"/>
  <c r="H113" i="48"/>
  <c r="G116" i="48"/>
  <c r="G18" i="48"/>
  <c r="H23" i="48"/>
  <c r="F29" i="48"/>
  <c r="G34" i="48"/>
  <c r="H39" i="48"/>
  <c r="F45" i="48"/>
  <c r="G50" i="48"/>
  <c r="H55" i="48"/>
  <c r="F61" i="48"/>
  <c r="G66" i="48"/>
  <c r="H71" i="48"/>
  <c r="F77" i="48"/>
  <c r="G82" i="48"/>
  <c r="H87" i="48"/>
  <c r="F93" i="48"/>
  <c r="H95" i="48"/>
  <c r="G98" i="48"/>
  <c r="F101" i="48"/>
  <c r="H103" i="48"/>
  <c r="G106" i="48"/>
  <c r="F109" i="48"/>
  <c r="H111" i="48"/>
  <c r="G114" i="48"/>
  <c r="F117" i="48"/>
  <c r="J6" i="56"/>
  <c r="C12" i="56"/>
  <c r="W31" i="3"/>
  <c r="Y25" i="3"/>
  <c r="H23" i="3"/>
  <c r="G23" i="3"/>
  <c r="F23" i="3"/>
  <c r="E23" i="3"/>
  <c r="D23" i="3"/>
  <c r="C23" i="3"/>
  <c r="B23" i="3"/>
  <c r="T9" i="13"/>
  <c r="Q8" i="13"/>
  <c r="V10" i="13" s="1"/>
  <c r="W10" i="13" s="1"/>
  <c r="P8" i="13"/>
  <c r="C22" i="48"/>
  <c r="C21" i="48"/>
  <c r="C20" i="48"/>
  <c r="C19" i="48"/>
  <c r="C18" i="48"/>
  <c r="C17" i="48"/>
  <c r="C16" i="48"/>
  <c r="C15" i="48"/>
  <c r="C14" i="48"/>
  <c r="C13" i="48"/>
  <c r="C12" i="48"/>
  <c r="C11" i="48"/>
  <c r="C10" i="48"/>
  <c r="C9" i="48"/>
  <c r="C8" i="48"/>
  <c r="C7" i="48"/>
  <c r="C6" i="48"/>
  <c r="Z34" i="3"/>
  <c r="Y34" i="3"/>
  <c r="W34" i="3"/>
  <c r="Z33" i="3"/>
  <c r="Y33" i="3"/>
  <c r="Y32" i="3"/>
  <c r="U31" i="3"/>
  <c r="Y30" i="3"/>
  <c r="X30" i="3"/>
  <c r="Z29" i="3"/>
  <c r="Y29" i="3"/>
  <c r="W29" i="3"/>
  <c r="U28" i="3"/>
  <c r="W27" i="3"/>
  <c r="Y26" i="3"/>
  <c r="X26" i="3"/>
  <c r="V26" i="3"/>
  <c r="Z25" i="3"/>
  <c r="W25" i="3"/>
  <c r="T21" i="3"/>
  <c r="J21" i="3"/>
  <c r="J42" i="3"/>
  <c r="J43" i="3"/>
  <c r="J44" i="3"/>
  <c r="J45" i="3"/>
  <c r="K42" i="3"/>
  <c r="K43" i="3"/>
  <c r="K44" i="3"/>
  <c r="K45" i="3"/>
  <c r="H29" i="13"/>
  <c r="H30" i="13"/>
  <c r="H31" i="13"/>
  <c r="H32" i="13"/>
  <c r="H33" i="13"/>
  <c r="H34" i="13"/>
  <c r="H35" i="13"/>
  <c r="H36" i="13"/>
  <c r="H37" i="13"/>
  <c r="H38" i="13"/>
  <c r="H39" i="13"/>
  <c r="H40" i="13"/>
  <c r="H28" i="13"/>
  <c r="G24" i="13"/>
  <c r="A25" i="13"/>
  <c r="B42" i="13"/>
  <c r="B43" i="13"/>
  <c r="B44" i="13"/>
  <c r="B45" i="13"/>
  <c r="B46" i="13"/>
  <c r="B47" i="13"/>
  <c r="C42" i="13"/>
  <c r="C43" i="13"/>
  <c r="C44" i="13"/>
  <c r="C45" i="13"/>
  <c r="C46" i="13"/>
  <c r="C47" i="13"/>
  <c r="A31" i="13"/>
  <c r="A32" i="13" s="1"/>
  <c r="A33" i="13" s="1"/>
  <c r="A34" i="13" s="1"/>
  <c r="B34" i="13" s="1"/>
  <c r="C22" i="45"/>
  <c r="C21" i="45"/>
  <c r="C20" i="45"/>
  <c r="C19" i="45"/>
  <c r="C18" i="45"/>
  <c r="C17" i="45"/>
  <c r="C16" i="45"/>
  <c r="C15" i="45"/>
  <c r="C14" i="45"/>
  <c r="C13" i="45"/>
  <c r="C12" i="45"/>
  <c r="C11" i="45"/>
  <c r="C10" i="45"/>
  <c r="C8" i="45"/>
  <c r="C7" i="45"/>
  <c r="C6" i="45"/>
  <c r="E24" i="3"/>
  <c r="B24" i="3"/>
  <c r="D24" i="3"/>
  <c r="X10" i="13" l="1"/>
  <c r="W14" i="13" s="1"/>
  <c r="Z32" i="3"/>
  <c r="V27" i="3"/>
  <c r="W33" i="3"/>
  <c r="V25" i="3"/>
  <c r="U29" i="3"/>
  <c r="U25" i="3"/>
  <c r="W32" i="3"/>
  <c r="I39" i="13"/>
  <c r="J39" i="13" s="1"/>
  <c r="J34" i="45"/>
  <c r="J33" i="45"/>
  <c r="I35" i="45" s="1"/>
  <c r="K33" i="45"/>
  <c r="I36" i="45" s="1"/>
  <c r="W26" i="3"/>
  <c r="V32" i="3"/>
  <c r="V33" i="3"/>
  <c r="I36" i="13"/>
  <c r="J36" i="13" s="1"/>
  <c r="V28" i="3"/>
  <c r="I37" i="13"/>
  <c r="J37" i="13" s="1"/>
  <c r="X34" i="3"/>
  <c r="Y28" i="3"/>
  <c r="I28" i="13"/>
  <c r="J28" i="13" s="1"/>
  <c r="I29" i="13"/>
  <c r="J29" i="13" s="1"/>
  <c r="I32" i="13"/>
  <c r="J32" i="13" s="1"/>
  <c r="I33" i="13"/>
  <c r="J33" i="13" s="1"/>
  <c r="U34" i="3"/>
  <c r="X31" i="3"/>
  <c r="N1" i="45"/>
  <c r="S4" i="48"/>
  <c r="A35" i="13"/>
  <c r="C34" i="13"/>
  <c r="K34" i="45"/>
  <c r="A24" i="13"/>
  <c r="W30" i="3"/>
  <c r="Z27" i="3"/>
  <c r="Z30" i="3"/>
  <c r="V30" i="3"/>
  <c r="U32" i="3"/>
  <c r="U27" i="3"/>
  <c r="V31" i="3"/>
  <c r="U30" i="3"/>
  <c r="Y31" i="3"/>
  <c r="Z31" i="3"/>
  <c r="X33" i="3"/>
  <c r="X32" i="3"/>
  <c r="V34" i="3"/>
  <c r="Z26" i="3"/>
  <c r="X25" i="3"/>
  <c r="Z28" i="3"/>
  <c r="U26" i="3"/>
  <c r="X28" i="3"/>
  <c r="W28" i="3"/>
  <c r="X29" i="3"/>
  <c r="X27" i="3"/>
  <c r="V29" i="3"/>
  <c r="U33" i="3"/>
  <c r="Y27" i="3"/>
  <c r="I30" i="13"/>
  <c r="J30" i="13" s="1"/>
  <c r="I34" i="13"/>
  <c r="J34" i="13" s="1"/>
  <c r="I38" i="13"/>
  <c r="J38" i="13" s="1"/>
  <c r="I40" i="13"/>
  <c r="J40" i="13" s="1"/>
  <c r="I31" i="13"/>
  <c r="J31" i="13" s="1"/>
  <c r="I35" i="13"/>
  <c r="J35" i="13" s="1"/>
  <c r="T18" i="13" l="1"/>
  <c r="G31" i="3"/>
  <c r="E30" i="3"/>
  <c r="E34" i="3"/>
  <c r="K32" i="3" a="1"/>
  <c r="K32" i="3" s="1"/>
  <c r="K26" i="3" a="1"/>
  <c r="K26" i="3" s="1"/>
  <c r="E33" i="3"/>
  <c r="G28" i="3"/>
  <c r="E31" i="3"/>
  <c r="T15" i="13"/>
  <c r="T22" i="13"/>
  <c r="E28" i="3"/>
  <c r="J25" i="13"/>
  <c r="G33" i="3"/>
  <c r="V22" i="3"/>
  <c r="T13" i="13"/>
  <c r="B32" i="13"/>
  <c r="C32" i="13" s="1"/>
  <c r="T16" i="13"/>
  <c r="A36" i="13"/>
  <c r="C35" i="13"/>
  <c r="B35" i="13"/>
  <c r="B30" i="13"/>
  <c r="C30" i="13" s="1"/>
  <c r="V11" i="13"/>
  <c r="T11" i="13"/>
  <c r="V8" i="13"/>
  <c r="E25" i="3"/>
  <c r="G25" i="3"/>
  <c r="H12" i="48"/>
  <c r="B33" i="13"/>
  <c r="C33" i="13" s="1"/>
  <c r="T14" i="13"/>
  <c r="T21" i="13"/>
  <c r="T19" i="13"/>
  <c r="T17" i="13"/>
  <c r="B31" i="13"/>
  <c r="C31" i="13" s="1"/>
  <c r="T12" i="13"/>
  <c r="T20" i="13"/>
  <c r="T10" i="13"/>
  <c r="E27" i="3"/>
  <c r="G27" i="3"/>
  <c r="G34" i="3" l="1"/>
  <c r="G30" i="3"/>
  <c r="L34" i="3"/>
  <c r="K34" i="3" a="1"/>
  <c r="K34" i="3" s="1"/>
  <c r="E32" i="3"/>
  <c r="L28" i="3"/>
  <c r="K28" i="3" a="1"/>
  <c r="K28" i="3" s="1"/>
  <c r="L30" i="3"/>
  <c r="K30" i="3" a="1"/>
  <c r="K30" i="3" s="1"/>
  <c r="L33" i="3"/>
  <c r="K33" i="3" a="1"/>
  <c r="K33" i="3" s="1"/>
  <c r="L27" i="3"/>
  <c r="K27" i="3" a="1"/>
  <c r="K27" i="3" s="1"/>
  <c r="L31" i="3"/>
  <c r="K31" i="3" a="1"/>
  <c r="K31" i="3" s="1"/>
  <c r="L29" i="3"/>
  <c r="K29" i="3" a="1"/>
  <c r="K29" i="3" s="1"/>
  <c r="E29" i="3"/>
  <c r="G26" i="3"/>
  <c r="L26" i="3"/>
  <c r="M26" i="3" s="1"/>
  <c r="L32" i="3"/>
  <c r="G32" i="3"/>
  <c r="G29" i="3"/>
  <c r="E26" i="3"/>
  <c r="H13" i="48"/>
  <c r="S9" i="48"/>
  <c r="C36" i="13"/>
  <c r="A37" i="13"/>
  <c r="B36" i="13"/>
  <c r="W11" i="13"/>
  <c r="W12" i="13" s="1"/>
  <c r="W13" i="13" s="1"/>
  <c r="X11" i="13"/>
  <c r="X12" i="13" s="1"/>
  <c r="X13" i="13" s="1"/>
  <c r="M30" i="3" l="1"/>
  <c r="M27" i="3"/>
  <c r="M32" i="3"/>
  <c r="M29" i="3"/>
  <c r="M31" i="3"/>
  <c r="M33" i="3"/>
  <c r="M34" i="3"/>
  <c r="M28" i="3"/>
  <c r="W15" i="13"/>
  <c r="B37" i="13"/>
  <c r="C37" i="13"/>
  <c r="A38" i="13"/>
  <c r="R8" i="48"/>
  <c r="R9" i="48"/>
  <c r="M23" i="3" l="1"/>
  <c r="C38" i="13"/>
  <c r="A39" i="13"/>
  <c r="B38" i="13"/>
  <c r="C39" i="13" l="1"/>
  <c r="A40" i="13"/>
  <c r="B39" i="13"/>
  <c r="A41" i="13" l="1"/>
  <c r="B40" i="13"/>
  <c r="C40" i="13"/>
  <c r="B41" i="13" l="1"/>
  <c r="C41" i="13"/>
  <c r="C27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Patange, Utkarsh</author>
  </authors>
  <commentList>
    <comment ref="C6" authorId="0" shapeId="0" xr:uid="{5060BFDB-106B-41E6-A885-9FB76B7F9068}">
      <text>
        <r>
          <rPr>
            <b/>
            <sz val="10"/>
            <color indexed="81"/>
            <rFont val="Arial"/>
            <family val="2"/>
          </rPr>
          <t>=BinomSim($C$4,$C$5)</t>
        </r>
      </text>
    </comment>
    <comment ref="J6" authorId="0" shapeId="0" xr:uid="{808C86F1-AAB2-4E10-95C8-528ADB2FD525}">
      <text>
        <r>
          <rPr>
            <b/>
            <sz val="10"/>
            <color indexed="81"/>
            <rFont val="Arial"/>
            <family val="2"/>
          </rPr>
          <t>=NormalSim($J$4,$J$5)</t>
        </r>
      </text>
    </comment>
    <comment ref="J7" authorId="0" shapeId="0" xr:uid="{8AEDE65B-60A9-4E83-BDD0-0C3A0B96D3C0}">
      <text>
        <r>
          <rPr>
            <b/>
            <sz val="10"/>
            <color indexed="81"/>
            <rFont val="Arial"/>
            <family val="2"/>
          </rPr>
          <t>=LogNormalSim($J$4,$J$5)</t>
        </r>
      </text>
    </comment>
    <comment ref="C12" authorId="0" shapeId="0" xr:uid="{297D87D2-98D6-4C93-A608-C4AB8AB2D1E9}">
      <text>
        <r>
          <rPr>
            <b/>
            <sz val="10"/>
            <color indexed="81"/>
            <rFont val="Arial"/>
            <family val="2"/>
          </rPr>
          <t>=ExpSim($C$11)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<sst xmlns="http://schemas.openxmlformats.org/spreadsheetml/2006/main" count="290" uniqueCount="159">
  <si>
    <t>k</t>
  </si>
  <si>
    <t>Top Gun</t>
  </si>
  <si>
    <t>Pretty Woman</t>
  </si>
  <si>
    <t>Paul</t>
  </si>
  <si>
    <t>Marisa</t>
  </si>
  <si>
    <t>Ben</t>
  </si>
  <si>
    <t>Jane</t>
  </si>
  <si>
    <t>Guiga</t>
  </si>
  <si>
    <t>Thomas</t>
  </si>
  <si>
    <t>RMSE</t>
  </si>
  <si>
    <t>Y</t>
  </si>
  <si>
    <t>Var 1</t>
  </si>
  <si>
    <t>Var 2</t>
  </si>
  <si>
    <t>Normalize</t>
  </si>
  <si>
    <t>Optional distance scaling</t>
  </si>
  <si>
    <t>The number of nearest neighbors</t>
  </si>
  <si>
    <t>Out-of-sample predictions</t>
  </si>
  <si>
    <t>Movie 1</t>
  </si>
  <si>
    <t>Movie 2</t>
  </si>
  <si>
    <t>Movie 3</t>
  </si>
  <si>
    <t>Movie 4</t>
  </si>
  <si>
    <t>Movie 5</t>
  </si>
  <si>
    <t>Movie 6</t>
  </si>
  <si>
    <r>
      <rPr>
        <b/>
        <i/>
        <sz val="11"/>
        <color rgb="FF0000FF"/>
        <rFont val="Calibri"/>
        <family val="2"/>
        <scheme val="minor"/>
      </rPr>
      <t>k</t>
    </r>
    <r>
      <rPr>
        <b/>
        <sz val="11"/>
        <color rgb="FF0000FF"/>
        <rFont val="Calibri"/>
        <family val="2"/>
        <scheme val="minor"/>
      </rPr>
      <t xml:space="preserve"> nearest neighbors: in-sample movie predictions</t>
    </r>
  </si>
  <si>
    <t>Std dev</t>
  </si>
  <si>
    <r>
      <rPr>
        <b/>
        <i/>
        <sz val="11"/>
        <color rgb="FF0000FF"/>
        <rFont val="Calibri"/>
        <family val="2"/>
        <scheme val="minor"/>
      </rPr>
      <t>k</t>
    </r>
    <r>
      <rPr>
        <b/>
        <sz val="11"/>
        <color rgb="FF0000FF"/>
        <rFont val="Calibri"/>
        <family val="2"/>
        <scheme val="minor"/>
      </rPr>
      <t xml:space="preserve"> nearest neighbors: functions knn_in, knn_in_rmse and knn_out</t>
    </r>
  </si>
  <si>
    <t>k nearest neighbor functions</t>
  </si>
  <si>
    <t>knn_in</t>
  </si>
  <si>
    <t>uses the knn algorithm to make in-sample predictions of a continuous variable</t>
  </si>
  <si>
    <t>knn_in_rmse</t>
  </si>
  <si>
    <t>computes the in-sample root-mean-squared-error (RMSE) of the knn algorithm</t>
  </si>
  <si>
    <t>knn_out</t>
  </si>
  <si>
    <t>uses the knn algorithm to make out-of-sample predictions based on a set in in-sample data</t>
  </si>
  <si>
    <t>knn_in_movie</t>
  </si>
  <si>
    <t>k nearest neighbor functions for "movie predictions"</t>
  </si>
  <si>
    <t>uses the knn algorithm to make in-sample movie predictions</t>
  </si>
  <si>
    <t>knn_in_movie_rmse</t>
  </si>
  <si>
    <t>computes the in-sample root-mean-squared-error (RMSE) of the knn algorithm for movie predictions</t>
  </si>
  <si>
    <t>knn_dist</t>
  </si>
  <si>
    <t>returns the vector of distances from a given user to all other users</t>
  </si>
  <si>
    <t>returns the index of the nearest neighbor to a given individual user</t>
  </si>
  <si>
    <t>knn_nearest</t>
  </si>
  <si>
    <t>Lucas</t>
  </si>
  <si>
    <t>Emma</t>
  </si>
  <si>
    <t>Olivia</t>
  </si>
  <si>
    <t>Lewis</t>
  </si>
  <si>
    <t xml:space="preserve">Bourne Identity </t>
  </si>
  <si>
    <t>Working Girl</t>
  </si>
  <si>
    <t>Moneyball</t>
  </si>
  <si>
    <t>Godfather</t>
  </si>
  <si>
    <t>User name</t>
  </si>
  <si>
    <t>User number</t>
  </si>
  <si>
    <t>Movie rating data</t>
  </si>
  <si>
    <t>(Use the model based on 13 obserations to predict 6 new observations)</t>
  </si>
  <si>
    <t>knn_in predict</t>
  </si>
  <si>
    <t>knn_out predict</t>
  </si>
  <si>
    <t>knn_in_movie predictions</t>
  </si>
  <si>
    <t>0 or FALSE (default): use raw (unnormalized values); 1 or TRUE: x values replaced by normalized values ([x-avg(x)]/stdev(x))</t>
  </si>
  <si>
    <t>Obs</t>
  </si>
  <si>
    <t>Sorted distance results</t>
  </si>
  <si>
    <t>Use weighted voting</t>
  </si>
  <si>
    <t>Blank or FALSE (default): equal voting by nearest neighbors; TRUE or 1: weighted voting with weights inverse to the distance</t>
  </si>
  <si>
    <t>Difference</t>
  </si>
  <si>
    <t>Final distance</t>
  </si>
  <si>
    <t>Details of the distance computation (for Euclidean distance, no distance scaling)</t>
  </si>
  <si>
    <t>Squared difference</t>
  </si>
  <si>
    <t>Number of variables</t>
  </si>
  <si>
    <t>Probability</t>
  </si>
  <si>
    <t>threshold</t>
  </si>
  <si>
    <t>Cost matrix</t>
  </si>
  <si>
    <t>Predicted</t>
  </si>
  <si>
    <t>Actual</t>
  </si>
  <si>
    <t>AUC</t>
  </si>
  <si>
    <t>Performance measures of classifiers</t>
  </si>
  <si>
    <t>confusionMatrix</t>
  </si>
  <si>
    <t>ROC</t>
  </si>
  <si>
    <t>computes a confusion matrix from actual and predicted values</t>
  </si>
  <si>
    <r>
      <rPr>
        <b/>
        <sz val="11"/>
        <color theme="1"/>
        <rFont val="Calibri"/>
        <family val="2"/>
        <scheme val="minor"/>
      </rPr>
      <t>in-sample analysis</t>
    </r>
    <r>
      <rPr>
        <sz val="11"/>
        <color theme="1"/>
        <rFont val="Calibri"/>
        <family val="2"/>
        <scheme val="minor"/>
      </rPr>
      <t xml:space="preserve"> means to estimate the model using existing data and to </t>
    </r>
    <r>
      <rPr>
        <b/>
        <sz val="11"/>
        <color theme="1"/>
        <rFont val="Calibri"/>
        <family val="2"/>
        <scheme val="minor"/>
      </rPr>
      <t>predict for the same data</t>
    </r>
  </si>
  <si>
    <t>Note:</t>
  </si>
  <si>
    <r>
      <t>knn_in</t>
    </r>
    <r>
      <rPr>
        <sz val="11"/>
        <color theme="1"/>
        <rFont val="Calibri"/>
        <family val="2"/>
        <scheme val="minor"/>
      </rPr>
      <t xml:space="preserve"> function makes predictions of </t>
    </r>
    <r>
      <rPr>
        <b/>
        <sz val="11"/>
        <color theme="1"/>
        <rFont val="Calibri"/>
        <family val="2"/>
        <scheme val="minor"/>
      </rPr>
      <t>y vector</t>
    </r>
    <r>
      <rPr>
        <sz val="11"/>
        <color theme="1"/>
        <rFont val="Calibri"/>
        <family val="2"/>
        <scheme val="minor"/>
      </rPr>
      <t xml:space="preserve"> based on a </t>
    </r>
    <r>
      <rPr>
        <b/>
        <sz val="11"/>
        <color theme="1"/>
        <rFont val="Calibri"/>
        <family val="2"/>
        <scheme val="minor"/>
      </rPr>
      <t xml:space="preserve">feature matrix X </t>
    </r>
    <r>
      <rPr>
        <sz val="11"/>
        <color theme="1"/>
        <rFont val="Calibri"/>
        <family val="2"/>
        <scheme val="minor"/>
      </rPr>
      <t>(i.e., it takes a vector y and a matrix X as inputs)</t>
    </r>
  </si>
  <si>
    <r>
      <rPr>
        <b/>
        <sz val="11"/>
        <color theme="1"/>
        <rFont val="Calibri"/>
        <family val="2"/>
        <scheme val="minor"/>
      </rPr>
      <t>out-of-sample analysis</t>
    </r>
    <r>
      <rPr>
        <sz val="11"/>
        <color theme="1"/>
        <rFont val="Calibri"/>
        <family val="2"/>
        <scheme val="minor"/>
      </rPr>
      <t xml:space="preserve"> means to estimate the model using existing data and to</t>
    </r>
    <r>
      <rPr>
        <b/>
        <sz val="11"/>
        <color theme="1"/>
        <rFont val="Calibri"/>
        <family val="2"/>
        <scheme val="minor"/>
      </rPr>
      <t xml:space="preserve"> predict for new data</t>
    </r>
  </si>
  <si>
    <r>
      <t xml:space="preserve">knn_in_movie </t>
    </r>
    <r>
      <rPr>
        <sz val="11"/>
        <color theme="1"/>
        <rFont val="Calibri"/>
        <family val="2"/>
        <scheme val="minor"/>
      </rPr>
      <t xml:space="preserve">function makes predictions of </t>
    </r>
    <r>
      <rPr>
        <b/>
        <sz val="11"/>
        <color theme="1"/>
        <rFont val="Calibri"/>
        <family val="2"/>
        <scheme val="minor"/>
      </rPr>
      <t xml:space="preserve">a feature matrix X </t>
    </r>
    <r>
      <rPr>
        <sz val="11"/>
        <color theme="1"/>
        <rFont val="Calibri"/>
        <family val="2"/>
        <scheme val="minor"/>
      </rPr>
      <t xml:space="preserve">based on </t>
    </r>
    <r>
      <rPr>
        <b/>
        <sz val="11"/>
        <color theme="1"/>
        <rFont val="Calibri"/>
        <family val="2"/>
        <scheme val="minor"/>
      </rPr>
      <t xml:space="preserve">X itself </t>
    </r>
    <r>
      <rPr>
        <sz val="11"/>
        <color theme="1"/>
        <rFont val="Calibri"/>
        <family val="2"/>
        <scheme val="minor"/>
      </rPr>
      <t>(i.e., it only takes a matrix X as input)</t>
    </r>
  </si>
  <si>
    <r>
      <rPr>
        <b/>
        <i/>
        <sz val="11"/>
        <color rgb="FF0000FF"/>
        <rFont val="Calibri"/>
        <family val="2"/>
        <scheme val="minor"/>
      </rPr>
      <t>k</t>
    </r>
    <r>
      <rPr>
        <b/>
        <sz val="11"/>
        <color rgb="FF0000FF"/>
        <rFont val="Calibri"/>
        <family val="2"/>
        <scheme val="minor"/>
      </rPr>
      <t xml:space="preserve"> nearest neighbors: functions knn_in, knn_in_rmse, knn_out and knn_dist</t>
    </r>
  </si>
  <si>
    <t>Neighbors ranked by distance</t>
  </si>
  <si>
    <t>Neighbor</t>
  </si>
  <si>
    <t>Rank</t>
  </si>
  <si>
    <t>In-sample</t>
  </si>
  <si>
    <t>Out of</t>
  </si>
  <si>
    <t>sample obs</t>
  </si>
  <si>
    <t>observation</t>
  </si>
  <si>
    <t>In-sample prediction</t>
  </si>
  <si>
    <t>Error</t>
  </si>
  <si>
    <t>predict</t>
  </si>
  <si>
    <t>(assumes equal weighted voting for neighbors)</t>
  </si>
  <si>
    <t>Rating</t>
  </si>
  <si>
    <t>Include?</t>
  </si>
  <si>
    <t>(average the non-blank ratings of the k nearest neighbors)</t>
  </si>
  <si>
    <t>Movie to predict</t>
  </si>
  <si>
    <t>Prediction errors</t>
  </si>
  <si>
    <t>probability</t>
  </si>
  <si>
    <r>
      <t xml:space="preserve">Note: </t>
    </r>
    <r>
      <rPr>
        <b/>
        <sz val="11"/>
        <color rgb="FF0000FF"/>
        <rFont val="Calibri"/>
        <family val="2"/>
        <scheme val="minor"/>
      </rPr>
      <t>Confusion matrix (5,4)</t>
    </r>
    <r>
      <rPr>
        <b/>
        <sz val="11"/>
        <color theme="1"/>
        <rFont val="Calibri"/>
        <family val="2"/>
        <scheme val="minor"/>
      </rPr>
      <t xml:space="preserve"> indicates the</t>
    </r>
  </si>
  <si>
    <t>array function has 5 rows and 4 columns</t>
  </si>
  <si>
    <t>positive</t>
  </si>
  <si>
    <t>True</t>
  </si>
  <si>
    <t>False</t>
  </si>
  <si>
    <t>ROC function</t>
  </si>
  <si>
    <t>outcome</t>
  </si>
  <si>
    <t>Classification</t>
  </si>
  <si>
    <t>decision</t>
  </si>
  <si>
    <t>(score)</t>
  </si>
  <si>
    <t>Text box label</t>
  </si>
  <si>
    <t>Classification functions: confusion matrix, ROC and AUC functions (no cost information)</t>
  </si>
  <si>
    <t>Classification functions: confusion matrix, ROC and AUC functions (with cost information)</t>
  </si>
  <si>
    <t>Optimal threshold</t>
  </si>
  <si>
    <t>For plotting the optimal threshold</t>
  </si>
  <si>
    <t>Total</t>
  </si>
  <si>
    <t>cost</t>
  </si>
  <si>
    <t>Minimum cost</t>
  </si>
  <si>
    <t>returns a table for receiver operating characteristic (ROC) curve</t>
  </si>
  <si>
    <t>returns the area under the ROC curve</t>
  </si>
  <si>
    <r>
      <rPr>
        <b/>
        <sz val="11"/>
        <rFont val="Calibri"/>
        <family val="2"/>
        <scheme val="minor"/>
      </rPr>
      <t>Note:</t>
    </r>
    <r>
      <rPr>
        <sz val="11"/>
        <rFont val="Calibri"/>
        <family val="2"/>
        <scheme val="minor"/>
      </rPr>
      <t xml:space="preserve"> in-sample prediction could differ slightly from</t>
    </r>
  </si>
  <si>
    <t>the add-in in the case of ties for the nearest neighbor</t>
  </si>
  <si>
    <t>decrease the number of entries</t>
  </si>
  <si>
    <t xml:space="preserve">in the probability threshold </t>
  </si>
  <si>
    <t>column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</si>
  <si>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the user can increase or</t>
    </r>
  </si>
  <si>
    <t>Example of the confusion matrix calculation using COUNTIFS</t>
  </si>
  <si>
    <t>Distance results using knn_dist</t>
  </si>
  <si>
    <t>pivot</t>
  </si>
  <si>
    <t>distance to pivot</t>
  </si>
  <si>
    <t>Random number functions</t>
  </si>
  <si>
    <t>BinomSim</t>
  </si>
  <si>
    <t>NormalSim</t>
  </si>
  <si>
    <t>LogNormalSim</t>
  </si>
  <si>
    <t>returns a random sample from binomial distribution</t>
  </si>
  <si>
    <t>returns a random sample from normal distribution</t>
  </si>
  <si>
    <t>returns a random sample from log-normal distribution</t>
  </si>
  <si>
    <t>Number of trials</t>
  </si>
  <si>
    <t>Success probability</t>
  </si>
  <si>
    <t>Mean</t>
  </si>
  <si>
    <t>Binomial rv</t>
  </si>
  <si>
    <t>Normal rv</t>
  </si>
  <si>
    <t>Log normal rv</t>
  </si>
  <si>
    <t>Random number generating functions</t>
  </si>
  <si>
    <t>Closest</t>
  </si>
  <si>
    <t>Farthest</t>
  </si>
  <si>
    <r>
      <rPr>
        <b/>
        <sz val="11"/>
        <rFont val="Calibri"/>
        <family val="2"/>
        <scheme val="minor"/>
      </rPr>
      <t>Note:</t>
    </r>
    <r>
      <rPr>
        <sz val="11"/>
        <rFont val="Calibri"/>
        <family val="2"/>
        <scheme val="minor"/>
      </rPr>
      <t xml:space="preserve"> by setting 'reversed=TRUE',</t>
    </r>
  </si>
  <si>
    <t>it can deal with the case where</t>
  </si>
  <si>
    <t>classification decision is made</t>
  </si>
  <si>
    <t>instead of '&gt; threshold'</t>
  </si>
  <si>
    <t>with '&lt;= threshold'</t>
  </si>
  <si>
    <t>1. Random sampling from binomial distribution</t>
  </si>
  <si>
    <t>2. Random sampling from normal/log-normal distribution</t>
  </si>
  <si>
    <r>
      <t xml:space="preserve">CBS Business Analytics Excel Add-In: </t>
    </r>
    <r>
      <rPr>
        <b/>
        <sz val="11"/>
        <color rgb="FF0000FF"/>
        <rFont val="Calibri"/>
        <family val="2"/>
        <scheme val="minor"/>
      </rPr>
      <t>Catalog of miscellaneous functions</t>
    </r>
  </si>
  <si>
    <t>ExpSim</t>
  </si>
  <si>
    <t>returns a random sample from exponential distribution</t>
  </si>
  <si>
    <t>3. Random sampling from exponential distribution</t>
  </si>
  <si>
    <t>Rate</t>
  </si>
  <si>
    <t>Exponential 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</si>
</sst>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"/>
    <numFmt numFmtId="166" formatCode="0.0%"/>
    <numFmt numFmtId="167" formatCode="_(* #,##0_);_(* \(#,##0\);_(* &quot;-&quot;??_);_(@_)"/>
    <numFmt numFmtId="168" formatCode="0.0000000"/>
  </numFmts>
  <fonts count="3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FF"/>
      <name val="Arial"/>
      <family val="2"/>
    </font>
    <font>
      <b/>
      <i/>
      <sz val="11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indexed="81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0" fontId="25" fillId="0" borderId="0"/>
    <xf numFmtId="9" fontId="25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2" fillId="0" borderId="0"/>
    <xf numFmtId="0" fontId="21" fillId="0" borderId="0"/>
    <xf numFmtId="9" fontId="2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2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34" fillId="0" borderId="0" applyNumberFormat="0" applyFill="0" applyBorder="0" applyAlignment="0" applyProtection="0"/>
  </cellStyleXfs>
  <cellXfs count="268">
    <xf numFmtId="0" fontId="0" fillId="0" borderId="0" xfId="0"/>
    <xf numFmtId="0" fontId="27" fillId="0" borderId="0" xfId="0" applyFont="1" applyAlignment="1">
      <alignment horizontal="right"/>
    </xf>
    <xf numFmtId="0" fontId="24" fillId="0" borderId="0" xfId="0" applyFont="1" applyFill="1" applyAlignment="1">
      <alignment horizontal="right" wrapText="1"/>
    </xf>
    <xf numFmtId="0" fontId="24" fillId="0" borderId="0" xfId="0" applyFont="1" applyFill="1" applyAlignment="1">
      <alignment horizontal="right"/>
    </xf>
    <xf numFmtId="0" fontId="0" fillId="0" borderId="0" xfId="0" applyBorder="1"/>
    <xf numFmtId="0" fontId="21" fillId="0" borderId="0" xfId="5"/>
    <xf numFmtId="0" fontId="21" fillId="0" borderId="7" xfId="5" applyBorder="1"/>
    <xf numFmtId="165" fontId="21" fillId="0" borderId="0" xfId="5" applyNumberFormat="1" applyBorder="1"/>
    <xf numFmtId="0" fontId="21" fillId="0" borderId="0" xfId="5" applyBorder="1"/>
    <xf numFmtId="0" fontId="21" fillId="0" borderId="9" xfId="5" applyBorder="1"/>
    <xf numFmtId="0" fontId="24" fillId="0" borderId="0" xfId="5" applyFont="1" applyFill="1" applyAlignment="1">
      <alignment horizontal="right"/>
    </xf>
    <xf numFmtId="0" fontId="24" fillId="0" borderId="0" xfId="5" applyFont="1" applyFill="1" applyBorder="1" applyAlignment="1">
      <alignment horizontal="left"/>
    </xf>
    <xf numFmtId="0" fontId="21" fillId="0" borderId="0" xfId="5" applyFill="1"/>
    <xf numFmtId="0" fontId="24" fillId="0" borderId="0" xfId="5" applyFont="1" applyFill="1" applyBorder="1" applyAlignment="1">
      <alignment horizontal="right"/>
    </xf>
    <xf numFmtId="0" fontId="24" fillId="0" borderId="0" xfId="5" applyFont="1" applyFill="1"/>
    <xf numFmtId="0" fontId="21" fillId="0" borderId="0" xfId="5" applyFill="1" applyBorder="1"/>
    <xf numFmtId="0" fontId="24" fillId="0" borderId="0" xfId="5" applyFont="1" applyAlignment="1">
      <alignment horizontal="right"/>
    </xf>
    <xf numFmtId="165" fontId="21" fillId="0" borderId="6" xfId="5" applyNumberFormat="1" applyBorder="1"/>
    <xf numFmtId="165" fontId="21" fillId="0" borderId="8" xfId="5" applyNumberFormat="1" applyBorder="1"/>
    <xf numFmtId="165" fontId="21" fillId="0" borderId="14" xfId="5" applyNumberFormat="1" applyBorder="1"/>
    <xf numFmtId="165" fontId="21" fillId="0" borderId="15" xfId="5" applyNumberFormat="1" applyBorder="1"/>
    <xf numFmtId="0" fontId="27" fillId="0" borderId="0" xfId="5" applyFont="1" applyFill="1"/>
    <xf numFmtId="0" fontId="24" fillId="0" borderId="0" xfId="5" applyFont="1" applyBorder="1" applyAlignment="1">
      <alignment horizontal="right"/>
    </xf>
    <xf numFmtId="164" fontId="21" fillId="0" borderId="0" xfId="5" applyNumberFormat="1" applyFill="1" applyBorder="1"/>
    <xf numFmtId="164" fontId="21" fillId="0" borderId="0" xfId="5" applyNumberFormat="1" applyBorder="1"/>
    <xf numFmtId="2" fontId="21" fillId="0" borderId="13" xfId="5" applyNumberFormat="1" applyBorder="1"/>
    <xf numFmtId="2" fontId="21" fillId="0" borderId="14" xfId="5" applyNumberFormat="1" applyBorder="1"/>
    <xf numFmtId="2" fontId="21" fillId="0" borderId="15" xfId="5" applyNumberFormat="1" applyBorder="1"/>
    <xf numFmtId="0" fontId="20" fillId="0" borderId="4" xfId="5" applyFont="1" applyBorder="1" applyAlignment="1">
      <alignment horizontal="right"/>
    </xf>
    <xf numFmtId="0" fontId="20" fillId="0" borderId="7" xfId="5" applyFont="1" applyBorder="1" applyAlignment="1">
      <alignment horizontal="right"/>
    </xf>
    <xf numFmtId="0" fontId="20" fillId="0" borderId="7" xfId="5" applyFont="1" applyBorder="1"/>
    <xf numFmtId="165" fontId="21" fillId="0" borderId="11" xfId="5" applyNumberFormat="1" applyBorder="1"/>
    <xf numFmtId="0" fontId="20" fillId="0" borderId="0" xfId="5" applyFont="1"/>
    <xf numFmtId="0" fontId="21" fillId="0" borderId="1" xfId="5" applyBorder="1"/>
    <xf numFmtId="0" fontId="21" fillId="0" borderId="3" xfId="5" applyBorder="1"/>
    <xf numFmtId="0" fontId="24" fillId="0" borderId="0" xfId="5" applyFont="1"/>
    <xf numFmtId="0" fontId="28" fillId="0" borderId="0" xfId="0" applyFont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0" fontId="28" fillId="0" borderId="4" xfId="0" applyFont="1" applyBorder="1"/>
    <xf numFmtId="164" fontId="20" fillId="0" borderId="5" xfId="5" applyNumberFormat="1" applyFont="1" applyBorder="1"/>
    <xf numFmtId="0" fontId="28" fillId="0" borderId="6" xfId="0" applyFont="1" applyBorder="1"/>
    <xf numFmtId="0" fontId="28" fillId="0" borderId="7" xfId="0" applyFont="1" applyBorder="1"/>
    <xf numFmtId="164" fontId="20" fillId="0" borderId="0" xfId="5" applyNumberFormat="1" applyFont="1" applyBorder="1"/>
    <xf numFmtId="0" fontId="28" fillId="0" borderId="8" xfId="0" applyFont="1" applyBorder="1"/>
    <xf numFmtId="0" fontId="28" fillId="0" borderId="9" xfId="0" applyFont="1" applyBorder="1"/>
    <xf numFmtId="164" fontId="20" fillId="0" borderId="10" xfId="5" applyNumberFormat="1" applyFont="1" applyBorder="1"/>
    <xf numFmtId="0" fontId="28" fillId="0" borderId="11" xfId="0" applyFont="1" applyBorder="1"/>
    <xf numFmtId="0" fontId="28" fillId="0" borderId="5" xfId="0" applyFont="1" applyBorder="1"/>
    <xf numFmtId="0" fontId="28" fillId="0" borderId="0" xfId="0" applyFont="1" applyBorder="1"/>
    <xf numFmtId="0" fontId="28" fillId="0" borderId="10" xfId="0" applyFont="1" applyBorder="1"/>
    <xf numFmtId="164" fontId="20" fillId="0" borderId="4" xfId="5" applyNumberFormat="1" applyFont="1" applyBorder="1"/>
    <xf numFmtId="164" fontId="20" fillId="0" borderId="7" xfId="5" applyNumberFormat="1" applyFont="1" applyBorder="1"/>
    <xf numFmtId="164" fontId="20" fillId="0" borderId="9" xfId="5" applyNumberFormat="1" applyFont="1" applyBorder="1"/>
    <xf numFmtId="0" fontId="28" fillId="0" borderId="0" xfId="0" applyFont="1" applyFill="1" applyBorder="1"/>
    <xf numFmtId="2" fontId="29" fillId="0" borderId="0" xfId="0" applyNumberFormat="1" applyFont="1" applyAlignment="1">
      <alignment horizontal="right"/>
    </xf>
    <xf numFmtId="0" fontId="27" fillId="0" borderId="0" xfId="0" applyFont="1" applyAlignment="1">
      <alignment horizontal="right" wrapText="1"/>
    </xf>
    <xf numFmtId="0" fontId="28" fillId="0" borderId="0" xfId="0" applyFont="1" applyBorder="1" applyAlignment="1">
      <alignment horizontal="right"/>
    </xf>
    <xf numFmtId="2" fontId="28" fillId="0" borderId="6" xfId="0" applyNumberFormat="1" applyFont="1" applyBorder="1"/>
    <xf numFmtId="2" fontId="28" fillId="0" borderId="8" xfId="0" applyNumberFormat="1" applyFont="1" applyBorder="1"/>
    <xf numFmtId="2" fontId="28" fillId="0" borderId="11" xfId="0" applyNumberFormat="1" applyFont="1" applyBorder="1"/>
    <xf numFmtId="0" fontId="27" fillId="0" borderId="0" xfId="0" applyFont="1" applyBorder="1" applyAlignment="1">
      <alignment horizontal="right"/>
    </xf>
    <xf numFmtId="0" fontId="29" fillId="0" borderId="0" xfId="0" applyFont="1" applyBorder="1" applyAlignment="1">
      <alignment horizontal="right"/>
    </xf>
    <xf numFmtId="1" fontId="28" fillId="0" borderId="0" xfId="0" applyNumberFormat="1" applyFont="1" applyBorder="1"/>
    <xf numFmtId="0" fontId="0" fillId="0" borderId="0" xfId="0" applyBorder="1" applyAlignment="1">
      <alignment wrapText="1"/>
    </xf>
    <xf numFmtId="0" fontId="24" fillId="0" borderId="0" xfId="0" applyFont="1" applyFill="1" applyBorder="1" applyAlignment="1">
      <alignment horizontal="right"/>
    </xf>
    <xf numFmtId="1" fontId="26" fillId="0" borderId="0" xfId="0" applyNumberFormat="1" applyFont="1" applyBorder="1" applyAlignment="1">
      <alignment horizontal="right"/>
    </xf>
    <xf numFmtId="1" fontId="27" fillId="0" borderId="12" xfId="5" applyNumberFormat="1" applyFont="1" applyBorder="1"/>
    <xf numFmtId="1" fontId="27" fillId="0" borderId="13" xfId="5" applyNumberFormat="1" applyFont="1" applyBorder="1"/>
    <xf numFmtId="0" fontId="27" fillId="0" borderId="14" xfId="5" applyFont="1" applyBorder="1" applyAlignment="1">
      <alignment horizontal="right"/>
    </xf>
    <xf numFmtId="0" fontId="27" fillId="0" borderId="15" xfId="5" applyFont="1" applyBorder="1" applyAlignment="1">
      <alignment horizontal="right"/>
    </xf>
    <xf numFmtId="0" fontId="30" fillId="0" borderId="12" xfId="0" applyFont="1" applyBorder="1"/>
    <xf numFmtId="0" fontId="29" fillId="0" borderId="0" xfId="0" applyFont="1" applyAlignment="1">
      <alignment horizontal="right" wrapText="1"/>
    </xf>
    <xf numFmtId="0" fontId="27" fillId="0" borderId="0" xfId="5" applyFont="1" applyAlignment="1">
      <alignment horizontal="left"/>
    </xf>
    <xf numFmtId="165" fontId="27" fillId="0" borderId="0" xfId="5" applyNumberFormat="1" applyFont="1" applyBorder="1" applyAlignment="1">
      <alignment horizontal="right"/>
    </xf>
    <xf numFmtId="0" fontId="27" fillId="0" borderId="0" xfId="1" applyFont="1" applyAlignment="1">
      <alignment horizontal="left"/>
    </xf>
    <xf numFmtId="0" fontId="27" fillId="0" borderId="0" xfId="1" applyFont="1" applyAlignment="1">
      <alignment horizontal="right"/>
    </xf>
    <xf numFmtId="1" fontId="28" fillId="0" borderId="4" xfId="0" applyNumberFormat="1" applyFont="1" applyBorder="1"/>
    <xf numFmtId="1" fontId="28" fillId="0" borderId="7" xfId="0" applyNumberFormat="1" applyFont="1" applyBorder="1"/>
    <xf numFmtId="1" fontId="28" fillId="0" borderId="9" xfId="0" applyNumberFormat="1" applyFont="1" applyBorder="1"/>
    <xf numFmtId="0" fontId="29" fillId="0" borderId="0" xfId="5" applyFont="1" applyFill="1" applyAlignment="1">
      <alignment horizontal="right"/>
    </xf>
    <xf numFmtId="164" fontId="18" fillId="0" borderId="0" xfId="5" applyNumberFormat="1" applyFont="1" applyFill="1" applyBorder="1"/>
    <xf numFmtId="164" fontId="17" fillId="0" borderId="0" xfId="5" applyNumberFormat="1" applyFont="1" applyFill="1" applyBorder="1"/>
    <xf numFmtId="0" fontId="17" fillId="0" borderId="0" xfId="5" applyFont="1"/>
    <xf numFmtId="0" fontId="27" fillId="0" borderId="13" xfId="0" applyFont="1" applyBorder="1" applyAlignment="1">
      <alignment horizontal="right"/>
    </xf>
    <xf numFmtId="0" fontId="30" fillId="0" borderId="0" xfId="0" applyFont="1" applyBorder="1"/>
    <xf numFmtId="2" fontId="28" fillId="0" borderId="13" xfId="0" applyNumberFormat="1" applyFont="1" applyBorder="1"/>
    <xf numFmtId="2" fontId="28" fillId="0" borderId="14" xfId="0" applyNumberFormat="1" applyFont="1" applyBorder="1"/>
    <xf numFmtId="2" fontId="28" fillId="0" borderId="15" xfId="0" applyNumberFormat="1" applyFont="1" applyBorder="1"/>
    <xf numFmtId="0" fontId="20" fillId="0" borderId="9" xfId="5" applyFont="1" applyBorder="1" applyAlignment="1">
      <alignment horizontal="right"/>
    </xf>
    <xf numFmtId="2" fontId="28" fillId="0" borderId="5" xfId="0" applyNumberFormat="1" applyFont="1" applyBorder="1"/>
    <xf numFmtId="2" fontId="28" fillId="0" borderId="0" xfId="0" applyNumberFormat="1" applyFont="1" applyBorder="1"/>
    <xf numFmtId="2" fontId="28" fillId="0" borderId="10" xfId="0" applyNumberFormat="1" applyFont="1" applyBorder="1"/>
    <xf numFmtId="164" fontId="16" fillId="0" borderId="4" xfId="5" applyNumberFormat="1" applyFont="1" applyFill="1" applyBorder="1"/>
    <xf numFmtId="164" fontId="16" fillId="0" borderId="5" xfId="5" applyNumberFormat="1" applyFont="1" applyFill="1" applyBorder="1"/>
    <xf numFmtId="1" fontId="16" fillId="0" borderId="4" xfId="5" applyNumberFormat="1" applyFont="1" applyFill="1" applyBorder="1"/>
    <xf numFmtId="164" fontId="16" fillId="0" borderId="7" xfId="5" applyNumberFormat="1" applyFont="1" applyFill="1" applyBorder="1"/>
    <xf numFmtId="164" fontId="16" fillId="0" borderId="0" xfId="5" applyNumberFormat="1" applyFont="1" applyFill="1" applyBorder="1"/>
    <xf numFmtId="0" fontId="16" fillId="0" borderId="7" xfId="5" applyFont="1" applyFill="1" applyBorder="1"/>
    <xf numFmtId="164" fontId="16" fillId="0" borderId="7" xfId="5" applyNumberFormat="1" applyFont="1" applyFill="1" applyBorder="1" applyAlignment="1">
      <alignment horizontal="right"/>
    </xf>
    <xf numFmtId="164" fontId="16" fillId="0" borderId="0" xfId="5" applyNumberFormat="1" applyFont="1" applyBorder="1"/>
    <xf numFmtId="164" fontId="16" fillId="0" borderId="9" xfId="5" applyNumberFormat="1" applyFont="1" applyFill="1" applyBorder="1" applyAlignment="1">
      <alignment horizontal="right"/>
    </xf>
    <xf numFmtId="164" fontId="16" fillId="0" borderId="10" xfId="5" applyNumberFormat="1" applyFont="1" applyBorder="1"/>
    <xf numFmtId="0" fontId="16" fillId="0" borderId="9" xfId="5" applyFont="1" applyFill="1" applyBorder="1"/>
    <xf numFmtId="164" fontId="21" fillId="0" borderId="0" xfId="5" applyNumberFormat="1" applyFill="1" applyBorder="1" applyAlignment="1">
      <alignment horizontal="right"/>
    </xf>
    <xf numFmtId="165" fontId="27" fillId="0" borderId="0" xfId="5" applyNumberFormat="1" applyFont="1" applyBorder="1" applyAlignment="1">
      <alignment horizontal="left"/>
    </xf>
    <xf numFmtId="165" fontId="27" fillId="0" borderId="0" xfId="5" applyNumberFormat="1" applyFont="1" applyBorder="1" applyAlignment="1">
      <alignment horizontal="right" wrapText="1"/>
    </xf>
    <xf numFmtId="0" fontId="15" fillId="0" borderId="0" xfId="5" applyFont="1"/>
    <xf numFmtId="0" fontId="14" fillId="0" borderId="0" xfId="5" applyFont="1"/>
    <xf numFmtId="0" fontId="21" fillId="0" borderId="13" xfId="5" applyBorder="1"/>
    <xf numFmtId="0" fontId="21" fillId="0" borderId="14" xfId="5" applyBorder="1"/>
    <xf numFmtId="0" fontId="21" fillId="0" borderId="15" xfId="5" applyBorder="1"/>
    <xf numFmtId="165" fontId="28" fillId="0" borderId="13" xfId="0" applyNumberFormat="1" applyFont="1" applyBorder="1"/>
    <xf numFmtId="165" fontId="28" fillId="0" borderId="14" xfId="0" applyNumberFormat="1" applyFont="1" applyBorder="1"/>
    <xf numFmtId="0" fontId="21" fillId="0" borderId="4" xfId="5" applyBorder="1"/>
    <xf numFmtId="0" fontId="27" fillId="0" borderId="0" xfId="0" applyFont="1" applyAlignment="1">
      <alignment horizontal="left"/>
    </xf>
    <xf numFmtId="165" fontId="28" fillId="0" borderId="14" xfId="0" applyNumberFormat="1" applyFont="1" applyBorder="1" applyAlignment="1">
      <alignment horizontal="right"/>
    </xf>
    <xf numFmtId="165" fontId="28" fillId="0" borderId="6" xfId="0" applyNumberFormat="1" applyFont="1" applyBorder="1"/>
    <xf numFmtId="165" fontId="28" fillId="0" borderId="8" xfId="0" applyNumberFormat="1" applyFont="1" applyBorder="1"/>
    <xf numFmtId="0" fontId="13" fillId="0" borderId="0" xfId="5" applyFont="1"/>
    <xf numFmtId="0" fontId="24" fillId="0" borderId="0" xfId="5" quotePrefix="1" applyFont="1"/>
    <xf numFmtId="0" fontId="28" fillId="0" borderId="13" xfId="0" applyFont="1" applyBorder="1"/>
    <xf numFmtId="1" fontId="28" fillId="0" borderId="15" xfId="0" applyNumberFormat="1" applyFont="1" applyBorder="1"/>
    <xf numFmtId="2" fontId="13" fillId="0" borderId="11" xfId="5" applyNumberFormat="1" applyFont="1" applyBorder="1"/>
    <xf numFmtId="0" fontId="13" fillId="0" borderId="7" xfId="5" applyFont="1" applyBorder="1"/>
    <xf numFmtId="2" fontId="13" fillId="0" borderId="8" xfId="5" applyNumberFormat="1" applyFont="1" applyBorder="1"/>
    <xf numFmtId="2" fontId="13" fillId="0" borderId="0" xfId="5" applyNumberFormat="1" applyFont="1"/>
    <xf numFmtId="0" fontId="13" fillId="0" borderId="0" xfId="5" applyFont="1" applyBorder="1"/>
    <xf numFmtId="165" fontId="13" fillId="0" borderId="4" xfId="5" applyNumberFormat="1" applyFont="1" applyBorder="1"/>
    <xf numFmtId="165" fontId="13" fillId="0" borderId="6" xfId="5" applyNumberFormat="1" applyFont="1" applyBorder="1"/>
    <xf numFmtId="165" fontId="13" fillId="0" borderId="7" xfId="5" applyNumberFormat="1" applyFont="1" applyBorder="1"/>
    <xf numFmtId="165" fontId="13" fillId="0" borderId="8" xfId="5" applyNumberFormat="1" applyFont="1" applyBorder="1"/>
    <xf numFmtId="165" fontId="13" fillId="0" borderId="9" xfId="5" applyNumberFormat="1" applyFont="1" applyBorder="1"/>
    <xf numFmtId="0" fontId="27" fillId="0" borderId="0" xfId="15" applyFont="1" applyFill="1"/>
    <xf numFmtId="0" fontId="10" fillId="0" borderId="0" xfId="15"/>
    <xf numFmtId="0" fontId="24" fillId="0" borderId="0" xfId="15" applyFont="1" applyAlignment="1">
      <alignment horizontal="right" wrapText="1"/>
    </xf>
    <xf numFmtId="0" fontId="10" fillId="0" borderId="0" xfId="15" applyBorder="1"/>
    <xf numFmtId="1" fontId="10" fillId="0" borderId="0" xfId="15" applyNumberFormat="1"/>
    <xf numFmtId="0" fontId="24" fillId="0" borderId="0" xfId="15" applyFont="1" applyBorder="1"/>
    <xf numFmtId="0" fontId="24" fillId="0" borderId="0" xfId="15" applyFont="1" applyAlignment="1">
      <alignment horizontal="right"/>
    </xf>
    <xf numFmtId="0" fontId="24" fillId="0" borderId="0" xfId="15" applyFont="1" applyBorder="1" applyAlignment="1">
      <alignment horizontal="right"/>
    </xf>
    <xf numFmtId="2" fontId="10" fillId="0" borderId="4" xfId="15" applyNumberFormat="1" applyBorder="1"/>
    <xf numFmtId="1" fontId="10" fillId="0" borderId="6" xfId="15" applyNumberFormat="1" applyBorder="1"/>
    <xf numFmtId="1" fontId="10" fillId="0" borderId="8" xfId="15" applyNumberFormat="1" applyBorder="1"/>
    <xf numFmtId="0" fontId="27" fillId="0" borderId="12" xfId="15" applyFont="1" applyBorder="1"/>
    <xf numFmtId="0" fontId="27" fillId="0" borderId="0" xfId="15" applyFont="1"/>
    <xf numFmtId="0" fontId="24" fillId="0" borderId="0" xfId="15" applyFont="1"/>
    <xf numFmtId="0" fontId="27" fillId="0" borderId="0" xfId="15" applyFont="1" applyAlignment="1">
      <alignment horizontal="right"/>
    </xf>
    <xf numFmtId="1" fontId="10" fillId="0" borderId="4" xfId="15" applyNumberFormat="1" applyBorder="1"/>
    <xf numFmtId="1" fontId="10" fillId="0" borderId="9" xfId="15" applyNumberFormat="1" applyBorder="1"/>
    <xf numFmtId="1" fontId="10" fillId="0" borderId="11" xfId="15" applyNumberFormat="1" applyBorder="1"/>
    <xf numFmtId="0" fontId="27" fillId="0" borderId="0" xfId="15" applyFont="1" applyBorder="1" applyAlignment="1">
      <alignment horizontal="right"/>
    </xf>
    <xf numFmtId="0" fontId="24" fillId="0" borderId="0" xfId="15" applyFont="1" applyFill="1" applyBorder="1" applyAlignment="1">
      <alignment horizontal="right"/>
    </xf>
    <xf numFmtId="166" fontId="0" fillId="0" borderId="0" xfId="17" applyNumberFormat="1" applyFont="1" applyBorder="1"/>
    <xf numFmtId="166" fontId="10" fillId="0" borderId="0" xfId="15" applyNumberFormat="1"/>
    <xf numFmtId="37" fontId="10" fillId="0" borderId="0" xfId="15" applyNumberFormat="1" applyAlignment="1">
      <alignment horizontal="right"/>
    </xf>
    <xf numFmtId="0" fontId="24" fillId="0" borderId="0" xfId="15" applyFont="1" applyBorder="1" applyAlignment="1">
      <alignment horizontal="left"/>
    </xf>
    <xf numFmtId="165" fontId="10" fillId="0" borderId="4" xfId="15" applyNumberFormat="1" applyBorder="1"/>
    <xf numFmtId="165" fontId="10" fillId="0" borderId="5" xfId="15" applyNumberFormat="1" applyBorder="1"/>
    <xf numFmtId="165" fontId="10" fillId="0" borderId="7" xfId="15" applyNumberFormat="1" applyBorder="1"/>
    <xf numFmtId="165" fontId="10" fillId="0" borderId="0" xfId="15" applyNumberFormat="1" applyBorder="1"/>
    <xf numFmtId="165" fontId="10" fillId="0" borderId="9" xfId="15" applyNumberFormat="1" applyBorder="1"/>
    <xf numFmtId="165" fontId="10" fillId="0" borderId="10" xfId="15" applyNumberFormat="1" applyBorder="1"/>
    <xf numFmtId="165" fontId="28" fillId="0" borderId="0" xfId="15" applyNumberFormat="1" applyFont="1" applyAlignment="1">
      <alignment horizontal="right"/>
    </xf>
    <xf numFmtId="167" fontId="0" fillId="0" borderId="0" xfId="16" applyNumberFormat="1" applyFont="1"/>
    <xf numFmtId="165" fontId="28" fillId="0" borderId="0" xfId="15" applyNumberFormat="1" applyFont="1" applyBorder="1" applyAlignment="1">
      <alignment horizontal="right"/>
    </xf>
    <xf numFmtId="167" fontId="10" fillId="0" borderId="0" xfId="15" applyNumberFormat="1"/>
    <xf numFmtId="1" fontId="10" fillId="0" borderId="0" xfId="15" applyNumberFormat="1" applyBorder="1"/>
    <xf numFmtId="0" fontId="10" fillId="0" borderId="0" xfId="15" applyFill="1" applyBorder="1"/>
    <xf numFmtId="165" fontId="10" fillId="0" borderId="0" xfId="15" applyNumberFormat="1"/>
    <xf numFmtId="2" fontId="10" fillId="0" borderId="9" xfId="15" applyNumberFormat="1" applyBorder="1"/>
    <xf numFmtId="0" fontId="10" fillId="0" borderId="0" xfId="5" applyFont="1"/>
    <xf numFmtId="0" fontId="9" fillId="0" borderId="0" xfId="5" applyFont="1"/>
    <xf numFmtId="0" fontId="8" fillId="0" borderId="0" xfId="5" applyFont="1"/>
    <xf numFmtId="0" fontId="29" fillId="0" borderId="0" xfId="0" applyFont="1" applyAlignment="1">
      <alignment horizontal="left"/>
    </xf>
    <xf numFmtId="1" fontId="21" fillId="0" borderId="0" xfId="5" applyNumberFormat="1"/>
    <xf numFmtId="2" fontId="21" fillId="0" borderId="12" xfId="5" applyNumberFormat="1" applyBorder="1"/>
    <xf numFmtId="0" fontId="24" fillId="0" borderId="0" xfId="5" applyFont="1" applyBorder="1"/>
    <xf numFmtId="0" fontId="27" fillId="0" borderId="0" xfId="0" applyFont="1" applyBorder="1" applyAlignment="1">
      <alignment horizontal="left"/>
    </xf>
    <xf numFmtId="0" fontId="29" fillId="0" borderId="0" xfId="0" applyFont="1" applyBorder="1" applyAlignment="1">
      <alignment horizontal="left"/>
    </xf>
    <xf numFmtId="165" fontId="28" fillId="0" borderId="0" xfId="0" applyNumberFormat="1" applyFont="1" applyBorder="1"/>
    <xf numFmtId="1" fontId="21" fillId="0" borderId="0" xfId="5" applyNumberFormat="1" applyBorder="1"/>
    <xf numFmtId="165" fontId="28" fillId="0" borderId="0" xfId="0" applyNumberFormat="1" applyFont="1" applyBorder="1" applyAlignment="1">
      <alignment horizontal="right"/>
    </xf>
    <xf numFmtId="2" fontId="24" fillId="0" borderId="0" xfId="5" applyNumberFormat="1" applyFont="1" applyBorder="1"/>
    <xf numFmtId="2" fontId="8" fillId="0" borderId="0" xfId="5" applyNumberFormat="1" applyFont="1" applyBorder="1"/>
    <xf numFmtId="2" fontId="8" fillId="0" borderId="0" xfId="5" applyNumberFormat="1" applyFont="1" applyBorder="1" applyAlignment="1">
      <alignment horizontal="right"/>
    </xf>
    <xf numFmtId="165" fontId="8" fillId="0" borderId="12" xfId="5" applyNumberFormat="1" applyFont="1" applyBorder="1"/>
    <xf numFmtId="0" fontId="29" fillId="0" borderId="0" xfId="5" applyFont="1" applyAlignment="1">
      <alignment horizontal="right"/>
    </xf>
    <xf numFmtId="1" fontId="21" fillId="0" borderId="0" xfId="5" applyNumberFormat="1" applyAlignment="1">
      <alignment horizontal="right"/>
    </xf>
    <xf numFmtId="2" fontId="28" fillId="0" borderId="4" xfId="0" applyNumberFormat="1" applyFont="1" applyBorder="1"/>
    <xf numFmtId="2" fontId="28" fillId="0" borderId="7" xfId="0" applyNumberFormat="1" applyFont="1" applyBorder="1"/>
    <xf numFmtId="2" fontId="28" fillId="0" borderId="0" xfId="0" applyNumberFormat="1" applyFont="1" applyFill="1" applyBorder="1"/>
    <xf numFmtId="2" fontId="28" fillId="0" borderId="9" xfId="0" applyNumberFormat="1" applyFont="1" applyBorder="1"/>
    <xf numFmtId="1" fontId="21" fillId="0" borderId="5" xfId="5" applyNumberFormat="1" applyBorder="1" applyAlignment="1">
      <alignment horizontal="right"/>
    </xf>
    <xf numFmtId="0" fontId="21" fillId="0" borderId="5" xfId="5" applyBorder="1"/>
    <xf numFmtId="1" fontId="21" fillId="0" borderId="0" xfId="5" applyNumberFormat="1" applyBorder="1" applyAlignment="1">
      <alignment horizontal="right"/>
    </xf>
    <xf numFmtId="1" fontId="21" fillId="0" borderId="10" xfId="5" applyNumberFormat="1" applyBorder="1" applyAlignment="1">
      <alignment horizontal="right"/>
    </xf>
    <xf numFmtId="0" fontId="21" fillId="0" borderId="10" xfId="5" applyBorder="1"/>
    <xf numFmtId="0" fontId="21" fillId="0" borderId="0" xfId="5" applyAlignment="1">
      <alignment wrapText="1"/>
    </xf>
    <xf numFmtId="2" fontId="8" fillId="0" borderId="12" xfId="5" applyNumberFormat="1" applyFont="1" applyBorder="1"/>
    <xf numFmtId="2" fontId="10" fillId="0" borderId="0" xfId="15" applyNumberFormat="1" applyBorder="1"/>
    <xf numFmtId="0" fontId="10" fillId="0" borderId="4" xfId="15" applyBorder="1"/>
    <xf numFmtId="2" fontId="10" fillId="0" borderId="5" xfId="15" applyNumberFormat="1" applyBorder="1"/>
    <xf numFmtId="0" fontId="10" fillId="0" borderId="7" xfId="15" applyBorder="1"/>
    <xf numFmtId="2" fontId="10" fillId="0" borderId="10" xfId="15" applyNumberFormat="1" applyBorder="1"/>
    <xf numFmtId="2" fontId="10" fillId="0" borderId="0" xfId="15" applyNumberFormat="1"/>
    <xf numFmtId="0" fontId="24" fillId="0" borderId="0" xfId="15" quotePrefix="1" applyFont="1" applyAlignment="1">
      <alignment horizontal="right"/>
    </xf>
    <xf numFmtId="0" fontId="10" fillId="0" borderId="9" xfId="15" applyBorder="1"/>
    <xf numFmtId="0" fontId="10" fillId="0" borderId="0" xfId="15" applyNumberFormat="1" applyBorder="1"/>
    <xf numFmtId="167" fontId="0" fillId="0" borderId="0" xfId="16" applyNumberFormat="1" applyFont="1" applyBorder="1" applyAlignment="1">
      <alignment horizontal="right"/>
    </xf>
    <xf numFmtId="165" fontId="10" fillId="0" borderId="6" xfId="15" applyNumberFormat="1" applyBorder="1"/>
    <xf numFmtId="165" fontId="10" fillId="0" borderId="8" xfId="15" applyNumberFormat="1" applyBorder="1"/>
    <xf numFmtId="165" fontId="10" fillId="0" borderId="11" xfId="15" applyNumberFormat="1" applyBorder="1"/>
    <xf numFmtId="164" fontId="10" fillId="0" borderId="8" xfId="15" applyNumberFormat="1" applyBorder="1"/>
    <xf numFmtId="164" fontId="10" fillId="0" borderId="11" xfId="15" applyNumberFormat="1" applyBorder="1"/>
    <xf numFmtId="164" fontId="10" fillId="0" borderId="13" xfId="15" applyNumberFormat="1" applyBorder="1"/>
    <xf numFmtId="2" fontId="10" fillId="0" borderId="15" xfId="15" applyNumberFormat="1" applyBorder="1"/>
    <xf numFmtId="164" fontId="10" fillId="0" borderId="6" xfId="15" applyNumberFormat="1" applyBorder="1"/>
    <xf numFmtId="0" fontId="32" fillId="0" borderId="0" xfId="5" applyFont="1"/>
    <xf numFmtId="1" fontId="21" fillId="0" borderId="5" xfId="5" applyNumberFormat="1" applyBorder="1"/>
    <xf numFmtId="1" fontId="21" fillId="0" borderId="10" xfId="5" applyNumberFormat="1" applyBorder="1"/>
    <xf numFmtId="2" fontId="8" fillId="0" borderId="5" xfId="5" applyNumberFormat="1" applyFont="1" applyBorder="1"/>
    <xf numFmtId="2" fontId="8" fillId="0" borderId="6" xfId="5" applyNumberFormat="1" applyFont="1" applyBorder="1" applyAlignment="1">
      <alignment horizontal="right"/>
    </xf>
    <xf numFmtId="2" fontId="8" fillId="0" borderId="8" xfId="5" applyNumberFormat="1" applyFont="1" applyBorder="1" applyAlignment="1">
      <alignment horizontal="right"/>
    </xf>
    <xf numFmtId="2" fontId="8" fillId="0" borderId="10" xfId="5" applyNumberFormat="1" applyFont="1" applyBorder="1"/>
    <xf numFmtId="2" fontId="8" fillId="0" borderId="11" xfId="5" applyNumberFormat="1" applyFont="1" applyBorder="1" applyAlignment="1">
      <alignment horizontal="right"/>
    </xf>
    <xf numFmtId="0" fontId="7" fillId="0" borderId="0" xfId="5" applyFont="1"/>
    <xf numFmtId="0" fontId="32" fillId="0" borderId="0" xfId="0" applyFont="1" applyAlignment="1">
      <alignment horizontal="left"/>
    </xf>
    <xf numFmtId="0" fontId="7" fillId="0" borderId="0" xfId="15" applyFont="1" applyBorder="1"/>
    <xf numFmtId="0" fontId="7" fillId="0" borderId="0" xfId="15" applyFont="1"/>
    <xf numFmtId="165" fontId="28" fillId="0" borderId="0" xfId="15" applyNumberFormat="1" applyFont="1" applyAlignment="1">
      <alignment horizontal="left"/>
    </xf>
    <xf numFmtId="165" fontId="28" fillId="0" borderId="0" xfId="15" applyNumberFormat="1" applyFont="1" applyBorder="1" applyAlignment="1">
      <alignment horizontal="left"/>
    </xf>
    <xf numFmtId="2" fontId="10" fillId="0" borderId="12" xfId="15" applyNumberFormat="1" applyBorder="1"/>
    <xf numFmtId="2" fontId="21" fillId="0" borderId="0" xfId="5" applyNumberFormat="1" applyBorder="1"/>
    <xf numFmtId="164" fontId="28" fillId="0" borderId="1" xfId="5" applyNumberFormat="1" applyFont="1" applyBorder="1"/>
    <xf numFmtId="164" fontId="25" fillId="0" borderId="3" xfId="0" applyNumberFormat="1" applyFont="1" applyBorder="1"/>
    <xf numFmtId="0" fontId="5" fillId="0" borderId="0" xfId="5" applyFont="1"/>
    <xf numFmtId="0" fontId="28" fillId="0" borderId="1" xfId="0" applyFont="1" applyBorder="1" applyAlignment="1">
      <alignment horizontal="right"/>
    </xf>
    <xf numFmtId="0" fontId="28" fillId="0" borderId="2" xfId="0" applyFont="1" applyBorder="1" applyAlignment="1">
      <alignment horizontal="right"/>
    </xf>
    <xf numFmtId="0" fontId="28" fillId="0" borderId="3" xfId="0" applyFont="1" applyBorder="1" applyAlignment="1">
      <alignment horizontal="right"/>
    </xf>
    <xf numFmtId="0" fontId="29" fillId="0" borderId="12" xfId="0" applyFont="1" applyBorder="1" applyAlignment="1">
      <alignment horizontal="right"/>
    </xf>
    <xf numFmtId="0" fontId="4" fillId="0" borderId="0" xfId="5" applyFont="1"/>
    <xf numFmtId="0" fontId="29" fillId="0" borderId="4" xfId="0" applyFont="1" applyBorder="1" applyAlignment="1">
      <alignment horizontal="right"/>
    </xf>
    <xf numFmtId="1" fontId="28" fillId="0" borderId="5" xfId="0" applyNumberFormat="1" applyFont="1" applyBorder="1"/>
    <xf numFmtId="0" fontId="28" fillId="0" borderId="6" xfId="0" applyFont="1" applyBorder="1" applyAlignment="1">
      <alignment horizontal="right"/>
    </xf>
    <xf numFmtId="0" fontId="29" fillId="0" borderId="7" xfId="0" applyFont="1" applyBorder="1" applyAlignment="1">
      <alignment horizontal="right"/>
    </xf>
    <xf numFmtId="0" fontId="28" fillId="0" borderId="8" xfId="0" applyFont="1" applyBorder="1" applyAlignment="1">
      <alignment horizontal="right"/>
    </xf>
    <xf numFmtId="0" fontId="29" fillId="0" borderId="9" xfId="0" applyFont="1" applyBorder="1" applyAlignment="1">
      <alignment horizontal="right"/>
    </xf>
    <xf numFmtId="1" fontId="28" fillId="0" borderId="10" xfId="0" applyNumberFormat="1" applyFont="1" applyBorder="1"/>
    <xf numFmtId="0" fontId="28" fillId="0" borderId="11" xfId="0" applyFont="1" applyBorder="1" applyAlignment="1">
      <alignment horizontal="right"/>
    </xf>
    <xf numFmtId="0" fontId="29" fillId="0" borderId="0" xfId="0" applyFont="1"/>
    <xf numFmtId="0" fontId="4" fillId="0" borderId="9" xfId="5" applyFont="1" applyBorder="1" applyAlignment="1">
      <alignment horizontal="right"/>
    </xf>
    <xf numFmtId="0" fontId="4" fillId="0" borderId="4" xfId="5" applyFont="1" applyBorder="1" applyAlignment="1">
      <alignment horizontal="right"/>
    </xf>
    <xf numFmtId="0" fontId="28" fillId="0" borderId="12" xfId="0" applyFont="1" applyBorder="1"/>
    <xf numFmtId="2" fontId="28" fillId="0" borderId="12" xfId="0" applyNumberFormat="1" applyFont="1" applyBorder="1"/>
    <xf numFmtId="0" fontId="3" fillId="0" borderId="0" xfId="5" applyFont="1"/>
    <xf numFmtId="0" fontId="35" fillId="0" borderId="0" xfId="26" applyFont="1" applyFill="1"/>
    <xf numFmtId="0" fontId="2" fillId="0" borderId="0" xfId="5" applyFont="1"/>
    <xf numFmtId="0" fontId="27" fillId="0" borderId="0" xfId="5" applyFont="1" applyBorder="1" applyAlignment="1">
      <alignment horizontal="right"/>
    </xf>
    <xf numFmtId="168" fontId="10" fillId="0" borderId="0" xfId="15" applyNumberFormat="1" applyBorder="1"/>
    <xf numFmtId="0" fontId="36" fillId="0" borderId="0" xfId="0" applyFont="1"/>
    <xf numFmtId="164" fontId="37" fillId="0" borderId="13" xfId="0" applyNumberFormat="1" applyFont="1" applyBorder="1" applyProtection="1">
      <protection locked="0"/>
    </xf>
    <xf numFmtId="0" fontId="37" fillId="0" borderId="14" xfId="0" applyFont="1" applyBorder="1" applyProtection="1">
      <protection locked="0"/>
    </xf>
    <xf numFmtId="0" fontId="37" fillId="0" borderId="15" xfId="0" applyFont="1" applyBorder="1" applyProtection="1">
      <protection locked="0"/>
    </xf>
    <xf numFmtId="2" fontId="0" fillId="0" borderId="0" xfId="0" applyNumberFormat="1"/>
    <xf numFmtId="164" fontId="0" fillId="0" borderId="6" xfId="0" applyNumberFormat="1" applyBorder="1"/>
    <xf numFmtId="164" fontId="0" fillId="0" borderId="8" xfId="0" applyNumberFormat="1" applyBorder="1"/>
    <xf numFmtId="164" fontId="0" fillId="0" borderId="11" xfId="0" applyNumberFormat="1" applyBorder="1"/>
  </cellXfs>
  <cellStyles count="27">
    <cellStyle name="Comma 2" xfId="16" xr:uid="{00000000-0005-0000-0000-000001000000}"/>
    <cellStyle name="Hyperlink" xfId="26" builtinId="8"/>
    <cellStyle name="Normal" xfId="0" builtinId="0"/>
    <cellStyle name="Normal 2" xfId="1" xr:uid="{00000000-0005-0000-0000-000004000000}"/>
    <cellStyle name="Normal 3" xfId="4" xr:uid="{00000000-0005-0000-0000-000005000000}"/>
    <cellStyle name="Normal 4" xfId="5" xr:uid="{00000000-0005-0000-0000-000006000000}"/>
    <cellStyle name="Normal 4 2" xfId="10" xr:uid="{00000000-0005-0000-0000-000007000000}"/>
    <cellStyle name="Normal 4 2 2" xfId="15" xr:uid="{00000000-0005-0000-0000-000008000000}"/>
    <cellStyle name="Normal 4 3" xfId="13" xr:uid="{00000000-0005-0000-0000-000009000000}"/>
    <cellStyle name="Normal 4 3 2" xfId="20" xr:uid="{00000000-0005-0000-0000-00000A000000}"/>
    <cellStyle name="Normal 4 4" xfId="12" xr:uid="{00000000-0005-0000-0000-00000B000000}"/>
    <cellStyle name="Normal 4 4 2" xfId="21" xr:uid="{00000000-0005-0000-0000-00000C000000}"/>
    <cellStyle name="Normal 4 4 3" xfId="18" xr:uid="{00000000-0005-0000-0000-00000D000000}"/>
    <cellStyle name="Normal 5" xfId="9" xr:uid="{00000000-0005-0000-0000-00000E000000}"/>
    <cellStyle name="Normal 5 2" xfId="11" xr:uid="{00000000-0005-0000-0000-00000F000000}"/>
    <cellStyle name="Normal 5 3" xfId="14" xr:uid="{00000000-0005-0000-0000-000010000000}"/>
    <cellStyle name="Normal 5 3 2" xfId="22" xr:uid="{00000000-0005-0000-0000-000011000000}"/>
    <cellStyle name="Normal 5 3 3" xfId="19" xr:uid="{00000000-0005-0000-0000-000012000000}"/>
    <cellStyle name="Normal 6" xfId="25" xr:uid="{00000000-0005-0000-0000-000013000000}"/>
    <cellStyle name="Normal 7" xfId="23" xr:uid="{00000000-0005-0000-0000-000014000000}"/>
    <cellStyle name="Percent 2" xfId="2" xr:uid="{00000000-0005-0000-0000-000016000000}"/>
    <cellStyle name="Percent 3" xfId="3" xr:uid="{00000000-0005-0000-0000-000017000000}"/>
    <cellStyle name="Percent 4" xfId="6" xr:uid="{00000000-0005-0000-0000-000018000000}"/>
    <cellStyle name="Percent 5" xfId="7" xr:uid="{00000000-0005-0000-0000-000019000000}"/>
    <cellStyle name="Percent 5 2" xfId="8" xr:uid="{00000000-0005-0000-0000-00001A000000}"/>
    <cellStyle name="Percent 6" xfId="17" xr:uid="{00000000-0005-0000-0000-00001B000000}"/>
    <cellStyle name="Percent 7" xfId="24" xr:uid="{00000000-0005-0000-0000-00001C000000}"/>
  </cellStyles>
  <dxfs count="1">
    <dxf>
      <font>
        <b/>
        <i val="0"/>
        <color rgb="FFFF0000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ROC_no_cost!$F$14:$F$114</c:f>
              <c:numCache>
                <c:formatCode>0.000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0.875</c:v>
                </c:pt>
                <c:pt idx="6">
                  <c:v>0.875</c:v>
                </c:pt>
                <c:pt idx="7">
                  <c:v>0.875</c:v>
                </c:pt>
                <c:pt idx="8">
                  <c:v>0.875</c:v>
                </c:pt>
                <c:pt idx="9">
                  <c:v>0.875</c:v>
                </c:pt>
                <c:pt idx="10">
                  <c:v>0.875</c:v>
                </c:pt>
                <c:pt idx="11">
                  <c:v>0.875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0.625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0.375</c:v>
                </c:pt>
                <c:pt idx="23">
                  <c:v>0.375</c:v>
                </c:pt>
                <c:pt idx="24">
                  <c:v>0.375</c:v>
                </c:pt>
                <c:pt idx="25">
                  <c:v>0.375</c:v>
                </c:pt>
                <c:pt idx="26">
                  <c:v>0.375</c:v>
                </c:pt>
                <c:pt idx="27">
                  <c:v>0.375</c:v>
                </c:pt>
                <c:pt idx="28">
                  <c:v>0.375</c:v>
                </c:pt>
                <c:pt idx="29">
                  <c:v>0.375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0.125</c:v>
                </c:pt>
                <c:pt idx="42">
                  <c:v>0.125</c:v>
                </c:pt>
                <c:pt idx="43">
                  <c:v>0.125</c:v>
                </c:pt>
                <c:pt idx="44">
                  <c:v>0.125</c:v>
                </c:pt>
                <c:pt idx="45">
                  <c:v>0.125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0.125</c:v>
                </c:pt>
                <c:pt idx="50">
                  <c:v>0.125</c:v>
                </c:pt>
                <c:pt idx="51">
                  <c:v>0.125</c:v>
                </c:pt>
                <c:pt idx="52">
                  <c:v>0.125</c:v>
                </c:pt>
                <c:pt idx="53">
                  <c:v>0.125</c:v>
                </c:pt>
                <c:pt idx="54">
                  <c:v>0.125</c:v>
                </c:pt>
                <c:pt idx="55">
                  <c:v>0.125</c:v>
                </c:pt>
                <c:pt idx="56">
                  <c:v>0.125</c:v>
                </c:pt>
                <c:pt idx="57">
                  <c:v>0.125</c:v>
                </c:pt>
                <c:pt idx="58">
                  <c:v>0.125</c:v>
                </c:pt>
                <c:pt idx="59">
                  <c:v>0.125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xVal>
          <c:yVal>
            <c:numRef>
              <c:f>ROC_no_cost!$G$14:$G$114</c:f>
              <c:numCache>
                <c:formatCode>0.000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0.88888888888888884</c:v>
                </c:pt>
                <c:pt idx="12">
                  <c:v>0.88888888888888884</c:v>
                </c:pt>
                <c:pt idx="13">
                  <c:v>0.88888888888888884</c:v>
                </c:pt>
                <c:pt idx="14">
                  <c:v>0.88888888888888884</c:v>
                </c:pt>
                <c:pt idx="15">
                  <c:v>0.88888888888888884</c:v>
                </c:pt>
                <c:pt idx="16">
                  <c:v>0.88888888888888884</c:v>
                </c:pt>
                <c:pt idx="17">
                  <c:v>0.88888888888888884</c:v>
                </c:pt>
                <c:pt idx="18">
                  <c:v>0.88888888888888884</c:v>
                </c:pt>
                <c:pt idx="19">
                  <c:v>0.88888888888888884</c:v>
                </c:pt>
                <c:pt idx="20">
                  <c:v>0.88888888888888884</c:v>
                </c:pt>
                <c:pt idx="21">
                  <c:v>0.77777777777777779</c:v>
                </c:pt>
                <c:pt idx="22">
                  <c:v>0.77777777777777779</c:v>
                </c:pt>
                <c:pt idx="23">
                  <c:v>0.77777777777777779</c:v>
                </c:pt>
                <c:pt idx="24">
                  <c:v>0.77777777777777779</c:v>
                </c:pt>
                <c:pt idx="25">
                  <c:v>0.77777777777777779</c:v>
                </c:pt>
                <c:pt idx="26">
                  <c:v>0.77777777777777779</c:v>
                </c:pt>
                <c:pt idx="27">
                  <c:v>0.77777777777777779</c:v>
                </c:pt>
                <c:pt idx="28">
                  <c:v>0.77777777777777779</c:v>
                </c:pt>
                <c:pt idx="29">
                  <c:v>0.77777777777777779</c:v>
                </c:pt>
                <c:pt idx="30">
                  <c:v>0.77777777777777779</c:v>
                </c:pt>
                <c:pt idx="31">
                  <c:v>0.66666666666666663</c:v>
                </c:pt>
                <c:pt idx="32">
                  <c:v>0.55555555555555558</c:v>
                </c:pt>
                <c:pt idx="33">
                  <c:v>0.55555555555555558</c:v>
                </c:pt>
                <c:pt idx="34">
                  <c:v>0.55555555555555558</c:v>
                </c:pt>
                <c:pt idx="35">
                  <c:v>0.55555555555555558</c:v>
                </c:pt>
                <c:pt idx="36">
                  <c:v>0.44444444444444442</c:v>
                </c:pt>
                <c:pt idx="37">
                  <c:v>0.44444444444444442</c:v>
                </c:pt>
                <c:pt idx="38">
                  <c:v>0.44444444444444442</c:v>
                </c:pt>
                <c:pt idx="39">
                  <c:v>0.33333333333333331</c:v>
                </c:pt>
                <c:pt idx="40">
                  <c:v>0.33333333333333331</c:v>
                </c:pt>
                <c:pt idx="41">
                  <c:v>0.33333333333333331</c:v>
                </c:pt>
                <c:pt idx="42">
                  <c:v>0.33333333333333331</c:v>
                </c:pt>
                <c:pt idx="43">
                  <c:v>0.33333333333333331</c:v>
                </c:pt>
                <c:pt idx="44">
                  <c:v>0.33333333333333331</c:v>
                </c:pt>
                <c:pt idx="45">
                  <c:v>0.33333333333333331</c:v>
                </c:pt>
                <c:pt idx="46">
                  <c:v>0.33333333333333331</c:v>
                </c:pt>
                <c:pt idx="47">
                  <c:v>0.33333333333333331</c:v>
                </c:pt>
                <c:pt idx="48">
                  <c:v>0.33333333333333331</c:v>
                </c:pt>
                <c:pt idx="49">
                  <c:v>0.33333333333333331</c:v>
                </c:pt>
                <c:pt idx="50">
                  <c:v>0.33333333333333331</c:v>
                </c:pt>
                <c:pt idx="51">
                  <c:v>0.33333333333333331</c:v>
                </c:pt>
                <c:pt idx="52">
                  <c:v>0.33333333333333331</c:v>
                </c:pt>
                <c:pt idx="53">
                  <c:v>0.33333333333333331</c:v>
                </c:pt>
                <c:pt idx="54">
                  <c:v>0.33333333333333331</c:v>
                </c:pt>
                <c:pt idx="55">
                  <c:v>0.33333333333333331</c:v>
                </c:pt>
                <c:pt idx="56">
                  <c:v>0.33333333333333331</c:v>
                </c:pt>
                <c:pt idx="57">
                  <c:v>0.33333333333333331</c:v>
                </c:pt>
                <c:pt idx="58">
                  <c:v>0.33333333333333331</c:v>
                </c:pt>
                <c:pt idx="59">
                  <c:v>0.33333333333333331</c:v>
                </c:pt>
                <c:pt idx="60">
                  <c:v>0.33333333333333331</c:v>
                </c:pt>
                <c:pt idx="61">
                  <c:v>0.33333333333333331</c:v>
                </c:pt>
                <c:pt idx="62">
                  <c:v>0.1111111111111111</c:v>
                </c:pt>
                <c:pt idx="63">
                  <c:v>0.1111111111111111</c:v>
                </c:pt>
                <c:pt idx="64">
                  <c:v>0.1111111111111111</c:v>
                </c:pt>
                <c:pt idx="65">
                  <c:v>0.1111111111111111</c:v>
                </c:pt>
                <c:pt idx="66">
                  <c:v>0.1111111111111111</c:v>
                </c:pt>
                <c:pt idx="67">
                  <c:v>0.1111111111111111</c:v>
                </c:pt>
                <c:pt idx="68">
                  <c:v>0.1111111111111111</c:v>
                </c:pt>
                <c:pt idx="69">
                  <c:v>0.1111111111111111</c:v>
                </c:pt>
                <c:pt idx="70">
                  <c:v>0.1111111111111111</c:v>
                </c:pt>
                <c:pt idx="71">
                  <c:v>0.1111111111111111</c:v>
                </c:pt>
                <c:pt idx="72">
                  <c:v>0.1111111111111111</c:v>
                </c:pt>
                <c:pt idx="73">
                  <c:v>0.1111111111111111</c:v>
                </c:pt>
                <c:pt idx="74">
                  <c:v>0.1111111111111111</c:v>
                </c:pt>
                <c:pt idx="75">
                  <c:v>0.1111111111111111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90-43AF-A87B-433F8B576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660216"/>
        <c:axId val="584659824"/>
      </c:scatterChart>
      <c:valAx>
        <c:axId val="584660216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2000" b="0"/>
                </a:pPr>
                <a:r>
                  <a:rPr lang="en-US" sz="2000" b="0"/>
                  <a:t>False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584659824"/>
        <c:crosses val="autoZero"/>
        <c:crossBetween val="midCat"/>
        <c:majorUnit val="0.2"/>
      </c:valAx>
      <c:valAx>
        <c:axId val="584659824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 b="0"/>
                </a:pPr>
                <a:r>
                  <a:rPr lang="en-US" sz="2000" b="0"/>
                  <a:t>True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584660216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ROC_with_cost!$F$18:$F$119</c:f>
              <c:numCache>
                <c:formatCode>0.000</c:formatCode>
                <c:ptCount val="10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0.875</c:v>
                </c:pt>
                <c:pt idx="6">
                  <c:v>0.875</c:v>
                </c:pt>
                <c:pt idx="7">
                  <c:v>0.875</c:v>
                </c:pt>
                <c:pt idx="8">
                  <c:v>0.875</c:v>
                </c:pt>
                <c:pt idx="9">
                  <c:v>0.875</c:v>
                </c:pt>
                <c:pt idx="10">
                  <c:v>0.875</c:v>
                </c:pt>
                <c:pt idx="11">
                  <c:v>0.875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0.625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0.375</c:v>
                </c:pt>
                <c:pt idx="23">
                  <c:v>0.375</c:v>
                </c:pt>
                <c:pt idx="24">
                  <c:v>0.375</c:v>
                </c:pt>
                <c:pt idx="25">
                  <c:v>0.375</c:v>
                </c:pt>
                <c:pt idx="26">
                  <c:v>0.375</c:v>
                </c:pt>
                <c:pt idx="27">
                  <c:v>0.375</c:v>
                </c:pt>
                <c:pt idx="28">
                  <c:v>0.375</c:v>
                </c:pt>
                <c:pt idx="29">
                  <c:v>0.375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0.125</c:v>
                </c:pt>
                <c:pt idx="42">
                  <c:v>0.125</c:v>
                </c:pt>
                <c:pt idx="43">
                  <c:v>0.125</c:v>
                </c:pt>
                <c:pt idx="44">
                  <c:v>0.125</c:v>
                </c:pt>
                <c:pt idx="45">
                  <c:v>0.125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0.125</c:v>
                </c:pt>
                <c:pt idx="50">
                  <c:v>0.125</c:v>
                </c:pt>
                <c:pt idx="51">
                  <c:v>0.125</c:v>
                </c:pt>
                <c:pt idx="52">
                  <c:v>0.125</c:v>
                </c:pt>
                <c:pt idx="53">
                  <c:v>0.125</c:v>
                </c:pt>
                <c:pt idx="54">
                  <c:v>0.125</c:v>
                </c:pt>
                <c:pt idx="55">
                  <c:v>0.125</c:v>
                </c:pt>
                <c:pt idx="56">
                  <c:v>0.125</c:v>
                </c:pt>
                <c:pt idx="57">
                  <c:v>0.125</c:v>
                </c:pt>
                <c:pt idx="58">
                  <c:v>0.125</c:v>
                </c:pt>
                <c:pt idx="59">
                  <c:v>0.125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xVal>
          <c:yVal>
            <c:numRef>
              <c:f>ROC_with_cost!$G$18:$G$119</c:f>
              <c:numCache>
                <c:formatCode>0.000</c:formatCode>
                <c:ptCount val="10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0.88888888888888884</c:v>
                </c:pt>
                <c:pt idx="12">
                  <c:v>0.88888888888888884</c:v>
                </c:pt>
                <c:pt idx="13">
                  <c:v>0.88888888888888884</c:v>
                </c:pt>
                <c:pt idx="14">
                  <c:v>0.88888888888888884</c:v>
                </c:pt>
                <c:pt idx="15">
                  <c:v>0.88888888888888884</c:v>
                </c:pt>
                <c:pt idx="16">
                  <c:v>0.88888888888888884</c:v>
                </c:pt>
                <c:pt idx="17">
                  <c:v>0.88888888888888884</c:v>
                </c:pt>
                <c:pt idx="18">
                  <c:v>0.88888888888888884</c:v>
                </c:pt>
                <c:pt idx="19">
                  <c:v>0.88888888888888884</c:v>
                </c:pt>
                <c:pt idx="20">
                  <c:v>0.88888888888888884</c:v>
                </c:pt>
                <c:pt idx="21">
                  <c:v>0.77777777777777779</c:v>
                </c:pt>
                <c:pt idx="22">
                  <c:v>0.77777777777777779</c:v>
                </c:pt>
                <c:pt idx="23">
                  <c:v>0.77777777777777779</c:v>
                </c:pt>
                <c:pt idx="24">
                  <c:v>0.77777777777777779</c:v>
                </c:pt>
                <c:pt idx="25">
                  <c:v>0.77777777777777779</c:v>
                </c:pt>
                <c:pt idx="26">
                  <c:v>0.77777777777777779</c:v>
                </c:pt>
                <c:pt idx="27">
                  <c:v>0.77777777777777779</c:v>
                </c:pt>
                <c:pt idx="28">
                  <c:v>0.77777777777777779</c:v>
                </c:pt>
                <c:pt idx="29">
                  <c:v>0.77777777777777779</c:v>
                </c:pt>
                <c:pt idx="30">
                  <c:v>0.77777777777777779</c:v>
                </c:pt>
                <c:pt idx="31">
                  <c:v>0.66666666666666663</c:v>
                </c:pt>
                <c:pt idx="32">
                  <c:v>0.55555555555555558</c:v>
                </c:pt>
                <c:pt idx="33">
                  <c:v>0.55555555555555558</c:v>
                </c:pt>
                <c:pt idx="34">
                  <c:v>0.55555555555555558</c:v>
                </c:pt>
                <c:pt idx="35">
                  <c:v>0.55555555555555558</c:v>
                </c:pt>
                <c:pt idx="36">
                  <c:v>0.44444444444444442</c:v>
                </c:pt>
                <c:pt idx="37">
                  <c:v>0.44444444444444442</c:v>
                </c:pt>
                <c:pt idx="38">
                  <c:v>0.44444444444444442</c:v>
                </c:pt>
                <c:pt idx="39">
                  <c:v>0.33333333333333331</c:v>
                </c:pt>
                <c:pt idx="40">
                  <c:v>0.33333333333333331</c:v>
                </c:pt>
                <c:pt idx="41">
                  <c:v>0.33333333333333331</c:v>
                </c:pt>
                <c:pt idx="42">
                  <c:v>0.33333333333333331</c:v>
                </c:pt>
                <c:pt idx="43">
                  <c:v>0.33333333333333331</c:v>
                </c:pt>
                <c:pt idx="44">
                  <c:v>0.33333333333333331</c:v>
                </c:pt>
                <c:pt idx="45">
                  <c:v>0.33333333333333331</c:v>
                </c:pt>
                <c:pt idx="46">
                  <c:v>0.33333333333333331</c:v>
                </c:pt>
                <c:pt idx="47">
                  <c:v>0.33333333333333331</c:v>
                </c:pt>
                <c:pt idx="48">
                  <c:v>0.33333333333333331</c:v>
                </c:pt>
                <c:pt idx="49">
                  <c:v>0.33333333333333331</c:v>
                </c:pt>
                <c:pt idx="50">
                  <c:v>0.33333333333333331</c:v>
                </c:pt>
                <c:pt idx="51">
                  <c:v>0.33333333333333331</c:v>
                </c:pt>
                <c:pt idx="52">
                  <c:v>0.33333333333333331</c:v>
                </c:pt>
                <c:pt idx="53">
                  <c:v>0.33333333333333331</c:v>
                </c:pt>
                <c:pt idx="54">
                  <c:v>0.33333333333333331</c:v>
                </c:pt>
                <c:pt idx="55">
                  <c:v>0.33333333333333331</c:v>
                </c:pt>
                <c:pt idx="56">
                  <c:v>0.33333333333333331</c:v>
                </c:pt>
                <c:pt idx="57">
                  <c:v>0.33333333333333331</c:v>
                </c:pt>
                <c:pt idx="58">
                  <c:v>0.33333333333333331</c:v>
                </c:pt>
                <c:pt idx="59">
                  <c:v>0.33333333333333331</c:v>
                </c:pt>
                <c:pt idx="60">
                  <c:v>0.33333333333333331</c:v>
                </c:pt>
                <c:pt idx="61">
                  <c:v>0.33333333333333331</c:v>
                </c:pt>
                <c:pt idx="62">
                  <c:v>0.1111111111111111</c:v>
                </c:pt>
                <c:pt idx="63">
                  <c:v>0.1111111111111111</c:v>
                </c:pt>
                <c:pt idx="64">
                  <c:v>0.1111111111111111</c:v>
                </c:pt>
                <c:pt idx="65">
                  <c:v>0.1111111111111111</c:v>
                </c:pt>
                <c:pt idx="66">
                  <c:v>0.1111111111111111</c:v>
                </c:pt>
                <c:pt idx="67">
                  <c:v>0.1111111111111111</c:v>
                </c:pt>
                <c:pt idx="68">
                  <c:v>0.1111111111111111</c:v>
                </c:pt>
                <c:pt idx="69">
                  <c:v>0.1111111111111111</c:v>
                </c:pt>
                <c:pt idx="70">
                  <c:v>0.1111111111111111</c:v>
                </c:pt>
                <c:pt idx="71">
                  <c:v>0.1111111111111111</c:v>
                </c:pt>
                <c:pt idx="72">
                  <c:v>0.1111111111111111</c:v>
                </c:pt>
                <c:pt idx="73">
                  <c:v>0.1111111111111111</c:v>
                </c:pt>
                <c:pt idx="74">
                  <c:v>0.1111111111111111</c:v>
                </c:pt>
                <c:pt idx="75">
                  <c:v>0.1111111111111111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11-4759-A0CA-6393419A4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659040"/>
        <c:axId val="584661000"/>
      </c:scatterChart>
      <c:valAx>
        <c:axId val="584659040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2000" b="0"/>
                </a:pPr>
                <a:r>
                  <a:rPr lang="en-US" sz="2000" b="0"/>
                  <a:t>False positive rate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584661000"/>
        <c:crosses val="autoZero"/>
        <c:crossBetween val="midCat"/>
        <c:majorUnit val="0.2"/>
      </c:valAx>
      <c:valAx>
        <c:axId val="584661000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 b="0"/>
                </a:pPr>
                <a:r>
                  <a:rPr lang="en-US" sz="2000" b="0"/>
                  <a:t>True positive rate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584659040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5000000000000266" l="0.70000000000000062" r="0.70000000000000062" t="0.75000000000000266" header="0.30000000000000032" footer="0.30000000000000032"/>
    <c:pageSetup orientation="portrait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ROC_with_cost!$E$18:$E$119</c:f>
              <c:numCache>
                <c:formatCode>0.00</c:formatCode>
                <c:ptCount val="10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ROC_with_cost!$H$18:$H$119</c:f>
              <c:numCache>
                <c:formatCode>0.0</c:formatCode>
                <c:ptCount val="102"/>
                <c:pt idx="0">
                  <c:v>78</c:v>
                </c:pt>
                <c:pt idx="1">
                  <c:v>78</c:v>
                </c:pt>
                <c:pt idx="2">
                  <c:v>78</c:v>
                </c:pt>
                <c:pt idx="3">
                  <c:v>78</c:v>
                </c:pt>
                <c:pt idx="4">
                  <c:v>78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79</c:v>
                </c:pt>
                <c:pt idx="12">
                  <c:v>76</c:v>
                </c:pt>
                <c:pt idx="13">
                  <c:v>76</c:v>
                </c:pt>
                <c:pt idx="14">
                  <c:v>76</c:v>
                </c:pt>
                <c:pt idx="15">
                  <c:v>76</c:v>
                </c:pt>
                <c:pt idx="16">
                  <c:v>76</c:v>
                </c:pt>
                <c:pt idx="17">
                  <c:v>76</c:v>
                </c:pt>
                <c:pt idx="18">
                  <c:v>73</c:v>
                </c:pt>
                <c:pt idx="19">
                  <c:v>70</c:v>
                </c:pt>
                <c:pt idx="20">
                  <c:v>70</c:v>
                </c:pt>
                <c:pt idx="21">
                  <c:v>74</c:v>
                </c:pt>
                <c:pt idx="22">
                  <c:v>71</c:v>
                </c:pt>
                <c:pt idx="23">
                  <c:v>71</c:v>
                </c:pt>
                <c:pt idx="24">
                  <c:v>71</c:v>
                </c:pt>
                <c:pt idx="25">
                  <c:v>71</c:v>
                </c:pt>
                <c:pt idx="26">
                  <c:v>71</c:v>
                </c:pt>
                <c:pt idx="27">
                  <c:v>71</c:v>
                </c:pt>
                <c:pt idx="28">
                  <c:v>71</c:v>
                </c:pt>
                <c:pt idx="29">
                  <c:v>71</c:v>
                </c:pt>
                <c:pt idx="30">
                  <c:v>68</c:v>
                </c:pt>
                <c:pt idx="31">
                  <c:v>72</c:v>
                </c:pt>
                <c:pt idx="32">
                  <c:v>76</c:v>
                </c:pt>
                <c:pt idx="33">
                  <c:v>76</c:v>
                </c:pt>
                <c:pt idx="34">
                  <c:v>76</c:v>
                </c:pt>
                <c:pt idx="35">
                  <c:v>76</c:v>
                </c:pt>
                <c:pt idx="36">
                  <c:v>80</c:v>
                </c:pt>
                <c:pt idx="37">
                  <c:v>80</c:v>
                </c:pt>
                <c:pt idx="38">
                  <c:v>80</c:v>
                </c:pt>
                <c:pt idx="39">
                  <c:v>84.000000000000014</c:v>
                </c:pt>
                <c:pt idx="40">
                  <c:v>84.000000000000014</c:v>
                </c:pt>
                <c:pt idx="41">
                  <c:v>81.000000000000014</c:v>
                </c:pt>
                <c:pt idx="42">
                  <c:v>81.000000000000014</c:v>
                </c:pt>
                <c:pt idx="43">
                  <c:v>81.000000000000014</c:v>
                </c:pt>
                <c:pt idx="44">
                  <c:v>81.000000000000014</c:v>
                </c:pt>
                <c:pt idx="45">
                  <c:v>81.000000000000014</c:v>
                </c:pt>
                <c:pt idx="46">
                  <c:v>81.000000000000014</c:v>
                </c:pt>
                <c:pt idx="47">
                  <c:v>81.000000000000014</c:v>
                </c:pt>
                <c:pt idx="48">
                  <c:v>81.000000000000014</c:v>
                </c:pt>
                <c:pt idx="49">
                  <c:v>81.000000000000014</c:v>
                </c:pt>
                <c:pt idx="50">
                  <c:v>81.000000000000014</c:v>
                </c:pt>
                <c:pt idx="51">
                  <c:v>81.000000000000014</c:v>
                </c:pt>
                <c:pt idx="52">
                  <c:v>81.000000000000014</c:v>
                </c:pt>
                <c:pt idx="53">
                  <c:v>81.000000000000014</c:v>
                </c:pt>
                <c:pt idx="54">
                  <c:v>81.000000000000014</c:v>
                </c:pt>
                <c:pt idx="55">
                  <c:v>81.000000000000014</c:v>
                </c:pt>
                <c:pt idx="56">
                  <c:v>81.000000000000014</c:v>
                </c:pt>
                <c:pt idx="57">
                  <c:v>81.000000000000014</c:v>
                </c:pt>
                <c:pt idx="58">
                  <c:v>81.000000000000014</c:v>
                </c:pt>
                <c:pt idx="59">
                  <c:v>81.000000000000014</c:v>
                </c:pt>
                <c:pt idx="60">
                  <c:v>81.000000000000014</c:v>
                </c:pt>
                <c:pt idx="61">
                  <c:v>81.000000000000014</c:v>
                </c:pt>
                <c:pt idx="62">
                  <c:v>89</c:v>
                </c:pt>
                <c:pt idx="63">
                  <c:v>86</c:v>
                </c:pt>
                <c:pt idx="64">
                  <c:v>86</c:v>
                </c:pt>
                <c:pt idx="65">
                  <c:v>86</c:v>
                </c:pt>
                <c:pt idx="66">
                  <c:v>86</c:v>
                </c:pt>
                <c:pt idx="67">
                  <c:v>86</c:v>
                </c:pt>
                <c:pt idx="68">
                  <c:v>86</c:v>
                </c:pt>
                <c:pt idx="69">
                  <c:v>86</c:v>
                </c:pt>
                <c:pt idx="70">
                  <c:v>86</c:v>
                </c:pt>
                <c:pt idx="71">
                  <c:v>86</c:v>
                </c:pt>
                <c:pt idx="72">
                  <c:v>86</c:v>
                </c:pt>
                <c:pt idx="73">
                  <c:v>86</c:v>
                </c:pt>
                <c:pt idx="74">
                  <c:v>86</c:v>
                </c:pt>
                <c:pt idx="75">
                  <c:v>86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F2-44E9-8603-B9D1B0AB3665}"/>
            </c:ext>
          </c:extLst>
        </c:ser>
        <c:ser>
          <c:idx val="1"/>
          <c:order val="1"/>
          <c:tx>
            <c:v>optimal line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xVal>
            <c:numRef>
              <c:f>ROC_with_cost!$R$8:$R$9</c:f>
              <c:numCache>
                <c:formatCode>0.00</c:formatCode>
                <c:ptCount val="2"/>
                <c:pt idx="0">
                  <c:v>0.3</c:v>
                </c:pt>
                <c:pt idx="1">
                  <c:v>0.3</c:v>
                </c:pt>
              </c:numCache>
            </c:numRef>
          </c:xVal>
          <c:yVal>
            <c:numRef>
              <c:f>ROC_with_cost!$S$8:$S$9</c:f>
              <c:numCache>
                <c:formatCode>0.0</c:formatCode>
                <c:ptCount val="2"/>
                <c:pt idx="0">
                  <c:v>0</c:v>
                </c:pt>
                <c:pt idx="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F2-44E9-8603-B9D1B0AB3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240344"/>
        <c:axId val="619240736"/>
      </c:scatterChart>
      <c:valAx>
        <c:axId val="619240344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2000" b="0"/>
                </a:pPr>
                <a:r>
                  <a:rPr lang="en-US" sz="2000" b="0"/>
                  <a:t>Probability threshold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619240736"/>
        <c:crosses val="autoZero"/>
        <c:crossBetween val="midCat"/>
        <c:majorUnit val="0.2"/>
      </c:valAx>
      <c:valAx>
        <c:axId val="6192407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 b="0"/>
                </a:pPr>
                <a:r>
                  <a:rPr lang="en-US" sz="2000" b="0" baseline="0"/>
                  <a:t>Total cost</a:t>
                </a:r>
                <a:endParaRPr lang="en-US" sz="2000" b="0"/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619240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314325</xdr:colOff>
      <xdr:row>2</xdr:row>
      <xdr:rowOff>38100</xdr:rowOff>
    </xdr:from>
    <xdr:to>
      <xdr:col>23</xdr:col>
      <xdr:colOff>323850</xdr:colOff>
      <xdr:row>28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0.17504</cdr:x>
      <cdr:y>0.09096</cdr:y>
    </cdr:from>
    <cdr:to>
      <cdr:x>0.43112</cdr:x>
      <cdr:y>0.17413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33756" y="447917"/>
          <a:ext cx="1804980" cy="4095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0">
              <a:solidFill>
                <a:srgbClr val="FF0000"/>
              </a:solidFill>
            </a:rPr>
            <a:t>ROC curve</a:t>
          </a:r>
        </a:p>
      </cdr:txBody>
    </cdr:sp>
  </cdr:relSizeAnchor>
  <cdr:relSizeAnchor xmlns:cdr="http://schemas.openxmlformats.org/drawingml/2006/chartDrawing">
    <cdr:from>
      <cdr:x>0.27995</cdr:x>
      <cdr:y>0.16389</cdr:y>
    </cdr:from>
    <cdr:to>
      <cdr:x>0.33748</cdr:x>
      <cdr:y>0.28381</cdr:y>
    </cdr:to>
    <cdr:sp macro="" textlink="">
      <cdr:nvSpPr>
        <cdr:cNvPr id="4" name="Straight Arrow Connector 3"/>
        <cdr:cNvSpPr/>
      </cdr:nvSpPr>
      <cdr:spPr>
        <a:xfrm xmlns:a="http://schemas.openxmlformats.org/drawingml/2006/main">
          <a:off x="2070136" y="781031"/>
          <a:ext cx="425414" cy="57151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headEnd type="none" w="med" len="med"/>
          <a:tailEnd type="triangle" w="med" len="lg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0.41216</cdr:x>
      <cdr:y>0.5706</cdr:y>
    </cdr:from>
    <cdr:to>
      <cdr:x>0.87568</cdr:x>
      <cdr:y>0.65764</cdr:y>
    </cdr:to>
    <cdr:sp macro="" textlink="ROC_no_cost!$N$1">
      <cdr:nvSpPr>
        <cdr:cNvPr id="5" name="TextBox 4"/>
        <cdr:cNvSpPr txBox="1"/>
      </cdr:nvSpPr>
      <cdr:spPr>
        <a:xfrm xmlns:a="http://schemas.openxmlformats.org/drawingml/2006/main">
          <a:off x="2905124" y="2809875"/>
          <a:ext cx="3267076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1795C719-3908-40D8-841C-0BC259BF9942}" type="TxLink">
            <a:rPr lang="en-US" sz="1600" b="0" i="0" u="none" strike="noStrike">
              <a:solidFill>
                <a:srgbClr val="000000"/>
              </a:solidFill>
              <a:latin typeface="+mn-lt"/>
            </a:rPr>
            <a:pPr/>
            <a:t>Area under the curve, AUC: 0.71</a:t>
          </a:fld>
          <a:endParaRPr lang="en-US" sz="1600">
            <a:latin typeface="+mn-lt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333375</xdr:colOff>
      <xdr:row>11</xdr:row>
      <xdr:rowOff>104775</xdr:rowOff>
    </xdr:from>
    <xdr:to>
      <xdr:col>32</xdr:col>
      <xdr:colOff>409575</xdr:colOff>
      <xdr:row>37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276225</xdr:colOff>
      <xdr:row>11</xdr:row>
      <xdr:rowOff>104775</xdr:rowOff>
    </xdr:from>
    <xdr:to>
      <xdr:col>20</xdr:col>
      <xdr:colOff>238125</xdr:colOff>
      <xdr:row>37</xdr:row>
      <xdr:rowOff>76201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0.17504</cdr:x>
      <cdr:y>0.09096</cdr:y>
    </cdr:from>
    <cdr:to>
      <cdr:x>0.43112</cdr:x>
      <cdr:y>0.17413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33756" y="447917"/>
          <a:ext cx="1804980" cy="4095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0">
              <a:solidFill>
                <a:srgbClr val="FF0000"/>
              </a:solidFill>
            </a:rPr>
            <a:t>ROC curve</a:t>
          </a:r>
        </a:p>
      </cdr:txBody>
    </cdr:sp>
  </cdr:relSizeAnchor>
  <cdr:relSizeAnchor xmlns:cdr="http://schemas.openxmlformats.org/drawingml/2006/chartDrawing">
    <cdr:from>
      <cdr:x>0.27995</cdr:x>
      <cdr:y>0.16389</cdr:y>
    </cdr:from>
    <cdr:to>
      <cdr:x>0.33748</cdr:x>
      <cdr:y>0.28381</cdr:y>
    </cdr:to>
    <cdr:sp macro="" textlink="">
      <cdr:nvSpPr>
        <cdr:cNvPr id="4" name="Straight Arrow Connector 3"/>
        <cdr:cNvSpPr/>
      </cdr:nvSpPr>
      <cdr:spPr>
        <a:xfrm xmlns:a="http://schemas.openxmlformats.org/drawingml/2006/main">
          <a:off x="2070136" y="781031"/>
          <a:ext cx="425414" cy="57151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headEnd type="none" w="med" len="med"/>
          <a:tailEnd type="triangle" w="med" len="lg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0.41216</cdr:x>
      <cdr:y>0.5706</cdr:y>
    </cdr:from>
    <cdr:to>
      <cdr:x>0.87568</cdr:x>
      <cdr:y>0.65764</cdr:y>
    </cdr:to>
    <cdr:sp macro="" textlink="ROC_with_cost!$S$4">
      <cdr:nvSpPr>
        <cdr:cNvPr id="5" name="TextBox 4"/>
        <cdr:cNvSpPr txBox="1"/>
      </cdr:nvSpPr>
      <cdr:spPr>
        <a:xfrm xmlns:a="http://schemas.openxmlformats.org/drawingml/2006/main">
          <a:off x="2905124" y="2809875"/>
          <a:ext cx="3267076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1CD97C67-69F7-4F9D-8CD2-867515E6D179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/>
            <a:t>Area under the curve, AUC: 0.71</a:t>
          </a:fld>
          <a:endParaRPr lang="en-US" sz="1600">
            <a:latin typeface="+mn-lt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ations/cbs_ba_multiplatform/CBS%20BA%20Multiplatform%20add-i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UC"/>
      <definedName name="BA_RMSE"/>
      <definedName name="BinomSim"/>
      <definedName name="confusionMatrix"/>
      <definedName name="ExpSim"/>
      <definedName name="knn_dist"/>
      <definedName name="knn_in"/>
      <definedName name="knn_in_movie"/>
      <definedName name="knn_in_movie_rmse"/>
      <definedName name="knn_in_rmse"/>
      <definedName name="knn_nearest"/>
      <definedName name="knn_out"/>
      <definedName name="LogNormalSim"/>
      <definedName name="NormalSim"/>
      <definedName name="ROC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4"/>
  <sheetViews>
    <sheetView topLeftCell="A5" workbookViewId="0">
      <selection activeCell="A25" sqref="A25"/>
    </sheetView>
  </sheetViews>
  <sheetFormatPr baseColWidth="10" defaultColWidth="9.1640625" defaultRowHeight="15" x14ac:dyDescent="0.2"/>
  <cols>
    <col min="1" max="1" width="28.5" style="5" customWidth="1"/>
    <col min="2" max="3" width="9.1640625" style="5"/>
    <col min="4" max="5" width="9.1640625" style="5" customWidth="1"/>
    <col min="6" max="7" width="9.1640625" style="5"/>
    <col min="8" max="8" width="9.1640625" style="5" customWidth="1"/>
    <col min="9" max="9" width="9.1640625" style="5" bestFit="1" customWidth="1"/>
    <col min="10" max="10" width="9.5" style="5" bestFit="1" customWidth="1"/>
    <col min="11" max="11" width="9.1640625" style="5" bestFit="1" customWidth="1"/>
    <col min="12" max="16384" width="9.1640625" style="5"/>
  </cols>
  <sheetData>
    <row r="1" spans="1:12" x14ac:dyDescent="0.2">
      <c r="A1" s="14" t="s">
        <v>153</v>
      </c>
      <c r="B1" s="12"/>
      <c r="C1" s="12"/>
      <c r="D1" s="12"/>
      <c r="E1" s="12"/>
      <c r="F1" s="12"/>
      <c r="G1" s="12"/>
    </row>
    <row r="2" spans="1:12" x14ac:dyDescent="0.2">
      <c r="A2" s="80"/>
      <c r="B2" s="81"/>
      <c r="C2" s="24"/>
      <c r="D2" s="8"/>
    </row>
    <row r="3" spans="1:12" x14ac:dyDescent="0.2">
      <c r="A3" s="256" t="s">
        <v>26</v>
      </c>
      <c r="B3" s="23"/>
      <c r="C3" s="8"/>
    </row>
    <row r="4" spans="1:12" x14ac:dyDescent="0.2">
      <c r="A4" s="80" t="s">
        <v>27</v>
      </c>
      <c r="B4" s="82" t="s">
        <v>28</v>
      </c>
      <c r="C4" s="8"/>
    </row>
    <row r="5" spans="1:12" x14ac:dyDescent="0.2">
      <c r="A5" s="80" t="s">
        <v>29</v>
      </c>
      <c r="B5" s="82" t="s">
        <v>30</v>
      </c>
      <c r="K5" s="16" t="s">
        <v>78</v>
      </c>
      <c r="L5" s="172" t="s">
        <v>77</v>
      </c>
    </row>
    <row r="6" spans="1:12" x14ac:dyDescent="0.2">
      <c r="A6" s="80" t="s">
        <v>31</v>
      </c>
      <c r="B6" s="82" t="s">
        <v>32</v>
      </c>
      <c r="L6" s="173" t="s">
        <v>80</v>
      </c>
    </row>
    <row r="8" spans="1:12" x14ac:dyDescent="0.2">
      <c r="A8" s="256" t="s">
        <v>34</v>
      </c>
    </row>
    <row r="9" spans="1:12" x14ac:dyDescent="0.2">
      <c r="A9" s="80" t="s">
        <v>33</v>
      </c>
      <c r="B9" s="82" t="s">
        <v>35</v>
      </c>
    </row>
    <row r="10" spans="1:12" x14ac:dyDescent="0.2">
      <c r="A10" s="16" t="s">
        <v>36</v>
      </c>
      <c r="B10" s="82" t="s">
        <v>37</v>
      </c>
    </row>
    <row r="11" spans="1:12" x14ac:dyDescent="0.2">
      <c r="A11" s="16" t="s">
        <v>38</v>
      </c>
      <c r="B11" s="83" t="s">
        <v>39</v>
      </c>
    </row>
    <row r="12" spans="1:12" x14ac:dyDescent="0.2">
      <c r="A12" s="16" t="s">
        <v>41</v>
      </c>
      <c r="B12" s="83" t="s">
        <v>40</v>
      </c>
      <c r="K12" s="16" t="s">
        <v>78</v>
      </c>
      <c r="L12" s="35" t="s">
        <v>79</v>
      </c>
    </row>
    <row r="13" spans="1:12" x14ac:dyDescent="0.2">
      <c r="A13" s="16"/>
      <c r="B13" s="82"/>
      <c r="L13" s="35" t="s">
        <v>81</v>
      </c>
    </row>
    <row r="14" spans="1:12" x14ac:dyDescent="0.2">
      <c r="A14" s="256" t="s">
        <v>73</v>
      </c>
    </row>
    <row r="15" spans="1:12" x14ac:dyDescent="0.2">
      <c r="A15" s="16" t="s">
        <v>74</v>
      </c>
      <c r="B15" s="171" t="s">
        <v>76</v>
      </c>
    </row>
    <row r="16" spans="1:12" x14ac:dyDescent="0.2">
      <c r="A16" s="16" t="s">
        <v>75</v>
      </c>
      <c r="B16" s="226" t="s">
        <v>118</v>
      </c>
    </row>
    <row r="17" spans="1:2" x14ac:dyDescent="0.2">
      <c r="A17" s="16" t="s">
        <v>72</v>
      </c>
      <c r="B17" s="226" t="s">
        <v>119</v>
      </c>
    </row>
    <row r="19" spans="1:2" x14ac:dyDescent="0.2">
      <c r="A19" s="256" t="s">
        <v>130</v>
      </c>
    </row>
    <row r="20" spans="1:2" x14ac:dyDescent="0.2">
      <c r="A20" s="16" t="s">
        <v>131</v>
      </c>
      <c r="B20" s="236" t="s">
        <v>134</v>
      </c>
    </row>
    <row r="21" spans="1:2" x14ac:dyDescent="0.2">
      <c r="A21" s="16" t="s">
        <v>132</v>
      </c>
      <c r="B21" s="236" t="s">
        <v>135</v>
      </c>
    </row>
    <row r="22" spans="1:2" x14ac:dyDescent="0.2">
      <c r="A22" s="16" t="s">
        <v>133</v>
      </c>
      <c r="B22" s="236" t="s">
        <v>136</v>
      </c>
    </row>
    <row r="23" spans="1:2" x14ac:dyDescent="0.2">
      <c r="A23" s="16" t="s">
        <v>154</v>
      </c>
      <c r="B23" s="257" t="s">
        <v>155</v>
      </c>
    </row>
    <row r="24" spans="1:2" x14ac:dyDescent="0.2">
      <c r="A24" s="16"/>
      <c r="B24" s="255"/>
    </row>
  </sheetData>
  <hyperlinks>
    <hyperlink ref="A3" location="knn!A2" display="k nearest neighbor functions" xr:uid="{00000000-0004-0000-0000-000000000000}"/>
    <hyperlink ref="A8" location="knn_in_movie!A2" display="k nearest neighbor functions for &quot;movie predictions&quot;" xr:uid="{00000000-0004-0000-0000-000001000000}"/>
    <hyperlink ref="A14" location="ROC_no_cost!A2" display="Performance measures of classifiers" xr:uid="{00000000-0004-0000-0000-000002000000}"/>
    <hyperlink ref="A19" location="random_funcs!A2" display="Random number functions" xr:uid="{00000000-0004-0000-0000-000008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33"/>
  <sheetViews>
    <sheetView tabSelected="1" workbookViewId="0"/>
  </sheetViews>
  <sheetFormatPr baseColWidth="10" defaultColWidth="9.1640625" defaultRowHeight="15" x14ac:dyDescent="0.2"/>
  <cols>
    <col min="1" max="1" width="9.1640625" style="5" customWidth="1"/>
    <col min="2" max="2" width="9.1640625" style="5"/>
    <col min="3" max="4" width="9.1640625" style="5" customWidth="1"/>
    <col min="5" max="6" width="9.1640625" style="5"/>
    <col min="7" max="7" width="9.1640625" style="5" customWidth="1"/>
    <col min="8" max="8" width="9.1640625" style="5" bestFit="1" customWidth="1"/>
    <col min="9" max="9" width="9.5" style="5" bestFit="1" customWidth="1"/>
    <col min="10" max="10" width="9.1640625" style="5" bestFit="1" customWidth="1"/>
    <col min="11" max="16384" width="9.1640625" style="5"/>
  </cols>
  <sheetData>
    <row r="1" spans="1:14" x14ac:dyDescent="0.2">
      <c r="A1" s="21" t="s">
        <v>25</v>
      </c>
      <c r="B1" s="12"/>
      <c r="C1" s="12"/>
      <c r="D1" s="12"/>
      <c r="E1" s="12"/>
      <c r="F1" s="12"/>
    </row>
    <row r="2" spans="1:14" x14ac:dyDescent="0.2">
      <c r="A2" s="14"/>
      <c r="B2" s="12"/>
      <c r="C2" s="12"/>
      <c r="D2" s="12"/>
      <c r="E2" s="12"/>
      <c r="F2" s="12"/>
    </row>
    <row r="3" spans="1:14" x14ac:dyDescent="0.2">
      <c r="B3" s="12"/>
      <c r="C3" s="22" t="s">
        <v>0</v>
      </c>
      <c r="D3" s="67">
        <v>3</v>
      </c>
      <c r="I3" s="11" t="s">
        <v>16</v>
      </c>
    </row>
    <row r="4" spans="1:14" x14ac:dyDescent="0.2">
      <c r="A4" s="21"/>
      <c r="B4" s="12"/>
      <c r="C4" s="12"/>
      <c r="G4" s="105" t="s">
        <v>29</v>
      </c>
      <c r="H4" s="8"/>
      <c r="I4" s="35" t="s">
        <v>53</v>
      </c>
      <c r="J4" s="13"/>
    </row>
    <row r="5" spans="1:14" x14ac:dyDescent="0.2">
      <c r="A5" s="13" t="s">
        <v>11</v>
      </c>
      <c r="B5" s="10" t="s">
        <v>12</v>
      </c>
      <c r="C5" s="10" t="s">
        <v>10</v>
      </c>
      <c r="D5" s="73" t="s">
        <v>54</v>
      </c>
      <c r="F5" s="22" t="s">
        <v>0</v>
      </c>
      <c r="G5" s="74" t="s">
        <v>9</v>
      </c>
      <c r="I5" s="13" t="s">
        <v>11</v>
      </c>
      <c r="J5" s="10" t="s">
        <v>12</v>
      </c>
      <c r="K5" s="73" t="s">
        <v>55</v>
      </c>
      <c r="M5" s="13"/>
      <c r="N5" s="10"/>
    </row>
    <row r="6" spans="1:14" ht="15" customHeight="1" x14ac:dyDescent="0.2">
      <c r="A6" s="93">
        <v>9.4</v>
      </c>
      <c r="B6" s="94">
        <v>11.9</v>
      </c>
      <c r="C6" s="95">
        <v>5</v>
      </c>
      <c r="D6" s="25">
        <f t="array" ref="D6:D18">[1]!knn_in($C$6:$C$18,$A$6:$B$18,$D$3)</f>
        <v>4</v>
      </c>
      <c r="F6" s="28">
        <v>1</v>
      </c>
      <c r="G6" s="17">
        <f>[1]!knn_in_rmse($C$6:$C$18,$A$6:$B$18,F6)</f>
        <v>0.48038446141526142</v>
      </c>
      <c r="I6" s="51">
        <v>9.3000000000000007</v>
      </c>
      <c r="J6" s="40">
        <v>2.7</v>
      </c>
      <c r="K6" s="25">
        <f t="array" ref="K6:K11">[1]!knn_out($I$6:$J$11,$C$6:$C$18,$A$6:$B$18,$D$3)</f>
        <v>2.6666666666666665</v>
      </c>
    </row>
    <row r="7" spans="1:14" x14ac:dyDescent="0.2">
      <c r="A7" s="96">
        <v>10.8</v>
      </c>
      <c r="B7" s="97">
        <v>10.199999999999999</v>
      </c>
      <c r="C7" s="98">
        <v>5</v>
      </c>
      <c r="D7" s="26">
        <v>4</v>
      </c>
      <c r="F7" s="29">
        <v>2</v>
      </c>
      <c r="G7" s="18">
        <f>[1]!knn_in_rmse($C$6:$C$18,$A$6:$B$18,F7)</f>
        <v>0.51887452166277082</v>
      </c>
      <c r="I7" s="52">
        <v>5.3</v>
      </c>
      <c r="J7" s="43">
        <v>10.199999999999999</v>
      </c>
      <c r="K7" s="26">
        <v>3</v>
      </c>
    </row>
    <row r="8" spans="1:14" x14ac:dyDescent="0.2">
      <c r="A8" s="96">
        <v>6.1</v>
      </c>
      <c r="B8" s="97">
        <v>10</v>
      </c>
      <c r="C8" s="98">
        <v>3</v>
      </c>
      <c r="D8" s="26">
        <v>3</v>
      </c>
      <c r="F8" s="29">
        <v>3</v>
      </c>
      <c r="G8" s="18">
        <f>[1]!knn_in_rmse($C$6:$C$18,$A$6:$B$18,F8)</f>
        <v>0.53108500454379437</v>
      </c>
      <c r="I8" s="52">
        <v>11.9</v>
      </c>
      <c r="J8" s="43">
        <v>3.4</v>
      </c>
      <c r="K8" s="26">
        <v>3.3333333333333335</v>
      </c>
    </row>
    <row r="9" spans="1:14" x14ac:dyDescent="0.2">
      <c r="A9" s="96">
        <v>11</v>
      </c>
      <c r="B9" s="97">
        <v>4</v>
      </c>
      <c r="C9" s="98">
        <v>3</v>
      </c>
      <c r="D9" s="26">
        <v>3</v>
      </c>
      <c r="F9" s="29">
        <v>4</v>
      </c>
      <c r="G9" s="18">
        <f>[1]!knn_in_rmse($C$6:$C$18,$A$6:$B$18,F9)</f>
        <v>0.67581859195406069</v>
      </c>
      <c r="I9" s="52">
        <v>4.0999999999999996</v>
      </c>
      <c r="J9" s="43">
        <v>2.2000000000000002</v>
      </c>
      <c r="K9" s="26">
        <v>1.6666666666666667</v>
      </c>
    </row>
    <row r="10" spans="1:14" x14ac:dyDescent="0.2">
      <c r="A10" s="96">
        <v>3.7</v>
      </c>
      <c r="B10" s="97">
        <v>11.8</v>
      </c>
      <c r="C10" s="98">
        <v>3</v>
      </c>
      <c r="D10" s="26">
        <v>3</v>
      </c>
      <c r="F10" s="29">
        <v>5</v>
      </c>
      <c r="G10" s="18">
        <f>[1]!knn_in_rmse($C$6:$C$18,$A$6:$B$18,F10)</f>
        <v>0.7785588263926152</v>
      </c>
      <c r="I10" s="52">
        <v>6.6</v>
      </c>
      <c r="J10" s="43">
        <v>4.3</v>
      </c>
      <c r="K10" s="26">
        <v>1.6666666666666667</v>
      </c>
    </row>
    <row r="11" spans="1:14" x14ac:dyDescent="0.2">
      <c r="A11" s="96">
        <v>11.4</v>
      </c>
      <c r="B11" s="97">
        <v>2.9</v>
      </c>
      <c r="C11" s="98">
        <v>3</v>
      </c>
      <c r="D11" s="26">
        <v>3</v>
      </c>
      <c r="F11" s="29">
        <v>6</v>
      </c>
      <c r="G11" s="18">
        <f>[1]!knn_in_rmse($C$6:$C$18,$A$6:$B$18,F11)</f>
        <v>0.85859157180785739</v>
      </c>
      <c r="I11" s="53">
        <v>8.3000000000000007</v>
      </c>
      <c r="J11" s="46">
        <v>5.4</v>
      </c>
      <c r="K11" s="27">
        <v>2.3333333333333335</v>
      </c>
    </row>
    <row r="12" spans="1:14" x14ac:dyDescent="0.2">
      <c r="A12" s="96">
        <v>5.5</v>
      </c>
      <c r="B12" s="97">
        <v>6</v>
      </c>
      <c r="C12" s="98">
        <v>2</v>
      </c>
      <c r="D12" s="26">
        <v>2.3333333333333335</v>
      </c>
      <c r="F12" s="29">
        <v>7</v>
      </c>
      <c r="G12" s="18">
        <f>[1]!knn_in_rmse($C$6:$C$18,$A$6:$B$18,F12)</f>
        <v>0.92412290292873134</v>
      </c>
      <c r="I12" s="8"/>
    </row>
    <row r="13" spans="1:14" x14ac:dyDescent="0.2">
      <c r="A13" s="99">
        <v>5.0999999999999996</v>
      </c>
      <c r="B13" s="100">
        <v>2</v>
      </c>
      <c r="C13" s="98">
        <v>1</v>
      </c>
      <c r="D13" s="26">
        <v>2</v>
      </c>
      <c r="F13" s="29">
        <v>8</v>
      </c>
      <c r="G13" s="18">
        <f>[1]!knn_in_rmse($C$6:$C$18,$A$6:$B$18,F13)</f>
        <v>0.95638039583549683</v>
      </c>
    </row>
    <row r="14" spans="1:14" x14ac:dyDescent="0.2">
      <c r="A14" s="99">
        <v>10.7</v>
      </c>
      <c r="B14" s="100">
        <v>7.7</v>
      </c>
      <c r="C14" s="98">
        <v>4</v>
      </c>
      <c r="D14" s="26">
        <v>3.3333333333333335</v>
      </c>
      <c r="E14" s="8"/>
      <c r="F14" s="29">
        <v>9</v>
      </c>
      <c r="G14" s="18">
        <f>[1]!knn_in_rmse($C$6:$C$18,$A$6:$B$18,F14)</f>
        <v>1.0075686983334431</v>
      </c>
    </row>
    <row r="15" spans="1:14" x14ac:dyDescent="0.2">
      <c r="A15" s="99">
        <v>2.5</v>
      </c>
      <c r="B15" s="100">
        <v>10.4</v>
      </c>
      <c r="C15" s="98">
        <v>3</v>
      </c>
      <c r="D15" s="26">
        <v>3</v>
      </c>
      <c r="E15" s="8"/>
      <c r="F15" s="29">
        <v>10</v>
      </c>
      <c r="G15" s="18">
        <f>[1]!knn_in_rmse($C$6:$C$18,$A$6:$B$18,F15)</f>
        <v>1.0261953630166738</v>
      </c>
    </row>
    <row r="16" spans="1:14" x14ac:dyDescent="0.2">
      <c r="A16" s="99">
        <v>4.0999999999999996</v>
      </c>
      <c r="B16" s="100">
        <v>8.6</v>
      </c>
      <c r="C16" s="98">
        <v>3</v>
      </c>
      <c r="D16" s="26">
        <v>2.6666666666666665</v>
      </c>
      <c r="E16" s="15"/>
      <c r="F16" s="29">
        <v>11</v>
      </c>
      <c r="G16" s="18">
        <f>[1]!knn_in_rmse($C$6:$C$18,$A$6:$B$18,F16)</f>
        <v>1.1168250339193984</v>
      </c>
    </row>
    <row r="17" spans="1:7" x14ac:dyDescent="0.2">
      <c r="A17" s="99">
        <v>7.3</v>
      </c>
      <c r="B17" s="100">
        <v>5</v>
      </c>
      <c r="C17" s="98">
        <v>2</v>
      </c>
      <c r="D17" s="26">
        <v>2</v>
      </c>
      <c r="E17" s="15"/>
      <c r="F17" s="29">
        <v>12</v>
      </c>
      <c r="G17" s="18">
        <f>[1]!knn_in_rmse($C$6:$C$18,$A$6:$B$18,F17)</f>
        <v>1.2018504251546629</v>
      </c>
    </row>
    <row r="18" spans="1:7" x14ac:dyDescent="0.2">
      <c r="A18" s="101">
        <v>2.2000000000000002</v>
      </c>
      <c r="B18" s="102">
        <v>4.0999999999999996</v>
      </c>
      <c r="C18" s="103">
        <v>2</v>
      </c>
      <c r="D18" s="27">
        <v>2</v>
      </c>
      <c r="E18" s="15"/>
      <c r="F18" s="29">
        <v>13</v>
      </c>
      <c r="G18" s="18" t="str">
        <f>[1]!knn_in_rmse($C$6:$C$18,$A$6:$B$18,F18)</f>
        <v>K must be smaller than the number of entries in Known_x</v>
      </c>
    </row>
    <row r="19" spans="1:7" x14ac:dyDescent="0.2">
      <c r="E19" s="15"/>
      <c r="F19" s="89">
        <v>14</v>
      </c>
      <c r="G19" s="31" t="str">
        <f>[1]!knn_in_rmse($C$6:$C$18,$A$6:$B$18,F19)</f>
        <v>K must be smaller than the number of entries in Known_x</v>
      </c>
    </row>
    <row r="20" spans="1:7" x14ac:dyDescent="0.2">
      <c r="E20" s="8"/>
    </row>
    <row r="21" spans="1:7" x14ac:dyDescent="0.2">
      <c r="A21" s="11"/>
      <c r="C21" s="15"/>
      <c r="E21" s="8"/>
    </row>
    <row r="22" spans="1:7" x14ac:dyDescent="0.2">
      <c r="A22" s="13"/>
      <c r="C22" s="13"/>
    </row>
    <row r="23" spans="1:7" x14ac:dyDescent="0.2">
      <c r="A23" s="23"/>
      <c r="C23" s="15"/>
    </row>
    <row r="24" spans="1:7" x14ac:dyDescent="0.2">
      <c r="A24" s="23"/>
      <c r="C24" s="15"/>
    </row>
    <row r="25" spans="1:7" x14ac:dyDescent="0.2">
      <c r="A25" s="23"/>
      <c r="C25" s="15"/>
    </row>
    <row r="26" spans="1:7" x14ac:dyDescent="0.2">
      <c r="A26" s="23"/>
      <c r="C26" s="15"/>
    </row>
    <row r="27" spans="1:7" x14ac:dyDescent="0.2">
      <c r="A27" s="23"/>
      <c r="C27" s="15"/>
    </row>
    <row r="28" spans="1:7" x14ac:dyDescent="0.2">
      <c r="A28" s="23"/>
      <c r="C28" s="15"/>
    </row>
    <row r="29" spans="1:7" x14ac:dyDescent="0.2">
      <c r="A29" s="23"/>
      <c r="C29" s="15"/>
    </row>
    <row r="30" spans="1:7" x14ac:dyDescent="0.2">
      <c r="A30" s="23"/>
      <c r="C30" s="15"/>
    </row>
    <row r="31" spans="1:7" x14ac:dyDescent="0.2">
      <c r="A31" s="23"/>
      <c r="C31" s="15"/>
    </row>
    <row r="32" spans="1:7" x14ac:dyDescent="0.2">
      <c r="A32" s="8"/>
      <c r="C32" s="8"/>
    </row>
    <row r="33" spans="1:3" x14ac:dyDescent="0.2">
      <c r="A33" s="8"/>
      <c r="C3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C49"/>
  <sheetViews>
    <sheetView topLeftCell="B1" workbookViewId="0">
      <selection activeCell="G35" sqref="G35"/>
    </sheetView>
  </sheetViews>
  <sheetFormatPr baseColWidth="10" defaultColWidth="9.1640625" defaultRowHeight="15" x14ac:dyDescent="0.2"/>
  <cols>
    <col min="1" max="1" width="12.1640625" style="5" customWidth="1"/>
    <col min="2" max="2" width="10.1640625" style="5" customWidth="1"/>
    <col min="3" max="4" width="9.1640625" style="5"/>
    <col min="5" max="6" width="9.1640625" style="5" customWidth="1"/>
    <col min="7" max="8" width="9.1640625" style="5"/>
    <col min="9" max="9" width="9.1640625" style="5" customWidth="1"/>
    <col min="10" max="10" width="10.1640625" style="5" customWidth="1"/>
    <col min="11" max="12" width="9.1640625" style="5" customWidth="1"/>
    <col min="13" max="14" width="9.1640625" style="5"/>
    <col min="15" max="15" width="9" style="5" customWidth="1"/>
    <col min="16" max="20" width="9.1640625" style="5"/>
    <col min="21" max="21" width="13" style="5" customWidth="1"/>
    <col min="22" max="16384" width="9.1640625" style="5"/>
  </cols>
  <sheetData>
    <row r="1" spans="1:29" x14ac:dyDescent="0.2">
      <c r="A1" s="21" t="s">
        <v>82</v>
      </c>
      <c r="C1" s="12"/>
      <c r="D1" s="12"/>
      <c r="E1" s="12"/>
      <c r="F1" s="12"/>
      <c r="G1" s="12"/>
      <c r="H1" s="12"/>
    </row>
    <row r="2" spans="1:29" x14ac:dyDescent="0.2">
      <c r="B2" s="14"/>
      <c r="C2" s="12"/>
      <c r="D2" s="12"/>
      <c r="G2" s="22" t="s">
        <v>0</v>
      </c>
      <c r="H2" s="68">
        <v>4</v>
      </c>
      <c r="I2" s="32" t="s">
        <v>15</v>
      </c>
    </row>
    <row r="3" spans="1:29" x14ac:dyDescent="0.2">
      <c r="C3" s="12"/>
      <c r="D3" s="12"/>
      <c r="G3" s="10" t="s">
        <v>13</v>
      </c>
      <c r="H3" s="69" t="b">
        <v>0</v>
      </c>
      <c r="I3" s="107" t="s">
        <v>57</v>
      </c>
      <c r="K3" s="8"/>
      <c r="L3" s="8"/>
    </row>
    <row r="4" spans="1:29" x14ac:dyDescent="0.2">
      <c r="B4" s="21"/>
      <c r="C4" s="12"/>
      <c r="D4" s="12"/>
      <c r="G4" s="16"/>
      <c r="H4" s="69"/>
      <c r="I4" s="32"/>
      <c r="L4" s="22"/>
    </row>
    <row r="5" spans="1:29" x14ac:dyDescent="0.2">
      <c r="B5" s="35" t="s">
        <v>14</v>
      </c>
      <c r="G5" s="16" t="s">
        <v>60</v>
      </c>
      <c r="H5" s="70" t="b">
        <v>0</v>
      </c>
      <c r="I5" s="108" t="s">
        <v>61</v>
      </c>
      <c r="L5" s="7"/>
    </row>
    <row r="6" spans="1:29" ht="15" customHeight="1" x14ac:dyDescent="0.2">
      <c r="B6" s="33">
        <v>1</v>
      </c>
      <c r="C6" s="34">
        <v>1</v>
      </c>
      <c r="D6" s="8"/>
      <c r="E6" s="16"/>
      <c r="M6" s="7"/>
      <c r="N6" s="7"/>
      <c r="P6" s="115" t="s">
        <v>127</v>
      </c>
      <c r="R6" s="24"/>
      <c r="S6" s="24"/>
      <c r="T6" s="15"/>
      <c r="U6" s="7"/>
      <c r="V6" s="12"/>
    </row>
    <row r="7" spans="1:29" ht="15" customHeight="1" x14ac:dyDescent="0.2">
      <c r="A7" s="16" t="s">
        <v>86</v>
      </c>
      <c r="H7" s="105" t="s">
        <v>29</v>
      </c>
      <c r="J7" s="16" t="s">
        <v>87</v>
      </c>
      <c r="L7" s="11" t="s">
        <v>16</v>
      </c>
      <c r="P7" s="13" t="s">
        <v>11</v>
      </c>
      <c r="Q7" s="10" t="s">
        <v>12</v>
      </c>
      <c r="R7" s="61"/>
      <c r="S7" s="115" t="s">
        <v>59</v>
      </c>
      <c r="T7" s="49"/>
      <c r="U7" s="8"/>
      <c r="V7" s="227" t="s">
        <v>64</v>
      </c>
      <c r="W7" s="119"/>
      <c r="X7" s="119"/>
      <c r="Y7" s="119"/>
      <c r="AA7" s="8"/>
    </row>
    <row r="8" spans="1:29" x14ac:dyDescent="0.2">
      <c r="A8" s="16" t="s">
        <v>89</v>
      </c>
      <c r="B8" s="13" t="s">
        <v>11</v>
      </c>
      <c r="C8" s="10" t="s">
        <v>12</v>
      </c>
      <c r="D8" s="10" t="s">
        <v>10</v>
      </c>
      <c r="E8" s="73" t="s">
        <v>54</v>
      </c>
      <c r="G8" s="22" t="s">
        <v>0</v>
      </c>
      <c r="H8" s="74" t="s">
        <v>9</v>
      </c>
      <c r="J8" s="16" t="s">
        <v>88</v>
      </c>
      <c r="K8" s="13" t="s">
        <v>11</v>
      </c>
      <c r="L8" s="10" t="s">
        <v>12</v>
      </c>
      <c r="M8" s="73" t="s">
        <v>55</v>
      </c>
      <c r="N8" s="73"/>
      <c r="O8" s="62" t="s">
        <v>128</v>
      </c>
      <c r="P8" s="234">
        <f>B15</f>
        <v>5.5</v>
      </c>
      <c r="Q8" s="235">
        <f>C15</f>
        <v>6</v>
      </c>
      <c r="R8" s="62"/>
      <c r="T8" s="85"/>
      <c r="U8" s="8"/>
      <c r="V8" s="120" t="str">
        <f>"distance from observation "&amp;TEXT(Q8,"#")&amp;" to "&amp;TEXT(S11,"#")</f>
        <v>distance from observation 6 to 12</v>
      </c>
      <c r="W8" s="119"/>
      <c r="X8" s="119"/>
      <c r="Y8" s="119"/>
    </row>
    <row r="9" spans="1:29" x14ac:dyDescent="0.2">
      <c r="A9" s="109">
        <v>1</v>
      </c>
      <c r="B9" s="93">
        <v>9.4</v>
      </c>
      <c r="C9" s="94">
        <v>11.9</v>
      </c>
      <c r="D9" s="95">
        <v>5</v>
      </c>
      <c r="E9" s="25">
        <f t="array" ref="E9:E21">[1]!knn_in($D$9:$D$21,$B$9:$C$21,$H$2,$H$3,,$H$5,$B$6:$C$6)</f>
        <v>3.75</v>
      </c>
      <c r="F9" s="7"/>
      <c r="G9" s="28">
        <v>1</v>
      </c>
      <c r="H9" s="17">
        <f>[1]!knn_in_rmse($D$9:$D$21,$B$9:$C$21,G9,$H$3,,$H$5,$B$6:$C$6)</f>
        <v>0.48038446141526142</v>
      </c>
      <c r="J9" s="109">
        <v>1</v>
      </c>
      <c r="K9" s="51">
        <v>9.3000000000000007</v>
      </c>
      <c r="L9" s="40">
        <v>2.7</v>
      </c>
      <c r="M9" s="25">
        <f t="array" ref="M9:M14">[1]!knn_out($K$9:$L$14,$D$9:$D$21,$B$9:$C$21,$H$2,$H$3,,$H$5,$B$6:$C$6)</f>
        <v>2.25</v>
      </c>
      <c r="N9" s="233"/>
      <c r="P9" s="38"/>
      <c r="Q9" s="38" t="s">
        <v>129</v>
      </c>
      <c r="R9" s="36"/>
      <c r="S9" s="1" t="s">
        <v>41</v>
      </c>
      <c r="T9" s="174" t="str">
        <f>"Distance to pivot"</f>
        <v>Distance to pivot</v>
      </c>
      <c r="U9" s="8"/>
      <c r="V9" s="38" t="s">
        <v>58</v>
      </c>
      <c r="W9" s="13" t="s">
        <v>11</v>
      </c>
      <c r="X9" s="10" t="s">
        <v>12</v>
      </c>
      <c r="Y9" s="119"/>
      <c r="AB9" s="8"/>
      <c r="AC9" s="8"/>
    </row>
    <row r="10" spans="1:29" x14ac:dyDescent="0.2">
      <c r="A10" s="110">
        <v>2</v>
      </c>
      <c r="B10" s="96">
        <v>10.8</v>
      </c>
      <c r="C10" s="97">
        <v>10.199999999999999</v>
      </c>
      <c r="D10" s="98">
        <v>5</v>
      </c>
      <c r="E10" s="26">
        <v>3.75</v>
      </c>
      <c r="F10" s="7"/>
      <c r="G10" s="29">
        <v>2</v>
      </c>
      <c r="H10" s="18">
        <f>[1]!knn_in_rmse($D$9:$D$21,$B$9:$C$21,G10,$H$3,,$H$5,$B$6:$C$6)</f>
        <v>0.51887452166277082</v>
      </c>
      <c r="J10" s="110">
        <v>2</v>
      </c>
      <c r="K10" s="52">
        <v>5.3</v>
      </c>
      <c r="L10" s="43">
        <v>10.199999999999999</v>
      </c>
      <c r="M10" s="26">
        <v>3</v>
      </c>
      <c r="N10" s="233"/>
      <c r="P10" s="114">
        <v>1</v>
      </c>
      <c r="Q10" s="112">
        <f t="array" ref="Q10:Q22">[1]!knn_dist($B$9:$C$21,B15:C15,$H$3,,$B$6:$C$6)</f>
        <v>5.0009999000199947</v>
      </c>
      <c r="R10" s="36"/>
      <c r="S10" s="77">
        <f t="array" ref="S10:S22">[1]!knn_nearest($B$9:$C$21,$P$8:$Q$8,$H$3,,$B$6:$C$6)</f>
        <v>7</v>
      </c>
      <c r="T10" s="117">
        <f t="shared" ref="T10:T22" si="0">INDEX($Q$10:$Q$22,S10)</f>
        <v>0</v>
      </c>
      <c r="U10" s="8"/>
      <c r="V10" s="121">
        <f>Q8</f>
        <v>6</v>
      </c>
      <c r="W10" s="128">
        <f>INDEX(B$9:B$21,$V10)</f>
        <v>11.4</v>
      </c>
      <c r="X10" s="129">
        <f>INDEX(C$9:C$21,$V10)</f>
        <v>2.9</v>
      </c>
      <c r="Y10" s="119"/>
      <c r="AB10" s="8"/>
      <c r="AC10" s="8"/>
    </row>
    <row r="11" spans="1:29" x14ac:dyDescent="0.2">
      <c r="A11" s="110">
        <v>3</v>
      </c>
      <c r="B11" s="96">
        <v>6.1</v>
      </c>
      <c r="C11" s="97">
        <v>10</v>
      </c>
      <c r="D11" s="98">
        <v>3</v>
      </c>
      <c r="E11" s="26">
        <v>3.5</v>
      </c>
      <c r="F11" s="7"/>
      <c r="G11" s="29">
        <v>3</v>
      </c>
      <c r="H11" s="18">
        <f>[1]!knn_in_rmse($D$9:$D$21,$B$9:$C$21,G11,$H$3,,$H$5,$B$6:$C$6)</f>
        <v>0.53108500454379437</v>
      </c>
      <c r="J11" s="110">
        <v>3</v>
      </c>
      <c r="K11" s="52">
        <v>11.9</v>
      </c>
      <c r="L11" s="43">
        <v>3.4</v>
      </c>
      <c r="M11" s="26">
        <v>3</v>
      </c>
      <c r="N11" s="233"/>
      <c r="P11" s="6">
        <v>2</v>
      </c>
      <c r="Q11" s="113">
        <v>4.781736086402093</v>
      </c>
      <c r="R11" s="36"/>
      <c r="S11" s="78">
        <v>12</v>
      </c>
      <c r="T11" s="118">
        <f t="shared" si="0"/>
        <v>1.4560219778561034</v>
      </c>
      <c r="U11" s="8"/>
      <c r="V11" s="122">
        <f>S11</f>
        <v>12</v>
      </c>
      <c r="W11" s="130">
        <f>INDEX(B$9:B$21,$V11)</f>
        <v>7.3</v>
      </c>
      <c r="X11" s="131">
        <f>INDEX(C$9:C$21,$V11)</f>
        <v>5</v>
      </c>
      <c r="Y11" s="119"/>
      <c r="AB11" s="8"/>
      <c r="AC11" s="8"/>
    </row>
    <row r="12" spans="1:29" x14ac:dyDescent="0.2">
      <c r="A12" s="110">
        <v>4</v>
      </c>
      <c r="B12" s="96">
        <v>11</v>
      </c>
      <c r="C12" s="97">
        <v>4</v>
      </c>
      <c r="D12" s="98">
        <v>3</v>
      </c>
      <c r="E12" s="26">
        <v>2.75</v>
      </c>
      <c r="F12" s="7"/>
      <c r="G12" s="30">
        <v>4</v>
      </c>
      <c r="H12" s="18">
        <f>[1]!knn_in_rmse($D$9:$D$21,$B$9:$C$21,G12,$H$3,,$H$5,$B$6:$C$6)</f>
        <v>0.67581859195406069</v>
      </c>
      <c r="J12" s="110">
        <v>4</v>
      </c>
      <c r="K12" s="52">
        <v>4.0999999999999996</v>
      </c>
      <c r="L12" s="43">
        <v>2.2000000000000002</v>
      </c>
      <c r="M12" s="26">
        <v>1.75</v>
      </c>
      <c r="N12" s="233"/>
      <c r="P12" s="6">
        <v>3</v>
      </c>
      <c r="Q12" s="113">
        <v>2.860069929215018</v>
      </c>
      <c r="R12" s="36"/>
      <c r="S12" s="78">
        <v>11</v>
      </c>
      <c r="T12" s="118">
        <f t="shared" si="0"/>
        <v>2.0880613017821097</v>
      </c>
      <c r="U12" s="8"/>
      <c r="V12" s="38" t="s">
        <v>62</v>
      </c>
      <c r="W12" s="128">
        <f>W10-W11</f>
        <v>4.1000000000000005</v>
      </c>
      <c r="X12" s="129">
        <f>X10-X11</f>
        <v>-2.1</v>
      </c>
      <c r="Y12" s="119"/>
      <c r="AB12" s="8"/>
      <c r="AC12" s="8"/>
    </row>
    <row r="13" spans="1:29" x14ac:dyDescent="0.2">
      <c r="A13" s="110">
        <v>5</v>
      </c>
      <c r="B13" s="96">
        <v>3.7</v>
      </c>
      <c r="C13" s="97">
        <v>11.8</v>
      </c>
      <c r="D13" s="98">
        <v>3</v>
      </c>
      <c r="E13" s="26">
        <v>3.5</v>
      </c>
      <c r="F13" s="7"/>
      <c r="G13" s="29">
        <v>5</v>
      </c>
      <c r="H13" s="18">
        <f>[1]!knn_in_rmse($D$9:$D$21,$B$9:$C$21,G13,$H$3,,$H$5,$B$6:$C$6)</f>
        <v>0.7785588263926152</v>
      </c>
      <c r="J13" s="110">
        <v>5</v>
      </c>
      <c r="K13" s="52">
        <v>6.6</v>
      </c>
      <c r="L13" s="43">
        <v>4.3</v>
      </c>
      <c r="M13" s="26">
        <v>1.75</v>
      </c>
      <c r="N13" s="233"/>
      <c r="P13" s="6">
        <v>4</v>
      </c>
      <c r="Q13" s="113">
        <v>4.1382363393117121</v>
      </c>
      <c r="R13" s="36"/>
      <c r="S13" s="78">
        <v>13</v>
      </c>
      <c r="T13" s="118">
        <f>INDEX($Q$10:$Q$22,S13)</f>
        <v>2.6925824035672519</v>
      </c>
      <c r="U13" s="8"/>
      <c r="V13" s="16" t="s">
        <v>65</v>
      </c>
      <c r="W13" s="130">
        <f>B6*W12^2</f>
        <v>16.810000000000006</v>
      </c>
      <c r="X13" s="131">
        <f>X12^2</f>
        <v>4.41</v>
      </c>
      <c r="Y13" s="119"/>
      <c r="AB13" s="8"/>
      <c r="AC13" s="8"/>
    </row>
    <row r="14" spans="1:29" x14ac:dyDescent="0.2">
      <c r="A14" s="110">
        <v>6</v>
      </c>
      <c r="B14" s="96">
        <v>11.4</v>
      </c>
      <c r="C14" s="97">
        <v>2.9</v>
      </c>
      <c r="D14" s="98">
        <v>3</v>
      </c>
      <c r="E14" s="26">
        <v>2.5</v>
      </c>
      <c r="F14" s="7"/>
      <c r="G14" s="6">
        <v>6</v>
      </c>
      <c r="H14" s="18">
        <f>[1]!knn_in_rmse($D$9:$D$21,$B$9:$C$21,G14,$H$3,,$H$5,$B$6:$C$6)</f>
        <v>0.85859157180785739</v>
      </c>
      <c r="J14" s="111">
        <v>6</v>
      </c>
      <c r="K14" s="53">
        <v>8.3000000000000007</v>
      </c>
      <c r="L14" s="46">
        <v>5.4</v>
      </c>
      <c r="M14" s="27">
        <v>2.75</v>
      </c>
      <c r="N14" s="233"/>
      <c r="P14" s="6">
        <v>5</v>
      </c>
      <c r="Q14" s="113">
        <v>4.2941821107167781</v>
      </c>
      <c r="R14" s="36"/>
      <c r="S14" s="78">
        <v>8</v>
      </c>
      <c r="T14" s="118">
        <f t="shared" si="0"/>
        <v>2.8425340807103785</v>
      </c>
      <c r="U14" s="49"/>
      <c r="V14" s="16" t="s">
        <v>66</v>
      </c>
      <c r="W14" s="124">
        <f>COUNT(W10:X10)</f>
        <v>2</v>
      </c>
      <c r="X14" s="125"/>
      <c r="Y14" s="119"/>
      <c r="AB14" s="8"/>
      <c r="AC14" s="8"/>
    </row>
    <row r="15" spans="1:29" x14ac:dyDescent="0.2">
      <c r="A15" s="110">
        <v>7</v>
      </c>
      <c r="B15" s="96">
        <v>5.5</v>
      </c>
      <c r="C15" s="97">
        <v>6</v>
      </c>
      <c r="D15" s="98">
        <v>2</v>
      </c>
      <c r="E15" s="26">
        <v>2</v>
      </c>
      <c r="F15" s="7"/>
      <c r="G15" s="6">
        <v>7</v>
      </c>
      <c r="H15" s="18">
        <f>[1]!knn_in_rmse($D$9:$D$21,$B$9:$C$21,G15,$H$3,,$H$5,$B$6:$C$6)</f>
        <v>0.92412290292873134</v>
      </c>
      <c r="P15" s="6">
        <v>6</v>
      </c>
      <c r="Q15" s="113">
        <v>4.7127486671792713</v>
      </c>
      <c r="R15" s="36"/>
      <c r="S15" s="78">
        <v>3</v>
      </c>
      <c r="T15" s="118">
        <f t="shared" si="0"/>
        <v>2.860069929215018</v>
      </c>
      <c r="U15" s="49"/>
      <c r="V15" s="16" t="s">
        <v>63</v>
      </c>
      <c r="W15" s="132">
        <f>SQRT(SUM(W13:X13)/W14)</f>
        <v>3.2572994949804666</v>
      </c>
      <c r="X15" s="123"/>
      <c r="Y15" s="119"/>
      <c r="AB15" s="8"/>
      <c r="AC15" s="8"/>
    </row>
    <row r="16" spans="1:29" x14ac:dyDescent="0.2">
      <c r="A16" s="110">
        <v>8</v>
      </c>
      <c r="B16" s="99">
        <v>5.0999999999999996</v>
      </c>
      <c r="C16" s="100">
        <v>2</v>
      </c>
      <c r="D16" s="98">
        <v>1</v>
      </c>
      <c r="E16" s="26">
        <v>2.25</v>
      </c>
      <c r="F16" s="7"/>
      <c r="G16" s="6">
        <v>8</v>
      </c>
      <c r="H16" s="18">
        <f>[1]!knn_in_rmse($D$9:$D$21,$B$9:$C$21,G16,$H$3,,$H$5,$B$6:$C$6)</f>
        <v>0.95638039583549683</v>
      </c>
      <c r="P16" s="6">
        <v>7</v>
      </c>
      <c r="Q16" s="113">
        <v>0</v>
      </c>
      <c r="R16" s="36"/>
      <c r="S16" s="78">
        <v>10</v>
      </c>
      <c r="T16" s="118">
        <f t="shared" si="0"/>
        <v>3.765634076752546</v>
      </c>
      <c r="V16" s="49"/>
      <c r="X16" s="8"/>
      <c r="Y16" s="127"/>
      <c r="Z16" s="119"/>
      <c r="AB16" s="8"/>
      <c r="AC16" s="8"/>
    </row>
    <row r="17" spans="1:29" x14ac:dyDescent="0.2">
      <c r="A17" s="110">
        <v>9</v>
      </c>
      <c r="B17" s="99">
        <v>10.7</v>
      </c>
      <c r="C17" s="100">
        <v>7.7</v>
      </c>
      <c r="D17" s="98">
        <v>4</v>
      </c>
      <c r="E17" s="26">
        <v>3.75</v>
      </c>
      <c r="F17" s="7"/>
      <c r="G17" s="6">
        <v>9</v>
      </c>
      <c r="H17" s="18">
        <f>[1]!knn_in_rmse($D$9:$D$21,$B$9:$C$21,G17,$H$3,,$H$5,$B$6:$C$6)</f>
        <v>1.0075686983334431</v>
      </c>
      <c r="P17" s="6">
        <v>8</v>
      </c>
      <c r="Q17" s="113">
        <v>2.8425340807103785</v>
      </c>
      <c r="R17" s="36"/>
      <c r="S17" s="78">
        <v>9</v>
      </c>
      <c r="T17" s="118">
        <f t="shared" si="0"/>
        <v>3.8684622267769391</v>
      </c>
      <c r="AB17" s="8"/>
      <c r="AC17" s="8"/>
    </row>
    <row r="18" spans="1:29" x14ac:dyDescent="0.2">
      <c r="A18" s="110">
        <v>10</v>
      </c>
      <c r="B18" s="99">
        <v>2.5</v>
      </c>
      <c r="C18" s="100">
        <v>10.4</v>
      </c>
      <c r="D18" s="98">
        <v>3</v>
      </c>
      <c r="E18" s="26">
        <v>2.75</v>
      </c>
      <c r="F18" s="7"/>
      <c r="G18" s="6">
        <v>10</v>
      </c>
      <c r="H18" s="18">
        <f>[1]!knn_in_rmse($D$9:$D$21,$B$9:$C$21,G18,$H$3,,$H$5,$B$6:$C$6)</f>
        <v>1.0261953630166738</v>
      </c>
      <c r="P18" s="6">
        <v>9</v>
      </c>
      <c r="Q18" s="113">
        <v>3.8684622267769391</v>
      </c>
      <c r="R18" s="36"/>
      <c r="S18" s="78">
        <v>4</v>
      </c>
      <c r="T18" s="118">
        <f t="shared" si="0"/>
        <v>4.1382363393117121</v>
      </c>
      <c r="W18" s="49"/>
      <c r="Y18" s="8"/>
      <c r="Z18" s="127"/>
      <c r="AA18" s="126"/>
      <c r="AB18" s="8"/>
      <c r="AC18" s="8"/>
    </row>
    <row r="19" spans="1:29" x14ac:dyDescent="0.2">
      <c r="A19" s="110">
        <v>11</v>
      </c>
      <c r="B19" s="99">
        <v>4.0999999999999996</v>
      </c>
      <c r="C19" s="100">
        <v>8.6</v>
      </c>
      <c r="D19" s="98">
        <v>3</v>
      </c>
      <c r="E19" s="26">
        <v>2.75</v>
      </c>
      <c r="F19" s="7"/>
      <c r="G19" s="29">
        <v>11</v>
      </c>
      <c r="H19" s="18">
        <f>[1]!knn_in_rmse($D$9:$D$21,$B$9:$C$21,G19,$H$3,,$H$5,$B$6:$C$6)</f>
        <v>1.1168250339193984</v>
      </c>
      <c r="P19" s="6">
        <v>10</v>
      </c>
      <c r="Q19" s="113">
        <v>3.765634076752546</v>
      </c>
      <c r="R19" s="36"/>
      <c r="S19" s="78">
        <v>5</v>
      </c>
      <c r="T19" s="118">
        <f t="shared" si="0"/>
        <v>4.2941821107167781</v>
      </c>
      <c r="V19" s="36"/>
      <c r="W19" s="8"/>
      <c r="X19" s="119"/>
      <c r="Y19" s="127"/>
      <c r="Z19" s="127"/>
      <c r="AA19" s="119"/>
      <c r="AB19" s="8"/>
      <c r="AC19" s="8"/>
    </row>
    <row r="20" spans="1:29" x14ac:dyDescent="0.2">
      <c r="A20" s="110">
        <v>12</v>
      </c>
      <c r="B20" s="99">
        <v>7.3</v>
      </c>
      <c r="C20" s="100">
        <v>5</v>
      </c>
      <c r="D20" s="98">
        <v>2</v>
      </c>
      <c r="E20" s="26">
        <v>2.5</v>
      </c>
      <c r="F20" s="7"/>
      <c r="G20" s="6">
        <v>12</v>
      </c>
      <c r="H20" s="18">
        <f>[1]!knn_in_rmse($D$9:$D$21,$B$9:$C$21,G20,$H$3,,$H$5,$B$6:$C$6)</f>
        <v>1.2018504251546629</v>
      </c>
      <c r="P20" s="6">
        <v>11</v>
      </c>
      <c r="Q20" s="116">
        <v>2.0880613017821097</v>
      </c>
      <c r="R20" s="36"/>
      <c r="S20" s="78">
        <v>6</v>
      </c>
      <c r="T20" s="118">
        <f t="shared" si="0"/>
        <v>4.7127486671792713</v>
      </c>
      <c r="V20" s="36"/>
      <c r="W20" s="8"/>
      <c r="X20" s="119"/>
      <c r="Y20" s="119"/>
      <c r="Z20" s="119"/>
      <c r="AA20" s="119"/>
      <c r="AB20" s="8"/>
      <c r="AC20" s="8"/>
    </row>
    <row r="21" spans="1:29" x14ac:dyDescent="0.2">
      <c r="A21" s="111">
        <v>13</v>
      </c>
      <c r="B21" s="101">
        <v>2.2000000000000002</v>
      </c>
      <c r="C21" s="102">
        <v>4.0999999999999996</v>
      </c>
      <c r="D21" s="103">
        <v>2</v>
      </c>
      <c r="E21" s="27">
        <v>2</v>
      </c>
      <c r="F21" s="7"/>
      <c r="G21" s="6">
        <v>13</v>
      </c>
      <c r="H21" s="18" t="str">
        <f>[1]!knn_in_rmse($D$9:$D$21,$B$9:$C$21,G21,$H$3,,$H$5,$B$6:$C$6)</f>
        <v>K must be smaller than the number of entries in Known_x</v>
      </c>
      <c r="P21" s="6">
        <v>12</v>
      </c>
      <c r="Q21" s="19">
        <v>1.4560219778561034</v>
      </c>
      <c r="S21" s="78">
        <v>2</v>
      </c>
      <c r="T21" s="18">
        <f t="shared" si="0"/>
        <v>4.781736086402093</v>
      </c>
      <c r="AB21" s="8"/>
      <c r="AC21" s="8"/>
    </row>
    <row r="22" spans="1:29" x14ac:dyDescent="0.2">
      <c r="B22" s="104"/>
      <c r="C22" s="24"/>
      <c r="D22" s="24"/>
      <c r="E22" s="15"/>
      <c r="F22" s="7"/>
      <c r="G22" s="9">
        <v>14</v>
      </c>
      <c r="H22" s="31" t="str">
        <f>[1]!knn_in_rmse($D$9:$D$21,$B$9:$C$21,G22,$H$3,,$H$5,$B$6:$C$6)</f>
        <v>K must be smaller than the number of entries in Known_x</v>
      </c>
      <c r="P22" s="9">
        <v>13</v>
      </c>
      <c r="Q22" s="20">
        <v>2.6925824035672519</v>
      </c>
      <c r="S22" s="79">
        <v>1</v>
      </c>
      <c r="T22" s="31">
        <f t="shared" si="0"/>
        <v>5.0009999000199947</v>
      </c>
      <c r="AB22" s="8"/>
      <c r="AC22" s="8"/>
    </row>
    <row r="24" spans="1:29" x14ac:dyDescent="0.2">
      <c r="A24" s="218" t="str">
        <f>"Example knn_in_predict calculation: observation " &amp; TEXT(Q8,"#") &amp; " prediction"</f>
        <v>Example knn_in_predict calculation: observation 6 prediction</v>
      </c>
      <c r="G24" s="218" t="str">
        <f>"Example knn_in_rmse calculation for k =  " &amp; TEXT(H2,"#")</f>
        <v>Example knn_in_rmse calculation for k =  4</v>
      </c>
      <c r="H24" s="17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9" x14ac:dyDescent="0.2">
      <c r="A25" s="35" t="str">
        <f>"Use cell P8 to choose in-sample observation"</f>
        <v>Use cell P8 to choose in-sample observation</v>
      </c>
      <c r="I25" s="16" t="s">
        <v>9</v>
      </c>
      <c r="J25" s="186">
        <f>SQRT(SUMSQ(J28:J40)/COUNT(J28:J40))</f>
        <v>0.67581859195406069</v>
      </c>
      <c r="K25" s="8"/>
      <c r="L25" s="8"/>
      <c r="M25" s="8"/>
      <c r="N25" s="8"/>
      <c r="O25" s="8"/>
      <c r="P25" s="8"/>
      <c r="Q25" s="61"/>
      <c r="R25" s="24"/>
      <c r="S25" s="24"/>
      <c r="T25" s="15"/>
      <c r="U25" s="7"/>
      <c r="V25" s="8"/>
    </row>
    <row r="26" spans="1:29" x14ac:dyDescent="0.2">
      <c r="A26" s="35" t="s">
        <v>93</v>
      </c>
      <c r="I26" s="187" t="s">
        <v>27</v>
      </c>
      <c r="J26" s="22"/>
      <c r="K26" s="8"/>
      <c r="L26" s="8"/>
      <c r="M26" s="8"/>
      <c r="N26" s="8"/>
      <c r="O26" s="8"/>
      <c r="P26" s="49"/>
      <c r="Q26" s="61"/>
      <c r="R26" s="61"/>
      <c r="S26" s="8"/>
      <c r="T26" s="49"/>
      <c r="U26" s="8"/>
      <c r="V26" s="8"/>
    </row>
    <row r="27" spans="1:29" x14ac:dyDescent="0.2">
      <c r="B27" s="16" t="s">
        <v>90</v>
      </c>
      <c r="C27" s="176">
        <f>AVERAGE(C30:C42)</f>
        <v>2</v>
      </c>
      <c r="G27" s="16" t="s">
        <v>58</v>
      </c>
      <c r="H27" s="10" t="s">
        <v>10</v>
      </c>
      <c r="I27" s="187" t="s">
        <v>92</v>
      </c>
      <c r="J27" s="22" t="s">
        <v>91</v>
      </c>
      <c r="K27" s="8"/>
      <c r="L27" s="8"/>
      <c r="M27" s="8"/>
      <c r="N27" s="8"/>
      <c r="O27" s="8"/>
      <c r="P27" s="62"/>
      <c r="Q27" s="85"/>
      <c r="R27" s="62"/>
      <c r="S27" s="178"/>
      <c r="T27" s="85"/>
      <c r="U27" s="8"/>
      <c r="V27" s="8"/>
    </row>
    <row r="28" spans="1:29" x14ac:dyDescent="0.2">
      <c r="A28" s="35" t="s">
        <v>83</v>
      </c>
      <c r="B28" s="16"/>
      <c r="G28" s="114">
        <v>1</v>
      </c>
      <c r="H28" s="219">
        <f t="shared" ref="H28:H40" si="1">D9</f>
        <v>5</v>
      </c>
      <c r="I28" s="221">
        <f t="shared" ref="I28:I40" si="2">E9</f>
        <v>3.75</v>
      </c>
      <c r="J28" s="222">
        <f>I28-H28</f>
        <v>-1.25</v>
      </c>
      <c r="K28" s="8"/>
      <c r="L28" s="8"/>
      <c r="M28" s="8"/>
      <c r="N28" s="8"/>
      <c r="O28" s="8"/>
      <c r="P28" s="62"/>
      <c r="Q28" s="62"/>
      <c r="R28" s="49"/>
      <c r="S28" s="61"/>
      <c r="T28" s="179"/>
      <c r="U28" s="8"/>
      <c r="V28" s="8"/>
    </row>
    <row r="29" spans="1:29" x14ac:dyDescent="0.2">
      <c r="A29" s="16" t="s">
        <v>85</v>
      </c>
      <c r="B29" s="16" t="s">
        <v>84</v>
      </c>
      <c r="C29" s="16" t="s">
        <v>10</v>
      </c>
      <c r="G29" s="6">
        <v>2</v>
      </c>
      <c r="H29" s="181">
        <f t="shared" si="1"/>
        <v>5</v>
      </c>
      <c r="I29" s="184">
        <f t="shared" si="2"/>
        <v>3.75</v>
      </c>
      <c r="J29" s="223">
        <f t="shared" ref="J29:J40" si="3">I29-H29</f>
        <v>-1.25</v>
      </c>
      <c r="K29" s="8"/>
      <c r="L29" s="8"/>
      <c r="M29" s="8"/>
      <c r="N29" s="8"/>
      <c r="O29" s="8"/>
      <c r="P29" s="8"/>
      <c r="Q29" s="180"/>
      <c r="R29" s="49"/>
      <c r="S29" s="63"/>
      <c r="T29" s="180"/>
      <c r="U29" s="8"/>
      <c r="V29" s="8"/>
    </row>
    <row r="30" spans="1:29" x14ac:dyDescent="0.2">
      <c r="A30" s="8">
        <v>1</v>
      </c>
      <c r="B30" s="181">
        <f t="shared" ref="B30:B41" si="4">IF(A30&lt;&gt;"",S11,"")</f>
        <v>12</v>
      </c>
      <c r="C30" s="8">
        <f t="shared" ref="C30:C47" si="5">IF(A30&lt;&gt;"",INDEX($D$9:$D$21,B30),"")</f>
        <v>2</v>
      </c>
      <c r="G30" s="6">
        <v>3</v>
      </c>
      <c r="H30" s="181">
        <f t="shared" si="1"/>
        <v>3</v>
      </c>
      <c r="I30" s="184">
        <f t="shared" si="2"/>
        <v>3.5</v>
      </c>
      <c r="J30" s="223">
        <f t="shared" si="3"/>
        <v>0.5</v>
      </c>
      <c r="K30" s="8"/>
      <c r="L30" s="8"/>
      <c r="M30" s="8"/>
      <c r="N30" s="8"/>
      <c r="O30" s="8"/>
      <c r="P30" s="8"/>
      <c r="Q30" s="180"/>
      <c r="R30" s="49"/>
      <c r="S30" s="63"/>
      <c r="T30" s="180"/>
      <c r="U30" s="8"/>
      <c r="V30" s="8"/>
    </row>
    <row r="31" spans="1:29" x14ac:dyDescent="0.2">
      <c r="A31" s="8">
        <f>IF(A30="","",IF(A30+1&lt;=$H$2,A30+1,""))</f>
        <v>2</v>
      </c>
      <c r="B31" s="181">
        <f t="shared" si="4"/>
        <v>11</v>
      </c>
      <c r="C31" s="8">
        <f t="shared" si="5"/>
        <v>3</v>
      </c>
      <c r="G31" s="6">
        <v>4</v>
      </c>
      <c r="H31" s="181">
        <f t="shared" si="1"/>
        <v>3</v>
      </c>
      <c r="I31" s="184">
        <f t="shared" si="2"/>
        <v>2.75</v>
      </c>
      <c r="J31" s="223">
        <f t="shared" si="3"/>
        <v>-0.25</v>
      </c>
      <c r="K31" s="8"/>
      <c r="L31" s="8"/>
      <c r="M31" s="8"/>
      <c r="N31" s="8"/>
      <c r="O31" s="8"/>
      <c r="P31" s="8"/>
      <c r="Q31" s="180"/>
      <c r="R31" s="49"/>
      <c r="S31" s="63"/>
      <c r="T31" s="180"/>
      <c r="U31" s="8"/>
      <c r="V31" s="8"/>
    </row>
    <row r="32" spans="1:29" x14ac:dyDescent="0.2">
      <c r="A32" s="8">
        <f>IF(A31="","",IF(A31+1&lt;=$H$2,A31+1,""))</f>
        <v>3</v>
      </c>
      <c r="B32" s="181">
        <f t="shared" si="4"/>
        <v>13</v>
      </c>
      <c r="C32" s="8">
        <f t="shared" si="5"/>
        <v>2</v>
      </c>
      <c r="G32" s="6">
        <v>5</v>
      </c>
      <c r="H32" s="181">
        <f t="shared" si="1"/>
        <v>3</v>
      </c>
      <c r="I32" s="184">
        <f t="shared" si="2"/>
        <v>3.5</v>
      </c>
      <c r="J32" s="223">
        <f t="shared" si="3"/>
        <v>0.5</v>
      </c>
      <c r="K32" s="8"/>
      <c r="L32" s="8"/>
      <c r="M32" s="8"/>
      <c r="N32" s="8"/>
      <c r="O32" s="8"/>
      <c r="P32" s="8"/>
      <c r="Q32" s="180"/>
      <c r="R32" s="49"/>
      <c r="S32" s="63"/>
      <c r="T32" s="180"/>
      <c r="U32" s="8"/>
      <c r="V32" s="8"/>
    </row>
    <row r="33" spans="1:22" x14ac:dyDescent="0.2">
      <c r="A33" s="5">
        <f>IF(A32="","",IF(A32+1&lt;=$H$2,A32+1,""))</f>
        <v>4</v>
      </c>
      <c r="B33" s="175">
        <f t="shared" si="4"/>
        <v>8</v>
      </c>
      <c r="C33" s="5">
        <f t="shared" si="5"/>
        <v>1</v>
      </c>
      <c r="G33" s="6">
        <v>6</v>
      </c>
      <c r="H33" s="181">
        <f t="shared" si="1"/>
        <v>3</v>
      </c>
      <c r="I33" s="184">
        <f t="shared" si="2"/>
        <v>2.5</v>
      </c>
      <c r="J33" s="223">
        <f t="shared" si="3"/>
        <v>-0.5</v>
      </c>
      <c r="K33" s="8"/>
      <c r="L33" s="8"/>
      <c r="M33" s="8"/>
      <c r="N33" s="8"/>
      <c r="O33" s="8"/>
      <c r="P33" s="8"/>
      <c r="Q33" s="180"/>
      <c r="R33" s="49"/>
      <c r="S33" s="63"/>
      <c r="T33" s="180"/>
      <c r="U33" s="49"/>
      <c r="V33" s="8"/>
    </row>
    <row r="34" spans="1:22" x14ac:dyDescent="0.2">
      <c r="A34" s="5" t="str">
        <f>IF(A33="","",IF(A33+1&lt;=$H$2,A33+1,""))</f>
        <v/>
      </c>
      <c r="B34" s="175" t="str">
        <f t="shared" si="4"/>
        <v/>
      </c>
      <c r="C34" s="5" t="str">
        <f t="shared" si="5"/>
        <v/>
      </c>
      <c r="G34" s="6">
        <v>7</v>
      </c>
      <c r="H34" s="181">
        <f t="shared" si="1"/>
        <v>2</v>
      </c>
      <c r="I34" s="184">
        <f t="shared" si="2"/>
        <v>2</v>
      </c>
      <c r="J34" s="223">
        <f t="shared" si="3"/>
        <v>0</v>
      </c>
      <c r="K34" s="8"/>
      <c r="L34" s="8"/>
      <c r="M34" s="8"/>
      <c r="N34" s="8"/>
      <c r="O34" s="8"/>
      <c r="P34" s="8"/>
      <c r="Q34" s="180"/>
      <c r="R34" s="49"/>
      <c r="S34" s="63"/>
      <c r="T34" s="180"/>
      <c r="U34" s="49"/>
      <c r="V34" s="8"/>
    </row>
    <row r="35" spans="1:22" x14ac:dyDescent="0.2">
      <c r="A35" s="5" t="str">
        <f t="shared" ref="A35:A41" si="6">IF(A34="","",IF(A34+1&lt;=$H$2,A34+1,""))</f>
        <v/>
      </c>
      <c r="B35" s="175" t="str">
        <f t="shared" si="4"/>
        <v/>
      </c>
      <c r="C35" s="5" t="str">
        <f t="shared" si="5"/>
        <v/>
      </c>
      <c r="G35" s="6">
        <v>8</v>
      </c>
      <c r="H35" s="181">
        <f t="shared" si="1"/>
        <v>1</v>
      </c>
      <c r="I35" s="184">
        <f t="shared" si="2"/>
        <v>2.25</v>
      </c>
      <c r="J35" s="223">
        <f t="shared" si="3"/>
        <v>1.25</v>
      </c>
      <c r="K35" s="8"/>
      <c r="L35" s="8"/>
      <c r="M35" s="8"/>
      <c r="N35" s="8"/>
      <c r="O35" s="8"/>
      <c r="P35" s="8"/>
      <c r="Q35" s="180"/>
      <c r="R35" s="49"/>
      <c r="S35" s="63"/>
      <c r="T35" s="180"/>
      <c r="U35" s="8"/>
      <c r="V35" s="8"/>
    </row>
    <row r="36" spans="1:22" x14ac:dyDescent="0.2">
      <c r="A36" s="5" t="str">
        <f t="shared" si="6"/>
        <v/>
      </c>
      <c r="B36" s="175" t="str">
        <f t="shared" si="4"/>
        <v/>
      </c>
      <c r="C36" s="5" t="str">
        <f t="shared" si="5"/>
        <v/>
      </c>
      <c r="G36" s="6">
        <v>9</v>
      </c>
      <c r="H36" s="181">
        <f t="shared" si="1"/>
        <v>4</v>
      </c>
      <c r="I36" s="184">
        <f t="shared" si="2"/>
        <v>3.75</v>
      </c>
      <c r="J36" s="223">
        <f t="shared" si="3"/>
        <v>-0.25</v>
      </c>
      <c r="K36" s="8"/>
      <c r="L36" s="8"/>
      <c r="M36" s="8"/>
      <c r="N36" s="8"/>
      <c r="O36" s="8"/>
      <c r="P36" s="8"/>
      <c r="Q36" s="180"/>
      <c r="R36" s="49"/>
      <c r="S36" s="63"/>
      <c r="T36" s="180"/>
      <c r="U36" s="8"/>
      <c r="V36" s="8"/>
    </row>
    <row r="37" spans="1:22" x14ac:dyDescent="0.2">
      <c r="A37" s="5" t="str">
        <f t="shared" si="6"/>
        <v/>
      </c>
      <c r="B37" s="175" t="str">
        <f t="shared" si="4"/>
        <v/>
      </c>
      <c r="C37" s="5" t="str">
        <f t="shared" si="5"/>
        <v/>
      </c>
      <c r="G37" s="6">
        <v>10</v>
      </c>
      <c r="H37" s="181">
        <f t="shared" si="1"/>
        <v>3</v>
      </c>
      <c r="I37" s="184">
        <f t="shared" si="2"/>
        <v>2.75</v>
      </c>
      <c r="J37" s="223">
        <f t="shared" si="3"/>
        <v>-0.25</v>
      </c>
      <c r="K37" s="8"/>
      <c r="L37" s="8"/>
      <c r="M37" s="8"/>
      <c r="N37" s="8"/>
      <c r="O37" s="8"/>
      <c r="P37" s="8"/>
      <c r="Q37" s="180"/>
      <c r="R37" s="49"/>
      <c r="S37" s="63"/>
      <c r="T37" s="180"/>
      <c r="U37" s="8"/>
      <c r="V37" s="8"/>
    </row>
    <row r="38" spans="1:22" x14ac:dyDescent="0.2">
      <c r="A38" s="5" t="str">
        <f t="shared" si="6"/>
        <v/>
      </c>
      <c r="B38" s="175" t="str">
        <f t="shared" si="4"/>
        <v/>
      </c>
      <c r="C38" s="5" t="str">
        <f t="shared" si="5"/>
        <v/>
      </c>
      <c r="G38" s="6">
        <v>11</v>
      </c>
      <c r="H38" s="181">
        <f t="shared" si="1"/>
        <v>3</v>
      </c>
      <c r="I38" s="184">
        <f t="shared" si="2"/>
        <v>2.75</v>
      </c>
      <c r="J38" s="223">
        <f t="shared" si="3"/>
        <v>-0.25</v>
      </c>
      <c r="K38" s="8"/>
      <c r="L38" s="8"/>
      <c r="M38" s="8"/>
      <c r="N38" s="8"/>
      <c r="O38" s="8"/>
      <c r="P38" s="8"/>
      <c r="Q38" s="180"/>
      <c r="R38" s="49"/>
      <c r="S38" s="63"/>
      <c r="T38" s="180"/>
      <c r="U38" s="8"/>
      <c r="V38" s="8"/>
    </row>
    <row r="39" spans="1:22" x14ac:dyDescent="0.2">
      <c r="A39" s="5" t="str">
        <f t="shared" si="6"/>
        <v/>
      </c>
      <c r="B39" s="175" t="str">
        <f t="shared" si="4"/>
        <v/>
      </c>
      <c r="C39" s="5" t="str">
        <f t="shared" si="5"/>
        <v/>
      </c>
      <c r="G39" s="6">
        <v>12</v>
      </c>
      <c r="H39" s="181">
        <f t="shared" si="1"/>
        <v>2</v>
      </c>
      <c r="I39" s="184">
        <f t="shared" si="2"/>
        <v>2.5</v>
      </c>
      <c r="J39" s="223">
        <f t="shared" si="3"/>
        <v>0.5</v>
      </c>
      <c r="K39" s="8"/>
      <c r="L39" s="8"/>
      <c r="M39" s="8"/>
      <c r="N39" s="8"/>
      <c r="O39" s="8"/>
      <c r="P39" s="8"/>
      <c r="Q39" s="182"/>
      <c r="R39" s="49"/>
      <c r="S39" s="63"/>
      <c r="T39" s="180"/>
      <c r="U39" s="8"/>
      <c r="V39" s="8"/>
    </row>
    <row r="40" spans="1:22" x14ac:dyDescent="0.2">
      <c r="A40" s="5" t="str">
        <f t="shared" si="6"/>
        <v/>
      </c>
      <c r="B40" s="175" t="str">
        <f t="shared" si="4"/>
        <v/>
      </c>
      <c r="C40" s="5" t="str">
        <f t="shared" si="5"/>
        <v/>
      </c>
      <c r="G40" s="9">
        <v>13</v>
      </c>
      <c r="H40" s="220">
        <f t="shared" si="1"/>
        <v>2</v>
      </c>
      <c r="I40" s="224">
        <f t="shared" si="2"/>
        <v>2</v>
      </c>
      <c r="J40" s="225">
        <f t="shared" si="3"/>
        <v>0</v>
      </c>
      <c r="K40" s="8"/>
      <c r="L40" s="8"/>
      <c r="M40" s="8"/>
      <c r="N40" s="8"/>
      <c r="O40" s="8"/>
      <c r="P40" s="8"/>
      <c r="Q40" s="7"/>
      <c r="R40" s="8"/>
      <c r="S40" s="63"/>
      <c r="T40" s="7"/>
      <c r="U40" s="8"/>
      <c r="V40" s="8"/>
    </row>
    <row r="41" spans="1:22" x14ac:dyDescent="0.2">
      <c r="A41" s="5" t="str">
        <f t="shared" si="6"/>
        <v/>
      </c>
      <c r="B41" s="175" t="str">
        <f t="shared" si="4"/>
        <v/>
      </c>
      <c r="C41" s="5" t="str">
        <f t="shared" si="5"/>
        <v/>
      </c>
      <c r="G41" s="175"/>
      <c r="H41" s="183"/>
      <c r="I41" s="181"/>
      <c r="J41" s="8"/>
      <c r="K41" s="8"/>
      <c r="L41" s="8"/>
      <c r="M41" s="8"/>
      <c r="N41" s="8"/>
      <c r="O41" s="8"/>
      <c r="P41" s="8"/>
      <c r="Q41" s="7"/>
      <c r="R41" s="8"/>
      <c r="S41" s="63"/>
      <c r="T41" s="7"/>
      <c r="U41" s="8"/>
      <c r="V41" s="8"/>
    </row>
    <row r="42" spans="1:22" x14ac:dyDescent="0.2">
      <c r="B42" s="175" t="str">
        <f t="shared" ref="B42:B47" si="7">IF(A42&lt;&gt;"",R23,"")</f>
        <v/>
      </c>
      <c r="C42" s="5" t="str">
        <f t="shared" si="5"/>
        <v/>
      </c>
      <c r="G42" s="175"/>
      <c r="H42" s="183"/>
      <c r="I42" s="181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">
      <c r="B43" s="175" t="str">
        <f t="shared" si="7"/>
        <v/>
      </c>
      <c r="C43" s="5" t="str">
        <f t="shared" si="5"/>
        <v/>
      </c>
      <c r="G43" s="175"/>
      <c r="H43" s="183"/>
      <c r="I43" s="181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">
      <c r="B44" s="175" t="str">
        <f t="shared" si="7"/>
        <v/>
      </c>
      <c r="C44" s="5" t="str">
        <f t="shared" si="5"/>
        <v/>
      </c>
      <c r="G44" s="175"/>
      <c r="H44" s="183"/>
      <c r="I44" s="181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">
      <c r="B45" s="175" t="str">
        <f t="shared" si="7"/>
        <v/>
      </c>
      <c r="C45" s="5" t="str">
        <f t="shared" si="5"/>
        <v/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">
      <c r="B46" s="175" t="str">
        <f t="shared" si="7"/>
        <v/>
      </c>
      <c r="C46" s="5" t="str">
        <f t="shared" si="5"/>
        <v/>
      </c>
      <c r="G46" s="175"/>
      <c r="H46" s="183"/>
      <c r="I46" s="181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">
      <c r="B47" s="175" t="str">
        <f t="shared" si="7"/>
        <v/>
      </c>
      <c r="C47" s="5" t="str">
        <f t="shared" si="5"/>
        <v/>
      </c>
      <c r="G47" s="175"/>
      <c r="H47" s="183"/>
      <c r="I47" s="181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">
      <c r="G48" s="175"/>
      <c r="H48" s="183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8:22" x14ac:dyDescent="0.2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45"/>
  <sheetViews>
    <sheetView topLeftCell="O18" workbookViewId="0">
      <selection activeCell="X31" sqref="X31"/>
    </sheetView>
  </sheetViews>
  <sheetFormatPr baseColWidth="10" defaultColWidth="9.1640625" defaultRowHeight="15" x14ac:dyDescent="0.2"/>
  <cols>
    <col min="1" max="1" width="12.83203125" style="36" customWidth="1"/>
    <col min="2" max="2" width="9.83203125" style="36" customWidth="1"/>
    <col min="3" max="3" width="9.1640625" style="36" customWidth="1"/>
    <col min="4" max="7" width="9.1640625" style="36"/>
    <col min="8" max="8" width="9.1640625" style="36" customWidth="1"/>
    <col min="9" max="9" width="9.1640625" style="36"/>
    <col min="10" max="10" width="13.1640625" style="36" customWidth="1"/>
    <col min="11" max="11" width="10.83203125" style="36" customWidth="1"/>
    <col min="12" max="12" width="9.1640625" style="36"/>
    <col min="13" max="13" width="9.1640625" style="36" customWidth="1"/>
    <col min="14" max="15" width="9.1640625" style="36"/>
    <col min="16" max="17" width="9.1640625" style="36" customWidth="1"/>
    <col min="18" max="18" width="9.1640625" style="36"/>
    <col min="19" max="19" width="10.5" style="36" customWidth="1"/>
    <col min="20" max="21" width="9.1640625" style="36"/>
    <col min="22" max="22" width="11" style="36" customWidth="1"/>
    <col min="23" max="16384" width="9.1640625" style="36"/>
  </cols>
  <sheetData>
    <row r="1" spans="1:20" x14ac:dyDescent="0.2">
      <c r="A1" s="21" t="s">
        <v>23</v>
      </c>
      <c r="B1" s="21"/>
      <c r="T1" s="12"/>
    </row>
    <row r="2" spans="1:20" x14ac:dyDescent="0.2">
      <c r="C2" s="1"/>
      <c r="J2" s="22" t="s">
        <v>0</v>
      </c>
      <c r="K2" s="84">
        <v>3</v>
      </c>
      <c r="L2" s="32" t="s">
        <v>15</v>
      </c>
      <c r="T2" s="5"/>
    </row>
    <row r="3" spans="1:20" x14ac:dyDescent="0.2">
      <c r="A3" s="21"/>
      <c r="B3" s="21"/>
      <c r="C3" s="1"/>
      <c r="J3" s="10" t="s">
        <v>13</v>
      </c>
      <c r="K3" s="69" t="b">
        <v>0</v>
      </c>
      <c r="L3" s="107" t="s">
        <v>57</v>
      </c>
      <c r="T3" s="5"/>
    </row>
    <row r="4" spans="1:20" x14ac:dyDescent="0.2">
      <c r="A4" s="21"/>
      <c r="B4" s="21"/>
      <c r="C4" s="1"/>
      <c r="J4" s="16"/>
      <c r="K4" s="69"/>
      <c r="L4" s="32"/>
      <c r="T4" s="5"/>
    </row>
    <row r="5" spans="1:20" x14ac:dyDescent="0.2">
      <c r="A5" s="21"/>
      <c r="B5" s="21"/>
      <c r="C5" s="1"/>
      <c r="J5" s="16" t="s">
        <v>60</v>
      </c>
      <c r="K5" s="70" t="b">
        <v>0</v>
      </c>
      <c r="L5" s="108" t="s">
        <v>61</v>
      </c>
    </row>
    <row r="6" spans="1:20" x14ac:dyDescent="0.2">
      <c r="A6" s="21"/>
      <c r="B6" s="21"/>
      <c r="C6" s="1"/>
      <c r="J6" s="16"/>
      <c r="K6" s="258"/>
      <c r="L6" s="241"/>
    </row>
    <row r="7" spans="1:20" x14ac:dyDescent="0.2">
      <c r="A7" s="21"/>
      <c r="B7" s="21"/>
      <c r="C7" s="1"/>
      <c r="M7" s="49"/>
      <c r="N7" s="49"/>
      <c r="O7" s="49"/>
      <c r="P7" s="38"/>
      <c r="Q7" s="57"/>
    </row>
    <row r="8" spans="1:20" x14ac:dyDescent="0.2">
      <c r="B8" s="1" t="s">
        <v>52</v>
      </c>
      <c r="C8" s="38" t="s">
        <v>17</v>
      </c>
      <c r="D8" s="38" t="s">
        <v>18</v>
      </c>
      <c r="E8" s="38" t="s">
        <v>19</v>
      </c>
      <c r="F8" s="38" t="s">
        <v>20</v>
      </c>
      <c r="G8" s="38" t="s">
        <v>21</v>
      </c>
      <c r="H8" s="38" t="s">
        <v>22</v>
      </c>
      <c r="K8" s="38" t="s">
        <v>17</v>
      </c>
      <c r="L8" s="38" t="s">
        <v>18</v>
      </c>
      <c r="M8" s="38" t="s">
        <v>19</v>
      </c>
      <c r="N8" s="38" t="s">
        <v>20</v>
      </c>
      <c r="O8" s="38" t="s">
        <v>21</v>
      </c>
      <c r="P8" s="38" t="s">
        <v>22</v>
      </c>
    </row>
    <row r="9" spans="1:20" ht="45.75" customHeight="1" x14ac:dyDescent="0.2">
      <c r="A9" s="72" t="s">
        <v>51</v>
      </c>
      <c r="B9" s="72" t="s">
        <v>50</v>
      </c>
      <c r="C9" s="2" t="s">
        <v>49</v>
      </c>
      <c r="D9" s="2" t="s">
        <v>1</v>
      </c>
      <c r="E9" s="2" t="s">
        <v>46</v>
      </c>
      <c r="F9" s="2" t="s">
        <v>2</v>
      </c>
      <c r="G9" s="2" t="s">
        <v>47</v>
      </c>
      <c r="H9" s="2" t="s">
        <v>48</v>
      </c>
      <c r="J9" s="56" t="s">
        <v>56</v>
      </c>
      <c r="K9" s="2" t="s">
        <v>49</v>
      </c>
      <c r="L9" s="2" t="s">
        <v>1</v>
      </c>
      <c r="M9" s="2" t="s">
        <v>46</v>
      </c>
      <c r="N9" s="2" t="s">
        <v>2</v>
      </c>
      <c r="O9" s="2" t="s">
        <v>47</v>
      </c>
      <c r="P9" s="2" t="s">
        <v>48</v>
      </c>
      <c r="R9" s="55" t="s">
        <v>0</v>
      </c>
      <c r="S9" s="106" t="s">
        <v>36</v>
      </c>
    </row>
    <row r="10" spans="1:20" x14ac:dyDescent="0.2">
      <c r="A10" s="3">
        <v>1</v>
      </c>
      <c r="B10" s="3" t="s">
        <v>3</v>
      </c>
      <c r="C10" s="39">
        <v>5</v>
      </c>
      <c r="D10" s="48">
        <v>2</v>
      </c>
      <c r="E10" s="48"/>
      <c r="F10" s="48">
        <v>1</v>
      </c>
      <c r="G10" s="48">
        <v>0</v>
      </c>
      <c r="H10" s="41"/>
      <c r="J10" s="3" t="s">
        <v>3</v>
      </c>
      <c r="K10" s="189">
        <f t="array" ref="K10:P19">[1]!knn_in_movie($C$10:$H$19,$K$2,K3,,K5,,)</f>
        <v>4.666666666666667</v>
      </c>
      <c r="L10" s="90">
        <v>2.6666666666666665</v>
      </c>
      <c r="M10" s="90">
        <v>3</v>
      </c>
      <c r="N10" s="90">
        <v>2.6666666666666665</v>
      </c>
      <c r="O10" s="90">
        <v>3.6666666666666665</v>
      </c>
      <c r="P10" s="58">
        <v>2</v>
      </c>
      <c r="R10" s="39">
        <v>1</v>
      </c>
      <c r="S10" s="86">
        <f t="array" ref="S10">_xlfn.SINGLE([1]!knn_in_movie_rmse($C$10:$H$19,R10,$K$3,,$K$5,,))</f>
        <v>1.1126972805283737</v>
      </c>
    </row>
    <row r="11" spans="1:20" x14ac:dyDescent="0.2">
      <c r="A11" s="3">
        <v>2</v>
      </c>
      <c r="B11" s="3" t="s">
        <v>5</v>
      </c>
      <c r="C11" s="42">
        <v>5</v>
      </c>
      <c r="D11" s="54"/>
      <c r="E11" s="49">
        <v>5</v>
      </c>
      <c r="F11" s="49"/>
      <c r="G11" s="49"/>
      <c r="H11" s="44">
        <v>2</v>
      </c>
      <c r="J11" s="3" t="s">
        <v>5</v>
      </c>
      <c r="K11" s="190">
        <v>4.333333333333333</v>
      </c>
      <c r="L11" s="191">
        <v>2.6666666666666665</v>
      </c>
      <c r="M11" s="91">
        <v>3</v>
      </c>
      <c r="N11" s="91">
        <v>2.3333333333333335</v>
      </c>
      <c r="O11" s="91">
        <v>2.6666666666666665</v>
      </c>
      <c r="P11" s="59">
        <v>2.3333333333333335</v>
      </c>
      <c r="R11" s="42">
        <v>2</v>
      </c>
      <c r="S11" s="87">
        <f t="array" ref="S11">_xlfn.SINGLE([1]!knn_in_movie_rmse($C$10:$H$19,R11,$K$3,,$K$5,,))</f>
        <v>1.0322190612831128</v>
      </c>
    </row>
    <row r="12" spans="1:20" x14ac:dyDescent="0.2">
      <c r="A12" s="3">
        <v>3</v>
      </c>
      <c r="B12" s="3" t="s">
        <v>6</v>
      </c>
      <c r="C12" s="42">
        <v>4</v>
      </c>
      <c r="D12" s="54">
        <v>2</v>
      </c>
      <c r="E12" s="49"/>
      <c r="F12" s="49">
        <v>2</v>
      </c>
      <c r="G12" s="49">
        <v>5</v>
      </c>
      <c r="H12" s="44">
        <v>3</v>
      </c>
      <c r="J12" s="3" t="s">
        <v>6</v>
      </c>
      <c r="K12" s="190">
        <v>4.666666666666667</v>
      </c>
      <c r="L12" s="191">
        <v>2.6666666666666665</v>
      </c>
      <c r="M12" s="91">
        <v>3</v>
      </c>
      <c r="N12" s="91">
        <v>2.6666666666666665</v>
      </c>
      <c r="O12" s="91">
        <v>2</v>
      </c>
      <c r="P12" s="59">
        <v>3.3333333333333335</v>
      </c>
      <c r="R12" s="42">
        <v>3</v>
      </c>
      <c r="S12" s="87">
        <f t="array" ref="S12">_xlfn.SINGLE([1]!knn_in_movie_rmse($C$10:$H$19,R12,$K$3,,$K$5,,))</f>
        <v>1.1592736277149343</v>
      </c>
    </row>
    <row r="13" spans="1:20" x14ac:dyDescent="0.2">
      <c r="A13" s="3">
        <v>4</v>
      </c>
      <c r="B13" s="3" t="s">
        <v>7</v>
      </c>
      <c r="C13" s="42"/>
      <c r="D13" s="49">
        <v>3</v>
      </c>
      <c r="E13" s="49">
        <v>3</v>
      </c>
      <c r="F13" s="49">
        <v>3</v>
      </c>
      <c r="G13" s="49">
        <v>3</v>
      </c>
      <c r="H13" s="44">
        <v>4</v>
      </c>
      <c r="J13" s="3" t="s">
        <v>7</v>
      </c>
      <c r="K13" s="190">
        <v>4.333333333333333</v>
      </c>
      <c r="L13" s="91">
        <v>3</v>
      </c>
      <c r="M13" s="91">
        <v>2.6666666666666665</v>
      </c>
      <c r="N13" s="91">
        <v>2.6666666666666665</v>
      </c>
      <c r="O13" s="91">
        <v>2.6666666666666665</v>
      </c>
      <c r="P13" s="59">
        <v>3.6666666666666665</v>
      </c>
      <c r="R13" s="42">
        <v>4</v>
      </c>
      <c r="S13" s="87">
        <f t="array" ref="S13">_xlfn.SINGLE([1]!knn_in_movie_rmse($C$10:$H$19,R13,$K$3,,$K$5,,))</f>
        <v>1.289648961711847</v>
      </c>
    </row>
    <row r="14" spans="1:20" x14ac:dyDescent="0.2">
      <c r="A14" s="3">
        <v>5</v>
      </c>
      <c r="B14" s="3" t="s">
        <v>8</v>
      </c>
      <c r="C14" s="42">
        <v>4</v>
      </c>
      <c r="D14" s="54">
        <v>4</v>
      </c>
      <c r="E14" s="49"/>
      <c r="F14" s="49">
        <v>4</v>
      </c>
      <c r="G14" s="49"/>
      <c r="H14" s="44"/>
      <c r="J14" s="3" t="s">
        <v>8</v>
      </c>
      <c r="K14" s="190">
        <v>4</v>
      </c>
      <c r="L14" s="191">
        <v>3.6666666666666665</v>
      </c>
      <c r="M14" s="91">
        <v>3.6666666666666665</v>
      </c>
      <c r="N14" s="91">
        <v>3.6666666666666665</v>
      </c>
      <c r="O14" s="91">
        <v>2.6666666666666665</v>
      </c>
      <c r="P14" s="59">
        <v>2.6666666666666665</v>
      </c>
      <c r="R14" s="42">
        <v>5</v>
      </c>
      <c r="S14" s="87">
        <f t="array" ref="S14">_xlfn.SINGLE([1]!knn_in_movie_rmse($C$10:$H$19,R14,$K$3,,$K$5,,))</f>
        <v>1.4245021408219607</v>
      </c>
    </row>
    <row r="15" spans="1:20" x14ac:dyDescent="0.2">
      <c r="A15" s="3">
        <v>6</v>
      </c>
      <c r="B15" s="3" t="s">
        <v>4</v>
      </c>
      <c r="C15" s="42">
        <v>4</v>
      </c>
      <c r="D15" s="54">
        <v>3</v>
      </c>
      <c r="E15" s="49">
        <v>2</v>
      </c>
      <c r="F15" s="49"/>
      <c r="G15" s="49"/>
      <c r="H15" s="44">
        <v>4</v>
      </c>
      <c r="J15" s="3" t="s">
        <v>4</v>
      </c>
      <c r="K15" s="190">
        <v>4.333333333333333</v>
      </c>
      <c r="L15" s="191">
        <v>3</v>
      </c>
      <c r="M15" s="91">
        <v>3</v>
      </c>
      <c r="N15" s="91">
        <v>3</v>
      </c>
      <c r="O15" s="91">
        <v>2.6666666666666665</v>
      </c>
      <c r="P15" s="59">
        <v>3.6666666666666665</v>
      </c>
      <c r="R15" s="42">
        <v>6</v>
      </c>
      <c r="S15" s="87">
        <f t="array" ref="S15">_xlfn.SINGLE([1]!knn_in_movie_rmse($C$10:$H$19,R15,$K$3,,$K$5,,))</f>
        <v>1.4536216402543936</v>
      </c>
    </row>
    <row r="16" spans="1:20" x14ac:dyDescent="0.2">
      <c r="A16" s="3">
        <v>7</v>
      </c>
      <c r="B16" s="3" t="s">
        <v>42</v>
      </c>
      <c r="C16" s="42"/>
      <c r="D16" s="54">
        <v>1</v>
      </c>
      <c r="E16" s="49">
        <v>0</v>
      </c>
      <c r="F16" s="54">
        <v>3</v>
      </c>
      <c r="G16" s="49">
        <v>3</v>
      </c>
      <c r="H16" s="44">
        <v>2</v>
      </c>
      <c r="J16" s="3" t="s">
        <v>42</v>
      </c>
      <c r="K16" s="190">
        <v>4.333333333333333</v>
      </c>
      <c r="L16" s="191">
        <v>2.3333333333333335</v>
      </c>
      <c r="M16" s="91">
        <v>2.3333333333333335</v>
      </c>
      <c r="N16" s="191">
        <v>2.3333333333333335</v>
      </c>
      <c r="O16" s="91">
        <v>2.6666666666666665</v>
      </c>
      <c r="P16" s="59">
        <v>2.3333333333333335</v>
      </c>
      <c r="R16" s="42">
        <v>7</v>
      </c>
      <c r="S16" s="87">
        <f t="array" ref="S16">_xlfn.SINGLE([1]!knn_in_movie_rmse($C$10:$H$19,R16,$K$3,,$K$5,,))</f>
        <v>1.474301695613194</v>
      </c>
    </row>
    <row r="17" spans="1:26" x14ac:dyDescent="0.2">
      <c r="A17" s="3">
        <v>8</v>
      </c>
      <c r="B17" s="3" t="s">
        <v>43</v>
      </c>
      <c r="C17" s="42">
        <v>4</v>
      </c>
      <c r="D17" s="54">
        <v>5</v>
      </c>
      <c r="E17" s="49">
        <v>4</v>
      </c>
      <c r="F17" s="49">
        <v>5</v>
      </c>
      <c r="G17" s="49"/>
      <c r="H17" s="44">
        <v>4</v>
      </c>
      <c r="J17" s="3" t="s">
        <v>43</v>
      </c>
      <c r="K17" s="190">
        <v>4.333333333333333</v>
      </c>
      <c r="L17" s="191">
        <v>3.3333333333333335</v>
      </c>
      <c r="M17" s="91">
        <v>3.3333333333333335</v>
      </c>
      <c r="N17" s="91">
        <v>3</v>
      </c>
      <c r="O17" s="91">
        <v>2.6666666666666665</v>
      </c>
      <c r="P17" s="59">
        <v>3.3333333333333335</v>
      </c>
      <c r="R17" s="42">
        <v>8</v>
      </c>
      <c r="S17" s="87">
        <f t="array" ref="S17">_xlfn.SINGLE([1]!knn_in_movie_rmse($C$10:$H$19,R17,$K$3,,$K$5,,))</f>
        <v>1.4984317648869581</v>
      </c>
    </row>
    <row r="18" spans="1:26" x14ac:dyDescent="0.2">
      <c r="A18" s="3">
        <v>9</v>
      </c>
      <c r="B18" s="3" t="s">
        <v>44</v>
      </c>
      <c r="C18" s="42">
        <v>5</v>
      </c>
      <c r="D18" s="49">
        <v>2</v>
      </c>
      <c r="E18" s="49">
        <v>2</v>
      </c>
      <c r="F18" s="49">
        <v>2</v>
      </c>
      <c r="G18" s="49"/>
      <c r="H18" s="44"/>
      <c r="J18" s="3" t="s">
        <v>44</v>
      </c>
      <c r="K18" s="190">
        <v>4.333333333333333</v>
      </c>
      <c r="L18" s="91">
        <v>2.3333333333333335</v>
      </c>
      <c r="M18" s="91">
        <v>1.6666666666666667</v>
      </c>
      <c r="N18" s="91">
        <v>2</v>
      </c>
      <c r="O18" s="91">
        <v>2.6666666666666665</v>
      </c>
      <c r="P18" s="59">
        <v>3.6666666666666665</v>
      </c>
      <c r="R18" s="45">
        <v>9</v>
      </c>
      <c r="S18" s="88">
        <f t="array" ref="S18">_xlfn.SINGLE([1]!knn_in_movie_rmse($C$10:$H$19,R18,$K$3,,$K$5,,))</f>
        <v>1.4984317648869581</v>
      </c>
    </row>
    <row r="19" spans="1:26" x14ac:dyDescent="0.2">
      <c r="A19" s="3">
        <v>10</v>
      </c>
      <c r="B19" s="3" t="s">
        <v>45</v>
      </c>
      <c r="C19" s="45">
        <v>4</v>
      </c>
      <c r="D19" s="50">
        <v>3</v>
      </c>
      <c r="E19" s="50"/>
      <c r="F19" s="50">
        <v>3</v>
      </c>
      <c r="G19" s="50"/>
      <c r="H19" s="47">
        <v>0</v>
      </c>
      <c r="J19" s="3" t="s">
        <v>45</v>
      </c>
      <c r="K19" s="192">
        <v>4.666666666666667</v>
      </c>
      <c r="L19" s="92">
        <v>2.6666666666666665</v>
      </c>
      <c r="M19" s="92">
        <v>2.3333333333333335</v>
      </c>
      <c r="N19" s="92">
        <v>2.3333333333333335</v>
      </c>
      <c r="O19" s="92">
        <v>2.6666666666666665</v>
      </c>
      <c r="P19" s="60">
        <v>2.3333333333333335</v>
      </c>
    </row>
    <row r="20" spans="1:26" x14ac:dyDescent="0.2">
      <c r="A20" s="3"/>
      <c r="B20" s="3"/>
      <c r="C20" s="49"/>
      <c r="D20" s="49"/>
      <c r="E20" s="49"/>
      <c r="F20" s="49"/>
      <c r="G20" s="49"/>
      <c r="H20" s="49"/>
      <c r="J20" s="3"/>
      <c r="K20" s="91"/>
      <c r="L20" s="91"/>
      <c r="M20" s="91"/>
      <c r="N20" s="91"/>
      <c r="O20" s="91"/>
      <c r="P20" s="91"/>
    </row>
    <row r="21" spans="1:26" x14ac:dyDescent="0.2">
      <c r="J21" s="218" t="str">
        <f>"Example knn_in_movie prediction calculation: observation " &amp; INDEX(J10:J19,A23) &amp;", "&amp;INDEX($K$9:$P$9,K22)</f>
        <v>Example knn_in_movie prediction calculation: observation Jane, Top Gun</v>
      </c>
      <c r="T21" s="218" t="str">
        <f>"Example knn_in_rmse calculation for k =  " &amp; TEXT(K2,"#")</f>
        <v>Example knn_in_rmse calculation for k =  3</v>
      </c>
      <c r="U21" s="177"/>
      <c r="V21" s="8"/>
    </row>
    <row r="22" spans="1:26" x14ac:dyDescent="0.2">
      <c r="A22" s="62" t="s">
        <v>51</v>
      </c>
      <c r="B22" s="1"/>
      <c r="C22" s="61"/>
      <c r="D22" s="49"/>
      <c r="E22" s="49"/>
      <c r="F22" s="49"/>
      <c r="G22" s="49"/>
      <c r="H22" s="49"/>
      <c r="J22" s="38" t="s">
        <v>97</v>
      </c>
      <c r="K22" s="71">
        <v>2</v>
      </c>
      <c r="N22" s="35" t="s">
        <v>93</v>
      </c>
      <c r="T22" s="5"/>
      <c r="U22" s="16" t="s">
        <v>9</v>
      </c>
      <c r="V22" s="199">
        <f>SQRT(SUMSQ(U25:Z34)/COUNT(U25:Z34))</f>
        <v>1.1592736277149345</v>
      </c>
    </row>
    <row r="23" spans="1:26" x14ac:dyDescent="0.2">
      <c r="A23" s="71">
        <v>3</v>
      </c>
      <c r="B23" s="240" t="str">
        <f>INDEX($B$10:$B$19,A23)</f>
        <v>Jane</v>
      </c>
      <c r="C23" s="237">
        <f>IF(INDEX(C10:C19,MATCH($A$23,$A$10:$A$19,0))&lt;&gt;"", INDEX(C10:C19,MATCH($A$23,$A$10:$A$19,0)), "")</f>
        <v>4</v>
      </c>
      <c r="D23" s="238">
        <f t="shared" ref="D23:H23" si="0">IF(INDEX(D10:D19,MATCH($A$23,$A$10:$A$19,0))&lt;&gt;"", INDEX(D10:D19,MATCH($A$23,$A$10:$A$19,0)), "")</f>
        <v>2</v>
      </c>
      <c r="E23" s="238" t="str">
        <f t="shared" si="0"/>
        <v/>
      </c>
      <c r="F23" s="238">
        <f t="shared" si="0"/>
        <v>2</v>
      </c>
      <c r="G23" s="238">
        <f t="shared" si="0"/>
        <v>5</v>
      </c>
      <c r="H23" s="239">
        <f t="shared" si="0"/>
        <v>3</v>
      </c>
      <c r="J23" s="198"/>
      <c r="L23" s="16" t="s">
        <v>90</v>
      </c>
      <c r="M23" s="176">
        <f>SUMPRODUCT(L26:L34,M26:M34)/SUM(M26:M34)</f>
        <v>2.6666666666666665</v>
      </c>
      <c r="N23" s="35" t="s">
        <v>96</v>
      </c>
      <c r="S23" s="4"/>
      <c r="U23" s="38" t="s">
        <v>17</v>
      </c>
      <c r="V23" s="38" t="s">
        <v>18</v>
      </c>
      <c r="W23" s="38" t="s">
        <v>19</v>
      </c>
      <c r="X23" s="38" t="s">
        <v>20</v>
      </c>
      <c r="Y23" s="38" t="s">
        <v>21</v>
      </c>
      <c r="Z23" s="38" t="s">
        <v>22</v>
      </c>
    </row>
    <row r="24" spans="1:26" ht="45" customHeight="1" x14ac:dyDescent="0.2">
      <c r="A24" s="38"/>
      <c r="B24" s="72" t="str">
        <f>"Distance to " &amp; TEXT(INDEX($B$10:$B$19,$A$23),"#")</f>
        <v>Distance to Jane</v>
      </c>
      <c r="D24" s="72" t="str">
        <f>"Rank by dist to " &amp; TEXT(INDEX(B10:B19,A23),"#")</f>
        <v>Rank by dist to Jane</v>
      </c>
      <c r="E24" s="72" t="str">
        <f>"Distance to " &amp; TEXT(INDEX($B$10:$B$19,$A$23),"#")</f>
        <v>Distance to Jane</v>
      </c>
      <c r="F24" s="56" t="s">
        <v>41</v>
      </c>
      <c r="G24" s="250" t="s">
        <v>50</v>
      </c>
      <c r="J24" s="35" t="s">
        <v>83</v>
      </c>
      <c r="K24" s="16"/>
      <c r="L24" s="5"/>
      <c r="M24" s="5"/>
      <c r="N24" s="36" t="s">
        <v>120</v>
      </c>
      <c r="S24" s="64"/>
      <c r="T24" s="56" t="s">
        <v>98</v>
      </c>
      <c r="U24" s="2" t="s">
        <v>49</v>
      </c>
      <c r="V24" s="2" t="s">
        <v>1</v>
      </c>
      <c r="W24" s="2" t="s">
        <v>46</v>
      </c>
      <c r="X24" s="2" t="s">
        <v>2</v>
      </c>
      <c r="Y24" s="2" t="s">
        <v>47</v>
      </c>
      <c r="Z24" s="2" t="s">
        <v>48</v>
      </c>
    </row>
    <row r="25" spans="1:26" x14ac:dyDescent="0.2">
      <c r="A25" s="3" t="s">
        <v>3</v>
      </c>
      <c r="B25" s="86">
        <f t="array" ref="B25:B34">[1]!knn_dist($C$10:$H$19,C23:H23,$K$3)</f>
        <v>2.598076211353316</v>
      </c>
      <c r="D25" s="242" t="s">
        <v>144</v>
      </c>
      <c r="E25" s="90">
        <f t="shared" ref="E25:E34" si="1">INDEX($B$25:$B$34,F25)</f>
        <v>0</v>
      </c>
      <c r="F25" s="243">
        <f t="array" ref="F25:F34">[1]!knn_nearest($C$10:$H$19,$C$23:$H$23,$K$3)</f>
        <v>3</v>
      </c>
      <c r="G25" s="244" t="str">
        <f t="shared" ref="G25:G34" si="2">INDEX($B$10:$B$19,F25)</f>
        <v>Jane</v>
      </c>
      <c r="J25" s="16" t="s">
        <v>85</v>
      </c>
      <c r="K25" s="16" t="s">
        <v>84</v>
      </c>
      <c r="L25" s="16" t="s">
        <v>94</v>
      </c>
      <c r="M25" s="38" t="s">
        <v>95</v>
      </c>
      <c r="N25" s="36" t="s">
        <v>121</v>
      </c>
      <c r="S25" s="61"/>
      <c r="T25" s="3" t="s">
        <v>3</v>
      </c>
      <c r="U25" s="189">
        <f t="shared" ref="U25:U34" si="3">IF(C10&lt;&gt;"",K10-C10,"")</f>
        <v>-0.33333333333333304</v>
      </c>
      <c r="V25" s="90">
        <f t="shared" ref="V25:V34" si="4">IF(D10&lt;&gt;"",L10-D10,"")</f>
        <v>0.66666666666666652</v>
      </c>
      <c r="W25" s="90" t="str">
        <f t="shared" ref="W25:W34" si="5">IF(E10&lt;&gt;"",M10-E10,"")</f>
        <v/>
      </c>
      <c r="X25" s="90">
        <f t="shared" ref="X25:X34" si="6">IF(F10&lt;&gt;"",N10-F10,"")</f>
        <v>1.6666666666666665</v>
      </c>
      <c r="Y25" s="90">
        <f t="shared" ref="Y25:Y34" si="7">IF(G10&lt;&gt;"",O10-G10,"")</f>
        <v>3.6666666666666665</v>
      </c>
      <c r="Z25" s="58" t="str">
        <f t="shared" ref="Z25:Z34" si="8">IF(H10&lt;&gt;"",P10-H10,"")</f>
        <v/>
      </c>
    </row>
    <row r="26" spans="1:26" x14ac:dyDescent="0.2">
      <c r="A26" s="3" t="s">
        <v>5</v>
      </c>
      <c r="B26" s="87">
        <v>1</v>
      </c>
      <c r="D26" s="245">
        <v>2</v>
      </c>
      <c r="E26" s="91">
        <f t="shared" si="1"/>
        <v>0.57735026918962584</v>
      </c>
      <c r="F26" s="63">
        <v>9</v>
      </c>
      <c r="G26" s="246" t="str">
        <f t="shared" si="2"/>
        <v>Olivia</v>
      </c>
      <c r="J26" s="252" t="s">
        <v>144</v>
      </c>
      <c r="K26" s="193" t="str">
        <f t="array" ref="K26">IF(INDEX($B$10:$B$19,F26)&gt;0,INDEX($B$10:$B$19,F26),"")</f>
        <v>Olivia</v>
      </c>
      <c r="L26" s="194">
        <f t="shared" ref="L26:L34" si="9">IF(INDEX($C$10:$H$19,F26,$K$22)&gt;0,INDEX($C$10:$H$19,F26,$K$22),"")</f>
        <v>2</v>
      </c>
      <c r="M26" s="41">
        <f>IF(AND(L26&lt;&gt;"",COUNT($L$26:L26)&lt;=$K$2),1,0)</f>
        <v>1</v>
      </c>
      <c r="S26" s="65"/>
      <c r="T26" s="3" t="s">
        <v>5</v>
      </c>
      <c r="U26" s="190">
        <f t="shared" si="3"/>
        <v>-0.66666666666666696</v>
      </c>
      <c r="V26" s="191" t="str">
        <f t="shared" si="4"/>
        <v/>
      </c>
      <c r="W26" s="91">
        <f t="shared" si="5"/>
        <v>-2</v>
      </c>
      <c r="X26" s="91" t="str">
        <f t="shared" si="6"/>
        <v/>
      </c>
      <c r="Y26" s="91" t="str">
        <f t="shared" si="7"/>
        <v/>
      </c>
      <c r="Z26" s="59">
        <f t="shared" si="8"/>
        <v>0.33333333333333348</v>
      </c>
    </row>
    <row r="27" spans="1:26" x14ac:dyDescent="0.2">
      <c r="A27" s="3" t="s">
        <v>6</v>
      </c>
      <c r="B27" s="87">
        <v>0</v>
      </c>
      <c r="D27" s="245">
        <v>3</v>
      </c>
      <c r="E27" s="91">
        <f t="shared" si="1"/>
        <v>0.81649658092772615</v>
      </c>
      <c r="F27" s="63">
        <v>6</v>
      </c>
      <c r="G27" s="246" t="str">
        <f t="shared" si="2"/>
        <v>Marisa</v>
      </c>
      <c r="J27" s="6">
        <v>2</v>
      </c>
      <c r="K27" s="195" t="str">
        <f t="array" ref="K27">IF(INDEX($B$10:$B$19,F27)&gt;0,INDEX($B$10:$B$19,F27),"")</f>
        <v>Marisa</v>
      </c>
      <c r="L27" s="8">
        <f t="shared" si="9"/>
        <v>3</v>
      </c>
      <c r="M27" s="44">
        <f>IF(AND(L27&lt;&gt;"",COUNT($L$26:L27)&lt;=$K$2),1,0)</f>
        <v>1</v>
      </c>
      <c r="S27" s="65"/>
      <c r="T27" s="3" t="s">
        <v>6</v>
      </c>
      <c r="U27" s="190">
        <f t="shared" si="3"/>
        <v>0.66666666666666696</v>
      </c>
      <c r="V27" s="191">
        <f t="shared" si="4"/>
        <v>0.66666666666666652</v>
      </c>
      <c r="W27" s="91" t="str">
        <f t="shared" si="5"/>
        <v/>
      </c>
      <c r="X27" s="91">
        <f t="shared" si="6"/>
        <v>0.66666666666666652</v>
      </c>
      <c r="Y27" s="91">
        <f t="shared" si="7"/>
        <v>-3</v>
      </c>
      <c r="Z27" s="59">
        <f t="shared" si="8"/>
        <v>0.33333333333333348</v>
      </c>
    </row>
    <row r="28" spans="1:26" x14ac:dyDescent="0.2">
      <c r="A28" s="3" t="s">
        <v>7</v>
      </c>
      <c r="B28" s="87">
        <v>1.3228756555322954</v>
      </c>
      <c r="D28" s="245">
        <v>4</v>
      </c>
      <c r="E28" s="91">
        <f t="shared" si="1"/>
        <v>1</v>
      </c>
      <c r="F28" s="63">
        <v>2</v>
      </c>
      <c r="G28" s="246" t="str">
        <f t="shared" si="2"/>
        <v>Ben</v>
      </c>
      <c r="J28" s="6">
        <v>3</v>
      </c>
      <c r="K28" s="195" t="str">
        <f t="array" ref="K28">IF(INDEX($B$10:$B$19,F28)&gt;0,INDEX($B$10:$B$19,F28),"")</f>
        <v>Ben</v>
      </c>
      <c r="L28" s="8" t="str">
        <f t="shared" si="9"/>
        <v/>
      </c>
      <c r="M28" s="44">
        <f>IF(AND(L28&lt;&gt;"",COUNT($L$26:L28)&lt;=$K$2),1,0)</f>
        <v>0</v>
      </c>
      <c r="S28" s="65"/>
      <c r="T28" s="3" t="s">
        <v>7</v>
      </c>
      <c r="U28" s="190" t="str">
        <f t="shared" si="3"/>
        <v/>
      </c>
      <c r="V28" s="91">
        <f t="shared" si="4"/>
        <v>0</v>
      </c>
      <c r="W28" s="91">
        <f t="shared" si="5"/>
        <v>-0.33333333333333348</v>
      </c>
      <c r="X28" s="91">
        <f t="shared" si="6"/>
        <v>-0.33333333333333348</v>
      </c>
      <c r="Y28" s="91">
        <f t="shared" si="7"/>
        <v>-0.33333333333333348</v>
      </c>
      <c r="Z28" s="59">
        <f t="shared" si="8"/>
        <v>-0.33333333333333348</v>
      </c>
    </row>
    <row r="29" spans="1:26" x14ac:dyDescent="0.2">
      <c r="A29" s="3" t="s">
        <v>8</v>
      </c>
      <c r="B29" s="87">
        <v>1.6329931618554523</v>
      </c>
      <c r="D29" s="245">
        <v>5</v>
      </c>
      <c r="E29" s="91">
        <f t="shared" si="1"/>
        <v>1.3228756555322954</v>
      </c>
      <c r="F29" s="63">
        <v>4</v>
      </c>
      <c r="G29" s="246" t="str">
        <f t="shared" si="2"/>
        <v>Guiga</v>
      </c>
      <c r="J29" s="6">
        <v>4</v>
      </c>
      <c r="K29" s="195" t="str">
        <f t="array" ref="K29">IF(INDEX($B$10:$B$19,F29)&gt;0,INDEX($B$10:$B$19,F29),"")</f>
        <v>Guiga</v>
      </c>
      <c r="L29" s="8">
        <f t="shared" si="9"/>
        <v>3</v>
      </c>
      <c r="M29" s="44">
        <f>IF(AND(L29&lt;&gt;"",COUNT($L$26:L29)&lt;=$K$2),1,0)</f>
        <v>1</v>
      </c>
      <c r="S29" s="65"/>
      <c r="T29" s="3" t="s">
        <v>8</v>
      </c>
      <c r="U29" s="190">
        <f t="shared" si="3"/>
        <v>0</v>
      </c>
      <c r="V29" s="191">
        <f t="shared" si="4"/>
        <v>-0.33333333333333348</v>
      </c>
      <c r="W29" s="91" t="str">
        <f t="shared" si="5"/>
        <v/>
      </c>
      <c r="X29" s="91">
        <f t="shared" si="6"/>
        <v>-0.33333333333333348</v>
      </c>
      <c r="Y29" s="91" t="str">
        <f t="shared" si="7"/>
        <v/>
      </c>
      <c r="Z29" s="59" t="str">
        <f t="shared" si="8"/>
        <v/>
      </c>
    </row>
    <row r="30" spans="1:26" x14ac:dyDescent="0.2">
      <c r="A30" s="3" t="s">
        <v>4</v>
      </c>
      <c r="B30" s="87">
        <v>0.81649658092772615</v>
      </c>
      <c r="D30" s="245">
        <v>6</v>
      </c>
      <c r="E30" s="91">
        <f t="shared" si="1"/>
        <v>1.3228756555322954</v>
      </c>
      <c r="F30" s="63">
        <v>7</v>
      </c>
      <c r="G30" s="246" t="str">
        <f t="shared" si="2"/>
        <v>Lucas</v>
      </c>
      <c r="J30" s="6">
        <v>5</v>
      </c>
      <c r="K30" s="195" t="str">
        <f t="array" ref="K30">IF(INDEX($B$10:$B$19,F30)&gt;0,INDEX($B$10:$B$19,F30),"")</f>
        <v>Lucas</v>
      </c>
      <c r="L30" s="8">
        <f t="shared" si="9"/>
        <v>1</v>
      </c>
      <c r="M30" s="44">
        <f>IF(AND(L30&lt;&gt;"",COUNT($L$26:L30)&lt;=$K$2),1,0)</f>
        <v>0</v>
      </c>
      <c r="S30" s="65"/>
      <c r="T30" s="3" t="s">
        <v>4</v>
      </c>
      <c r="U30" s="190">
        <f t="shared" si="3"/>
        <v>0.33333333333333304</v>
      </c>
      <c r="V30" s="191">
        <f t="shared" si="4"/>
        <v>0</v>
      </c>
      <c r="W30" s="91">
        <f t="shared" si="5"/>
        <v>1</v>
      </c>
      <c r="X30" s="91" t="str">
        <f t="shared" si="6"/>
        <v/>
      </c>
      <c r="Y30" s="91" t="str">
        <f t="shared" si="7"/>
        <v/>
      </c>
      <c r="Z30" s="59">
        <f t="shared" si="8"/>
        <v>-0.33333333333333348</v>
      </c>
    </row>
    <row r="31" spans="1:26" x14ac:dyDescent="0.2">
      <c r="A31" s="3" t="s">
        <v>42</v>
      </c>
      <c r="B31" s="87">
        <v>1.3228756555322954</v>
      </c>
      <c r="D31" s="245">
        <v>7</v>
      </c>
      <c r="E31" s="91">
        <f t="shared" si="1"/>
        <v>1.6329931618554523</v>
      </c>
      <c r="F31" s="63">
        <v>5</v>
      </c>
      <c r="G31" s="246" t="str">
        <f t="shared" si="2"/>
        <v>Thomas</v>
      </c>
      <c r="J31" s="6">
        <v>6</v>
      </c>
      <c r="K31" s="195" t="str">
        <f t="array" ref="K31">IF(INDEX($B$10:$B$19,F31)&gt;0,INDEX($B$10:$B$19,F31),"")</f>
        <v>Thomas</v>
      </c>
      <c r="L31" s="8">
        <f t="shared" si="9"/>
        <v>4</v>
      </c>
      <c r="M31" s="44">
        <f>IF(AND(L31&lt;&gt;"",COUNT($L$26:L31)&lt;=$K$2),1,0)</f>
        <v>0</v>
      </c>
      <c r="S31" s="65"/>
      <c r="T31" s="3" t="s">
        <v>42</v>
      </c>
      <c r="U31" s="190" t="str">
        <f t="shared" si="3"/>
        <v/>
      </c>
      <c r="V31" s="191">
        <f t="shared" si="4"/>
        <v>1.3333333333333335</v>
      </c>
      <c r="W31" s="91">
        <f t="shared" si="5"/>
        <v>2.3333333333333335</v>
      </c>
      <c r="X31" s="191">
        <f t="shared" si="6"/>
        <v>-0.66666666666666652</v>
      </c>
      <c r="Y31" s="91">
        <f t="shared" si="7"/>
        <v>-0.33333333333333348</v>
      </c>
      <c r="Z31" s="59">
        <f t="shared" si="8"/>
        <v>0.33333333333333348</v>
      </c>
    </row>
    <row r="32" spans="1:26" x14ac:dyDescent="0.2">
      <c r="A32" s="3" t="s">
        <v>43</v>
      </c>
      <c r="B32" s="87">
        <v>2.179449471770337</v>
      </c>
      <c r="D32" s="245">
        <v>8</v>
      </c>
      <c r="E32" s="91">
        <f t="shared" si="1"/>
        <v>1.6583123951776999</v>
      </c>
      <c r="F32" s="63">
        <v>10</v>
      </c>
      <c r="G32" s="246" t="str">
        <f t="shared" si="2"/>
        <v>Lewis</v>
      </c>
      <c r="J32" s="6">
        <v>7</v>
      </c>
      <c r="K32" s="195" t="str">
        <f t="array" ref="K32">IF(INDEX($B$10:$B$19,F32)&gt;0,INDEX($B$10:$B$19,F32),"")</f>
        <v>Lewis</v>
      </c>
      <c r="L32" s="8">
        <f t="shared" si="9"/>
        <v>3</v>
      </c>
      <c r="M32" s="44">
        <f>IF(AND(L32&lt;&gt;"",COUNT($L$26:L32)&lt;=$K$2),1,0)</f>
        <v>0</v>
      </c>
      <c r="S32" s="65"/>
      <c r="T32" s="3" t="s">
        <v>43</v>
      </c>
      <c r="U32" s="190">
        <f t="shared" si="3"/>
        <v>0.33333333333333304</v>
      </c>
      <c r="V32" s="191">
        <f t="shared" si="4"/>
        <v>-1.6666666666666665</v>
      </c>
      <c r="W32" s="91">
        <f t="shared" si="5"/>
        <v>-0.66666666666666652</v>
      </c>
      <c r="X32" s="91">
        <f t="shared" si="6"/>
        <v>-2</v>
      </c>
      <c r="Y32" s="91" t="str">
        <f t="shared" si="7"/>
        <v/>
      </c>
      <c r="Z32" s="59">
        <f t="shared" si="8"/>
        <v>-0.66666666666666652</v>
      </c>
    </row>
    <row r="33" spans="1:26" x14ac:dyDescent="0.2">
      <c r="A33" s="3" t="s">
        <v>44</v>
      </c>
      <c r="B33" s="87">
        <v>0.57735026918962584</v>
      </c>
      <c r="D33" s="245">
        <v>9</v>
      </c>
      <c r="E33" s="91">
        <f t="shared" si="1"/>
        <v>2.179449471770337</v>
      </c>
      <c r="F33" s="63">
        <v>8</v>
      </c>
      <c r="G33" s="246" t="str">
        <f t="shared" si="2"/>
        <v>Emma</v>
      </c>
      <c r="J33" s="6">
        <v>8</v>
      </c>
      <c r="K33" s="195" t="str">
        <f t="array" ref="K33">IF(INDEX($B$10:$B$19,F33)&gt;0,INDEX($B$10:$B$19,F33),"")</f>
        <v>Emma</v>
      </c>
      <c r="L33" s="8">
        <f t="shared" si="9"/>
        <v>5</v>
      </c>
      <c r="M33" s="44">
        <f>IF(AND(L33&lt;&gt;"",COUNT($L$26:L33)&lt;=$K$2),1,0)</f>
        <v>0</v>
      </c>
      <c r="S33" s="65"/>
      <c r="T33" s="3" t="s">
        <v>44</v>
      </c>
      <c r="U33" s="190">
        <f t="shared" si="3"/>
        <v>-0.66666666666666696</v>
      </c>
      <c r="V33" s="91">
        <f t="shared" si="4"/>
        <v>0.33333333333333348</v>
      </c>
      <c r="W33" s="91">
        <f t="shared" si="5"/>
        <v>-0.33333333333333326</v>
      </c>
      <c r="X33" s="91">
        <f t="shared" si="6"/>
        <v>0</v>
      </c>
      <c r="Y33" s="91" t="str">
        <f t="shared" si="7"/>
        <v/>
      </c>
      <c r="Z33" s="59" t="str">
        <f t="shared" si="8"/>
        <v/>
      </c>
    </row>
    <row r="34" spans="1:26" x14ac:dyDescent="0.2">
      <c r="A34" s="3" t="s">
        <v>45</v>
      </c>
      <c r="B34" s="88">
        <v>1.6583123951776999</v>
      </c>
      <c r="D34" s="247" t="s">
        <v>145</v>
      </c>
      <c r="E34" s="92">
        <f t="shared" si="1"/>
        <v>2.598076211353316</v>
      </c>
      <c r="F34" s="248">
        <v>1</v>
      </c>
      <c r="G34" s="249" t="str">
        <f t="shared" si="2"/>
        <v>Paul</v>
      </c>
      <c r="H34" s="49"/>
      <c r="J34" s="251" t="s">
        <v>145</v>
      </c>
      <c r="K34" s="196" t="str">
        <f t="array" ref="K34">IF(INDEX($B$10:$B$19,F34)&gt;0,INDEX($B$10:$B$19,F34),"")</f>
        <v>Paul</v>
      </c>
      <c r="L34" s="197">
        <f t="shared" si="9"/>
        <v>2</v>
      </c>
      <c r="M34" s="47">
        <f>IF(AND(L34&lt;&gt;"",COUNT($L$26:L34)&lt;=$K$2),1,0)</f>
        <v>0</v>
      </c>
      <c r="S34" s="65"/>
      <c r="T34" s="3" t="s">
        <v>45</v>
      </c>
      <c r="U34" s="192">
        <f t="shared" si="3"/>
        <v>0.66666666666666696</v>
      </c>
      <c r="V34" s="92">
        <f t="shared" si="4"/>
        <v>-0.33333333333333348</v>
      </c>
      <c r="W34" s="92" t="str">
        <f t="shared" si="5"/>
        <v/>
      </c>
      <c r="X34" s="92">
        <f t="shared" si="6"/>
        <v>-0.66666666666666652</v>
      </c>
      <c r="Y34" s="92" t="str">
        <f t="shared" si="7"/>
        <v/>
      </c>
      <c r="Z34" s="60">
        <f t="shared" si="8"/>
        <v>2.3333333333333335</v>
      </c>
    </row>
    <row r="35" spans="1:26" x14ac:dyDescent="0.2">
      <c r="A35" s="37"/>
      <c r="B35" s="37"/>
      <c r="R35" s="65"/>
      <c r="S35" s="4"/>
      <c r="T35" s="66"/>
      <c r="U35" s="5"/>
      <c r="V35" s="175"/>
      <c r="W35" s="184"/>
      <c r="X35" s="185"/>
    </row>
    <row r="36" spans="1:26" x14ac:dyDescent="0.2">
      <c r="R36" s="49"/>
      <c r="S36" s="49"/>
      <c r="T36" s="49"/>
      <c r="U36" s="5"/>
      <c r="V36" s="175"/>
      <c r="W36" s="184"/>
      <c r="X36" s="185"/>
    </row>
    <row r="37" spans="1:26" x14ac:dyDescent="0.2">
      <c r="I37" s="5"/>
      <c r="J37" s="188"/>
      <c r="K37" s="5"/>
      <c r="L37" s="5"/>
      <c r="M37" s="5"/>
      <c r="R37" s="49"/>
      <c r="S37" s="49"/>
      <c r="T37" s="49"/>
      <c r="U37" s="5"/>
      <c r="V37" s="175"/>
      <c r="W37" s="184"/>
      <c r="X37" s="185"/>
    </row>
    <row r="38" spans="1:26" x14ac:dyDescent="0.2">
      <c r="I38" s="5"/>
      <c r="J38" s="188"/>
      <c r="K38" s="5"/>
      <c r="L38" s="5"/>
      <c r="M38" s="5"/>
      <c r="U38" s="5"/>
      <c r="V38" s="175"/>
      <c r="W38" s="184"/>
      <c r="X38" s="185"/>
    </row>
    <row r="39" spans="1:26" x14ac:dyDescent="0.2">
      <c r="I39" s="5"/>
      <c r="J39" s="188"/>
      <c r="K39" s="5"/>
      <c r="L39" s="5"/>
      <c r="M39" s="5"/>
    </row>
    <row r="40" spans="1:26" x14ac:dyDescent="0.2">
      <c r="I40" s="5"/>
      <c r="J40" s="188"/>
      <c r="K40" s="5"/>
      <c r="L40" s="5"/>
      <c r="M40" s="5"/>
    </row>
    <row r="41" spans="1:26" x14ac:dyDescent="0.2">
      <c r="I41" s="5"/>
      <c r="J41" s="188"/>
      <c r="K41" s="5"/>
      <c r="L41" s="5"/>
      <c r="M41" s="5"/>
    </row>
    <row r="42" spans="1:26" x14ac:dyDescent="0.2">
      <c r="I42" s="5"/>
      <c r="J42" s="188" t="str">
        <f t="shared" ref="J42:J45" si="10">IF(I42&lt;&gt;"",D41,"")</f>
        <v/>
      </c>
      <c r="K42" s="5" t="str">
        <f t="shared" ref="K42:K45" si="11">IF(I42&lt;&gt;"",INDEX($C$10:$C$19,I42),"")</f>
        <v/>
      </c>
      <c r="L42" s="5"/>
      <c r="M42" s="5"/>
    </row>
    <row r="43" spans="1:26" x14ac:dyDescent="0.2">
      <c r="I43" s="5"/>
      <c r="J43" s="188" t="str">
        <f t="shared" si="10"/>
        <v/>
      </c>
      <c r="K43" s="5" t="str">
        <f t="shared" si="11"/>
        <v/>
      </c>
      <c r="L43" s="5"/>
      <c r="M43" s="5"/>
    </row>
    <row r="44" spans="1:26" x14ac:dyDescent="0.2">
      <c r="I44" s="5"/>
      <c r="J44" s="188" t="str">
        <f t="shared" si="10"/>
        <v/>
      </c>
      <c r="K44" s="5" t="str">
        <f t="shared" si="11"/>
        <v/>
      </c>
      <c r="L44" s="5"/>
      <c r="M44" s="5"/>
    </row>
    <row r="45" spans="1:26" x14ac:dyDescent="0.2">
      <c r="I45" s="5"/>
      <c r="J45" s="188" t="str">
        <f t="shared" si="10"/>
        <v/>
      </c>
      <c r="K45" s="5" t="str">
        <f t="shared" si="11"/>
        <v/>
      </c>
      <c r="L45" s="5"/>
      <c r="M4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6"/>
  <dimension ref="A1:P239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9" style="134" customWidth="1"/>
    <col min="2" max="2" width="11.83203125" style="134" customWidth="1"/>
    <col min="3" max="3" width="13.1640625" style="134" customWidth="1"/>
    <col min="4" max="4" width="9.83203125" style="134" customWidth="1"/>
    <col min="5" max="13" width="9" style="134" customWidth="1"/>
    <col min="14" max="14" width="9.1640625" style="134" customWidth="1"/>
    <col min="15" max="16384" width="8.83203125" style="134"/>
  </cols>
  <sheetData>
    <row r="1" spans="1:16" x14ac:dyDescent="0.2">
      <c r="A1" s="133" t="s">
        <v>111</v>
      </c>
      <c r="E1" s="135"/>
      <c r="F1" s="135"/>
      <c r="K1" s="136"/>
      <c r="L1" s="136"/>
      <c r="M1" s="139" t="s">
        <v>110</v>
      </c>
      <c r="N1" s="136" t="str">
        <f>"Area under the curve, AUC: "&amp; TEXT(E8,"0.00")</f>
        <v>Area under the curve, AUC: 0.71</v>
      </c>
      <c r="O1" s="136"/>
      <c r="P1" s="136"/>
    </row>
    <row r="2" spans="1:16" x14ac:dyDescent="0.2">
      <c r="A2" s="133"/>
      <c r="E2" s="135"/>
      <c r="F2" s="135"/>
      <c r="K2" s="136"/>
      <c r="L2" s="136"/>
      <c r="M2" s="136"/>
      <c r="N2" s="136"/>
      <c r="O2" s="136"/>
      <c r="P2" s="136"/>
    </row>
    <row r="3" spans="1:16" ht="16" x14ac:dyDescent="0.2">
      <c r="A3" s="133"/>
      <c r="B3" s="135" t="s">
        <v>70</v>
      </c>
      <c r="E3" s="139" t="s">
        <v>67</v>
      </c>
      <c r="F3" s="137"/>
      <c r="H3" s="147" t="str">
        <f t="array" ref="H3:K7">[1]!confusionMatrix(A6:A22,C6:C22)</f>
        <v>Confusion matrix (5,4)</v>
      </c>
      <c r="I3" s="146" t="str">
        <v>Predicted</v>
      </c>
      <c r="J3" s="146" t="str">
        <v/>
      </c>
      <c r="K3" s="134" t="str">
        <v/>
      </c>
      <c r="M3" s="151"/>
      <c r="N3" s="138"/>
      <c r="O3" s="138"/>
      <c r="P3" s="136"/>
    </row>
    <row r="4" spans="1:16" ht="16" x14ac:dyDescent="0.2">
      <c r="A4" s="135" t="s">
        <v>71</v>
      </c>
      <c r="B4" s="135" t="s">
        <v>99</v>
      </c>
      <c r="C4" s="135" t="s">
        <v>107</v>
      </c>
      <c r="E4" s="139" t="s">
        <v>68</v>
      </c>
      <c r="F4" s="137"/>
      <c r="H4" s="139" t="str">
        <v>Actual</v>
      </c>
      <c r="I4" s="146">
        <v>1</v>
      </c>
      <c r="J4" s="146">
        <v>0</v>
      </c>
      <c r="K4" s="139" t="str">
        <v>Total</v>
      </c>
      <c r="M4" s="140"/>
      <c r="N4" s="138"/>
      <c r="O4" s="138"/>
      <c r="P4" s="136"/>
    </row>
    <row r="5" spans="1:16" ht="15" customHeight="1" x14ac:dyDescent="0.2">
      <c r="A5" s="135" t="s">
        <v>106</v>
      </c>
      <c r="B5" s="139" t="s">
        <v>109</v>
      </c>
      <c r="C5" s="135" t="s">
        <v>108</v>
      </c>
      <c r="E5" s="144">
        <v>0.6</v>
      </c>
      <c r="F5" s="137"/>
      <c r="H5" s="139">
        <v>1</v>
      </c>
      <c r="I5" s="148">
        <v>3</v>
      </c>
      <c r="J5" s="142">
        <v>6</v>
      </c>
      <c r="K5" s="137">
        <v>9</v>
      </c>
      <c r="M5" s="140"/>
      <c r="N5" s="167"/>
      <c r="O5" s="167"/>
      <c r="P5" s="136"/>
    </row>
    <row r="6" spans="1:16" x14ac:dyDescent="0.2">
      <c r="A6" s="201">
        <v>0</v>
      </c>
      <c r="B6" s="202">
        <v>4.2594386116257953E-2</v>
      </c>
      <c r="C6" s="142">
        <f t="shared" ref="C6:C22" si="0">IF(B6&gt;$E$5,1,0)</f>
        <v>0</v>
      </c>
      <c r="E6" s="137"/>
      <c r="F6" s="137"/>
      <c r="H6" s="139">
        <v>0</v>
      </c>
      <c r="I6" s="149">
        <v>1</v>
      </c>
      <c r="J6" s="150">
        <v>7</v>
      </c>
      <c r="K6" s="137">
        <v>8</v>
      </c>
      <c r="M6" s="140"/>
      <c r="N6" s="167"/>
      <c r="O6" s="167"/>
      <c r="P6" s="136"/>
    </row>
    <row r="7" spans="1:16" x14ac:dyDescent="0.2">
      <c r="A7" s="203">
        <v>0</v>
      </c>
      <c r="B7" s="200">
        <v>0.1106537041703258</v>
      </c>
      <c r="C7" s="143">
        <f t="shared" si="0"/>
        <v>0</v>
      </c>
      <c r="E7" s="147" t="s">
        <v>72</v>
      </c>
      <c r="F7" s="137"/>
      <c r="H7" s="139" t="str">
        <v>Total</v>
      </c>
      <c r="I7" s="137">
        <v>4</v>
      </c>
      <c r="J7" s="137">
        <v>13</v>
      </c>
      <c r="K7" s="137">
        <v>17</v>
      </c>
      <c r="M7" s="152"/>
      <c r="N7" s="209"/>
      <c r="O7" s="136"/>
      <c r="P7" s="136"/>
    </row>
    <row r="8" spans="1:16" x14ac:dyDescent="0.2">
      <c r="A8" s="203">
        <v>0</v>
      </c>
      <c r="B8" s="200">
        <v>0.62183776202141461</v>
      </c>
      <c r="C8" s="143">
        <f t="shared" si="0"/>
        <v>1</v>
      </c>
      <c r="E8" s="232">
        <f>[1]!AUC(B6:B22,A6:A22)</f>
        <v>0.70833333333333337</v>
      </c>
      <c r="F8" s="137"/>
      <c r="H8" s="140"/>
      <c r="I8" s="153"/>
      <c r="J8" s="154"/>
      <c r="K8" s="139"/>
      <c r="M8" s="152"/>
      <c r="N8" s="155"/>
      <c r="P8" s="136"/>
    </row>
    <row r="9" spans="1:16" x14ac:dyDescent="0.2">
      <c r="A9" s="203">
        <v>0</v>
      </c>
      <c r="B9" s="200">
        <v>0.40021311193062037</v>
      </c>
      <c r="C9" s="143">
        <f>IF(B9&gt;$E$5,1,0)</f>
        <v>0</v>
      </c>
      <c r="F9" s="137"/>
      <c r="H9" s="156" t="s">
        <v>100</v>
      </c>
      <c r="I9" s="153"/>
      <c r="K9" s="139"/>
      <c r="L9" s="139"/>
    </row>
    <row r="10" spans="1:16" x14ac:dyDescent="0.2">
      <c r="A10" s="203">
        <v>1</v>
      </c>
      <c r="B10" s="200">
        <v>0.61651110678963505</v>
      </c>
      <c r="C10" s="143">
        <f t="shared" si="0"/>
        <v>1</v>
      </c>
      <c r="F10" s="137"/>
      <c r="H10" s="146" t="s">
        <v>101</v>
      </c>
      <c r="I10" s="153"/>
      <c r="L10" s="137"/>
    </row>
    <row r="11" spans="1:16" x14ac:dyDescent="0.2">
      <c r="A11" s="203">
        <v>1</v>
      </c>
      <c r="B11" s="200">
        <v>0.7567137061419239</v>
      </c>
      <c r="C11" s="143">
        <f t="shared" si="0"/>
        <v>1</v>
      </c>
      <c r="F11" s="145" t="s">
        <v>105</v>
      </c>
    </row>
    <row r="12" spans="1:16" x14ac:dyDescent="0.2">
      <c r="A12" s="203">
        <v>1</v>
      </c>
      <c r="B12" s="200">
        <v>0.38162764662699322</v>
      </c>
      <c r="C12" s="143">
        <f t="shared" si="0"/>
        <v>0</v>
      </c>
      <c r="E12" s="139" t="s">
        <v>67</v>
      </c>
      <c r="F12" s="206" t="s">
        <v>104</v>
      </c>
      <c r="G12" s="206" t="s">
        <v>103</v>
      </c>
    </row>
    <row r="13" spans="1:16" x14ac:dyDescent="0.2">
      <c r="A13" s="203">
        <v>1</v>
      </c>
      <c r="B13" s="200">
        <v>0.61300721542708669</v>
      </c>
      <c r="C13" s="143">
        <f t="shared" si="0"/>
        <v>1</v>
      </c>
      <c r="E13" s="139" t="s">
        <v>68</v>
      </c>
      <c r="F13" s="139" t="s">
        <v>102</v>
      </c>
      <c r="G13" s="139" t="s">
        <v>102</v>
      </c>
      <c r="H13" s="139"/>
    </row>
    <row r="14" spans="1:16" ht="15" customHeight="1" x14ac:dyDescent="0.2">
      <c r="A14" s="203">
        <v>0</v>
      </c>
      <c r="B14" s="200">
        <v>0.21916286153049264</v>
      </c>
      <c r="C14" s="143">
        <f t="shared" si="0"/>
        <v>0</v>
      </c>
      <c r="E14" s="205">
        <v>0</v>
      </c>
      <c r="F14" s="157">
        <f t="array" ref="F14:G114">[1]!ROC(B6:B22,A6:A22,E14:E114)</f>
        <v>1</v>
      </c>
      <c r="G14" s="210">
        <v>1</v>
      </c>
      <c r="H14" s="139"/>
    </row>
    <row r="15" spans="1:16" x14ac:dyDescent="0.2">
      <c r="A15" s="203">
        <v>1</v>
      </c>
      <c r="B15" s="200">
        <v>0.35548131954718842</v>
      </c>
      <c r="C15" s="143">
        <f t="shared" si="0"/>
        <v>0</v>
      </c>
      <c r="E15" s="205">
        <v>0.01</v>
      </c>
      <c r="F15" s="159">
        <v>1</v>
      </c>
      <c r="G15" s="211">
        <v>1</v>
      </c>
      <c r="H15" s="208"/>
      <c r="I15" s="228" t="s">
        <v>125</v>
      </c>
    </row>
    <row r="16" spans="1:16" x14ac:dyDescent="0.2">
      <c r="A16" s="203">
        <v>0</v>
      </c>
      <c r="B16" s="200">
        <v>0.29178817545700741</v>
      </c>
      <c r="C16" s="143">
        <f t="shared" si="0"/>
        <v>0</v>
      </c>
      <c r="E16" s="205">
        <v>0.02</v>
      </c>
      <c r="F16" s="159">
        <v>1</v>
      </c>
      <c r="G16" s="211">
        <v>1</v>
      </c>
      <c r="H16" s="136"/>
      <c r="I16" s="229" t="s">
        <v>122</v>
      </c>
    </row>
    <row r="17" spans="1:16" x14ac:dyDescent="0.2">
      <c r="A17" s="203">
        <v>1</v>
      </c>
      <c r="B17" s="200">
        <v>0.2030683274008982</v>
      </c>
      <c r="C17" s="143">
        <f t="shared" si="0"/>
        <v>0</v>
      </c>
      <c r="E17" s="205">
        <v>0.03</v>
      </c>
      <c r="F17" s="159">
        <v>1</v>
      </c>
      <c r="G17" s="211">
        <v>1</v>
      </c>
      <c r="H17" s="136"/>
      <c r="I17" s="229" t="s">
        <v>123</v>
      </c>
      <c r="K17" s="137"/>
    </row>
    <row r="18" spans="1:16" x14ac:dyDescent="0.2">
      <c r="A18" s="203">
        <v>0</v>
      </c>
      <c r="B18" s="200">
        <v>0.17514227286071607</v>
      </c>
      <c r="C18" s="143">
        <f t="shared" si="0"/>
        <v>0</v>
      </c>
      <c r="E18" s="205">
        <v>0.04</v>
      </c>
      <c r="F18" s="159">
        <v>1</v>
      </c>
      <c r="G18" s="211">
        <v>1</v>
      </c>
      <c r="H18" s="136"/>
      <c r="I18" s="230" t="s">
        <v>124</v>
      </c>
    </row>
    <row r="19" spans="1:16" x14ac:dyDescent="0.2">
      <c r="A19" s="203">
        <v>1</v>
      </c>
      <c r="B19" s="200">
        <v>0.10908631915521003</v>
      </c>
      <c r="C19" s="143">
        <f t="shared" si="0"/>
        <v>0</v>
      </c>
      <c r="E19" s="205">
        <v>0.05</v>
      </c>
      <c r="F19" s="159">
        <v>0.875</v>
      </c>
      <c r="G19" s="211">
        <v>1</v>
      </c>
      <c r="H19" s="136"/>
      <c r="I19" s="163"/>
      <c r="M19" s="139"/>
    </row>
    <row r="20" spans="1:16" x14ac:dyDescent="0.2">
      <c r="A20" s="203">
        <v>1</v>
      </c>
      <c r="B20" s="200">
        <v>0.30091209069055447</v>
      </c>
      <c r="C20" s="143">
        <f t="shared" si="0"/>
        <v>0</v>
      </c>
      <c r="E20" s="205">
        <v>0.06</v>
      </c>
      <c r="F20" s="159">
        <v>0.875</v>
      </c>
      <c r="G20" s="211">
        <v>1</v>
      </c>
      <c r="H20" s="136"/>
      <c r="I20" s="230" t="s">
        <v>146</v>
      </c>
      <c r="M20" s="139"/>
    </row>
    <row r="21" spans="1:16" x14ac:dyDescent="0.2">
      <c r="A21" s="203">
        <v>1</v>
      </c>
      <c r="B21" s="200">
        <v>0.3140134258616617</v>
      </c>
      <c r="C21" s="143">
        <f t="shared" si="0"/>
        <v>0</v>
      </c>
      <c r="E21" s="205">
        <v>7.0000000000000007E-2</v>
      </c>
      <c r="F21" s="159">
        <v>0.875</v>
      </c>
      <c r="G21" s="211">
        <v>1</v>
      </c>
      <c r="H21" s="136"/>
      <c r="I21" s="231" t="s">
        <v>147</v>
      </c>
      <c r="M21" s="139"/>
      <c r="N21" s="164"/>
    </row>
    <row r="22" spans="1:16" x14ac:dyDescent="0.2">
      <c r="A22" s="207">
        <v>0</v>
      </c>
      <c r="B22" s="204">
        <v>0.18007073244999422</v>
      </c>
      <c r="C22" s="150">
        <f t="shared" si="0"/>
        <v>0</v>
      </c>
      <c r="E22" s="205">
        <v>0.08</v>
      </c>
      <c r="F22" s="159">
        <v>0.875</v>
      </c>
      <c r="G22" s="211">
        <v>1</v>
      </c>
      <c r="H22" s="136"/>
      <c r="I22" s="231" t="s">
        <v>148</v>
      </c>
    </row>
    <row r="23" spans="1:16" x14ac:dyDescent="0.2">
      <c r="A23" s="136"/>
      <c r="B23" s="200"/>
      <c r="C23" s="167"/>
      <c r="E23" s="205">
        <v>0.09</v>
      </c>
      <c r="F23" s="159">
        <v>0.875</v>
      </c>
      <c r="G23" s="211">
        <v>1</v>
      </c>
      <c r="H23" s="136"/>
      <c r="I23" s="231" t="s">
        <v>150</v>
      </c>
    </row>
    <row r="24" spans="1:16" x14ac:dyDescent="0.2">
      <c r="A24" s="136"/>
      <c r="B24" s="200"/>
      <c r="C24" s="259"/>
      <c r="E24" s="205">
        <v>0.1</v>
      </c>
      <c r="F24" s="159">
        <v>0.875</v>
      </c>
      <c r="G24" s="211">
        <v>1</v>
      </c>
      <c r="H24" s="136"/>
      <c r="I24" s="231" t="s">
        <v>149</v>
      </c>
    </row>
    <row r="25" spans="1:16" x14ac:dyDescent="0.2">
      <c r="A25" s="136"/>
      <c r="B25" s="200"/>
      <c r="C25" s="167"/>
      <c r="E25" s="205">
        <v>0.11</v>
      </c>
      <c r="F25" s="159">
        <v>0.875</v>
      </c>
      <c r="G25" s="211">
        <v>0.88888888888888884</v>
      </c>
      <c r="H25" s="136"/>
      <c r="I25" s="165"/>
      <c r="O25" s="136"/>
      <c r="P25" s="136"/>
    </row>
    <row r="26" spans="1:16" x14ac:dyDescent="0.2">
      <c r="A26" s="136"/>
      <c r="B26" s="200"/>
      <c r="C26" s="167"/>
      <c r="E26" s="205">
        <v>0.12</v>
      </c>
      <c r="F26" s="159">
        <v>0.75</v>
      </c>
      <c r="G26" s="211">
        <v>0.88888888888888884</v>
      </c>
      <c r="H26" s="136"/>
      <c r="I26" s="165"/>
      <c r="M26" s="164"/>
      <c r="O26" s="136"/>
      <c r="P26" s="136"/>
    </row>
    <row r="27" spans="1:16" x14ac:dyDescent="0.2">
      <c r="A27" s="136"/>
      <c r="B27" s="200"/>
      <c r="C27" s="167"/>
      <c r="E27" s="205">
        <v>0.13</v>
      </c>
      <c r="F27" s="159">
        <v>0.75</v>
      </c>
      <c r="G27" s="211">
        <v>0.88888888888888884</v>
      </c>
      <c r="H27" s="136"/>
      <c r="I27" s="165"/>
      <c r="M27" s="166"/>
      <c r="O27" s="167"/>
      <c r="P27" s="136"/>
    </row>
    <row r="28" spans="1:16" x14ac:dyDescent="0.2">
      <c r="A28" s="136"/>
      <c r="B28" s="200"/>
      <c r="C28" s="167"/>
      <c r="E28" s="205">
        <v>0.14000000000000001</v>
      </c>
      <c r="F28" s="159">
        <v>0.75</v>
      </c>
      <c r="G28" s="211">
        <v>0.88888888888888884</v>
      </c>
      <c r="H28" s="136"/>
      <c r="I28" s="165"/>
      <c r="O28" s="167"/>
      <c r="P28" s="136"/>
    </row>
    <row r="29" spans="1:16" x14ac:dyDescent="0.2">
      <c r="A29" s="136"/>
      <c r="B29" s="200"/>
      <c r="C29" s="167"/>
      <c r="E29" s="205">
        <v>0.15</v>
      </c>
      <c r="F29" s="159">
        <v>0.75</v>
      </c>
      <c r="G29" s="211">
        <v>0.88888888888888884</v>
      </c>
      <c r="H29" s="136"/>
      <c r="I29" s="165"/>
      <c r="J29" s="136"/>
      <c r="K29" s="136"/>
      <c r="L29" s="136"/>
      <c r="O29" s="167"/>
      <c r="P29" s="136"/>
    </row>
    <row r="30" spans="1:16" x14ac:dyDescent="0.2">
      <c r="A30" s="136"/>
      <c r="B30" s="200"/>
      <c r="C30" s="167"/>
      <c r="E30" s="205">
        <v>0.16</v>
      </c>
      <c r="F30" s="159">
        <v>0.75</v>
      </c>
      <c r="G30" s="211">
        <v>0.88888888888888884</v>
      </c>
      <c r="H30" s="136"/>
      <c r="I30" s="218" t="s">
        <v>126</v>
      </c>
      <c r="J30" s="138"/>
      <c r="K30" s="138"/>
    </row>
    <row r="31" spans="1:16" x14ac:dyDescent="0.2">
      <c r="A31" s="136"/>
      <c r="B31" s="200"/>
      <c r="C31" s="167"/>
      <c r="E31" s="205">
        <v>0.17</v>
      </c>
      <c r="F31" s="159">
        <v>0.75</v>
      </c>
      <c r="G31" s="211">
        <v>0.88888888888888884</v>
      </c>
      <c r="H31" s="136"/>
      <c r="J31" s="146" t="s">
        <v>70</v>
      </c>
    </row>
    <row r="32" spans="1:16" x14ac:dyDescent="0.2">
      <c r="A32" s="136"/>
      <c r="B32" s="200"/>
      <c r="C32" s="167"/>
      <c r="E32" s="205">
        <v>0.18</v>
      </c>
      <c r="F32" s="159">
        <v>0.625</v>
      </c>
      <c r="G32" s="211">
        <v>0.88888888888888884</v>
      </c>
      <c r="H32" s="136"/>
      <c r="I32" s="139" t="s">
        <v>71</v>
      </c>
      <c r="J32" s="146">
        <v>1</v>
      </c>
      <c r="K32" s="146">
        <v>0</v>
      </c>
    </row>
    <row r="33" spans="1:12" x14ac:dyDescent="0.2">
      <c r="A33" s="136"/>
      <c r="B33" s="200"/>
      <c r="C33" s="167"/>
      <c r="E33" s="205">
        <v>0.19</v>
      </c>
      <c r="F33" s="159">
        <v>0.5</v>
      </c>
      <c r="G33" s="211">
        <v>0.88888888888888884</v>
      </c>
      <c r="H33" s="136"/>
      <c r="I33" s="139">
        <v>1</v>
      </c>
      <c r="J33" s="148">
        <f>COUNTIFS($A$6:$A$22,"="&amp;$I33,$C$6:$C$22,"="&amp;J$32)</f>
        <v>3</v>
      </c>
      <c r="K33" s="142">
        <f>COUNTIFS($A$6:$A$22,"="&amp;$I33,$C$6:$C$22,"="&amp;K$32)</f>
        <v>6</v>
      </c>
    </row>
    <row r="34" spans="1:12" x14ac:dyDescent="0.2">
      <c r="A34" s="136"/>
      <c r="B34" s="200"/>
      <c r="C34" s="167"/>
      <c r="E34" s="205">
        <v>0.2</v>
      </c>
      <c r="F34" s="159">
        <v>0.5</v>
      </c>
      <c r="G34" s="211">
        <v>0.88888888888888884</v>
      </c>
      <c r="H34" s="136"/>
      <c r="I34" s="139">
        <v>0</v>
      </c>
      <c r="J34" s="149">
        <f>COUNTIFS($A$6:$A$22,"="&amp;$I34,$C$6:$C$22,"="&amp;J$32)</f>
        <v>1</v>
      </c>
      <c r="K34" s="150">
        <f>COUNTIFS($A$6:$A$22,"="&amp;$I34,$C$6:$C$22,"="&amp;K$32)</f>
        <v>7</v>
      </c>
      <c r="L34" s="136"/>
    </row>
    <row r="35" spans="1:12" x14ac:dyDescent="0.2">
      <c r="A35" s="168"/>
      <c r="B35" s="200"/>
      <c r="C35" s="167"/>
      <c r="E35" s="205">
        <v>0.21</v>
      </c>
      <c r="F35" s="159">
        <v>0.5</v>
      </c>
      <c r="G35" s="211">
        <v>0.77777777777777779</v>
      </c>
      <c r="H35" s="136"/>
      <c r="I35" s="231" t="str">
        <f>"There are "&amp;TEXT(J33,"#")&amp;" cases with the actual outcome = 1 and the classification decision (predicted outcome) = 1"</f>
        <v>There are 3 cases with the actual outcome = 1 and the classification decision (predicted outcome) = 1</v>
      </c>
      <c r="J35" s="136"/>
      <c r="K35" s="136"/>
      <c r="L35" s="136"/>
    </row>
    <row r="36" spans="1:12" x14ac:dyDescent="0.2">
      <c r="A36" s="168"/>
      <c r="B36" s="200"/>
      <c r="C36" s="167"/>
      <c r="E36" s="205">
        <v>0.22</v>
      </c>
      <c r="F36" s="159">
        <v>0.375</v>
      </c>
      <c r="G36" s="211">
        <v>0.77777777777777779</v>
      </c>
      <c r="I36" s="231" t="str">
        <f>"There are "&amp;TEXT(K33,"#")&amp;" cases with the actual outcome = 1 and the classification decision (predicted outcome) = 0"</f>
        <v>There are 6 cases with the actual outcome = 1 and the classification decision (predicted outcome) = 0</v>
      </c>
      <c r="J36" s="136"/>
      <c r="K36" s="136"/>
      <c r="L36" s="136"/>
    </row>
    <row r="37" spans="1:12" x14ac:dyDescent="0.2">
      <c r="A37" s="168"/>
      <c r="B37" s="200"/>
      <c r="C37" s="167"/>
      <c r="E37" s="205">
        <v>0.23</v>
      </c>
      <c r="F37" s="159">
        <v>0.375</v>
      </c>
      <c r="G37" s="211">
        <v>0.77777777777777779</v>
      </c>
      <c r="H37" s="136"/>
      <c r="J37" s="136"/>
      <c r="K37" s="136"/>
      <c r="L37" s="136"/>
    </row>
    <row r="38" spans="1:12" x14ac:dyDescent="0.2">
      <c r="A38" s="168"/>
      <c r="B38" s="200"/>
      <c r="C38" s="167"/>
      <c r="E38" s="205">
        <v>0.24</v>
      </c>
      <c r="F38" s="159">
        <v>0.375</v>
      </c>
      <c r="G38" s="211">
        <v>0.77777777777777779</v>
      </c>
      <c r="H38" s="136"/>
      <c r="I38" s="165"/>
      <c r="J38" s="136"/>
      <c r="K38" s="136"/>
      <c r="L38" s="136"/>
    </row>
    <row r="39" spans="1:12" x14ac:dyDescent="0.2">
      <c r="A39" s="168"/>
      <c r="B39" s="200"/>
      <c r="C39" s="167"/>
      <c r="E39" s="205">
        <v>0.25</v>
      </c>
      <c r="F39" s="159">
        <v>0.375</v>
      </c>
      <c r="G39" s="211">
        <v>0.77777777777777779</v>
      </c>
      <c r="H39" s="136"/>
      <c r="I39" s="165"/>
    </row>
    <row r="40" spans="1:12" x14ac:dyDescent="0.2">
      <c r="A40" s="168"/>
      <c r="B40" s="200"/>
      <c r="C40" s="167"/>
      <c r="E40" s="205">
        <v>0.26</v>
      </c>
      <c r="F40" s="159">
        <v>0.375</v>
      </c>
      <c r="G40" s="211">
        <v>0.77777777777777779</v>
      </c>
      <c r="H40" s="136"/>
      <c r="I40" s="165"/>
    </row>
    <row r="41" spans="1:12" x14ac:dyDescent="0.2">
      <c r="A41" s="168"/>
      <c r="B41" s="200"/>
      <c r="C41" s="167"/>
      <c r="E41" s="205">
        <v>0.27</v>
      </c>
      <c r="F41" s="159">
        <v>0.375</v>
      </c>
      <c r="G41" s="211">
        <v>0.77777777777777779</v>
      </c>
    </row>
    <row r="42" spans="1:12" x14ac:dyDescent="0.2">
      <c r="A42" s="168"/>
      <c r="B42" s="200"/>
      <c r="C42" s="167"/>
      <c r="E42" s="205">
        <v>0.28000000000000003</v>
      </c>
      <c r="F42" s="159">
        <v>0.375</v>
      </c>
      <c r="G42" s="211">
        <v>0.77777777777777779</v>
      </c>
    </row>
    <row r="43" spans="1:12" x14ac:dyDescent="0.2">
      <c r="A43" s="168"/>
      <c r="B43" s="200"/>
      <c r="C43" s="167"/>
      <c r="E43" s="205">
        <v>0.28999999999999998</v>
      </c>
      <c r="F43" s="159">
        <v>0.375</v>
      </c>
      <c r="G43" s="211">
        <v>0.77777777777777779</v>
      </c>
    </row>
    <row r="44" spans="1:12" x14ac:dyDescent="0.2">
      <c r="A44" s="168"/>
      <c r="B44" s="200"/>
      <c r="C44" s="167"/>
      <c r="E44" s="205">
        <v>0.3</v>
      </c>
      <c r="F44" s="159">
        <v>0.25</v>
      </c>
      <c r="G44" s="211">
        <v>0.77777777777777779</v>
      </c>
    </row>
    <row r="45" spans="1:12" x14ac:dyDescent="0.2">
      <c r="A45" s="168"/>
      <c r="B45" s="200"/>
      <c r="C45" s="167"/>
      <c r="E45" s="205">
        <v>0.31</v>
      </c>
      <c r="F45" s="159">
        <v>0.25</v>
      </c>
      <c r="G45" s="211">
        <v>0.66666666666666663</v>
      </c>
      <c r="H45" s="160"/>
      <c r="I45" s="160"/>
      <c r="J45" s="136"/>
      <c r="K45" s="165"/>
    </row>
    <row r="46" spans="1:12" x14ac:dyDescent="0.2">
      <c r="A46" s="168"/>
      <c r="B46" s="200"/>
      <c r="C46" s="167"/>
      <c r="E46" s="205">
        <v>0.32</v>
      </c>
      <c r="F46" s="159">
        <v>0.25</v>
      </c>
      <c r="G46" s="211">
        <v>0.55555555555555558</v>
      </c>
      <c r="H46" s="160"/>
      <c r="I46" s="160"/>
      <c r="J46" s="136"/>
      <c r="K46" s="165"/>
    </row>
    <row r="47" spans="1:12" x14ac:dyDescent="0.2">
      <c r="A47" s="168"/>
      <c r="B47" s="200"/>
      <c r="C47" s="167"/>
      <c r="E47" s="205">
        <v>0.33</v>
      </c>
      <c r="F47" s="159">
        <v>0.25</v>
      </c>
      <c r="G47" s="211">
        <v>0.55555555555555558</v>
      </c>
      <c r="H47" s="160"/>
      <c r="I47" s="160"/>
      <c r="J47" s="136"/>
      <c r="K47" s="165"/>
    </row>
    <row r="48" spans="1:12" x14ac:dyDescent="0.2">
      <c r="A48" s="168"/>
      <c r="B48" s="200"/>
      <c r="C48" s="167"/>
      <c r="E48" s="205">
        <v>0.34</v>
      </c>
      <c r="F48" s="159">
        <v>0.25</v>
      </c>
      <c r="G48" s="211">
        <v>0.55555555555555558</v>
      </c>
      <c r="H48" s="160"/>
      <c r="I48" s="160"/>
      <c r="J48" s="136"/>
      <c r="K48" s="165"/>
    </row>
    <row r="49" spans="1:11" x14ac:dyDescent="0.2">
      <c r="A49" s="168"/>
      <c r="B49" s="200"/>
      <c r="C49" s="167"/>
      <c r="E49" s="205">
        <v>0.35</v>
      </c>
      <c r="F49" s="159">
        <v>0.25</v>
      </c>
      <c r="G49" s="211">
        <v>0.55555555555555558</v>
      </c>
      <c r="H49" s="160"/>
      <c r="I49" s="160"/>
      <c r="J49" s="136"/>
      <c r="K49" s="165"/>
    </row>
    <row r="50" spans="1:11" x14ac:dyDescent="0.2">
      <c r="A50" s="168"/>
      <c r="B50" s="200"/>
      <c r="C50" s="167"/>
      <c r="E50" s="205">
        <v>0.36</v>
      </c>
      <c r="F50" s="159">
        <v>0.25</v>
      </c>
      <c r="G50" s="211">
        <v>0.44444444444444442</v>
      </c>
      <c r="H50" s="160"/>
      <c r="I50" s="160"/>
      <c r="J50" s="136"/>
      <c r="K50" s="165"/>
    </row>
    <row r="51" spans="1:11" x14ac:dyDescent="0.2">
      <c r="A51" s="168"/>
      <c r="B51" s="200"/>
      <c r="C51" s="167"/>
      <c r="E51" s="205">
        <v>0.37</v>
      </c>
      <c r="F51" s="159">
        <v>0.25</v>
      </c>
      <c r="G51" s="211">
        <v>0.44444444444444442</v>
      </c>
    </row>
    <row r="52" spans="1:11" x14ac:dyDescent="0.2">
      <c r="A52" s="168"/>
      <c r="B52" s="200"/>
      <c r="C52" s="167"/>
      <c r="E52" s="205">
        <v>0.38</v>
      </c>
      <c r="F52" s="159">
        <v>0.25</v>
      </c>
      <c r="G52" s="211">
        <v>0.44444444444444442</v>
      </c>
      <c r="H52" s="169"/>
      <c r="I52" s="169"/>
      <c r="K52" s="165"/>
    </row>
    <row r="53" spans="1:11" x14ac:dyDescent="0.2">
      <c r="A53" s="168"/>
      <c r="B53" s="200"/>
      <c r="C53" s="167"/>
      <c r="E53" s="205">
        <v>0.39</v>
      </c>
      <c r="F53" s="159">
        <v>0.25</v>
      </c>
      <c r="G53" s="211">
        <v>0.33333333333333331</v>
      </c>
      <c r="H53" s="169"/>
      <c r="I53" s="169"/>
      <c r="K53" s="165"/>
    </row>
    <row r="54" spans="1:11" x14ac:dyDescent="0.2">
      <c r="A54" s="168"/>
      <c r="B54" s="200"/>
      <c r="C54" s="167"/>
      <c r="E54" s="205">
        <v>0.4</v>
      </c>
      <c r="F54" s="159">
        <v>0.25</v>
      </c>
      <c r="G54" s="211">
        <v>0.33333333333333331</v>
      </c>
      <c r="H54" s="169"/>
      <c r="I54" s="169"/>
      <c r="K54" s="165"/>
    </row>
    <row r="55" spans="1:11" x14ac:dyDescent="0.2">
      <c r="A55" s="168"/>
      <c r="B55" s="200"/>
      <c r="C55" s="167"/>
      <c r="E55" s="205">
        <v>0.41</v>
      </c>
      <c r="F55" s="159">
        <v>0.125</v>
      </c>
      <c r="G55" s="211">
        <v>0.33333333333333331</v>
      </c>
      <c r="H55" s="169"/>
      <c r="I55" s="169"/>
      <c r="K55" s="165"/>
    </row>
    <row r="56" spans="1:11" x14ac:dyDescent="0.2">
      <c r="A56" s="168"/>
      <c r="B56" s="200"/>
      <c r="C56" s="167"/>
      <c r="E56" s="205">
        <v>0.42</v>
      </c>
      <c r="F56" s="159">
        <v>0.125</v>
      </c>
      <c r="G56" s="211">
        <v>0.33333333333333331</v>
      </c>
      <c r="H56" s="169"/>
      <c r="I56" s="169"/>
      <c r="K56" s="165"/>
    </row>
    <row r="57" spans="1:11" x14ac:dyDescent="0.2">
      <c r="A57" s="168"/>
      <c r="B57" s="200"/>
      <c r="C57" s="167"/>
      <c r="E57" s="205">
        <v>0.43</v>
      </c>
      <c r="F57" s="159">
        <v>0.125</v>
      </c>
      <c r="G57" s="211">
        <v>0.33333333333333331</v>
      </c>
      <c r="H57" s="169"/>
      <c r="I57" s="169"/>
      <c r="K57" s="165"/>
    </row>
    <row r="58" spans="1:11" x14ac:dyDescent="0.2">
      <c r="A58" s="168"/>
      <c r="B58" s="200"/>
      <c r="C58" s="167"/>
      <c r="E58" s="205">
        <v>0.44</v>
      </c>
      <c r="F58" s="159">
        <v>0.125</v>
      </c>
      <c r="G58" s="211">
        <v>0.33333333333333331</v>
      </c>
      <c r="H58" s="169"/>
      <c r="I58" s="169"/>
      <c r="K58" s="165"/>
    </row>
    <row r="59" spans="1:11" x14ac:dyDescent="0.2">
      <c r="A59" s="168"/>
      <c r="B59" s="200"/>
      <c r="C59" s="167"/>
      <c r="E59" s="205">
        <v>0.45</v>
      </c>
      <c r="F59" s="159">
        <v>0.125</v>
      </c>
      <c r="G59" s="211">
        <v>0.33333333333333331</v>
      </c>
      <c r="H59" s="169"/>
      <c r="I59" s="169"/>
      <c r="K59" s="165"/>
    </row>
    <row r="60" spans="1:11" x14ac:dyDescent="0.2">
      <c r="A60" s="168"/>
      <c r="B60" s="200"/>
      <c r="C60" s="167"/>
      <c r="E60" s="205">
        <v>0.46</v>
      </c>
      <c r="F60" s="159">
        <v>0.125</v>
      </c>
      <c r="G60" s="211">
        <v>0.33333333333333331</v>
      </c>
      <c r="H60" s="169"/>
      <c r="I60" s="169"/>
      <c r="K60" s="165"/>
    </row>
    <row r="61" spans="1:11" x14ac:dyDescent="0.2">
      <c r="A61" s="168"/>
      <c r="B61" s="200"/>
      <c r="C61" s="167"/>
      <c r="E61" s="205">
        <v>0.47</v>
      </c>
      <c r="F61" s="159">
        <v>0.125</v>
      </c>
      <c r="G61" s="211">
        <v>0.33333333333333331</v>
      </c>
      <c r="H61" s="169"/>
      <c r="I61" s="169"/>
      <c r="K61" s="165"/>
    </row>
    <row r="62" spans="1:11" x14ac:dyDescent="0.2">
      <c r="A62" s="168"/>
      <c r="B62" s="200"/>
      <c r="C62" s="167"/>
      <c r="E62" s="205">
        <v>0.48</v>
      </c>
      <c r="F62" s="159">
        <v>0.125</v>
      </c>
      <c r="G62" s="211">
        <v>0.33333333333333331</v>
      </c>
      <c r="H62" s="169"/>
      <c r="I62" s="169"/>
      <c r="K62" s="165"/>
    </row>
    <row r="63" spans="1:11" x14ac:dyDescent="0.2">
      <c r="A63" s="168"/>
      <c r="B63" s="200"/>
      <c r="C63" s="167"/>
      <c r="E63" s="205">
        <v>0.49</v>
      </c>
      <c r="F63" s="159">
        <v>0.125</v>
      </c>
      <c r="G63" s="211">
        <v>0.33333333333333331</v>
      </c>
      <c r="H63" s="169"/>
      <c r="I63" s="169"/>
      <c r="K63" s="165"/>
    </row>
    <row r="64" spans="1:11" x14ac:dyDescent="0.2">
      <c r="A64" s="168"/>
      <c r="B64" s="200"/>
      <c r="C64" s="167"/>
      <c r="E64" s="205">
        <v>0.5</v>
      </c>
      <c r="F64" s="159">
        <v>0.125</v>
      </c>
      <c r="G64" s="211">
        <v>0.33333333333333331</v>
      </c>
      <c r="H64" s="169"/>
      <c r="I64" s="169"/>
      <c r="K64" s="165"/>
    </row>
    <row r="65" spans="1:11" x14ac:dyDescent="0.2">
      <c r="A65" s="168"/>
      <c r="B65" s="200"/>
      <c r="C65" s="167"/>
      <c r="E65" s="205">
        <v>0.51</v>
      </c>
      <c r="F65" s="159">
        <v>0.125</v>
      </c>
      <c r="G65" s="211">
        <v>0.33333333333333331</v>
      </c>
      <c r="H65" s="169"/>
      <c r="I65" s="169"/>
      <c r="K65" s="165"/>
    </row>
    <row r="66" spans="1:11" x14ac:dyDescent="0.2">
      <c r="A66" s="168"/>
      <c r="B66" s="200"/>
      <c r="C66" s="167"/>
      <c r="E66" s="205">
        <v>0.52</v>
      </c>
      <c r="F66" s="159">
        <v>0.125</v>
      </c>
      <c r="G66" s="211">
        <v>0.33333333333333331</v>
      </c>
      <c r="H66" s="169"/>
      <c r="I66" s="169"/>
      <c r="K66" s="165"/>
    </row>
    <row r="67" spans="1:11" x14ac:dyDescent="0.2">
      <c r="A67" s="168"/>
      <c r="B67" s="200"/>
      <c r="C67" s="167"/>
      <c r="E67" s="205">
        <v>0.53</v>
      </c>
      <c r="F67" s="159">
        <v>0.125</v>
      </c>
      <c r="G67" s="211">
        <v>0.33333333333333331</v>
      </c>
      <c r="H67" s="169"/>
      <c r="I67" s="169"/>
      <c r="K67" s="165"/>
    </row>
    <row r="68" spans="1:11" x14ac:dyDescent="0.2">
      <c r="A68" s="168"/>
      <c r="B68" s="200"/>
      <c r="C68" s="167"/>
      <c r="E68" s="205">
        <v>0.54</v>
      </c>
      <c r="F68" s="159">
        <v>0.125</v>
      </c>
      <c r="G68" s="211">
        <v>0.33333333333333331</v>
      </c>
      <c r="H68" s="169"/>
      <c r="I68" s="169"/>
      <c r="K68" s="165"/>
    </row>
    <row r="69" spans="1:11" x14ac:dyDescent="0.2">
      <c r="A69" s="168"/>
      <c r="B69" s="200"/>
      <c r="C69" s="167"/>
      <c r="E69" s="205">
        <v>0.55000000000000004</v>
      </c>
      <c r="F69" s="159">
        <v>0.125</v>
      </c>
      <c r="G69" s="211">
        <v>0.33333333333333331</v>
      </c>
      <c r="H69" s="169"/>
      <c r="I69" s="169"/>
      <c r="K69" s="165"/>
    </row>
    <row r="70" spans="1:11" x14ac:dyDescent="0.2">
      <c r="A70" s="168"/>
      <c r="B70" s="200"/>
      <c r="C70" s="167"/>
      <c r="E70" s="205">
        <v>0.56000000000000005</v>
      </c>
      <c r="F70" s="159">
        <v>0.125</v>
      </c>
      <c r="G70" s="211">
        <v>0.33333333333333331</v>
      </c>
      <c r="H70" s="169"/>
      <c r="I70" s="169"/>
      <c r="K70" s="165"/>
    </row>
    <row r="71" spans="1:11" x14ac:dyDescent="0.2">
      <c r="A71" s="168"/>
      <c r="B71" s="200"/>
      <c r="C71" s="167"/>
      <c r="E71" s="205">
        <v>0.56999999999999995</v>
      </c>
      <c r="F71" s="159">
        <v>0.125</v>
      </c>
      <c r="G71" s="211">
        <v>0.33333333333333331</v>
      </c>
      <c r="H71" s="169"/>
      <c r="I71" s="169"/>
      <c r="K71" s="165"/>
    </row>
    <row r="72" spans="1:11" x14ac:dyDescent="0.2">
      <c r="A72" s="168"/>
      <c r="B72" s="200"/>
      <c r="C72" s="167"/>
      <c r="E72" s="205">
        <v>0.57999999999999996</v>
      </c>
      <c r="F72" s="159">
        <v>0.125</v>
      </c>
      <c r="G72" s="211">
        <v>0.33333333333333331</v>
      </c>
      <c r="H72" s="169"/>
      <c r="I72" s="169"/>
      <c r="K72" s="165"/>
    </row>
    <row r="73" spans="1:11" x14ac:dyDescent="0.2">
      <c r="A73" s="168"/>
      <c r="B73" s="200"/>
      <c r="C73" s="167"/>
      <c r="E73" s="205">
        <v>0.59</v>
      </c>
      <c r="F73" s="159">
        <v>0.125</v>
      </c>
      <c r="G73" s="211">
        <v>0.33333333333333331</v>
      </c>
      <c r="H73" s="169"/>
      <c r="I73" s="169"/>
      <c r="K73" s="165"/>
    </row>
    <row r="74" spans="1:11" x14ac:dyDescent="0.2">
      <c r="A74" s="168"/>
      <c r="B74" s="200"/>
      <c r="C74" s="167"/>
      <c r="E74" s="205">
        <v>0.6</v>
      </c>
      <c r="F74" s="159">
        <v>0.125</v>
      </c>
      <c r="G74" s="211">
        <v>0.33333333333333331</v>
      </c>
      <c r="H74" s="169"/>
      <c r="I74" s="169"/>
      <c r="K74" s="165"/>
    </row>
    <row r="75" spans="1:11" x14ac:dyDescent="0.2">
      <c r="A75" s="168"/>
      <c r="B75" s="200"/>
      <c r="C75" s="167"/>
      <c r="E75" s="205">
        <v>0.61</v>
      </c>
      <c r="F75" s="159">
        <v>0.125</v>
      </c>
      <c r="G75" s="211">
        <v>0.33333333333333331</v>
      </c>
      <c r="H75" s="169"/>
      <c r="I75" s="169"/>
      <c r="K75" s="165"/>
    </row>
    <row r="76" spans="1:11" x14ac:dyDescent="0.2">
      <c r="A76" s="168"/>
      <c r="B76" s="200"/>
      <c r="C76" s="167"/>
      <c r="E76" s="205">
        <v>0.62</v>
      </c>
      <c r="F76" s="159">
        <v>0.125</v>
      </c>
      <c r="G76" s="211">
        <v>0.1111111111111111</v>
      </c>
      <c r="H76" s="169"/>
      <c r="I76" s="169"/>
      <c r="K76" s="165"/>
    </row>
    <row r="77" spans="1:11" x14ac:dyDescent="0.2">
      <c r="A77" s="168"/>
      <c r="B77" s="200"/>
      <c r="C77" s="167"/>
      <c r="E77" s="205">
        <v>0.63</v>
      </c>
      <c r="F77" s="159">
        <v>0</v>
      </c>
      <c r="G77" s="211">
        <v>0.1111111111111111</v>
      </c>
      <c r="H77" s="169"/>
      <c r="I77" s="169"/>
      <c r="K77" s="165"/>
    </row>
    <row r="78" spans="1:11" x14ac:dyDescent="0.2">
      <c r="A78" s="168"/>
      <c r="B78" s="200"/>
      <c r="C78" s="167"/>
      <c r="E78" s="205">
        <v>0.64</v>
      </c>
      <c r="F78" s="159">
        <v>0</v>
      </c>
      <c r="G78" s="211">
        <v>0.1111111111111111</v>
      </c>
      <c r="H78" s="169"/>
      <c r="I78" s="169"/>
      <c r="K78" s="165"/>
    </row>
    <row r="79" spans="1:11" x14ac:dyDescent="0.2">
      <c r="A79" s="168"/>
      <c r="B79" s="200"/>
      <c r="C79" s="167"/>
      <c r="E79" s="205">
        <v>0.65</v>
      </c>
      <c r="F79" s="159">
        <v>0</v>
      </c>
      <c r="G79" s="211">
        <v>0.1111111111111111</v>
      </c>
      <c r="H79" s="169"/>
      <c r="I79" s="169"/>
      <c r="K79" s="165"/>
    </row>
    <row r="80" spans="1:11" x14ac:dyDescent="0.2">
      <c r="A80" s="168"/>
      <c r="B80" s="200"/>
      <c r="C80" s="167"/>
      <c r="E80" s="205">
        <v>0.66</v>
      </c>
      <c r="F80" s="159">
        <v>0</v>
      </c>
      <c r="G80" s="211">
        <v>0.1111111111111111</v>
      </c>
      <c r="H80" s="169"/>
      <c r="I80" s="169"/>
      <c r="K80" s="165"/>
    </row>
    <row r="81" spans="1:11" x14ac:dyDescent="0.2">
      <c r="A81" s="168"/>
      <c r="B81" s="200"/>
      <c r="C81" s="167"/>
      <c r="E81" s="205">
        <v>0.67</v>
      </c>
      <c r="F81" s="159">
        <v>0</v>
      </c>
      <c r="G81" s="211">
        <v>0.1111111111111111</v>
      </c>
      <c r="H81" s="169"/>
      <c r="I81" s="169"/>
      <c r="K81" s="165"/>
    </row>
    <row r="82" spans="1:11" x14ac:dyDescent="0.2">
      <c r="A82" s="168"/>
      <c r="B82" s="200"/>
      <c r="C82" s="167"/>
      <c r="E82" s="205">
        <v>0.68</v>
      </c>
      <c r="F82" s="159">
        <v>0</v>
      </c>
      <c r="G82" s="211">
        <v>0.1111111111111111</v>
      </c>
      <c r="H82" s="169"/>
      <c r="I82" s="169"/>
      <c r="K82" s="165"/>
    </row>
    <row r="83" spans="1:11" x14ac:dyDescent="0.2">
      <c r="A83" s="168"/>
      <c r="B83" s="200"/>
      <c r="C83" s="167"/>
      <c r="E83" s="205">
        <v>0.69</v>
      </c>
      <c r="F83" s="159">
        <v>0</v>
      </c>
      <c r="G83" s="211">
        <v>0.1111111111111111</v>
      </c>
      <c r="H83" s="169"/>
      <c r="I83" s="169"/>
      <c r="K83" s="165"/>
    </row>
    <row r="84" spans="1:11" x14ac:dyDescent="0.2">
      <c r="A84" s="168"/>
      <c r="B84" s="200"/>
      <c r="C84" s="167"/>
      <c r="E84" s="205">
        <v>0.7</v>
      </c>
      <c r="F84" s="159">
        <v>0</v>
      </c>
      <c r="G84" s="211">
        <v>0.1111111111111111</v>
      </c>
      <c r="H84" s="169"/>
      <c r="I84" s="169"/>
      <c r="K84" s="165"/>
    </row>
    <row r="85" spans="1:11" x14ac:dyDescent="0.2">
      <c r="A85" s="168"/>
      <c r="B85" s="200"/>
      <c r="C85" s="167"/>
      <c r="E85" s="205">
        <v>0.71</v>
      </c>
      <c r="F85" s="159">
        <v>0</v>
      </c>
      <c r="G85" s="211">
        <v>0.1111111111111111</v>
      </c>
      <c r="H85" s="169"/>
      <c r="I85" s="169"/>
      <c r="K85" s="165"/>
    </row>
    <row r="86" spans="1:11" x14ac:dyDescent="0.2">
      <c r="A86" s="168"/>
      <c r="B86" s="200"/>
      <c r="C86" s="167"/>
      <c r="E86" s="205">
        <v>0.72</v>
      </c>
      <c r="F86" s="159">
        <v>0</v>
      </c>
      <c r="G86" s="211">
        <v>0.1111111111111111</v>
      </c>
      <c r="H86" s="169"/>
      <c r="I86" s="169"/>
      <c r="K86" s="165"/>
    </row>
    <row r="87" spans="1:11" x14ac:dyDescent="0.2">
      <c r="A87" s="168"/>
      <c r="B87" s="200"/>
      <c r="C87" s="167"/>
      <c r="E87" s="205">
        <v>0.73</v>
      </c>
      <c r="F87" s="159">
        <v>0</v>
      </c>
      <c r="G87" s="211">
        <v>0.1111111111111111</v>
      </c>
      <c r="H87" s="169"/>
      <c r="I87" s="169"/>
      <c r="K87" s="165"/>
    </row>
    <row r="88" spans="1:11" x14ac:dyDescent="0.2">
      <c r="A88" s="168"/>
      <c r="B88" s="200"/>
      <c r="C88" s="167"/>
      <c r="E88" s="205">
        <v>0.74</v>
      </c>
      <c r="F88" s="159">
        <v>0</v>
      </c>
      <c r="G88" s="211">
        <v>0.1111111111111111</v>
      </c>
      <c r="H88" s="169"/>
      <c r="I88" s="169"/>
      <c r="K88" s="165"/>
    </row>
    <row r="89" spans="1:11" x14ac:dyDescent="0.2">
      <c r="A89" s="168"/>
      <c r="B89" s="200"/>
      <c r="C89" s="167"/>
      <c r="E89" s="205">
        <v>0.75</v>
      </c>
      <c r="F89" s="159">
        <v>0</v>
      </c>
      <c r="G89" s="211">
        <v>0.1111111111111111</v>
      </c>
      <c r="H89" s="169"/>
      <c r="I89" s="169"/>
      <c r="K89" s="165"/>
    </row>
    <row r="90" spans="1:11" x14ac:dyDescent="0.2">
      <c r="A90" s="168"/>
      <c r="B90" s="200"/>
      <c r="C90" s="167"/>
      <c r="E90" s="205">
        <v>0.76</v>
      </c>
      <c r="F90" s="159">
        <v>0</v>
      </c>
      <c r="G90" s="211">
        <v>0</v>
      </c>
      <c r="H90" s="169"/>
      <c r="I90" s="169"/>
      <c r="K90" s="165"/>
    </row>
    <row r="91" spans="1:11" x14ac:dyDescent="0.2">
      <c r="A91" s="168"/>
      <c r="B91" s="200"/>
      <c r="C91" s="167"/>
      <c r="E91" s="205">
        <v>0.77</v>
      </c>
      <c r="F91" s="159">
        <v>0</v>
      </c>
      <c r="G91" s="211">
        <v>0</v>
      </c>
      <c r="H91" s="169"/>
      <c r="I91" s="169"/>
      <c r="K91" s="165"/>
    </row>
    <row r="92" spans="1:11" x14ac:dyDescent="0.2">
      <c r="A92" s="168"/>
      <c r="B92" s="200"/>
      <c r="C92" s="167"/>
      <c r="E92" s="205">
        <v>0.78</v>
      </c>
      <c r="F92" s="159">
        <v>0</v>
      </c>
      <c r="G92" s="211">
        <v>0</v>
      </c>
      <c r="H92" s="169"/>
      <c r="I92" s="169"/>
      <c r="K92" s="165"/>
    </row>
    <row r="93" spans="1:11" x14ac:dyDescent="0.2">
      <c r="A93" s="168"/>
      <c r="B93" s="200"/>
      <c r="C93" s="167"/>
      <c r="E93" s="205">
        <v>0.79</v>
      </c>
      <c r="F93" s="159">
        <v>0</v>
      </c>
      <c r="G93" s="211">
        <v>0</v>
      </c>
      <c r="H93" s="169"/>
      <c r="I93" s="169"/>
      <c r="K93" s="165"/>
    </row>
    <row r="94" spans="1:11" x14ac:dyDescent="0.2">
      <c r="A94" s="168"/>
      <c r="B94" s="200"/>
      <c r="C94" s="167"/>
      <c r="E94" s="205">
        <v>0.8</v>
      </c>
      <c r="F94" s="159">
        <v>0</v>
      </c>
      <c r="G94" s="211">
        <v>0</v>
      </c>
      <c r="H94" s="169"/>
      <c r="I94" s="169"/>
      <c r="K94" s="165"/>
    </row>
    <row r="95" spans="1:11" x14ac:dyDescent="0.2">
      <c r="A95" s="168"/>
      <c r="B95" s="200"/>
      <c r="C95" s="167"/>
      <c r="E95" s="205">
        <v>0.81</v>
      </c>
      <c r="F95" s="159">
        <v>0</v>
      </c>
      <c r="G95" s="211">
        <v>0</v>
      </c>
      <c r="H95" s="169"/>
      <c r="I95" s="169"/>
      <c r="K95" s="165"/>
    </row>
    <row r="96" spans="1:11" x14ac:dyDescent="0.2">
      <c r="A96" s="168"/>
      <c r="B96" s="200"/>
      <c r="C96" s="167"/>
      <c r="E96" s="205">
        <v>0.82</v>
      </c>
      <c r="F96" s="159">
        <v>0</v>
      </c>
      <c r="G96" s="211">
        <v>0</v>
      </c>
      <c r="H96" s="169"/>
      <c r="I96" s="169"/>
      <c r="K96" s="165"/>
    </row>
    <row r="97" spans="1:11" x14ac:dyDescent="0.2">
      <c r="A97" s="168"/>
      <c r="B97" s="200"/>
      <c r="C97" s="167"/>
      <c r="E97" s="205">
        <v>0.83</v>
      </c>
      <c r="F97" s="159">
        <v>0</v>
      </c>
      <c r="G97" s="211">
        <v>0</v>
      </c>
      <c r="H97" s="169"/>
      <c r="I97" s="169"/>
      <c r="K97" s="165"/>
    </row>
    <row r="98" spans="1:11" x14ac:dyDescent="0.2">
      <c r="A98" s="168"/>
      <c r="B98" s="200"/>
      <c r="C98" s="167"/>
      <c r="E98" s="205">
        <v>0.84</v>
      </c>
      <c r="F98" s="159">
        <v>0</v>
      </c>
      <c r="G98" s="211">
        <v>0</v>
      </c>
      <c r="H98" s="169"/>
      <c r="I98" s="169"/>
      <c r="K98" s="165"/>
    </row>
    <row r="99" spans="1:11" x14ac:dyDescent="0.2">
      <c r="A99" s="168"/>
      <c r="B99" s="200"/>
      <c r="C99" s="167"/>
      <c r="E99" s="205">
        <v>0.85</v>
      </c>
      <c r="F99" s="159">
        <v>0</v>
      </c>
      <c r="G99" s="211">
        <v>0</v>
      </c>
      <c r="H99" s="169"/>
      <c r="I99" s="169"/>
      <c r="K99" s="165"/>
    </row>
    <row r="100" spans="1:11" x14ac:dyDescent="0.2">
      <c r="A100" s="168"/>
      <c r="B100" s="200"/>
      <c r="C100" s="167"/>
      <c r="E100" s="205">
        <v>0.86</v>
      </c>
      <c r="F100" s="159">
        <v>0</v>
      </c>
      <c r="G100" s="211">
        <v>0</v>
      </c>
      <c r="H100" s="169"/>
      <c r="I100" s="169"/>
      <c r="K100" s="165"/>
    </row>
    <row r="101" spans="1:11" x14ac:dyDescent="0.2">
      <c r="A101" s="168"/>
      <c r="B101" s="200"/>
      <c r="C101" s="167"/>
      <c r="E101" s="205">
        <v>0.87</v>
      </c>
      <c r="F101" s="159">
        <v>0</v>
      </c>
      <c r="G101" s="211">
        <v>0</v>
      </c>
      <c r="H101" s="169"/>
      <c r="I101" s="169"/>
      <c r="K101" s="165"/>
    </row>
    <row r="102" spans="1:11" x14ac:dyDescent="0.2">
      <c r="A102" s="168"/>
      <c r="B102" s="200"/>
      <c r="C102" s="167"/>
      <c r="E102" s="205">
        <v>0.88</v>
      </c>
      <c r="F102" s="159">
        <v>0</v>
      </c>
      <c r="G102" s="211">
        <v>0</v>
      </c>
      <c r="H102" s="169"/>
      <c r="I102" s="169"/>
      <c r="K102" s="165"/>
    </row>
    <row r="103" spans="1:11" x14ac:dyDescent="0.2">
      <c r="A103" s="168"/>
      <c r="B103" s="200"/>
      <c r="C103" s="167"/>
      <c r="E103" s="205">
        <v>0.89</v>
      </c>
      <c r="F103" s="159">
        <v>0</v>
      </c>
      <c r="G103" s="211">
        <v>0</v>
      </c>
      <c r="H103" s="169"/>
      <c r="I103" s="169"/>
      <c r="K103" s="165"/>
    </row>
    <row r="104" spans="1:11" x14ac:dyDescent="0.2">
      <c r="A104" s="168"/>
      <c r="B104" s="200"/>
      <c r="C104" s="167"/>
      <c r="E104" s="205">
        <v>0.9</v>
      </c>
      <c r="F104" s="159">
        <v>0</v>
      </c>
      <c r="G104" s="211">
        <v>0</v>
      </c>
    </row>
    <row r="105" spans="1:11" x14ac:dyDescent="0.2">
      <c r="A105" s="168"/>
      <c r="B105" s="200"/>
      <c r="C105" s="167"/>
      <c r="E105" s="205">
        <v>0.91</v>
      </c>
      <c r="F105" s="159">
        <v>0</v>
      </c>
      <c r="G105" s="211">
        <v>0</v>
      </c>
    </row>
    <row r="106" spans="1:11" x14ac:dyDescent="0.2">
      <c r="A106" s="168"/>
      <c r="B106" s="200"/>
      <c r="C106" s="167"/>
      <c r="E106" s="205">
        <v>0.92</v>
      </c>
      <c r="F106" s="159">
        <v>0</v>
      </c>
      <c r="G106" s="211">
        <v>0</v>
      </c>
    </row>
    <row r="107" spans="1:11" x14ac:dyDescent="0.2">
      <c r="A107" s="168"/>
      <c r="B107" s="200"/>
      <c r="C107" s="167"/>
      <c r="E107" s="205">
        <v>0.93</v>
      </c>
      <c r="F107" s="159">
        <v>0</v>
      </c>
      <c r="G107" s="211">
        <v>0</v>
      </c>
    </row>
    <row r="108" spans="1:11" x14ac:dyDescent="0.2">
      <c r="A108" s="168"/>
      <c r="B108" s="200"/>
      <c r="C108" s="167"/>
      <c r="E108" s="205">
        <v>0.94</v>
      </c>
      <c r="F108" s="159">
        <v>0</v>
      </c>
      <c r="G108" s="211">
        <v>0</v>
      </c>
    </row>
    <row r="109" spans="1:11" x14ac:dyDescent="0.2">
      <c r="A109" s="168"/>
      <c r="B109" s="200"/>
      <c r="C109" s="167"/>
      <c r="E109" s="205">
        <v>0.95</v>
      </c>
      <c r="F109" s="159">
        <v>0</v>
      </c>
      <c r="G109" s="211">
        <v>0</v>
      </c>
    </row>
    <row r="110" spans="1:11" x14ac:dyDescent="0.2">
      <c r="A110" s="168"/>
      <c r="B110" s="200"/>
      <c r="C110" s="167"/>
      <c r="E110" s="205">
        <v>0.96</v>
      </c>
      <c r="F110" s="159">
        <v>0</v>
      </c>
      <c r="G110" s="211">
        <v>0</v>
      </c>
    </row>
    <row r="111" spans="1:11" x14ac:dyDescent="0.2">
      <c r="A111" s="168"/>
      <c r="B111" s="200"/>
      <c r="C111" s="167"/>
      <c r="E111" s="205">
        <v>0.97</v>
      </c>
      <c r="F111" s="159">
        <v>0</v>
      </c>
      <c r="G111" s="211">
        <v>0</v>
      </c>
    </row>
    <row r="112" spans="1:11" x14ac:dyDescent="0.2">
      <c r="A112" s="168"/>
      <c r="B112" s="200"/>
      <c r="C112" s="167"/>
      <c r="E112" s="205">
        <v>0.98</v>
      </c>
      <c r="F112" s="159">
        <v>0</v>
      </c>
      <c r="G112" s="211">
        <v>0</v>
      </c>
    </row>
    <row r="113" spans="1:7" x14ac:dyDescent="0.2">
      <c r="A113" s="168"/>
      <c r="B113" s="200"/>
      <c r="C113" s="167"/>
      <c r="E113" s="205">
        <v>0.99</v>
      </c>
      <c r="F113" s="159">
        <v>0</v>
      </c>
      <c r="G113" s="211">
        <v>0</v>
      </c>
    </row>
    <row r="114" spans="1:7" x14ac:dyDescent="0.2">
      <c r="A114" s="168"/>
      <c r="B114" s="200"/>
      <c r="C114" s="167"/>
      <c r="E114" s="205">
        <v>1</v>
      </c>
      <c r="F114" s="161">
        <v>0</v>
      </c>
      <c r="G114" s="212">
        <v>0</v>
      </c>
    </row>
    <row r="115" spans="1:7" x14ac:dyDescent="0.2">
      <c r="A115" s="168"/>
      <c r="B115" s="200"/>
      <c r="C115" s="167"/>
      <c r="E115" s="205"/>
    </row>
    <row r="116" spans="1:7" x14ac:dyDescent="0.2">
      <c r="A116" s="168"/>
      <c r="B116" s="200"/>
      <c r="C116" s="167"/>
      <c r="E116" s="205"/>
    </row>
    <row r="117" spans="1:7" x14ac:dyDescent="0.2">
      <c r="A117" s="168"/>
      <c r="B117" s="200"/>
      <c r="C117" s="167"/>
      <c r="E117" s="205"/>
    </row>
    <row r="118" spans="1:7" x14ac:dyDescent="0.2">
      <c r="A118" s="168"/>
      <c r="B118" s="200"/>
      <c r="C118" s="167"/>
      <c r="E118" s="205"/>
    </row>
    <row r="119" spans="1:7" x14ac:dyDescent="0.2">
      <c r="A119" s="168"/>
      <c r="B119" s="200"/>
      <c r="C119" s="167"/>
      <c r="E119" s="205"/>
    </row>
    <row r="120" spans="1:7" x14ac:dyDescent="0.2">
      <c r="A120" s="168"/>
      <c r="B120" s="200"/>
      <c r="C120" s="167"/>
      <c r="E120" s="205"/>
    </row>
    <row r="121" spans="1:7" x14ac:dyDescent="0.2">
      <c r="A121" s="168"/>
      <c r="B121" s="200"/>
      <c r="C121" s="167"/>
      <c r="E121" s="205"/>
    </row>
    <row r="122" spans="1:7" x14ac:dyDescent="0.2">
      <c r="A122" s="168"/>
      <c r="B122" s="200"/>
      <c r="C122" s="167"/>
      <c r="E122" s="205"/>
    </row>
    <row r="123" spans="1:7" x14ac:dyDescent="0.2">
      <c r="A123" s="168"/>
      <c r="B123" s="200"/>
      <c r="C123" s="167"/>
      <c r="E123" s="205"/>
    </row>
    <row r="124" spans="1:7" x14ac:dyDescent="0.2">
      <c r="A124" s="168"/>
      <c r="B124" s="200"/>
      <c r="C124" s="167"/>
      <c r="E124" s="205"/>
    </row>
    <row r="125" spans="1:7" x14ac:dyDescent="0.2">
      <c r="A125" s="168"/>
      <c r="B125" s="200"/>
      <c r="C125" s="167"/>
      <c r="E125" s="205"/>
    </row>
    <row r="126" spans="1:7" x14ac:dyDescent="0.2">
      <c r="A126" s="168"/>
      <c r="B126" s="200"/>
      <c r="C126" s="167"/>
      <c r="E126" s="205"/>
    </row>
    <row r="127" spans="1:7" x14ac:dyDescent="0.2">
      <c r="A127" s="168"/>
      <c r="B127" s="200"/>
      <c r="C127" s="167"/>
    </row>
    <row r="128" spans="1:7" x14ac:dyDescent="0.2">
      <c r="A128" s="168"/>
      <c r="B128" s="200"/>
      <c r="C128" s="167"/>
    </row>
    <row r="129" spans="1:3" x14ac:dyDescent="0.2">
      <c r="A129" s="168"/>
      <c r="B129" s="200"/>
      <c r="C129" s="167"/>
    </row>
    <row r="130" spans="1:3" x14ac:dyDescent="0.2">
      <c r="A130" s="168"/>
      <c r="B130" s="200"/>
      <c r="C130" s="167"/>
    </row>
    <row r="131" spans="1:3" x14ac:dyDescent="0.2">
      <c r="A131" s="168"/>
      <c r="B131" s="200"/>
      <c r="C131" s="167"/>
    </row>
    <row r="132" spans="1:3" x14ac:dyDescent="0.2">
      <c r="A132" s="168"/>
      <c r="B132" s="200"/>
      <c r="C132" s="167"/>
    </row>
    <row r="133" spans="1:3" x14ac:dyDescent="0.2">
      <c r="A133" s="168"/>
      <c r="B133" s="200"/>
      <c r="C133" s="167"/>
    </row>
    <row r="134" spans="1:3" x14ac:dyDescent="0.2">
      <c r="A134" s="168"/>
      <c r="B134" s="200"/>
      <c r="C134" s="167"/>
    </row>
    <row r="135" spans="1:3" x14ac:dyDescent="0.2">
      <c r="A135" s="168"/>
      <c r="B135" s="200"/>
      <c r="C135" s="167"/>
    </row>
    <row r="136" spans="1:3" x14ac:dyDescent="0.2">
      <c r="A136" s="168"/>
      <c r="B136" s="200"/>
      <c r="C136" s="167"/>
    </row>
    <row r="137" spans="1:3" x14ac:dyDescent="0.2">
      <c r="A137" s="168"/>
      <c r="B137" s="200"/>
      <c r="C137" s="167"/>
    </row>
    <row r="138" spans="1:3" x14ac:dyDescent="0.2">
      <c r="A138" s="168"/>
      <c r="B138" s="200"/>
      <c r="C138" s="167"/>
    </row>
    <row r="139" spans="1:3" x14ac:dyDescent="0.2">
      <c r="A139" s="168"/>
      <c r="B139" s="200"/>
      <c r="C139" s="167"/>
    </row>
    <row r="140" spans="1:3" x14ac:dyDescent="0.2">
      <c r="A140" s="168"/>
      <c r="B140" s="200"/>
      <c r="C140" s="167"/>
    </row>
    <row r="141" spans="1:3" x14ac:dyDescent="0.2">
      <c r="A141" s="168"/>
      <c r="B141" s="200"/>
      <c r="C141" s="167"/>
    </row>
    <row r="142" spans="1:3" x14ac:dyDescent="0.2">
      <c r="A142" s="168"/>
      <c r="B142" s="200"/>
      <c r="C142" s="167"/>
    </row>
    <row r="143" spans="1:3" x14ac:dyDescent="0.2">
      <c r="A143" s="168"/>
      <c r="B143" s="200"/>
      <c r="C143" s="167"/>
    </row>
    <row r="144" spans="1:3" x14ac:dyDescent="0.2">
      <c r="A144" s="168"/>
      <c r="B144" s="200"/>
      <c r="C144" s="167"/>
    </row>
    <row r="145" spans="1:3" x14ac:dyDescent="0.2">
      <c r="A145" s="168"/>
      <c r="B145" s="200"/>
      <c r="C145" s="167"/>
    </row>
    <row r="146" spans="1:3" x14ac:dyDescent="0.2">
      <c r="A146" s="168"/>
      <c r="B146" s="200"/>
      <c r="C146" s="167"/>
    </row>
    <row r="147" spans="1:3" x14ac:dyDescent="0.2">
      <c r="A147" s="168"/>
      <c r="B147" s="200"/>
      <c r="C147" s="167"/>
    </row>
    <row r="148" spans="1:3" x14ac:dyDescent="0.2">
      <c r="A148" s="168"/>
      <c r="B148" s="200"/>
      <c r="C148" s="167"/>
    </row>
    <row r="149" spans="1:3" x14ac:dyDescent="0.2">
      <c r="A149" s="168"/>
      <c r="B149" s="200"/>
      <c r="C149" s="167"/>
    </row>
    <row r="150" spans="1:3" x14ac:dyDescent="0.2">
      <c r="A150" s="168"/>
      <c r="B150" s="200"/>
      <c r="C150" s="167"/>
    </row>
    <row r="151" spans="1:3" x14ac:dyDescent="0.2">
      <c r="A151" s="168"/>
      <c r="B151" s="200"/>
      <c r="C151" s="167"/>
    </row>
    <row r="152" spans="1:3" x14ac:dyDescent="0.2">
      <c r="A152" s="168"/>
      <c r="B152" s="200"/>
      <c r="C152" s="167"/>
    </row>
    <row r="153" spans="1:3" x14ac:dyDescent="0.2">
      <c r="A153" s="168"/>
      <c r="B153" s="200"/>
      <c r="C153" s="167"/>
    </row>
    <row r="154" spans="1:3" x14ac:dyDescent="0.2">
      <c r="A154" s="168"/>
      <c r="B154" s="200"/>
      <c r="C154" s="167"/>
    </row>
    <row r="155" spans="1:3" x14ac:dyDescent="0.2">
      <c r="A155" s="168"/>
      <c r="B155" s="200"/>
      <c r="C155" s="167"/>
    </row>
    <row r="156" spans="1:3" x14ac:dyDescent="0.2">
      <c r="A156" s="168"/>
      <c r="B156" s="200"/>
      <c r="C156" s="167"/>
    </row>
    <row r="157" spans="1:3" x14ac:dyDescent="0.2">
      <c r="A157" s="168"/>
      <c r="B157" s="200"/>
      <c r="C157" s="167"/>
    </row>
    <row r="158" spans="1:3" x14ac:dyDescent="0.2">
      <c r="A158" s="168"/>
      <c r="B158" s="200"/>
      <c r="C158" s="167"/>
    </row>
    <row r="159" spans="1:3" x14ac:dyDescent="0.2">
      <c r="A159" s="168"/>
      <c r="B159" s="200"/>
      <c r="C159" s="167"/>
    </row>
    <row r="160" spans="1:3" x14ac:dyDescent="0.2">
      <c r="A160" s="168"/>
      <c r="B160" s="200"/>
      <c r="C160" s="167"/>
    </row>
    <row r="161" spans="1:3" x14ac:dyDescent="0.2">
      <c r="A161" s="168"/>
      <c r="B161" s="200"/>
      <c r="C161" s="167"/>
    </row>
    <row r="162" spans="1:3" x14ac:dyDescent="0.2">
      <c r="A162" s="168"/>
      <c r="B162" s="200"/>
      <c r="C162" s="167"/>
    </row>
    <row r="163" spans="1:3" x14ac:dyDescent="0.2">
      <c r="A163" s="168"/>
      <c r="B163" s="200"/>
      <c r="C163" s="167"/>
    </row>
    <row r="164" spans="1:3" x14ac:dyDescent="0.2">
      <c r="A164" s="168"/>
      <c r="B164" s="200"/>
      <c r="C164" s="167"/>
    </row>
    <row r="165" spans="1:3" x14ac:dyDescent="0.2">
      <c r="A165" s="168"/>
      <c r="B165" s="200"/>
      <c r="C165" s="167"/>
    </row>
    <row r="166" spans="1:3" x14ac:dyDescent="0.2">
      <c r="A166" s="168"/>
      <c r="B166" s="200"/>
      <c r="C166" s="167"/>
    </row>
    <row r="167" spans="1:3" x14ac:dyDescent="0.2">
      <c r="A167" s="168"/>
      <c r="B167" s="200"/>
      <c r="C167" s="167"/>
    </row>
    <row r="168" spans="1:3" x14ac:dyDescent="0.2">
      <c r="A168" s="168"/>
      <c r="B168" s="200"/>
      <c r="C168" s="167"/>
    </row>
    <row r="169" spans="1:3" x14ac:dyDescent="0.2">
      <c r="A169" s="168"/>
      <c r="B169" s="200"/>
      <c r="C169" s="167"/>
    </row>
    <row r="170" spans="1:3" x14ac:dyDescent="0.2">
      <c r="A170" s="168"/>
      <c r="B170" s="200"/>
      <c r="C170" s="167"/>
    </row>
    <row r="171" spans="1:3" x14ac:dyDescent="0.2">
      <c r="A171" s="168"/>
      <c r="B171" s="200"/>
      <c r="C171" s="167"/>
    </row>
    <row r="172" spans="1:3" x14ac:dyDescent="0.2">
      <c r="A172" s="168"/>
      <c r="B172" s="200"/>
      <c r="C172" s="167"/>
    </row>
    <row r="173" spans="1:3" x14ac:dyDescent="0.2">
      <c r="A173" s="168"/>
      <c r="B173" s="200"/>
      <c r="C173" s="167"/>
    </row>
    <row r="174" spans="1:3" x14ac:dyDescent="0.2">
      <c r="A174" s="168"/>
      <c r="B174" s="200"/>
      <c r="C174" s="167"/>
    </row>
    <row r="175" spans="1:3" x14ac:dyDescent="0.2">
      <c r="A175" s="168"/>
      <c r="B175" s="200"/>
      <c r="C175" s="167"/>
    </row>
    <row r="176" spans="1:3" x14ac:dyDescent="0.2">
      <c r="A176" s="168"/>
      <c r="B176" s="200"/>
      <c r="C176" s="167"/>
    </row>
    <row r="177" spans="1:3" x14ac:dyDescent="0.2">
      <c r="A177" s="168"/>
      <c r="B177" s="200"/>
      <c r="C177" s="167"/>
    </row>
    <row r="178" spans="1:3" x14ac:dyDescent="0.2">
      <c r="A178" s="168"/>
      <c r="B178" s="200"/>
      <c r="C178" s="167"/>
    </row>
    <row r="179" spans="1:3" x14ac:dyDescent="0.2">
      <c r="A179" s="168"/>
      <c r="B179" s="200"/>
      <c r="C179" s="167"/>
    </row>
    <row r="180" spans="1:3" x14ac:dyDescent="0.2">
      <c r="A180" s="168"/>
      <c r="B180" s="200"/>
      <c r="C180" s="167"/>
    </row>
    <row r="181" spans="1:3" x14ac:dyDescent="0.2">
      <c r="A181" s="168"/>
      <c r="B181" s="200"/>
      <c r="C181" s="167"/>
    </row>
    <row r="182" spans="1:3" x14ac:dyDescent="0.2">
      <c r="A182" s="168"/>
      <c r="B182" s="200"/>
      <c r="C182" s="167"/>
    </row>
    <row r="183" spans="1:3" x14ac:dyDescent="0.2">
      <c r="A183" s="168"/>
      <c r="B183" s="200"/>
      <c r="C183" s="167"/>
    </row>
    <row r="184" spans="1:3" x14ac:dyDescent="0.2">
      <c r="A184" s="168"/>
      <c r="B184" s="200"/>
      <c r="C184" s="167"/>
    </row>
    <row r="185" spans="1:3" x14ac:dyDescent="0.2">
      <c r="A185" s="168"/>
      <c r="B185" s="200"/>
      <c r="C185" s="167"/>
    </row>
    <row r="186" spans="1:3" x14ac:dyDescent="0.2">
      <c r="A186" s="168"/>
      <c r="B186" s="200"/>
      <c r="C186" s="167"/>
    </row>
    <row r="187" spans="1:3" x14ac:dyDescent="0.2">
      <c r="A187" s="168"/>
      <c r="B187" s="200"/>
      <c r="C187" s="167"/>
    </row>
    <row r="188" spans="1:3" x14ac:dyDescent="0.2">
      <c r="A188" s="168"/>
      <c r="B188" s="200"/>
      <c r="C188" s="167"/>
    </row>
    <row r="189" spans="1:3" x14ac:dyDescent="0.2">
      <c r="A189" s="168"/>
      <c r="B189" s="200"/>
      <c r="C189" s="167"/>
    </row>
    <row r="190" spans="1:3" x14ac:dyDescent="0.2">
      <c r="A190" s="168"/>
      <c r="B190" s="200"/>
      <c r="C190" s="167"/>
    </row>
    <row r="191" spans="1:3" x14ac:dyDescent="0.2">
      <c r="A191" s="168"/>
      <c r="B191" s="200"/>
      <c r="C191" s="167"/>
    </row>
    <row r="192" spans="1:3" x14ac:dyDescent="0.2">
      <c r="A192" s="168"/>
      <c r="B192" s="200"/>
      <c r="C192" s="167"/>
    </row>
    <row r="193" spans="1:3" x14ac:dyDescent="0.2">
      <c r="A193" s="168"/>
      <c r="B193" s="200"/>
      <c r="C193" s="167"/>
    </row>
    <row r="194" spans="1:3" x14ac:dyDescent="0.2">
      <c r="A194" s="168"/>
      <c r="B194" s="200"/>
      <c r="C194" s="167"/>
    </row>
    <row r="195" spans="1:3" x14ac:dyDescent="0.2">
      <c r="A195" s="168"/>
      <c r="B195" s="200"/>
      <c r="C195" s="167"/>
    </row>
    <row r="196" spans="1:3" x14ac:dyDescent="0.2">
      <c r="A196" s="168"/>
      <c r="B196" s="200"/>
      <c r="C196" s="167"/>
    </row>
    <row r="197" spans="1:3" x14ac:dyDescent="0.2">
      <c r="A197" s="168"/>
      <c r="B197" s="200"/>
      <c r="C197" s="167"/>
    </row>
    <row r="198" spans="1:3" x14ac:dyDescent="0.2">
      <c r="A198" s="168"/>
      <c r="B198" s="200"/>
      <c r="C198" s="167"/>
    </row>
    <row r="199" spans="1:3" x14ac:dyDescent="0.2">
      <c r="A199" s="168"/>
      <c r="B199" s="200"/>
      <c r="C199" s="167"/>
    </row>
    <row r="200" spans="1:3" x14ac:dyDescent="0.2">
      <c r="A200" s="168"/>
      <c r="B200" s="200"/>
      <c r="C200" s="167"/>
    </row>
    <row r="201" spans="1:3" x14ac:dyDescent="0.2">
      <c r="A201" s="168"/>
      <c r="B201" s="200"/>
      <c r="C201" s="167"/>
    </row>
    <row r="202" spans="1:3" x14ac:dyDescent="0.2">
      <c r="A202" s="168"/>
      <c r="B202" s="200"/>
      <c r="C202" s="167"/>
    </row>
    <row r="203" spans="1:3" x14ac:dyDescent="0.2">
      <c r="A203" s="168"/>
      <c r="B203" s="200"/>
      <c r="C203" s="167"/>
    </row>
    <row r="204" spans="1:3" x14ac:dyDescent="0.2">
      <c r="A204" s="168"/>
      <c r="B204" s="200"/>
      <c r="C204" s="167"/>
    </row>
    <row r="205" spans="1:3" x14ac:dyDescent="0.2">
      <c r="A205" s="168"/>
      <c r="B205" s="200"/>
      <c r="C205" s="167"/>
    </row>
    <row r="206" spans="1:3" x14ac:dyDescent="0.2">
      <c r="A206" s="136"/>
      <c r="B206" s="136"/>
      <c r="C206" s="136"/>
    </row>
    <row r="207" spans="1:3" x14ac:dyDescent="0.2">
      <c r="A207" s="136"/>
      <c r="B207" s="136"/>
      <c r="C207" s="136"/>
    </row>
    <row r="208" spans="1:3" x14ac:dyDescent="0.2">
      <c r="A208" s="136"/>
      <c r="B208" s="136"/>
      <c r="C208" s="136"/>
    </row>
    <row r="209" spans="1:3" x14ac:dyDescent="0.2">
      <c r="A209" s="136"/>
      <c r="B209" s="136"/>
      <c r="C209" s="136"/>
    </row>
    <row r="210" spans="1:3" x14ac:dyDescent="0.2">
      <c r="A210" s="136"/>
      <c r="B210" s="136"/>
      <c r="C210" s="136"/>
    </row>
    <row r="211" spans="1:3" x14ac:dyDescent="0.2">
      <c r="A211" s="136"/>
      <c r="B211" s="136"/>
      <c r="C211" s="136"/>
    </row>
    <row r="212" spans="1:3" x14ac:dyDescent="0.2">
      <c r="A212" s="136"/>
      <c r="B212" s="136"/>
      <c r="C212" s="136"/>
    </row>
    <row r="213" spans="1:3" x14ac:dyDescent="0.2">
      <c r="A213" s="136"/>
      <c r="B213" s="136"/>
      <c r="C213" s="136"/>
    </row>
    <row r="214" spans="1:3" x14ac:dyDescent="0.2">
      <c r="A214" s="136"/>
      <c r="B214" s="136"/>
      <c r="C214" s="136"/>
    </row>
    <row r="215" spans="1:3" x14ac:dyDescent="0.2">
      <c r="A215" s="136"/>
      <c r="B215" s="136"/>
      <c r="C215" s="136"/>
    </row>
    <row r="216" spans="1:3" x14ac:dyDescent="0.2">
      <c r="A216" s="136"/>
      <c r="B216" s="136"/>
      <c r="C216" s="136"/>
    </row>
    <row r="217" spans="1:3" x14ac:dyDescent="0.2">
      <c r="A217" s="136"/>
      <c r="B217" s="136"/>
      <c r="C217" s="136"/>
    </row>
    <row r="218" spans="1:3" x14ac:dyDescent="0.2">
      <c r="A218" s="136"/>
      <c r="B218" s="136"/>
      <c r="C218" s="136"/>
    </row>
    <row r="219" spans="1:3" x14ac:dyDescent="0.2">
      <c r="A219" s="136"/>
      <c r="B219" s="136"/>
      <c r="C219" s="136"/>
    </row>
    <row r="220" spans="1:3" x14ac:dyDescent="0.2">
      <c r="A220" s="136"/>
      <c r="B220" s="136"/>
      <c r="C220" s="136"/>
    </row>
    <row r="221" spans="1:3" x14ac:dyDescent="0.2">
      <c r="A221" s="136"/>
      <c r="B221" s="136"/>
      <c r="C221" s="136"/>
    </row>
    <row r="222" spans="1:3" x14ac:dyDescent="0.2">
      <c r="A222" s="136"/>
      <c r="B222" s="136"/>
      <c r="C222" s="136"/>
    </row>
    <row r="223" spans="1:3" x14ac:dyDescent="0.2">
      <c r="A223" s="136"/>
      <c r="B223" s="136"/>
      <c r="C223" s="136"/>
    </row>
    <row r="224" spans="1:3" x14ac:dyDescent="0.2">
      <c r="A224" s="136"/>
      <c r="B224" s="136"/>
      <c r="C224" s="136"/>
    </row>
    <row r="225" spans="1:3" x14ac:dyDescent="0.2">
      <c r="A225" s="136"/>
      <c r="B225" s="136"/>
      <c r="C225" s="136"/>
    </row>
    <row r="226" spans="1:3" x14ac:dyDescent="0.2">
      <c r="A226" s="136"/>
      <c r="B226" s="136"/>
      <c r="C226" s="136"/>
    </row>
    <row r="227" spans="1:3" x14ac:dyDescent="0.2">
      <c r="A227" s="136"/>
      <c r="B227" s="136"/>
      <c r="C227" s="136"/>
    </row>
    <row r="228" spans="1:3" x14ac:dyDescent="0.2">
      <c r="A228" s="136"/>
      <c r="B228" s="136"/>
      <c r="C228" s="136"/>
    </row>
    <row r="229" spans="1:3" x14ac:dyDescent="0.2">
      <c r="A229" s="136"/>
      <c r="B229" s="136"/>
      <c r="C229" s="136"/>
    </row>
    <row r="230" spans="1:3" x14ac:dyDescent="0.2">
      <c r="A230" s="136"/>
      <c r="B230" s="136"/>
      <c r="C230" s="136"/>
    </row>
    <row r="231" spans="1:3" x14ac:dyDescent="0.2">
      <c r="A231" s="136"/>
      <c r="B231" s="136"/>
      <c r="C231" s="136"/>
    </row>
    <row r="232" spans="1:3" x14ac:dyDescent="0.2">
      <c r="A232" s="136"/>
      <c r="B232" s="136"/>
      <c r="C232" s="136"/>
    </row>
    <row r="233" spans="1:3" x14ac:dyDescent="0.2">
      <c r="A233" s="136"/>
      <c r="B233" s="136"/>
      <c r="C233" s="136"/>
    </row>
    <row r="234" spans="1:3" x14ac:dyDescent="0.2">
      <c r="A234" s="136"/>
      <c r="B234" s="136"/>
      <c r="C234" s="136"/>
    </row>
    <row r="235" spans="1:3" x14ac:dyDescent="0.2">
      <c r="A235" s="136"/>
      <c r="B235" s="136"/>
      <c r="C235" s="136"/>
    </row>
    <row r="236" spans="1:3" x14ac:dyDescent="0.2">
      <c r="A236" s="136"/>
      <c r="B236" s="136"/>
      <c r="C236" s="136"/>
    </row>
    <row r="237" spans="1:3" x14ac:dyDescent="0.2">
      <c r="A237" s="136"/>
      <c r="B237" s="136"/>
      <c r="C237" s="136"/>
    </row>
    <row r="238" spans="1:3" x14ac:dyDescent="0.2">
      <c r="A238" s="136"/>
      <c r="B238" s="136"/>
      <c r="C238" s="136"/>
    </row>
    <row r="239" spans="1:3" x14ac:dyDescent="0.2">
      <c r="A239" s="136"/>
      <c r="B239" s="136"/>
      <c r="C239" s="136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7"/>
  <dimension ref="A1:T239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9" style="134" customWidth="1"/>
    <col min="2" max="2" width="11.83203125" style="134" customWidth="1"/>
    <col min="3" max="3" width="13.1640625" style="134" customWidth="1"/>
    <col min="4" max="4" width="9.83203125" style="134" customWidth="1"/>
    <col min="5" max="13" width="9" style="134" customWidth="1"/>
    <col min="14" max="14" width="9.1640625" style="134" customWidth="1"/>
    <col min="15" max="16384" width="8.83203125" style="134"/>
  </cols>
  <sheetData>
    <row r="1" spans="1:20" x14ac:dyDescent="0.2">
      <c r="A1" s="133" t="s">
        <v>112</v>
      </c>
      <c r="E1" s="135"/>
      <c r="F1" s="135"/>
      <c r="K1" s="136"/>
      <c r="L1" s="136"/>
      <c r="P1" s="136"/>
    </row>
    <row r="2" spans="1:20" x14ac:dyDescent="0.2">
      <c r="A2" s="133"/>
      <c r="E2" s="135"/>
      <c r="F2" s="135"/>
      <c r="K2" s="136"/>
      <c r="L2" s="136"/>
      <c r="M2" s="136"/>
      <c r="N2" s="136"/>
      <c r="O2" s="136"/>
      <c r="P2" s="136"/>
    </row>
    <row r="3" spans="1:20" ht="16" x14ac:dyDescent="0.2">
      <c r="A3" s="133"/>
      <c r="B3" s="135" t="s">
        <v>70</v>
      </c>
      <c r="E3" s="139" t="s">
        <v>67</v>
      </c>
      <c r="F3" s="137"/>
      <c r="H3" s="147" t="str">
        <f t="array" ref="H3:K7">[1]!confusionMatrix(A6:A22,C6:C22)</f>
        <v>Confusion matrix (5,4)</v>
      </c>
      <c r="I3" s="146" t="str">
        <v>Predicted</v>
      </c>
      <c r="J3" s="146" t="str">
        <v/>
      </c>
      <c r="K3" s="134" t="str">
        <v/>
      </c>
      <c r="M3" s="151" t="s">
        <v>69</v>
      </c>
      <c r="N3" s="138" t="s">
        <v>70</v>
      </c>
      <c r="O3" s="138"/>
      <c r="P3" s="136"/>
    </row>
    <row r="4" spans="1:20" ht="16" x14ac:dyDescent="0.2">
      <c r="A4" s="135" t="s">
        <v>71</v>
      </c>
      <c r="B4" s="135" t="s">
        <v>99</v>
      </c>
      <c r="C4" s="135" t="s">
        <v>107</v>
      </c>
      <c r="E4" s="139" t="s">
        <v>68</v>
      </c>
      <c r="F4" s="137"/>
      <c r="H4" s="139" t="str">
        <v>Actual</v>
      </c>
      <c r="I4" s="146">
        <v>1</v>
      </c>
      <c r="J4" s="146">
        <v>0</v>
      </c>
      <c r="K4" s="139" t="str">
        <v>Total</v>
      </c>
      <c r="M4" s="140" t="s">
        <v>71</v>
      </c>
      <c r="N4" s="138">
        <v>1</v>
      </c>
      <c r="O4" s="138">
        <v>0</v>
      </c>
      <c r="P4" s="136"/>
      <c r="R4" s="139" t="s">
        <v>110</v>
      </c>
      <c r="S4" s="136" t="str">
        <f>"Area under the curve, AUC: "&amp; TEXT(E8,"0.00")</f>
        <v>Area under the curve, AUC: 0.71</v>
      </c>
      <c r="T4" s="136"/>
    </row>
    <row r="5" spans="1:20" ht="15" customHeight="1" x14ac:dyDescent="0.2">
      <c r="A5" s="135" t="s">
        <v>106</v>
      </c>
      <c r="B5" s="139" t="s">
        <v>109</v>
      </c>
      <c r="C5" s="135" t="s">
        <v>108</v>
      </c>
      <c r="E5" s="144">
        <v>0.4</v>
      </c>
      <c r="F5" s="137"/>
      <c r="H5" s="139">
        <v>1</v>
      </c>
      <c r="I5" s="148">
        <v>3</v>
      </c>
      <c r="J5" s="142">
        <v>6</v>
      </c>
      <c r="K5" s="137">
        <v>9</v>
      </c>
      <c r="M5" s="140">
        <v>1</v>
      </c>
      <c r="N5" s="148">
        <v>6</v>
      </c>
      <c r="O5" s="142">
        <v>10</v>
      </c>
      <c r="P5" s="136"/>
    </row>
    <row r="6" spans="1:20" x14ac:dyDescent="0.2">
      <c r="A6" s="201">
        <v>0</v>
      </c>
      <c r="B6" s="202">
        <v>4.2594386116257953E-2</v>
      </c>
      <c r="C6" s="142">
        <f t="shared" ref="C6:C22" si="0">IF(B6&gt;$E$5,1,0)</f>
        <v>0</v>
      </c>
      <c r="E6" s="137"/>
      <c r="F6" s="137"/>
      <c r="H6" s="139">
        <v>0</v>
      </c>
      <c r="I6" s="149">
        <v>2</v>
      </c>
      <c r="J6" s="150">
        <v>6</v>
      </c>
      <c r="K6" s="137">
        <v>8</v>
      </c>
      <c r="M6" s="140">
        <v>0</v>
      </c>
      <c r="N6" s="149">
        <v>3</v>
      </c>
      <c r="O6" s="150">
        <v>0</v>
      </c>
      <c r="P6" s="136"/>
    </row>
    <row r="7" spans="1:20" x14ac:dyDescent="0.2">
      <c r="A7" s="203">
        <v>0</v>
      </c>
      <c r="B7" s="200">
        <v>0.1106537041703258</v>
      </c>
      <c r="C7" s="143">
        <f t="shared" si="0"/>
        <v>0</v>
      </c>
      <c r="E7" s="147" t="s">
        <v>72</v>
      </c>
      <c r="F7" s="137"/>
      <c r="H7" s="139" t="str">
        <v>Total</v>
      </c>
      <c r="I7" s="137">
        <v>5</v>
      </c>
      <c r="J7" s="137">
        <v>12</v>
      </c>
      <c r="K7" s="137">
        <v>17</v>
      </c>
      <c r="M7" s="152"/>
      <c r="N7" s="209"/>
      <c r="O7" s="136"/>
      <c r="P7" s="136"/>
      <c r="R7" s="146" t="s">
        <v>114</v>
      </c>
    </row>
    <row r="8" spans="1:20" x14ac:dyDescent="0.2">
      <c r="A8" s="203">
        <v>0</v>
      </c>
      <c r="B8" s="200">
        <v>0.62183776202141461</v>
      </c>
      <c r="C8" s="143">
        <f t="shared" si="0"/>
        <v>1</v>
      </c>
      <c r="E8" s="232">
        <f>[1]!AUC(B6:B22,A6:A22)</f>
        <v>0.70833333333333337</v>
      </c>
      <c r="F8" s="137"/>
      <c r="H8" s="140"/>
      <c r="I8" s="153"/>
      <c r="J8" s="154"/>
      <c r="K8" s="139"/>
      <c r="M8" s="152"/>
      <c r="N8" s="155"/>
      <c r="P8" s="136"/>
      <c r="R8" s="141">
        <f>H13</f>
        <v>0.3</v>
      </c>
      <c r="S8" s="217">
        <v>0</v>
      </c>
    </row>
    <row r="9" spans="1:20" x14ac:dyDescent="0.2">
      <c r="A9" s="203">
        <v>0</v>
      </c>
      <c r="B9" s="200">
        <v>0.40021311193062037</v>
      </c>
      <c r="C9" s="143">
        <f t="shared" si="0"/>
        <v>1</v>
      </c>
      <c r="F9" s="137"/>
      <c r="H9" s="156" t="s">
        <v>100</v>
      </c>
      <c r="I9" s="153"/>
      <c r="K9" s="139"/>
      <c r="L9" s="139"/>
      <c r="R9" s="170">
        <f>H13</f>
        <v>0.3</v>
      </c>
      <c r="S9" s="214">
        <f>H12</f>
        <v>68</v>
      </c>
    </row>
    <row r="10" spans="1:20" x14ac:dyDescent="0.2">
      <c r="A10" s="203">
        <v>1</v>
      </c>
      <c r="B10" s="200">
        <v>0.61651110678963505</v>
      </c>
      <c r="C10" s="143">
        <f t="shared" si="0"/>
        <v>1</v>
      </c>
      <c r="F10" s="137"/>
      <c r="H10" s="146" t="s">
        <v>101</v>
      </c>
      <c r="I10" s="153"/>
      <c r="L10" s="137"/>
    </row>
    <row r="11" spans="1:20" x14ac:dyDescent="0.2">
      <c r="A11" s="203">
        <v>1</v>
      </c>
      <c r="B11" s="200">
        <v>0.7567137061419239</v>
      </c>
      <c r="C11" s="143">
        <f t="shared" si="0"/>
        <v>1</v>
      </c>
    </row>
    <row r="12" spans="1:20" x14ac:dyDescent="0.2">
      <c r="A12" s="203">
        <v>1</v>
      </c>
      <c r="B12" s="200">
        <v>0.38162764662699322</v>
      </c>
      <c r="C12" s="143">
        <f t="shared" si="0"/>
        <v>0</v>
      </c>
      <c r="G12" s="139" t="s">
        <v>117</v>
      </c>
      <c r="H12" s="215">
        <f>MIN(H18:H118)</f>
        <v>68</v>
      </c>
    </row>
    <row r="13" spans="1:20" x14ac:dyDescent="0.2">
      <c r="A13" s="203">
        <v>1</v>
      </c>
      <c r="B13" s="200">
        <v>0.61300721542708669</v>
      </c>
      <c r="C13" s="143">
        <f t="shared" si="0"/>
        <v>1</v>
      </c>
      <c r="G13" s="139" t="s">
        <v>113</v>
      </c>
      <c r="H13" s="216">
        <f>INDEX($E$18:$E$118,MATCH(H12,$H$18:$H$118,0))</f>
        <v>0.3</v>
      </c>
    </row>
    <row r="14" spans="1:20" ht="15" customHeight="1" x14ac:dyDescent="0.2">
      <c r="A14" s="203">
        <v>0</v>
      </c>
      <c r="B14" s="200">
        <v>0.21916286153049264</v>
      </c>
      <c r="C14" s="143">
        <f t="shared" si="0"/>
        <v>0</v>
      </c>
    </row>
    <row r="15" spans="1:20" x14ac:dyDescent="0.2">
      <c r="A15" s="203">
        <v>1</v>
      </c>
      <c r="B15" s="200">
        <v>0.35548131954718842</v>
      </c>
      <c r="C15" s="143">
        <f t="shared" si="0"/>
        <v>0</v>
      </c>
      <c r="F15" s="145" t="s">
        <v>105</v>
      </c>
    </row>
    <row r="16" spans="1:20" x14ac:dyDescent="0.2">
      <c r="A16" s="203">
        <v>0</v>
      </c>
      <c r="B16" s="200">
        <v>0.29178817545700741</v>
      </c>
      <c r="C16" s="143">
        <f t="shared" si="0"/>
        <v>0</v>
      </c>
      <c r="E16" s="139" t="s">
        <v>67</v>
      </c>
      <c r="F16" s="206" t="s">
        <v>104</v>
      </c>
      <c r="G16" s="206" t="s">
        <v>103</v>
      </c>
      <c r="H16" s="139" t="s">
        <v>115</v>
      </c>
    </row>
    <row r="17" spans="1:16" x14ac:dyDescent="0.2">
      <c r="A17" s="203">
        <v>1</v>
      </c>
      <c r="B17" s="200">
        <v>0.2030683274008982</v>
      </c>
      <c r="C17" s="143">
        <f t="shared" si="0"/>
        <v>0</v>
      </c>
      <c r="E17" s="139" t="s">
        <v>68</v>
      </c>
      <c r="F17" s="139" t="s">
        <v>102</v>
      </c>
      <c r="G17" s="139" t="s">
        <v>102</v>
      </c>
      <c r="H17" s="139" t="s">
        <v>116</v>
      </c>
      <c r="I17" s="163"/>
      <c r="K17" s="137"/>
    </row>
    <row r="18" spans="1:16" x14ac:dyDescent="0.2">
      <c r="A18" s="203">
        <v>0</v>
      </c>
      <c r="B18" s="200">
        <v>0.17514227286071607</v>
      </c>
      <c r="C18" s="143">
        <f t="shared" si="0"/>
        <v>0</v>
      </c>
      <c r="E18" s="205">
        <v>0</v>
      </c>
      <c r="F18" s="157">
        <f t="array" ref="F18:H118">[1]!ROC(B6:B22,A6:A22,E18:E118,N5:O6)</f>
        <v>1</v>
      </c>
      <c r="G18" s="158">
        <v>1</v>
      </c>
      <c r="H18" s="217">
        <v>78</v>
      </c>
      <c r="I18" s="163"/>
    </row>
    <row r="19" spans="1:16" x14ac:dyDescent="0.2">
      <c r="A19" s="203">
        <v>1</v>
      </c>
      <c r="B19" s="200">
        <v>0.10908631915521003</v>
      </c>
      <c r="C19" s="143">
        <f t="shared" si="0"/>
        <v>0</v>
      </c>
      <c r="E19" s="205">
        <v>0.01</v>
      </c>
      <c r="F19" s="159">
        <v>1</v>
      </c>
      <c r="G19" s="160">
        <v>1</v>
      </c>
      <c r="H19" s="213">
        <v>78</v>
      </c>
      <c r="I19" s="163"/>
      <c r="M19" s="139"/>
    </row>
    <row r="20" spans="1:16" x14ac:dyDescent="0.2">
      <c r="A20" s="203">
        <v>1</v>
      </c>
      <c r="B20" s="200">
        <v>0.30091209069055447</v>
      </c>
      <c r="C20" s="143">
        <f t="shared" si="0"/>
        <v>0</v>
      </c>
      <c r="E20" s="205">
        <v>0.02</v>
      </c>
      <c r="F20" s="159">
        <v>1</v>
      </c>
      <c r="G20" s="160">
        <v>1</v>
      </c>
      <c r="H20" s="213">
        <v>78</v>
      </c>
      <c r="I20" s="165"/>
      <c r="M20" s="139"/>
    </row>
    <row r="21" spans="1:16" x14ac:dyDescent="0.2">
      <c r="A21" s="203">
        <v>1</v>
      </c>
      <c r="B21" s="200">
        <v>0.3140134258616617</v>
      </c>
      <c r="C21" s="143">
        <f t="shared" si="0"/>
        <v>0</v>
      </c>
      <c r="E21" s="205">
        <v>0.03</v>
      </c>
      <c r="F21" s="159">
        <v>1</v>
      </c>
      <c r="G21" s="160">
        <v>1</v>
      </c>
      <c r="H21" s="213">
        <v>78</v>
      </c>
      <c r="I21" s="165"/>
      <c r="M21" s="139"/>
      <c r="N21" s="164"/>
    </row>
    <row r="22" spans="1:16" x14ac:dyDescent="0.2">
      <c r="A22" s="207">
        <v>0</v>
      </c>
      <c r="B22" s="204">
        <v>0.18007073244999422</v>
      </c>
      <c r="C22" s="150">
        <f t="shared" si="0"/>
        <v>0</v>
      </c>
      <c r="E22" s="205">
        <v>0.04</v>
      </c>
      <c r="F22" s="159">
        <v>1</v>
      </c>
      <c r="G22" s="160">
        <v>1</v>
      </c>
      <c r="H22" s="213">
        <v>78</v>
      </c>
      <c r="I22" s="165"/>
    </row>
    <row r="23" spans="1:16" x14ac:dyDescent="0.2">
      <c r="A23" s="136"/>
      <c r="B23" s="200"/>
      <c r="C23" s="167"/>
      <c r="E23" s="205">
        <v>0.05</v>
      </c>
      <c r="F23" s="159">
        <v>0.875</v>
      </c>
      <c r="G23" s="160">
        <v>1</v>
      </c>
      <c r="H23" s="213">
        <v>75</v>
      </c>
      <c r="I23" s="165"/>
    </row>
    <row r="24" spans="1:16" x14ac:dyDescent="0.2">
      <c r="A24" s="136"/>
      <c r="B24" s="200"/>
      <c r="C24" s="167"/>
      <c r="E24" s="205">
        <v>0.06</v>
      </c>
      <c r="F24" s="159">
        <v>0.875</v>
      </c>
      <c r="G24" s="160">
        <v>1</v>
      </c>
      <c r="H24" s="213">
        <v>75</v>
      </c>
      <c r="I24" s="165"/>
    </row>
    <row r="25" spans="1:16" x14ac:dyDescent="0.2">
      <c r="A25" s="136"/>
      <c r="B25" s="200"/>
      <c r="C25" s="167"/>
      <c r="E25" s="205">
        <v>7.0000000000000007E-2</v>
      </c>
      <c r="F25" s="159">
        <v>0.875</v>
      </c>
      <c r="G25" s="160">
        <v>1</v>
      </c>
      <c r="H25" s="213">
        <v>75</v>
      </c>
      <c r="I25" s="165"/>
      <c r="O25" s="136"/>
      <c r="P25" s="136"/>
    </row>
    <row r="26" spans="1:16" x14ac:dyDescent="0.2">
      <c r="A26" s="136"/>
      <c r="B26" s="200"/>
      <c r="C26" s="167"/>
      <c r="E26" s="205">
        <v>0.08</v>
      </c>
      <c r="F26" s="159">
        <v>0.875</v>
      </c>
      <c r="G26" s="160">
        <v>1</v>
      </c>
      <c r="H26" s="213">
        <v>75</v>
      </c>
      <c r="I26" s="165"/>
      <c r="M26" s="164"/>
      <c r="O26" s="136"/>
      <c r="P26" s="136"/>
    </row>
    <row r="27" spans="1:16" x14ac:dyDescent="0.2">
      <c r="A27" s="136"/>
      <c r="B27" s="200"/>
      <c r="C27" s="167"/>
      <c r="E27" s="205">
        <v>0.09</v>
      </c>
      <c r="F27" s="159">
        <v>0.875</v>
      </c>
      <c r="G27" s="160">
        <v>1</v>
      </c>
      <c r="H27" s="213">
        <v>75</v>
      </c>
      <c r="I27" s="165"/>
      <c r="M27" s="166"/>
      <c r="O27" s="167"/>
      <c r="P27" s="136"/>
    </row>
    <row r="28" spans="1:16" x14ac:dyDescent="0.2">
      <c r="A28" s="136"/>
      <c r="B28" s="200"/>
      <c r="C28" s="167"/>
      <c r="E28" s="205">
        <v>0.1</v>
      </c>
      <c r="F28" s="159">
        <v>0.875</v>
      </c>
      <c r="G28" s="160">
        <v>1</v>
      </c>
      <c r="H28" s="213">
        <v>75</v>
      </c>
      <c r="I28" s="165"/>
      <c r="O28" s="167"/>
      <c r="P28" s="136"/>
    </row>
    <row r="29" spans="1:16" x14ac:dyDescent="0.2">
      <c r="A29" s="136"/>
      <c r="B29" s="200"/>
      <c r="C29" s="167"/>
      <c r="E29" s="205">
        <v>0.11</v>
      </c>
      <c r="F29" s="159">
        <v>0.875</v>
      </c>
      <c r="G29" s="160">
        <v>0.88888888888888884</v>
      </c>
      <c r="H29" s="213">
        <v>79</v>
      </c>
      <c r="I29" s="165"/>
      <c r="O29" s="167"/>
      <c r="P29" s="136"/>
    </row>
    <row r="30" spans="1:16" x14ac:dyDescent="0.2">
      <c r="A30" s="136"/>
      <c r="B30" s="200"/>
      <c r="C30" s="167"/>
      <c r="E30" s="205">
        <v>0.12</v>
      </c>
      <c r="F30" s="159">
        <v>0.75</v>
      </c>
      <c r="G30" s="160">
        <v>0.88888888888888884</v>
      </c>
      <c r="H30" s="213">
        <v>76</v>
      </c>
      <c r="I30" s="165"/>
    </row>
    <row r="31" spans="1:16" x14ac:dyDescent="0.2">
      <c r="A31" s="136"/>
      <c r="B31" s="200"/>
      <c r="C31" s="167"/>
      <c r="E31" s="205">
        <v>0.13</v>
      </c>
      <c r="F31" s="159">
        <v>0.75</v>
      </c>
      <c r="G31" s="160">
        <v>0.88888888888888884</v>
      </c>
      <c r="H31" s="213">
        <v>76</v>
      </c>
      <c r="I31" s="165"/>
    </row>
    <row r="32" spans="1:16" x14ac:dyDescent="0.2">
      <c r="A32" s="136"/>
      <c r="B32" s="200"/>
      <c r="C32" s="167"/>
      <c r="E32" s="205">
        <v>0.14000000000000001</v>
      </c>
      <c r="F32" s="159">
        <v>0.75</v>
      </c>
      <c r="G32" s="160">
        <v>0.88888888888888884</v>
      </c>
      <c r="H32" s="213">
        <v>76</v>
      </c>
      <c r="I32" s="165"/>
    </row>
    <row r="33" spans="1:11" x14ac:dyDescent="0.2">
      <c r="A33" s="136"/>
      <c r="B33" s="200"/>
      <c r="C33" s="167"/>
      <c r="E33" s="205">
        <v>0.15</v>
      </c>
      <c r="F33" s="159">
        <v>0.75</v>
      </c>
      <c r="G33" s="160">
        <v>0.88888888888888884</v>
      </c>
      <c r="H33" s="213">
        <v>76</v>
      </c>
      <c r="I33" s="165"/>
    </row>
    <row r="34" spans="1:11" x14ac:dyDescent="0.2">
      <c r="A34" s="136"/>
      <c r="B34" s="200"/>
      <c r="C34" s="167"/>
      <c r="E34" s="205">
        <v>0.16</v>
      </c>
      <c r="F34" s="159">
        <v>0.75</v>
      </c>
      <c r="G34" s="160">
        <v>0.88888888888888884</v>
      </c>
      <c r="H34" s="213">
        <v>76</v>
      </c>
      <c r="I34" s="165"/>
    </row>
    <row r="35" spans="1:11" x14ac:dyDescent="0.2">
      <c r="A35" s="168"/>
      <c r="B35" s="200"/>
      <c r="C35" s="167"/>
      <c r="E35" s="205">
        <v>0.17</v>
      </c>
      <c r="F35" s="159">
        <v>0.75</v>
      </c>
      <c r="G35" s="160">
        <v>0.88888888888888884</v>
      </c>
      <c r="H35" s="213">
        <v>76</v>
      </c>
      <c r="I35" s="165"/>
    </row>
    <row r="36" spans="1:11" x14ac:dyDescent="0.2">
      <c r="A36" s="168"/>
      <c r="B36" s="200"/>
      <c r="C36" s="167"/>
      <c r="E36" s="205">
        <v>0.18</v>
      </c>
      <c r="F36" s="159">
        <v>0.625</v>
      </c>
      <c r="G36" s="160">
        <v>0.88888888888888884</v>
      </c>
      <c r="H36" s="213">
        <v>73</v>
      </c>
      <c r="I36" s="165"/>
    </row>
    <row r="37" spans="1:11" x14ac:dyDescent="0.2">
      <c r="A37" s="168"/>
      <c r="B37" s="200"/>
      <c r="C37" s="167"/>
      <c r="E37" s="205">
        <v>0.19</v>
      </c>
      <c r="F37" s="159">
        <v>0.5</v>
      </c>
      <c r="G37" s="160">
        <v>0.88888888888888884</v>
      </c>
      <c r="H37" s="213">
        <v>70</v>
      </c>
      <c r="I37" s="165"/>
    </row>
    <row r="38" spans="1:11" x14ac:dyDescent="0.2">
      <c r="A38" s="168"/>
      <c r="B38" s="200"/>
      <c r="C38" s="167"/>
      <c r="E38" s="205">
        <v>0.2</v>
      </c>
      <c r="F38" s="159">
        <v>0.5</v>
      </c>
      <c r="G38" s="160">
        <v>0.88888888888888884</v>
      </c>
      <c r="H38" s="213">
        <v>70</v>
      </c>
      <c r="I38" s="165"/>
    </row>
    <row r="39" spans="1:11" x14ac:dyDescent="0.2">
      <c r="A39" s="168"/>
      <c r="B39" s="200"/>
      <c r="C39" s="167"/>
      <c r="E39" s="205">
        <v>0.21</v>
      </c>
      <c r="F39" s="159">
        <v>0.5</v>
      </c>
      <c r="G39" s="160">
        <v>0.77777777777777779</v>
      </c>
      <c r="H39" s="213">
        <v>74</v>
      </c>
      <c r="I39" s="165"/>
    </row>
    <row r="40" spans="1:11" x14ac:dyDescent="0.2">
      <c r="A40" s="168"/>
      <c r="B40" s="200"/>
      <c r="C40" s="167"/>
      <c r="E40" s="205">
        <v>0.22</v>
      </c>
      <c r="F40" s="159">
        <v>0.375</v>
      </c>
      <c r="G40" s="160">
        <v>0.77777777777777779</v>
      </c>
      <c r="H40" s="213">
        <v>71</v>
      </c>
    </row>
    <row r="41" spans="1:11" x14ac:dyDescent="0.2">
      <c r="A41" s="168"/>
      <c r="B41" s="200"/>
      <c r="C41" s="167"/>
      <c r="E41" s="205">
        <v>0.23</v>
      </c>
      <c r="F41" s="159">
        <v>0.375</v>
      </c>
      <c r="G41" s="160">
        <v>0.77777777777777779</v>
      </c>
      <c r="H41" s="213">
        <v>71</v>
      </c>
    </row>
    <row r="42" spans="1:11" x14ac:dyDescent="0.2">
      <c r="A42" s="168"/>
      <c r="B42" s="200"/>
      <c r="C42" s="167"/>
      <c r="E42" s="205">
        <v>0.24</v>
      </c>
      <c r="F42" s="159">
        <v>0.375</v>
      </c>
      <c r="G42" s="160">
        <v>0.77777777777777779</v>
      </c>
      <c r="H42" s="213">
        <v>71</v>
      </c>
    </row>
    <row r="43" spans="1:11" x14ac:dyDescent="0.2">
      <c r="A43" s="168"/>
      <c r="B43" s="200"/>
      <c r="C43" s="167"/>
      <c r="E43" s="205">
        <v>0.25</v>
      </c>
      <c r="F43" s="159">
        <v>0.375</v>
      </c>
      <c r="G43" s="160">
        <v>0.77777777777777779</v>
      </c>
      <c r="H43" s="213">
        <v>71</v>
      </c>
    </row>
    <row r="44" spans="1:11" x14ac:dyDescent="0.2">
      <c r="A44" s="168"/>
      <c r="B44" s="200"/>
      <c r="C44" s="167"/>
      <c r="E44" s="205">
        <v>0.26</v>
      </c>
      <c r="F44" s="159">
        <v>0.375</v>
      </c>
      <c r="G44" s="160">
        <v>0.77777777777777779</v>
      </c>
      <c r="H44" s="213">
        <v>71</v>
      </c>
      <c r="I44" s="160"/>
    </row>
    <row r="45" spans="1:11" x14ac:dyDescent="0.2">
      <c r="A45" s="168"/>
      <c r="B45" s="200"/>
      <c r="C45" s="167"/>
      <c r="E45" s="205">
        <v>0.27</v>
      </c>
      <c r="F45" s="159">
        <v>0.375</v>
      </c>
      <c r="G45" s="160">
        <v>0.77777777777777779</v>
      </c>
      <c r="H45" s="213">
        <v>71</v>
      </c>
      <c r="I45" s="160"/>
      <c r="J45" s="136"/>
      <c r="K45" s="165"/>
    </row>
    <row r="46" spans="1:11" x14ac:dyDescent="0.2">
      <c r="A46" s="168"/>
      <c r="B46" s="200"/>
      <c r="C46" s="167"/>
      <c r="E46" s="205">
        <v>0.28000000000000003</v>
      </c>
      <c r="F46" s="159">
        <v>0.375</v>
      </c>
      <c r="G46" s="160">
        <v>0.77777777777777779</v>
      </c>
      <c r="H46" s="213">
        <v>71</v>
      </c>
      <c r="I46" s="160"/>
      <c r="J46" s="136"/>
      <c r="K46" s="165"/>
    </row>
    <row r="47" spans="1:11" x14ac:dyDescent="0.2">
      <c r="A47" s="168"/>
      <c r="B47" s="200"/>
      <c r="C47" s="167"/>
      <c r="E47" s="205">
        <v>0.28999999999999998</v>
      </c>
      <c r="F47" s="159">
        <v>0.375</v>
      </c>
      <c r="G47" s="160">
        <v>0.77777777777777779</v>
      </c>
      <c r="H47" s="213">
        <v>71</v>
      </c>
      <c r="I47" s="160"/>
      <c r="J47" s="136"/>
      <c r="K47" s="165"/>
    </row>
    <row r="48" spans="1:11" x14ac:dyDescent="0.2">
      <c r="A48" s="168"/>
      <c r="B48" s="200"/>
      <c r="C48" s="167"/>
      <c r="E48" s="205">
        <v>0.3</v>
      </c>
      <c r="F48" s="159">
        <v>0.25</v>
      </c>
      <c r="G48" s="160">
        <v>0.77777777777777779</v>
      </c>
      <c r="H48" s="213">
        <v>68</v>
      </c>
      <c r="I48" s="160"/>
      <c r="J48" s="136"/>
      <c r="K48" s="165"/>
    </row>
    <row r="49" spans="1:11" x14ac:dyDescent="0.2">
      <c r="A49" s="168"/>
      <c r="B49" s="200"/>
      <c r="C49" s="167"/>
      <c r="E49" s="205">
        <v>0.31</v>
      </c>
      <c r="F49" s="159">
        <v>0.25</v>
      </c>
      <c r="G49" s="160">
        <v>0.66666666666666663</v>
      </c>
      <c r="H49" s="213">
        <v>72</v>
      </c>
      <c r="I49" s="160"/>
      <c r="J49" s="136"/>
      <c r="K49" s="165"/>
    </row>
    <row r="50" spans="1:11" x14ac:dyDescent="0.2">
      <c r="A50" s="168"/>
      <c r="B50" s="200"/>
      <c r="C50" s="167"/>
      <c r="E50" s="205">
        <v>0.32</v>
      </c>
      <c r="F50" s="159">
        <v>0.25</v>
      </c>
      <c r="G50" s="160">
        <v>0.55555555555555558</v>
      </c>
      <c r="H50" s="213">
        <v>76</v>
      </c>
      <c r="J50" s="136"/>
      <c r="K50" s="165"/>
    </row>
    <row r="51" spans="1:11" x14ac:dyDescent="0.2">
      <c r="A51" s="168"/>
      <c r="B51" s="200"/>
      <c r="C51" s="167"/>
      <c r="E51" s="205">
        <v>0.33</v>
      </c>
      <c r="F51" s="159">
        <v>0.25</v>
      </c>
      <c r="G51" s="160">
        <v>0.55555555555555558</v>
      </c>
      <c r="H51" s="213">
        <v>76</v>
      </c>
      <c r="I51" s="169"/>
    </row>
    <row r="52" spans="1:11" x14ac:dyDescent="0.2">
      <c r="A52" s="168"/>
      <c r="B52" s="200"/>
      <c r="C52" s="167"/>
      <c r="E52" s="205">
        <v>0.34</v>
      </c>
      <c r="F52" s="159">
        <v>0.25</v>
      </c>
      <c r="G52" s="160">
        <v>0.55555555555555558</v>
      </c>
      <c r="H52" s="213">
        <v>76</v>
      </c>
      <c r="I52" s="169"/>
      <c r="K52" s="165"/>
    </row>
    <row r="53" spans="1:11" x14ac:dyDescent="0.2">
      <c r="A53" s="168"/>
      <c r="B53" s="200"/>
      <c r="C53" s="167"/>
      <c r="E53" s="205">
        <v>0.35</v>
      </c>
      <c r="F53" s="159">
        <v>0.25</v>
      </c>
      <c r="G53" s="160">
        <v>0.55555555555555558</v>
      </c>
      <c r="H53" s="213">
        <v>76</v>
      </c>
      <c r="I53" s="169"/>
      <c r="K53" s="165"/>
    </row>
    <row r="54" spans="1:11" x14ac:dyDescent="0.2">
      <c r="A54" s="168"/>
      <c r="B54" s="200"/>
      <c r="C54" s="167"/>
      <c r="E54" s="205">
        <v>0.36</v>
      </c>
      <c r="F54" s="159">
        <v>0.25</v>
      </c>
      <c r="G54" s="160">
        <v>0.44444444444444442</v>
      </c>
      <c r="H54" s="213">
        <v>80</v>
      </c>
      <c r="K54" s="165"/>
    </row>
    <row r="55" spans="1:11" x14ac:dyDescent="0.2">
      <c r="A55" s="168"/>
      <c r="B55" s="200"/>
      <c r="C55" s="167"/>
      <c r="E55" s="205">
        <v>0.37</v>
      </c>
      <c r="F55" s="159">
        <v>0.25</v>
      </c>
      <c r="G55" s="160">
        <v>0.44444444444444442</v>
      </c>
      <c r="H55" s="213">
        <v>80</v>
      </c>
      <c r="I55" s="169"/>
      <c r="K55" s="165"/>
    </row>
    <row r="56" spans="1:11" x14ac:dyDescent="0.2">
      <c r="A56" s="168"/>
      <c r="B56" s="200"/>
      <c r="C56" s="167"/>
      <c r="E56" s="205">
        <v>0.38</v>
      </c>
      <c r="F56" s="159">
        <v>0.25</v>
      </c>
      <c r="G56" s="160">
        <v>0.44444444444444442</v>
      </c>
      <c r="H56" s="213">
        <v>80</v>
      </c>
      <c r="I56" s="169"/>
      <c r="K56" s="165"/>
    </row>
    <row r="57" spans="1:11" x14ac:dyDescent="0.2">
      <c r="A57" s="168"/>
      <c r="B57" s="200"/>
      <c r="C57" s="167"/>
      <c r="E57" s="205">
        <v>0.39</v>
      </c>
      <c r="F57" s="159">
        <v>0.25</v>
      </c>
      <c r="G57" s="160">
        <v>0.33333333333333331</v>
      </c>
      <c r="H57" s="213">
        <v>84.000000000000014</v>
      </c>
      <c r="I57" s="169"/>
      <c r="K57" s="165"/>
    </row>
    <row r="58" spans="1:11" x14ac:dyDescent="0.2">
      <c r="A58" s="168"/>
      <c r="B58" s="200"/>
      <c r="C58" s="167"/>
      <c r="E58" s="205">
        <v>0.4</v>
      </c>
      <c r="F58" s="159">
        <v>0.25</v>
      </c>
      <c r="G58" s="160">
        <v>0.33333333333333331</v>
      </c>
      <c r="H58" s="213">
        <v>84.000000000000014</v>
      </c>
      <c r="I58" s="169"/>
      <c r="K58" s="165"/>
    </row>
    <row r="59" spans="1:11" x14ac:dyDescent="0.2">
      <c r="A59" s="168"/>
      <c r="B59" s="200"/>
      <c r="C59" s="167"/>
      <c r="E59" s="205">
        <v>0.41</v>
      </c>
      <c r="F59" s="159">
        <v>0.125</v>
      </c>
      <c r="G59" s="160">
        <v>0.33333333333333331</v>
      </c>
      <c r="H59" s="213">
        <v>81.000000000000014</v>
      </c>
      <c r="I59" s="169"/>
      <c r="K59" s="165"/>
    </row>
    <row r="60" spans="1:11" x14ac:dyDescent="0.2">
      <c r="A60" s="168"/>
      <c r="B60" s="200"/>
      <c r="C60" s="167"/>
      <c r="E60" s="205">
        <v>0.42</v>
      </c>
      <c r="F60" s="159">
        <v>0.125</v>
      </c>
      <c r="G60" s="160">
        <v>0.33333333333333331</v>
      </c>
      <c r="H60" s="213">
        <v>81.000000000000014</v>
      </c>
      <c r="I60" s="169"/>
      <c r="K60" s="165"/>
    </row>
    <row r="61" spans="1:11" x14ac:dyDescent="0.2">
      <c r="A61" s="168"/>
      <c r="B61" s="200"/>
      <c r="C61" s="167"/>
      <c r="E61" s="205">
        <v>0.43</v>
      </c>
      <c r="F61" s="159">
        <v>0.125</v>
      </c>
      <c r="G61" s="160">
        <v>0.33333333333333331</v>
      </c>
      <c r="H61" s="213">
        <v>81.000000000000014</v>
      </c>
      <c r="I61" s="169"/>
      <c r="K61" s="165"/>
    </row>
    <row r="62" spans="1:11" x14ac:dyDescent="0.2">
      <c r="A62" s="168"/>
      <c r="B62" s="200"/>
      <c r="C62" s="167"/>
      <c r="E62" s="205">
        <v>0.44</v>
      </c>
      <c r="F62" s="159">
        <v>0.125</v>
      </c>
      <c r="G62" s="160">
        <v>0.33333333333333331</v>
      </c>
      <c r="H62" s="213">
        <v>81.000000000000014</v>
      </c>
      <c r="I62" s="169"/>
      <c r="K62" s="165"/>
    </row>
    <row r="63" spans="1:11" x14ac:dyDescent="0.2">
      <c r="A63" s="168"/>
      <c r="B63" s="200"/>
      <c r="C63" s="167"/>
      <c r="E63" s="205">
        <v>0.45</v>
      </c>
      <c r="F63" s="159">
        <v>0.125</v>
      </c>
      <c r="G63" s="160">
        <v>0.33333333333333331</v>
      </c>
      <c r="H63" s="213">
        <v>81.000000000000014</v>
      </c>
      <c r="I63" s="169"/>
      <c r="K63" s="165"/>
    </row>
    <row r="64" spans="1:11" x14ac:dyDescent="0.2">
      <c r="A64" s="168"/>
      <c r="B64" s="200"/>
      <c r="C64" s="167"/>
      <c r="E64" s="205">
        <v>0.46</v>
      </c>
      <c r="F64" s="159">
        <v>0.125</v>
      </c>
      <c r="G64" s="160">
        <v>0.33333333333333331</v>
      </c>
      <c r="H64" s="213">
        <v>81.000000000000014</v>
      </c>
      <c r="I64" s="169"/>
      <c r="K64" s="165"/>
    </row>
    <row r="65" spans="1:11" x14ac:dyDescent="0.2">
      <c r="A65" s="168"/>
      <c r="B65" s="200"/>
      <c r="C65" s="167"/>
      <c r="E65" s="205">
        <v>0.47</v>
      </c>
      <c r="F65" s="159">
        <v>0.125</v>
      </c>
      <c r="G65" s="160">
        <v>0.33333333333333331</v>
      </c>
      <c r="H65" s="213">
        <v>81.000000000000014</v>
      </c>
      <c r="I65" s="169"/>
      <c r="K65" s="165"/>
    </row>
    <row r="66" spans="1:11" x14ac:dyDescent="0.2">
      <c r="A66" s="168"/>
      <c r="B66" s="200"/>
      <c r="C66" s="167"/>
      <c r="E66" s="205">
        <v>0.48</v>
      </c>
      <c r="F66" s="159">
        <v>0.125</v>
      </c>
      <c r="G66" s="160">
        <v>0.33333333333333331</v>
      </c>
      <c r="H66" s="213">
        <v>81.000000000000014</v>
      </c>
      <c r="I66" s="169"/>
      <c r="K66" s="165"/>
    </row>
    <row r="67" spans="1:11" x14ac:dyDescent="0.2">
      <c r="A67" s="168"/>
      <c r="B67" s="200"/>
      <c r="C67" s="167"/>
      <c r="E67" s="205">
        <v>0.49</v>
      </c>
      <c r="F67" s="159">
        <v>0.125</v>
      </c>
      <c r="G67" s="160">
        <v>0.33333333333333331</v>
      </c>
      <c r="H67" s="213">
        <v>81.000000000000014</v>
      </c>
      <c r="I67" s="169"/>
      <c r="K67" s="165"/>
    </row>
    <row r="68" spans="1:11" x14ac:dyDescent="0.2">
      <c r="A68" s="168"/>
      <c r="B68" s="200"/>
      <c r="C68" s="167"/>
      <c r="E68" s="205">
        <v>0.5</v>
      </c>
      <c r="F68" s="159">
        <v>0.125</v>
      </c>
      <c r="G68" s="160">
        <v>0.33333333333333331</v>
      </c>
      <c r="H68" s="213">
        <v>81.000000000000014</v>
      </c>
      <c r="I68" s="169"/>
      <c r="K68" s="165"/>
    </row>
    <row r="69" spans="1:11" x14ac:dyDescent="0.2">
      <c r="A69" s="168"/>
      <c r="B69" s="200"/>
      <c r="C69" s="167"/>
      <c r="E69" s="205">
        <v>0.51</v>
      </c>
      <c r="F69" s="159">
        <v>0.125</v>
      </c>
      <c r="G69" s="160">
        <v>0.33333333333333331</v>
      </c>
      <c r="H69" s="213">
        <v>81.000000000000014</v>
      </c>
      <c r="I69" s="169"/>
      <c r="K69" s="165"/>
    </row>
    <row r="70" spans="1:11" x14ac:dyDescent="0.2">
      <c r="A70" s="168"/>
      <c r="B70" s="200"/>
      <c r="C70" s="167"/>
      <c r="E70" s="205">
        <v>0.52</v>
      </c>
      <c r="F70" s="159">
        <v>0.125</v>
      </c>
      <c r="G70" s="160">
        <v>0.33333333333333331</v>
      </c>
      <c r="H70" s="213">
        <v>81.000000000000014</v>
      </c>
      <c r="I70" s="169"/>
      <c r="K70" s="165"/>
    </row>
    <row r="71" spans="1:11" x14ac:dyDescent="0.2">
      <c r="A71" s="168"/>
      <c r="B71" s="200"/>
      <c r="C71" s="167"/>
      <c r="E71" s="205">
        <v>0.53</v>
      </c>
      <c r="F71" s="159">
        <v>0.125</v>
      </c>
      <c r="G71" s="160">
        <v>0.33333333333333331</v>
      </c>
      <c r="H71" s="213">
        <v>81.000000000000014</v>
      </c>
      <c r="I71" s="169"/>
      <c r="K71" s="165"/>
    </row>
    <row r="72" spans="1:11" x14ac:dyDescent="0.2">
      <c r="A72" s="168"/>
      <c r="B72" s="200"/>
      <c r="C72" s="167"/>
      <c r="E72" s="205">
        <v>0.54</v>
      </c>
      <c r="F72" s="159">
        <v>0.125</v>
      </c>
      <c r="G72" s="160">
        <v>0.33333333333333331</v>
      </c>
      <c r="H72" s="213">
        <v>81.000000000000014</v>
      </c>
      <c r="I72" s="169"/>
      <c r="K72" s="165"/>
    </row>
    <row r="73" spans="1:11" x14ac:dyDescent="0.2">
      <c r="A73" s="168"/>
      <c r="B73" s="200"/>
      <c r="C73" s="167"/>
      <c r="E73" s="205">
        <v>0.55000000000000004</v>
      </c>
      <c r="F73" s="159">
        <v>0.125</v>
      </c>
      <c r="G73" s="160">
        <v>0.33333333333333331</v>
      </c>
      <c r="H73" s="213">
        <v>81.000000000000014</v>
      </c>
      <c r="I73" s="169"/>
      <c r="K73" s="165"/>
    </row>
    <row r="74" spans="1:11" x14ac:dyDescent="0.2">
      <c r="A74" s="168"/>
      <c r="B74" s="200"/>
      <c r="C74" s="167"/>
      <c r="E74" s="205">
        <v>0.56000000000000005</v>
      </c>
      <c r="F74" s="159">
        <v>0.125</v>
      </c>
      <c r="G74" s="160">
        <v>0.33333333333333331</v>
      </c>
      <c r="H74" s="213">
        <v>81.000000000000014</v>
      </c>
      <c r="I74" s="169"/>
      <c r="K74" s="165"/>
    </row>
    <row r="75" spans="1:11" x14ac:dyDescent="0.2">
      <c r="A75" s="168"/>
      <c r="B75" s="200"/>
      <c r="C75" s="167"/>
      <c r="E75" s="205">
        <v>0.56999999999999995</v>
      </c>
      <c r="F75" s="159">
        <v>0.125</v>
      </c>
      <c r="G75" s="160">
        <v>0.33333333333333331</v>
      </c>
      <c r="H75" s="213">
        <v>81.000000000000014</v>
      </c>
      <c r="I75" s="169"/>
      <c r="K75" s="165"/>
    </row>
    <row r="76" spans="1:11" x14ac:dyDescent="0.2">
      <c r="A76" s="168"/>
      <c r="B76" s="200"/>
      <c r="C76" s="167"/>
      <c r="E76" s="205">
        <v>0.57999999999999996</v>
      </c>
      <c r="F76" s="159">
        <v>0.125</v>
      </c>
      <c r="G76" s="160">
        <v>0.33333333333333331</v>
      </c>
      <c r="H76" s="213">
        <v>81.000000000000014</v>
      </c>
      <c r="I76" s="169"/>
      <c r="K76" s="165"/>
    </row>
    <row r="77" spans="1:11" x14ac:dyDescent="0.2">
      <c r="A77" s="168"/>
      <c r="B77" s="200"/>
      <c r="C77" s="167"/>
      <c r="E77" s="205">
        <v>0.59</v>
      </c>
      <c r="F77" s="159">
        <v>0.125</v>
      </c>
      <c r="G77" s="160">
        <v>0.33333333333333331</v>
      </c>
      <c r="H77" s="213">
        <v>81.000000000000014</v>
      </c>
      <c r="I77" s="169"/>
      <c r="K77" s="165"/>
    </row>
    <row r="78" spans="1:11" x14ac:dyDescent="0.2">
      <c r="A78" s="168"/>
      <c r="B78" s="200"/>
      <c r="C78" s="167"/>
      <c r="E78" s="205">
        <v>0.6</v>
      </c>
      <c r="F78" s="159">
        <v>0.125</v>
      </c>
      <c r="G78" s="160">
        <v>0.33333333333333331</v>
      </c>
      <c r="H78" s="213">
        <v>81.000000000000014</v>
      </c>
      <c r="I78" s="169"/>
      <c r="K78" s="165"/>
    </row>
    <row r="79" spans="1:11" x14ac:dyDescent="0.2">
      <c r="A79" s="168"/>
      <c r="B79" s="200"/>
      <c r="C79" s="167"/>
      <c r="E79" s="205">
        <v>0.61</v>
      </c>
      <c r="F79" s="159">
        <v>0.125</v>
      </c>
      <c r="G79" s="160">
        <v>0.33333333333333331</v>
      </c>
      <c r="H79" s="213">
        <v>81.000000000000014</v>
      </c>
      <c r="I79" s="169"/>
      <c r="K79" s="165"/>
    </row>
    <row r="80" spans="1:11" x14ac:dyDescent="0.2">
      <c r="A80" s="168"/>
      <c r="B80" s="200"/>
      <c r="C80" s="167"/>
      <c r="E80" s="205">
        <v>0.62</v>
      </c>
      <c r="F80" s="159">
        <v>0.125</v>
      </c>
      <c r="G80" s="160">
        <v>0.1111111111111111</v>
      </c>
      <c r="H80" s="213">
        <v>89</v>
      </c>
      <c r="I80" s="169"/>
      <c r="K80" s="165"/>
    </row>
    <row r="81" spans="1:11" x14ac:dyDescent="0.2">
      <c r="A81" s="168"/>
      <c r="B81" s="200"/>
      <c r="C81" s="167"/>
      <c r="E81" s="205">
        <v>0.63</v>
      </c>
      <c r="F81" s="159">
        <v>0</v>
      </c>
      <c r="G81" s="160">
        <v>0.1111111111111111</v>
      </c>
      <c r="H81" s="213">
        <v>86</v>
      </c>
      <c r="I81" s="169"/>
      <c r="K81" s="165"/>
    </row>
    <row r="82" spans="1:11" x14ac:dyDescent="0.2">
      <c r="A82" s="168"/>
      <c r="B82" s="200"/>
      <c r="C82" s="167"/>
      <c r="E82" s="205">
        <v>0.64</v>
      </c>
      <c r="F82" s="159">
        <v>0</v>
      </c>
      <c r="G82" s="160">
        <v>0.1111111111111111</v>
      </c>
      <c r="H82" s="213">
        <v>86</v>
      </c>
      <c r="I82" s="169"/>
      <c r="K82" s="165"/>
    </row>
    <row r="83" spans="1:11" x14ac:dyDescent="0.2">
      <c r="A83" s="168"/>
      <c r="B83" s="200"/>
      <c r="C83" s="167"/>
      <c r="E83" s="205">
        <v>0.65</v>
      </c>
      <c r="F83" s="159">
        <v>0</v>
      </c>
      <c r="G83" s="160">
        <v>0.1111111111111111</v>
      </c>
      <c r="H83" s="213">
        <v>86</v>
      </c>
      <c r="I83" s="169"/>
      <c r="K83" s="165"/>
    </row>
    <row r="84" spans="1:11" x14ac:dyDescent="0.2">
      <c r="A84" s="168"/>
      <c r="B84" s="200"/>
      <c r="C84" s="167"/>
      <c r="E84" s="205">
        <v>0.66</v>
      </c>
      <c r="F84" s="159">
        <v>0</v>
      </c>
      <c r="G84" s="160">
        <v>0.1111111111111111</v>
      </c>
      <c r="H84" s="213">
        <v>86</v>
      </c>
      <c r="I84" s="169"/>
      <c r="K84" s="165"/>
    </row>
    <row r="85" spans="1:11" x14ac:dyDescent="0.2">
      <c r="A85" s="168"/>
      <c r="B85" s="200"/>
      <c r="C85" s="167"/>
      <c r="E85" s="205">
        <v>0.67</v>
      </c>
      <c r="F85" s="159">
        <v>0</v>
      </c>
      <c r="G85" s="160">
        <v>0.1111111111111111</v>
      </c>
      <c r="H85" s="213">
        <v>86</v>
      </c>
      <c r="I85" s="169"/>
      <c r="K85" s="165"/>
    </row>
    <row r="86" spans="1:11" x14ac:dyDescent="0.2">
      <c r="A86" s="168"/>
      <c r="B86" s="200"/>
      <c r="C86" s="167"/>
      <c r="E86" s="205">
        <v>0.68</v>
      </c>
      <c r="F86" s="159">
        <v>0</v>
      </c>
      <c r="G86" s="160">
        <v>0.1111111111111111</v>
      </c>
      <c r="H86" s="213">
        <v>86</v>
      </c>
      <c r="I86" s="169"/>
      <c r="K86" s="165"/>
    </row>
    <row r="87" spans="1:11" x14ac:dyDescent="0.2">
      <c r="A87" s="168"/>
      <c r="B87" s="200"/>
      <c r="C87" s="167"/>
      <c r="E87" s="205">
        <v>0.69</v>
      </c>
      <c r="F87" s="159">
        <v>0</v>
      </c>
      <c r="G87" s="160">
        <v>0.1111111111111111</v>
      </c>
      <c r="H87" s="213">
        <v>86</v>
      </c>
      <c r="I87" s="169"/>
      <c r="K87" s="165"/>
    </row>
    <row r="88" spans="1:11" x14ac:dyDescent="0.2">
      <c r="A88" s="168"/>
      <c r="B88" s="200"/>
      <c r="C88" s="167"/>
      <c r="E88" s="205">
        <v>0.7</v>
      </c>
      <c r="F88" s="159">
        <v>0</v>
      </c>
      <c r="G88" s="160">
        <v>0.1111111111111111</v>
      </c>
      <c r="H88" s="213">
        <v>86</v>
      </c>
      <c r="I88" s="169"/>
      <c r="K88" s="165"/>
    </row>
    <row r="89" spans="1:11" x14ac:dyDescent="0.2">
      <c r="A89" s="168"/>
      <c r="B89" s="200"/>
      <c r="C89" s="167"/>
      <c r="E89" s="205">
        <v>0.71</v>
      </c>
      <c r="F89" s="159">
        <v>0</v>
      </c>
      <c r="G89" s="160">
        <v>0.1111111111111111</v>
      </c>
      <c r="H89" s="213">
        <v>86</v>
      </c>
      <c r="I89" s="169"/>
      <c r="K89" s="165"/>
    </row>
    <row r="90" spans="1:11" x14ac:dyDescent="0.2">
      <c r="A90" s="168"/>
      <c r="B90" s="200"/>
      <c r="C90" s="167"/>
      <c r="E90" s="205">
        <v>0.72</v>
      </c>
      <c r="F90" s="159">
        <v>0</v>
      </c>
      <c r="G90" s="160">
        <v>0.1111111111111111</v>
      </c>
      <c r="H90" s="213">
        <v>86</v>
      </c>
      <c r="I90" s="169"/>
      <c r="K90" s="165"/>
    </row>
    <row r="91" spans="1:11" x14ac:dyDescent="0.2">
      <c r="A91" s="168"/>
      <c r="B91" s="200"/>
      <c r="C91" s="167"/>
      <c r="E91" s="205">
        <v>0.73</v>
      </c>
      <c r="F91" s="159">
        <v>0</v>
      </c>
      <c r="G91" s="160">
        <v>0.1111111111111111</v>
      </c>
      <c r="H91" s="213">
        <v>86</v>
      </c>
      <c r="I91" s="169"/>
      <c r="K91" s="165"/>
    </row>
    <row r="92" spans="1:11" x14ac:dyDescent="0.2">
      <c r="A92" s="168"/>
      <c r="B92" s="200"/>
      <c r="C92" s="167"/>
      <c r="E92" s="205">
        <v>0.74</v>
      </c>
      <c r="F92" s="159">
        <v>0</v>
      </c>
      <c r="G92" s="160">
        <v>0.1111111111111111</v>
      </c>
      <c r="H92" s="213">
        <v>86</v>
      </c>
      <c r="I92" s="169"/>
      <c r="K92" s="165"/>
    </row>
    <row r="93" spans="1:11" x14ac:dyDescent="0.2">
      <c r="A93" s="168"/>
      <c r="B93" s="200"/>
      <c r="C93" s="167"/>
      <c r="E93" s="205">
        <v>0.75</v>
      </c>
      <c r="F93" s="159">
        <v>0</v>
      </c>
      <c r="G93" s="160">
        <v>0.1111111111111111</v>
      </c>
      <c r="H93" s="213">
        <v>86</v>
      </c>
      <c r="I93" s="169"/>
      <c r="K93" s="165"/>
    </row>
    <row r="94" spans="1:11" x14ac:dyDescent="0.2">
      <c r="A94" s="168"/>
      <c r="B94" s="200"/>
      <c r="C94" s="167"/>
      <c r="E94" s="205">
        <v>0.76</v>
      </c>
      <c r="F94" s="159">
        <v>0</v>
      </c>
      <c r="G94" s="160">
        <v>0</v>
      </c>
      <c r="H94" s="213">
        <v>90</v>
      </c>
      <c r="I94" s="169"/>
      <c r="K94" s="165"/>
    </row>
    <row r="95" spans="1:11" x14ac:dyDescent="0.2">
      <c r="A95" s="168"/>
      <c r="B95" s="200"/>
      <c r="C95" s="167"/>
      <c r="E95" s="205">
        <v>0.77</v>
      </c>
      <c r="F95" s="159">
        <v>0</v>
      </c>
      <c r="G95" s="160">
        <v>0</v>
      </c>
      <c r="H95" s="213">
        <v>90</v>
      </c>
      <c r="I95" s="169"/>
      <c r="K95" s="165"/>
    </row>
    <row r="96" spans="1:11" x14ac:dyDescent="0.2">
      <c r="A96" s="168"/>
      <c r="B96" s="200"/>
      <c r="C96" s="167"/>
      <c r="E96" s="205">
        <v>0.78</v>
      </c>
      <c r="F96" s="159">
        <v>0</v>
      </c>
      <c r="G96" s="160">
        <v>0</v>
      </c>
      <c r="H96" s="213">
        <v>90</v>
      </c>
      <c r="I96" s="169"/>
      <c r="K96" s="165"/>
    </row>
    <row r="97" spans="1:11" x14ac:dyDescent="0.2">
      <c r="A97" s="168"/>
      <c r="B97" s="200"/>
      <c r="C97" s="167"/>
      <c r="E97" s="205">
        <v>0.79</v>
      </c>
      <c r="F97" s="159">
        <v>0</v>
      </c>
      <c r="G97" s="160">
        <v>0</v>
      </c>
      <c r="H97" s="213">
        <v>90</v>
      </c>
      <c r="I97" s="169"/>
      <c r="K97" s="165"/>
    </row>
    <row r="98" spans="1:11" x14ac:dyDescent="0.2">
      <c r="A98" s="168"/>
      <c r="B98" s="200"/>
      <c r="C98" s="167"/>
      <c r="E98" s="205">
        <v>0.8</v>
      </c>
      <c r="F98" s="159">
        <v>0</v>
      </c>
      <c r="G98" s="160">
        <v>0</v>
      </c>
      <c r="H98" s="213">
        <v>90</v>
      </c>
      <c r="I98" s="169"/>
      <c r="K98" s="165"/>
    </row>
    <row r="99" spans="1:11" x14ac:dyDescent="0.2">
      <c r="A99" s="168"/>
      <c r="B99" s="200"/>
      <c r="C99" s="167"/>
      <c r="E99" s="205">
        <v>0.81</v>
      </c>
      <c r="F99" s="159">
        <v>0</v>
      </c>
      <c r="G99" s="160">
        <v>0</v>
      </c>
      <c r="H99" s="213">
        <v>90</v>
      </c>
      <c r="I99" s="169"/>
      <c r="K99" s="165"/>
    </row>
    <row r="100" spans="1:11" x14ac:dyDescent="0.2">
      <c r="A100" s="168"/>
      <c r="B100" s="200"/>
      <c r="C100" s="167"/>
      <c r="E100" s="205">
        <v>0.82</v>
      </c>
      <c r="F100" s="159">
        <v>0</v>
      </c>
      <c r="G100" s="160">
        <v>0</v>
      </c>
      <c r="H100" s="213">
        <v>90</v>
      </c>
      <c r="I100" s="169"/>
      <c r="K100" s="165"/>
    </row>
    <row r="101" spans="1:11" x14ac:dyDescent="0.2">
      <c r="A101" s="168"/>
      <c r="B101" s="200"/>
      <c r="C101" s="167"/>
      <c r="E101" s="205">
        <v>0.83</v>
      </c>
      <c r="F101" s="159">
        <v>0</v>
      </c>
      <c r="G101" s="160">
        <v>0</v>
      </c>
      <c r="H101" s="213">
        <v>90</v>
      </c>
      <c r="I101" s="169"/>
      <c r="K101" s="165"/>
    </row>
    <row r="102" spans="1:11" x14ac:dyDescent="0.2">
      <c r="A102" s="168"/>
      <c r="B102" s="200"/>
      <c r="C102" s="167"/>
      <c r="E102" s="205">
        <v>0.84</v>
      </c>
      <c r="F102" s="159">
        <v>0</v>
      </c>
      <c r="G102" s="160">
        <v>0</v>
      </c>
      <c r="H102" s="213">
        <v>90</v>
      </c>
      <c r="I102" s="169"/>
      <c r="K102" s="165"/>
    </row>
    <row r="103" spans="1:11" x14ac:dyDescent="0.2">
      <c r="A103" s="168"/>
      <c r="B103" s="200"/>
      <c r="C103" s="167"/>
      <c r="E103" s="205">
        <v>0.85</v>
      </c>
      <c r="F103" s="159">
        <v>0</v>
      </c>
      <c r="G103" s="160">
        <v>0</v>
      </c>
      <c r="H103" s="213">
        <v>90</v>
      </c>
      <c r="I103" s="169"/>
      <c r="K103" s="165"/>
    </row>
    <row r="104" spans="1:11" x14ac:dyDescent="0.2">
      <c r="A104" s="168"/>
      <c r="B104" s="200"/>
      <c r="C104" s="167"/>
      <c r="E104" s="205">
        <v>0.86</v>
      </c>
      <c r="F104" s="159">
        <v>0</v>
      </c>
      <c r="G104" s="160">
        <v>0</v>
      </c>
      <c r="H104" s="213">
        <v>90</v>
      </c>
    </row>
    <row r="105" spans="1:11" x14ac:dyDescent="0.2">
      <c r="A105" s="168"/>
      <c r="B105" s="200"/>
      <c r="C105" s="167"/>
      <c r="E105" s="205">
        <v>0.87</v>
      </c>
      <c r="F105" s="159">
        <v>0</v>
      </c>
      <c r="G105" s="160">
        <v>0</v>
      </c>
      <c r="H105" s="213">
        <v>90</v>
      </c>
    </row>
    <row r="106" spans="1:11" x14ac:dyDescent="0.2">
      <c r="A106" s="168"/>
      <c r="B106" s="200"/>
      <c r="C106" s="167"/>
      <c r="E106" s="205">
        <v>0.88</v>
      </c>
      <c r="F106" s="159">
        <v>0</v>
      </c>
      <c r="G106" s="160">
        <v>0</v>
      </c>
      <c r="H106" s="213">
        <v>90</v>
      </c>
    </row>
    <row r="107" spans="1:11" x14ac:dyDescent="0.2">
      <c r="A107" s="168"/>
      <c r="B107" s="200"/>
      <c r="C107" s="167"/>
      <c r="E107" s="205">
        <v>0.89</v>
      </c>
      <c r="F107" s="159">
        <v>0</v>
      </c>
      <c r="G107" s="160">
        <v>0</v>
      </c>
      <c r="H107" s="213">
        <v>90</v>
      </c>
    </row>
    <row r="108" spans="1:11" x14ac:dyDescent="0.2">
      <c r="A108" s="168"/>
      <c r="B108" s="200"/>
      <c r="C108" s="167"/>
      <c r="E108" s="205">
        <v>0.9</v>
      </c>
      <c r="F108" s="159">
        <v>0</v>
      </c>
      <c r="G108" s="160">
        <v>0</v>
      </c>
      <c r="H108" s="213">
        <v>90</v>
      </c>
    </row>
    <row r="109" spans="1:11" x14ac:dyDescent="0.2">
      <c r="A109" s="168"/>
      <c r="B109" s="200"/>
      <c r="C109" s="167"/>
      <c r="E109" s="205">
        <v>0.91</v>
      </c>
      <c r="F109" s="159">
        <v>0</v>
      </c>
      <c r="G109" s="160">
        <v>0</v>
      </c>
      <c r="H109" s="213">
        <v>90</v>
      </c>
    </row>
    <row r="110" spans="1:11" x14ac:dyDescent="0.2">
      <c r="A110" s="168"/>
      <c r="B110" s="200"/>
      <c r="C110" s="167"/>
      <c r="E110" s="205">
        <v>0.92</v>
      </c>
      <c r="F110" s="159">
        <v>0</v>
      </c>
      <c r="G110" s="160">
        <v>0</v>
      </c>
      <c r="H110" s="213">
        <v>90</v>
      </c>
    </row>
    <row r="111" spans="1:11" x14ac:dyDescent="0.2">
      <c r="A111" s="168"/>
      <c r="B111" s="200"/>
      <c r="C111" s="167"/>
      <c r="E111" s="205">
        <v>0.93</v>
      </c>
      <c r="F111" s="159">
        <v>0</v>
      </c>
      <c r="G111" s="160">
        <v>0</v>
      </c>
      <c r="H111" s="213">
        <v>90</v>
      </c>
    </row>
    <row r="112" spans="1:11" x14ac:dyDescent="0.2">
      <c r="A112" s="168"/>
      <c r="B112" s="200"/>
      <c r="C112" s="167"/>
      <c r="E112" s="205">
        <v>0.94</v>
      </c>
      <c r="F112" s="159">
        <v>0</v>
      </c>
      <c r="G112" s="160">
        <v>0</v>
      </c>
      <c r="H112" s="213">
        <v>90</v>
      </c>
    </row>
    <row r="113" spans="1:8" x14ac:dyDescent="0.2">
      <c r="A113" s="168"/>
      <c r="B113" s="200"/>
      <c r="C113" s="167"/>
      <c r="E113" s="205">
        <v>0.95</v>
      </c>
      <c r="F113" s="159">
        <v>0</v>
      </c>
      <c r="G113" s="160">
        <v>0</v>
      </c>
      <c r="H113" s="213">
        <v>90</v>
      </c>
    </row>
    <row r="114" spans="1:8" x14ac:dyDescent="0.2">
      <c r="A114" s="168"/>
      <c r="B114" s="200"/>
      <c r="C114" s="167"/>
      <c r="E114" s="205">
        <v>0.96</v>
      </c>
      <c r="F114" s="159">
        <v>0</v>
      </c>
      <c r="G114" s="160">
        <v>0</v>
      </c>
      <c r="H114" s="213">
        <v>90</v>
      </c>
    </row>
    <row r="115" spans="1:8" x14ac:dyDescent="0.2">
      <c r="A115" s="168"/>
      <c r="B115" s="200"/>
      <c r="C115" s="167"/>
      <c r="E115" s="205">
        <v>0.97</v>
      </c>
      <c r="F115" s="159">
        <v>0</v>
      </c>
      <c r="G115" s="160">
        <v>0</v>
      </c>
      <c r="H115" s="213">
        <v>90</v>
      </c>
    </row>
    <row r="116" spans="1:8" x14ac:dyDescent="0.2">
      <c r="A116" s="168"/>
      <c r="B116" s="200"/>
      <c r="C116" s="167"/>
      <c r="E116" s="205">
        <v>0.98</v>
      </c>
      <c r="F116" s="159">
        <v>0</v>
      </c>
      <c r="G116" s="160">
        <v>0</v>
      </c>
      <c r="H116" s="213">
        <v>90</v>
      </c>
    </row>
    <row r="117" spans="1:8" x14ac:dyDescent="0.2">
      <c r="A117" s="168"/>
      <c r="B117" s="200"/>
      <c r="C117" s="167"/>
      <c r="E117" s="205">
        <v>0.99</v>
      </c>
      <c r="F117" s="159">
        <v>0</v>
      </c>
      <c r="G117" s="160">
        <v>0</v>
      </c>
      <c r="H117" s="213">
        <v>90</v>
      </c>
    </row>
    <row r="118" spans="1:8" x14ac:dyDescent="0.2">
      <c r="A118" s="168"/>
      <c r="B118" s="200"/>
      <c r="C118" s="167"/>
      <c r="E118" s="205">
        <v>1</v>
      </c>
      <c r="F118" s="161">
        <v>0</v>
      </c>
      <c r="G118" s="162">
        <v>0</v>
      </c>
      <c r="H118" s="214">
        <v>90</v>
      </c>
    </row>
    <row r="119" spans="1:8" x14ac:dyDescent="0.2">
      <c r="A119" s="168"/>
      <c r="B119" s="200"/>
      <c r="C119" s="167"/>
    </row>
    <row r="120" spans="1:8" x14ac:dyDescent="0.2">
      <c r="A120" s="168"/>
      <c r="B120" s="200"/>
      <c r="C120" s="167"/>
    </row>
    <row r="121" spans="1:8" x14ac:dyDescent="0.2">
      <c r="A121" s="168"/>
      <c r="B121" s="200"/>
      <c r="C121" s="167"/>
    </row>
    <row r="122" spans="1:8" x14ac:dyDescent="0.2">
      <c r="A122" s="168"/>
      <c r="B122" s="200"/>
      <c r="C122" s="167"/>
    </row>
    <row r="123" spans="1:8" x14ac:dyDescent="0.2">
      <c r="A123" s="168"/>
      <c r="B123" s="200"/>
      <c r="C123" s="167"/>
    </row>
    <row r="124" spans="1:8" x14ac:dyDescent="0.2">
      <c r="A124" s="168"/>
      <c r="B124" s="200"/>
      <c r="C124" s="167"/>
    </row>
    <row r="125" spans="1:8" x14ac:dyDescent="0.2">
      <c r="A125" s="168"/>
      <c r="B125" s="200"/>
      <c r="C125" s="167"/>
    </row>
    <row r="126" spans="1:8" x14ac:dyDescent="0.2">
      <c r="A126" s="168"/>
      <c r="B126" s="200"/>
      <c r="C126" s="167"/>
    </row>
    <row r="127" spans="1:8" x14ac:dyDescent="0.2">
      <c r="A127" s="168"/>
      <c r="B127" s="200"/>
      <c r="C127" s="167"/>
    </row>
    <row r="128" spans="1:8" x14ac:dyDescent="0.2">
      <c r="A128" s="168"/>
      <c r="B128" s="200"/>
      <c r="C128" s="167"/>
    </row>
    <row r="129" spans="1:3" x14ac:dyDescent="0.2">
      <c r="A129" s="168"/>
      <c r="B129" s="200"/>
      <c r="C129" s="167"/>
    </row>
    <row r="130" spans="1:3" x14ac:dyDescent="0.2">
      <c r="A130" s="168"/>
      <c r="B130" s="200"/>
      <c r="C130" s="167"/>
    </row>
    <row r="131" spans="1:3" x14ac:dyDescent="0.2">
      <c r="A131" s="168"/>
      <c r="B131" s="200"/>
      <c r="C131" s="167"/>
    </row>
    <row r="132" spans="1:3" x14ac:dyDescent="0.2">
      <c r="A132" s="168"/>
      <c r="B132" s="200"/>
      <c r="C132" s="167"/>
    </row>
    <row r="133" spans="1:3" x14ac:dyDescent="0.2">
      <c r="A133" s="168"/>
      <c r="B133" s="200"/>
      <c r="C133" s="167"/>
    </row>
    <row r="134" spans="1:3" x14ac:dyDescent="0.2">
      <c r="A134" s="168"/>
      <c r="B134" s="200"/>
      <c r="C134" s="167"/>
    </row>
    <row r="135" spans="1:3" x14ac:dyDescent="0.2">
      <c r="A135" s="168"/>
      <c r="B135" s="200"/>
      <c r="C135" s="167"/>
    </row>
    <row r="136" spans="1:3" x14ac:dyDescent="0.2">
      <c r="A136" s="168"/>
      <c r="B136" s="200"/>
      <c r="C136" s="167"/>
    </row>
    <row r="137" spans="1:3" x14ac:dyDescent="0.2">
      <c r="A137" s="168"/>
      <c r="B137" s="200"/>
      <c r="C137" s="167"/>
    </row>
    <row r="138" spans="1:3" x14ac:dyDescent="0.2">
      <c r="A138" s="168"/>
      <c r="B138" s="200"/>
      <c r="C138" s="167"/>
    </row>
    <row r="139" spans="1:3" x14ac:dyDescent="0.2">
      <c r="A139" s="168"/>
      <c r="B139" s="200"/>
      <c r="C139" s="167"/>
    </row>
    <row r="140" spans="1:3" x14ac:dyDescent="0.2">
      <c r="A140" s="168"/>
      <c r="B140" s="200"/>
      <c r="C140" s="167"/>
    </row>
    <row r="141" spans="1:3" x14ac:dyDescent="0.2">
      <c r="A141" s="168"/>
      <c r="B141" s="200"/>
      <c r="C141" s="167"/>
    </row>
    <row r="142" spans="1:3" x14ac:dyDescent="0.2">
      <c r="A142" s="168"/>
      <c r="B142" s="200"/>
      <c r="C142" s="167"/>
    </row>
    <row r="143" spans="1:3" x14ac:dyDescent="0.2">
      <c r="A143" s="168"/>
      <c r="B143" s="200"/>
      <c r="C143" s="167"/>
    </row>
    <row r="144" spans="1:3" x14ac:dyDescent="0.2">
      <c r="A144" s="168"/>
      <c r="B144" s="200"/>
      <c r="C144" s="167"/>
    </row>
    <row r="145" spans="1:3" x14ac:dyDescent="0.2">
      <c r="A145" s="168"/>
      <c r="B145" s="200"/>
      <c r="C145" s="167"/>
    </row>
    <row r="146" spans="1:3" x14ac:dyDescent="0.2">
      <c r="A146" s="168"/>
      <c r="B146" s="200"/>
      <c r="C146" s="167"/>
    </row>
    <row r="147" spans="1:3" x14ac:dyDescent="0.2">
      <c r="A147" s="168"/>
      <c r="B147" s="200"/>
      <c r="C147" s="167"/>
    </row>
    <row r="148" spans="1:3" x14ac:dyDescent="0.2">
      <c r="A148" s="168"/>
      <c r="B148" s="200"/>
      <c r="C148" s="167"/>
    </row>
    <row r="149" spans="1:3" x14ac:dyDescent="0.2">
      <c r="A149" s="168"/>
      <c r="B149" s="200"/>
      <c r="C149" s="167"/>
    </row>
    <row r="150" spans="1:3" x14ac:dyDescent="0.2">
      <c r="A150" s="168"/>
      <c r="B150" s="200"/>
      <c r="C150" s="167"/>
    </row>
    <row r="151" spans="1:3" x14ac:dyDescent="0.2">
      <c r="A151" s="168"/>
      <c r="B151" s="200"/>
      <c r="C151" s="167"/>
    </row>
    <row r="152" spans="1:3" x14ac:dyDescent="0.2">
      <c r="A152" s="168"/>
      <c r="B152" s="200"/>
      <c r="C152" s="167"/>
    </row>
    <row r="153" spans="1:3" x14ac:dyDescent="0.2">
      <c r="A153" s="168"/>
      <c r="B153" s="200"/>
      <c r="C153" s="167"/>
    </row>
    <row r="154" spans="1:3" x14ac:dyDescent="0.2">
      <c r="A154" s="168"/>
      <c r="B154" s="200"/>
      <c r="C154" s="167"/>
    </row>
    <row r="155" spans="1:3" x14ac:dyDescent="0.2">
      <c r="A155" s="168"/>
      <c r="B155" s="200"/>
      <c r="C155" s="167"/>
    </row>
    <row r="156" spans="1:3" x14ac:dyDescent="0.2">
      <c r="A156" s="168"/>
      <c r="B156" s="200"/>
      <c r="C156" s="167"/>
    </row>
    <row r="157" spans="1:3" x14ac:dyDescent="0.2">
      <c r="A157" s="168"/>
      <c r="B157" s="200"/>
      <c r="C157" s="167"/>
    </row>
    <row r="158" spans="1:3" x14ac:dyDescent="0.2">
      <c r="A158" s="168"/>
      <c r="B158" s="200"/>
      <c r="C158" s="167"/>
    </row>
    <row r="159" spans="1:3" x14ac:dyDescent="0.2">
      <c r="A159" s="168"/>
      <c r="B159" s="200"/>
      <c r="C159" s="167"/>
    </row>
    <row r="160" spans="1:3" x14ac:dyDescent="0.2">
      <c r="A160" s="168"/>
      <c r="B160" s="200"/>
      <c r="C160" s="167"/>
    </row>
    <row r="161" spans="1:3" x14ac:dyDescent="0.2">
      <c r="A161" s="168"/>
      <c r="B161" s="200"/>
      <c r="C161" s="167"/>
    </row>
    <row r="162" spans="1:3" x14ac:dyDescent="0.2">
      <c r="A162" s="168"/>
      <c r="B162" s="200"/>
      <c r="C162" s="167"/>
    </row>
    <row r="163" spans="1:3" x14ac:dyDescent="0.2">
      <c r="A163" s="168"/>
      <c r="B163" s="200"/>
      <c r="C163" s="167"/>
    </row>
    <row r="164" spans="1:3" x14ac:dyDescent="0.2">
      <c r="A164" s="168"/>
      <c r="B164" s="200"/>
      <c r="C164" s="167"/>
    </row>
    <row r="165" spans="1:3" x14ac:dyDescent="0.2">
      <c r="A165" s="168"/>
      <c r="B165" s="200"/>
      <c r="C165" s="167"/>
    </row>
    <row r="166" spans="1:3" x14ac:dyDescent="0.2">
      <c r="A166" s="168"/>
      <c r="B166" s="200"/>
      <c r="C166" s="167"/>
    </row>
    <row r="167" spans="1:3" x14ac:dyDescent="0.2">
      <c r="A167" s="168"/>
      <c r="B167" s="200"/>
      <c r="C167" s="167"/>
    </row>
    <row r="168" spans="1:3" x14ac:dyDescent="0.2">
      <c r="A168" s="168"/>
      <c r="B168" s="200"/>
      <c r="C168" s="167"/>
    </row>
    <row r="169" spans="1:3" x14ac:dyDescent="0.2">
      <c r="A169" s="168"/>
      <c r="B169" s="200"/>
      <c r="C169" s="167"/>
    </row>
    <row r="170" spans="1:3" x14ac:dyDescent="0.2">
      <c r="A170" s="168"/>
      <c r="B170" s="200"/>
      <c r="C170" s="167"/>
    </row>
    <row r="171" spans="1:3" x14ac:dyDescent="0.2">
      <c r="A171" s="168"/>
      <c r="B171" s="200"/>
      <c r="C171" s="167"/>
    </row>
    <row r="172" spans="1:3" x14ac:dyDescent="0.2">
      <c r="A172" s="168"/>
      <c r="B172" s="200"/>
      <c r="C172" s="167"/>
    </row>
    <row r="173" spans="1:3" x14ac:dyDescent="0.2">
      <c r="A173" s="168"/>
      <c r="B173" s="200"/>
      <c r="C173" s="167"/>
    </row>
    <row r="174" spans="1:3" x14ac:dyDescent="0.2">
      <c r="A174" s="168"/>
      <c r="B174" s="200"/>
      <c r="C174" s="167"/>
    </row>
    <row r="175" spans="1:3" x14ac:dyDescent="0.2">
      <c r="A175" s="168"/>
      <c r="B175" s="200"/>
      <c r="C175" s="167"/>
    </row>
    <row r="176" spans="1:3" x14ac:dyDescent="0.2">
      <c r="A176" s="168"/>
      <c r="B176" s="200"/>
      <c r="C176" s="167"/>
    </row>
    <row r="177" spans="1:3" x14ac:dyDescent="0.2">
      <c r="A177" s="168"/>
      <c r="B177" s="200"/>
      <c r="C177" s="167"/>
    </row>
    <row r="178" spans="1:3" x14ac:dyDescent="0.2">
      <c r="A178" s="168"/>
      <c r="B178" s="200"/>
      <c r="C178" s="167"/>
    </row>
    <row r="179" spans="1:3" x14ac:dyDescent="0.2">
      <c r="A179" s="168"/>
      <c r="B179" s="200"/>
      <c r="C179" s="167"/>
    </row>
    <row r="180" spans="1:3" x14ac:dyDescent="0.2">
      <c r="A180" s="168"/>
      <c r="B180" s="200"/>
      <c r="C180" s="167"/>
    </row>
    <row r="181" spans="1:3" x14ac:dyDescent="0.2">
      <c r="A181" s="168"/>
      <c r="B181" s="200"/>
      <c r="C181" s="167"/>
    </row>
    <row r="182" spans="1:3" x14ac:dyDescent="0.2">
      <c r="A182" s="168"/>
      <c r="B182" s="200"/>
      <c r="C182" s="167"/>
    </row>
    <row r="183" spans="1:3" x14ac:dyDescent="0.2">
      <c r="A183" s="168"/>
      <c r="B183" s="200"/>
      <c r="C183" s="167"/>
    </row>
    <row r="184" spans="1:3" x14ac:dyDescent="0.2">
      <c r="A184" s="168"/>
      <c r="B184" s="200"/>
      <c r="C184" s="167"/>
    </row>
    <row r="185" spans="1:3" x14ac:dyDescent="0.2">
      <c r="A185" s="168"/>
      <c r="B185" s="200"/>
      <c r="C185" s="167"/>
    </row>
    <row r="186" spans="1:3" x14ac:dyDescent="0.2">
      <c r="A186" s="168"/>
      <c r="B186" s="200"/>
      <c r="C186" s="167"/>
    </row>
    <row r="187" spans="1:3" x14ac:dyDescent="0.2">
      <c r="A187" s="168"/>
      <c r="B187" s="200"/>
      <c r="C187" s="167"/>
    </row>
    <row r="188" spans="1:3" x14ac:dyDescent="0.2">
      <c r="A188" s="168"/>
      <c r="B188" s="200"/>
      <c r="C188" s="167"/>
    </row>
    <row r="189" spans="1:3" x14ac:dyDescent="0.2">
      <c r="A189" s="168"/>
      <c r="B189" s="200"/>
      <c r="C189" s="167"/>
    </row>
    <row r="190" spans="1:3" x14ac:dyDescent="0.2">
      <c r="A190" s="168"/>
      <c r="B190" s="200"/>
      <c r="C190" s="167"/>
    </row>
    <row r="191" spans="1:3" x14ac:dyDescent="0.2">
      <c r="A191" s="168"/>
      <c r="B191" s="200"/>
      <c r="C191" s="167"/>
    </row>
    <row r="192" spans="1:3" x14ac:dyDescent="0.2">
      <c r="A192" s="168"/>
      <c r="B192" s="200"/>
      <c r="C192" s="167"/>
    </row>
    <row r="193" spans="1:3" x14ac:dyDescent="0.2">
      <c r="A193" s="168"/>
      <c r="B193" s="200"/>
      <c r="C193" s="167"/>
    </row>
    <row r="194" spans="1:3" x14ac:dyDescent="0.2">
      <c r="A194" s="168"/>
      <c r="B194" s="200"/>
      <c r="C194" s="167"/>
    </row>
    <row r="195" spans="1:3" x14ac:dyDescent="0.2">
      <c r="A195" s="168"/>
      <c r="B195" s="200"/>
      <c r="C195" s="167"/>
    </row>
    <row r="196" spans="1:3" x14ac:dyDescent="0.2">
      <c r="A196" s="168"/>
      <c r="B196" s="200"/>
      <c r="C196" s="167"/>
    </row>
    <row r="197" spans="1:3" x14ac:dyDescent="0.2">
      <c r="A197" s="168"/>
      <c r="B197" s="200"/>
      <c r="C197" s="167"/>
    </row>
    <row r="198" spans="1:3" x14ac:dyDescent="0.2">
      <c r="A198" s="168"/>
      <c r="B198" s="200"/>
      <c r="C198" s="167"/>
    </row>
    <row r="199" spans="1:3" x14ac:dyDescent="0.2">
      <c r="A199" s="168"/>
      <c r="B199" s="200"/>
      <c r="C199" s="167"/>
    </row>
    <row r="200" spans="1:3" x14ac:dyDescent="0.2">
      <c r="A200" s="168"/>
      <c r="B200" s="200"/>
      <c r="C200" s="167"/>
    </row>
    <row r="201" spans="1:3" x14ac:dyDescent="0.2">
      <c r="A201" s="168"/>
      <c r="B201" s="200"/>
      <c r="C201" s="167"/>
    </row>
    <row r="202" spans="1:3" x14ac:dyDescent="0.2">
      <c r="A202" s="168"/>
      <c r="B202" s="200"/>
      <c r="C202" s="167"/>
    </row>
    <row r="203" spans="1:3" x14ac:dyDescent="0.2">
      <c r="A203" s="168"/>
      <c r="B203" s="200"/>
      <c r="C203" s="167"/>
    </row>
    <row r="204" spans="1:3" x14ac:dyDescent="0.2">
      <c r="A204" s="168"/>
      <c r="B204" s="200"/>
      <c r="C204" s="167"/>
    </row>
    <row r="205" spans="1:3" x14ac:dyDescent="0.2">
      <c r="A205" s="168"/>
      <c r="B205" s="200"/>
      <c r="C205" s="167"/>
    </row>
    <row r="206" spans="1:3" x14ac:dyDescent="0.2">
      <c r="A206" s="136"/>
      <c r="B206" s="136"/>
      <c r="C206" s="136"/>
    </row>
    <row r="207" spans="1:3" x14ac:dyDescent="0.2">
      <c r="A207" s="136"/>
      <c r="B207" s="136"/>
      <c r="C207" s="136"/>
    </row>
    <row r="208" spans="1:3" x14ac:dyDescent="0.2">
      <c r="A208" s="136"/>
      <c r="B208" s="136"/>
      <c r="C208" s="136"/>
    </row>
    <row r="209" spans="1:3" x14ac:dyDescent="0.2">
      <c r="A209" s="136"/>
      <c r="B209" s="136"/>
      <c r="C209" s="136"/>
    </row>
    <row r="210" spans="1:3" x14ac:dyDescent="0.2">
      <c r="A210" s="136"/>
      <c r="B210" s="136"/>
      <c r="C210" s="136"/>
    </row>
    <row r="211" spans="1:3" x14ac:dyDescent="0.2">
      <c r="A211" s="136"/>
      <c r="B211" s="136"/>
      <c r="C211" s="136"/>
    </row>
    <row r="212" spans="1:3" x14ac:dyDescent="0.2">
      <c r="A212" s="136"/>
      <c r="B212" s="136"/>
      <c r="C212" s="136"/>
    </row>
    <row r="213" spans="1:3" x14ac:dyDescent="0.2">
      <c r="A213" s="136"/>
      <c r="B213" s="136"/>
      <c r="C213" s="136"/>
    </row>
    <row r="214" spans="1:3" x14ac:dyDescent="0.2">
      <c r="A214" s="136"/>
      <c r="B214" s="136"/>
      <c r="C214" s="136"/>
    </row>
    <row r="215" spans="1:3" x14ac:dyDescent="0.2">
      <c r="A215" s="136"/>
      <c r="B215" s="136"/>
      <c r="C215" s="136"/>
    </row>
    <row r="216" spans="1:3" x14ac:dyDescent="0.2">
      <c r="A216" s="136"/>
      <c r="B216" s="136"/>
      <c r="C216" s="136"/>
    </row>
    <row r="217" spans="1:3" x14ac:dyDescent="0.2">
      <c r="A217" s="136"/>
      <c r="B217" s="136"/>
      <c r="C217" s="136"/>
    </row>
    <row r="218" spans="1:3" x14ac:dyDescent="0.2">
      <c r="A218" s="136"/>
      <c r="B218" s="136"/>
      <c r="C218" s="136"/>
    </row>
    <row r="219" spans="1:3" x14ac:dyDescent="0.2">
      <c r="A219" s="136"/>
      <c r="B219" s="136"/>
      <c r="C219" s="136"/>
    </row>
    <row r="220" spans="1:3" x14ac:dyDescent="0.2">
      <c r="A220" s="136"/>
      <c r="B220" s="136"/>
      <c r="C220" s="136"/>
    </row>
    <row r="221" spans="1:3" x14ac:dyDescent="0.2">
      <c r="A221" s="136"/>
      <c r="B221" s="136"/>
      <c r="C221" s="136"/>
    </row>
    <row r="222" spans="1:3" x14ac:dyDescent="0.2">
      <c r="A222" s="136"/>
      <c r="B222" s="136"/>
      <c r="C222" s="136"/>
    </row>
    <row r="223" spans="1:3" x14ac:dyDescent="0.2">
      <c r="A223" s="136"/>
      <c r="B223" s="136"/>
      <c r="C223" s="136"/>
    </row>
    <row r="224" spans="1:3" x14ac:dyDescent="0.2">
      <c r="A224" s="136"/>
      <c r="B224" s="136"/>
      <c r="C224" s="136"/>
    </row>
    <row r="225" spans="1:3" x14ac:dyDescent="0.2">
      <c r="A225" s="136"/>
      <c r="B225" s="136"/>
      <c r="C225" s="136"/>
    </row>
    <row r="226" spans="1:3" x14ac:dyDescent="0.2">
      <c r="A226" s="136"/>
      <c r="B226" s="136"/>
      <c r="C226" s="136"/>
    </row>
    <row r="227" spans="1:3" x14ac:dyDescent="0.2">
      <c r="A227" s="136"/>
      <c r="B227" s="136"/>
      <c r="C227" s="136"/>
    </row>
    <row r="228" spans="1:3" x14ac:dyDescent="0.2">
      <c r="A228" s="136"/>
      <c r="B228" s="136"/>
      <c r="C228" s="136"/>
    </row>
    <row r="229" spans="1:3" x14ac:dyDescent="0.2">
      <c r="A229" s="136"/>
      <c r="B229" s="136"/>
      <c r="C229" s="136"/>
    </row>
    <row r="230" spans="1:3" x14ac:dyDescent="0.2">
      <c r="A230" s="136"/>
      <c r="B230" s="136"/>
      <c r="C230" s="136"/>
    </row>
    <row r="231" spans="1:3" x14ac:dyDescent="0.2">
      <c r="A231" s="136"/>
      <c r="B231" s="136"/>
      <c r="C231" s="136"/>
    </row>
    <row r="232" spans="1:3" x14ac:dyDescent="0.2">
      <c r="A232" s="136"/>
      <c r="B232" s="136"/>
      <c r="C232" s="136"/>
    </row>
    <row r="233" spans="1:3" x14ac:dyDescent="0.2">
      <c r="A233" s="136"/>
      <c r="B233" s="136"/>
      <c r="C233" s="136"/>
    </row>
    <row r="234" spans="1:3" x14ac:dyDescent="0.2">
      <c r="A234" s="136"/>
      <c r="B234" s="136"/>
      <c r="C234" s="136"/>
    </row>
    <row r="235" spans="1:3" x14ac:dyDescent="0.2">
      <c r="A235" s="136"/>
      <c r="B235" s="136"/>
      <c r="C235" s="136"/>
    </row>
    <row r="236" spans="1:3" x14ac:dyDescent="0.2">
      <c r="A236" s="136"/>
      <c r="B236" s="136"/>
      <c r="C236" s="136"/>
    </row>
    <row r="237" spans="1:3" x14ac:dyDescent="0.2">
      <c r="A237" s="136"/>
      <c r="B237" s="136"/>
      <c r="C237" s="136"/>
    </row>
    <row r="238" spans="1:3" x14ac:dyDescent="0.2">
      <c r="A238" s="136"/>
      <c r="B238" s="136"/>
      <c r="C238" s="136"/>
    </row>
    <row r="239" spans="1:3" x14ac:dyDescent="0.2">
      <c r="A239" s="136"/>
      <c r="B239" s="136"/>
      <c r="C239" s="136"/>
    </row>
  </sheetData>
  <conditionalFormatting sqref="E18:H118">
    <cfRule type="expression" dxfId="0" priority="4">
      <formula>$E18=$H$13</formula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7"/>
  <dimension ref="A1:J12"/>
  <sheetViews>
    <sheetView workbookViewId="0">
      <selection activeCell="A2" sqref="A2"/>
    </sheetView>
  </sheetViews>
  <sheetFormatPr baseColWidth="10" defaultColWidth="9" defaultRowHeight="15" x14ac:dyDescent="0.2"/>
  <cols>
    <col min="1" max="1" width="8.83203125" style="36" customWidth="1"/>
    <col min="2" max="16384" width="9" style="36"/>
  </cols>
  <sheetData>
    <row r="1" spans="1:10" x14ac:dyDescent="0.2">
      <c r="A1" s="75" t="s">
        <v>143</v>
      </c>
    </row>
    <row r="2" spans="1:10" x14ac:dyDescent="0.2">
      <c r="A2" s="75"/>
    </row>
    <row r="3" spans="1:10" x14ac:dyDescent="0.2">
      <c r="A3" s="250" t="s">
        <v>151</v>
      </c>
      <c r="I3" s="250" t="s">
        <v>152</v>
      </c>
    </row>
    <row r="4" spans="1:10" x14ac:dyDescent="0.2">
      <c r="B4" s="37" t="s">
        <v>137</v>
      </c>
      <c r="C4" s="36">
        <v>30</v>
      </c>
      <c r="I4" s="37" t="s">
        <v>139</v>
      </c>
      <c r="J4" s="36">
        <v>2</v>
      </c>
    </row>
    <row r="5" spans="1:10" x14ac:dyDescent="0.2">
      <c r="B5" s="37" t="s">
        <v>138</v>
      </c>
      <c r="C5" s="36">
        <v>0.5</v>
      </c>
      <c r="I5" s="37" t="s">
        <v>24</v>
      </c>
      <c r="J5" s="36">
        <v>1</v>
      </c>
    </row>
    <row r="6" spans="1:10" x14ac:dyDescent="0.2">
      <c r="B6" s="76" t="s">
        <v>140</v>
      </c>
      <c r="C6" s="253" cm="1">
        <f t="array" aca="1" ref="C6" ca="1">[1]!BinomSim($C$4,$C$5)</f>
        <v>12</v>
      </c>
      <c r="I6" s="76" t="s">
        <v>141</v>
      </c>
      <c r="J6" s="254" cm="1">
        <f t="array" aca="1" ref="J6" ca="1">[1]!NormalSim($J$4,$J$5)</f>
        <v>1.7725493847352216</v>
      </c>
    </row>
    <row r="7" spans="1:10" x14ac:dyDescent="0.2">
      <c r="I7" s="76" t="s">
        <v>142</v>
      </c>
      <c r="J7" s="254">
        <f t="array" aca="1" ref="J7" ca="1">_xlfn.SINGLE([1]!LogNormalSim($J$4,$J$5))</f>
        <v>42.760458641584378</v>
      </c>
    </row>
    <row r="10" spans="1:10" x14ac:dyDescent="0.2">
      <c r="A10" s="250" t="s">
        <v>156</v>
      </c>
    </row>
    <row r="11" spans="1:10" x14ac:dyDescent="0.2">
      <c r="B11" s="36" t="s">
        <v>157</v>
      </c>
      <c r="C11" s="36">
        <v>0.3</v>
      </c>
    </row>
    <row r="12" spans="1:10" x14ac:dyDescent="0.2">
      <c r="B12" s="76" t="s">
        <v>158</v>
      </c>
      <c r="C12" s="36" cm="1">
        <f t="array" aca="1" ref="C12" ca="1">[1]!ExpSim($C$11)</f>
        <v>1.5170661540265606</v>
      </c>
    </row>
  </sheetData>
  <printOptions headings="1" gridLines="1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2ABD-E652-8F4C-9B46-4967FD4A81B3}">
  <dimension ref="A1:E13"/>
  <sheetViews>
    <sheetView workbookViewId="0"/>
  </sheetViews>
  <sheetFormatPr baseColWidth="10" defaultRowHeight="13" x14ac:dyDescent="0.15"/>
  <sheetData>
    <row r="1" spans="1:5" x14ac:dyDescent="0.15">
      <c r="A1" s="260"/>
    </row>
    <row r="3" spans="1:5" x14ac:dyDescent="0.15">
      <c r="A3" s="260" t="s">
        <v>71</v>
      </c>
      <c r="B3" s="260" t="s">
        <v>70</v>
      </c>
      <c r="E3" s="260" t="s">
        <v>9</v>
      </c>
    </row>
    <row r="4" spans="1:5" ht="15" x14ac:dyDescent="0.2">
      <c r="A4" s="261">
        <v>8</v>
      </c>
      <c r="B4" s="265">
        <v>8.3000000000000007</v>
      </c>
      <c r="E4" s="264" cm="1">
        <f t="array" ref="E4">[1]!BA_RMSE(B4:B13,A4:A13)</f>
        <v>0.41833001326703778</v>
      </c>
    </row>
    <row r="5" spans="1:5" ht="15" x14ac:dyDescent="0.2">
      <c r="A5" s="262">
        <v>9.3000000000000007</v>
      </c>
      <c r="B5" s="266">
        <v>9.1</v>
      </c>
    </row>
    <row r="6" spans="1:5" ht="15" x14ac:dyDescent="0.2">
      <c r="A6" s="262">
        <v>7.5</v>
      </c>
      <c r="B6" s="266">
        <v>7.2</v>
      </c>
    </row>
    <row r="7" spans="1:5" ht="15" x14ac:dyDescent="0.2">
      <c r="A7" s="262">
        <v>8.9</v>
      </c>
      <c r="B7" s="266">
        <v>10</v>
      </c>
    </row>
    <row r="8" spans="1:5" ht="15" x14ac:dyDescent="0.2">
      <c r="A8" s="262">
        <v>10.199999999999999</v>
      </c>
      <c r="B8" s="266">
        <v>10.1</v>
      </c>
    </row>
    <row r="9" spans="1:5" ht="15" x14ac:dyDescent="0.2">
      <c r="A9" s="262">
        <v>8.3000000000000007</v>
      </c>
      <c r="B9" s="266">
        <v>8.3000000000000007</v>
      </c>
    </row>
    <row r="10" spans="1:5" ht="15" x14ac:dyDescent="0.2">
      <c r="A10" s="262">
        <v>8.8000000000000007</v>
      </c>
      <c r="B10" s="266">
        <v>9</v>
      </c>
    </row>
    <row r="11" spans="1:5" ht="15" x14ac:dyDescent="0.2">
      <c r="A11" s="262">
        <v>8.8000000000000007</v>
      </c>
      <c r="B11" s="266">
        <v>8.6999999999999993</v>
      </c>
    </row>
    <row r="12" spans="1:5" ht="15" x14ac:dyDescent="0.2">
      <c r="A12" s="262">
        <v>10.7</v>
      </c>
      <c r="B12" s="266">
        <v>10.6</v>
      </c>
    </row>
    <row r="13" spans="1:5" ht="15" x14ac:dyDescent="0.2">
      <c r="A13" s="263">
        <v>11.7</v>
      </c>
      <c r="B13" s="267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catalog</vt:lpstr>
      <vt:lpstr>knn</vt:lpstr>
      <vt:lpstr>knn_full</vt:lpstr>
      <vt:lpstr>knn_in_movie</vt:lpstr>
      <vt:lpstr>ROC_no_cost</vt:lpstr>
      <vt:lpstr>ROC_with_cost</vt:lpstr>
      <vt:lpstr>random_funcs</vt:lpstr>
      <vt:lpstr>RMSE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Dongwook Shin</dc:creator>
  <cp:lastModifiedBy>Patange, Utkarsh</cp:lastModifiedBy>
  <cp:lastPrinted>2014-02-07T20:42:16Z</cp:lastPrinted>
  <dcterms:created xsi:type="dcterms:W3CDTF">2013-10-08T16:52:32Z</dcterms:created>
  <dcterms:modified xsi:type="dcterms:W3CDTF">2021-12-01T20:38:01Z</dcterms:modified>
</cp:coreProperties>
</file>