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xwcchen/Desktop/"/>
    </mc:Choice>
  </mc:AlternateContent>
  <xr:revisionPtr revIDLastSave="0" documentId="13_ncr:1_{5D3C8FBD-3D45-164E-91F6-D4945E6DA404}" xr6:coauthVersionLast="45" xr6:coauthVersionMax="45" xr10:uidLastSave="{00000000-0000-0000-0000-000000000000}"/>
  <bookViews>
    <workbookView xWindow="760" yWindow="460" windowWidth="28040" windowHeight="16220" activeTab="1" xr2:uid="{0AE7E494-0EEC-3140-976F-C51E4445A646}"/>
  </bookViews>
  <sheets>
    <sheet name="BEST-GUESS" sheetId="1" r:id="rId1"/>
    <sheet name="COMPARISON" sheetId="4" r:id="rId2"/>
    <sheet name="WORST CASE" sheetId="3" r:id="rId3"/>
    <sheet name="ASSUMPTION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 i="3" l="1"/>
  <c r="H23" i="3"/>
  <c r="I23" i="3"/>
  <c r="F23" i="3"/>
  <c r="G22" i="3"/>
  <c r="H22" i="3"/>
  <c r="I22" i="3"/>
  <c r="F22" i="3"/>
  <c r="G21" i="3"/>
  <c r="H21" i="3"/>
  <c r="I21" i="3"/>
  <c r="I20" i="3"/>
  <c r="G20" i="3"/>
  <c r="H20" i="3"/>
  <c r="F20" i="3"/>
  <c r="E7" i="3"/>
  <c r="E8" i="3" s="1"/>
  <c r="E24" i="3"/>
  <c r="I24" i="3"/>
  <c r="F16" i="3"/>
  <c r="E16" i="3"/>
  <c r="I15" i="3"/>
  <c r="H15" i="3"/>
  <c r="G15" i="3"/>
  <c r="F15" i="3"/>
  <c r="E15" i="3"/>
  <c r="I13" i="3"/>
  <c r="H13" i="3"/>
  <c r="H16" i="3" s="1"/>
  <c r="G13" i="3"/>
  <c r="G16" i="3" s="1"/>
  <c r="F13" i="3"/>
  <c r="E13" i="3"/>
  <c r="I12" i="3"/>
  <c r="I16" i="3" s="1"/>
  <c r="H12" i="3"/>
  <c r="G12" i="3"/>
  <c r="F12" i="3"/>
  <c r="E12" i="3"/>
  <c r="I9" i="3"/>
  <c r="H9" i="3"/>
  <c r="G9" i="3"/>
  <c r="F9" i="3"/>
  <c r="E5" i="3"/>
  <c r="E5" i="1"/>
  <c r="I9" i="1"/>
  <c r="F9" i="1"/>
  <c r="G9" i="1"/>
  <c r="H9" i="1"/>
  <c r="I26" i="1"/>
  <c r="I24" i="1"/>
  <c r="I23" i="1"/>
  <c r="I22" i="1"/>
  <c r="I21" i="1"/>
  <c r="I20" i="1"/>
  <c r="I16" i="1"/>
  <c r="I15" i="1"/>
  <c r="I13" i="1"/>
  <c r="I12" i="1"/>
  <c r="F24" i="1"/>
  <c r="E8" i="1"/>
  <c r="E7" i="1"/>
  <c r="E9" i="1"/>
  <c r="F26" i="1" l="1"/>
  <c r="G24" i="3"/>
  <c r="H24" i="3"/>
  <c r="F24" i="3"/>
  <c r="H26" i="3"/>
  <c r="G26" i="3"/>
  <c r="I26" i="3"/>
  <c r="F26" i="3"/>
  <c r="F28" i="3" s="1"/>
  <c r="E9" i="3"/>
  <c r="E26" i="3" s="1"/>
  <c r="H23" i="1"/>
  <c r="G23" i="1"/>
  <c r="F23" i="1"/>
  <c r="F22" i="1"/>
  <c r="G22" i="1"/>
  <c r="H22" i="1"/>
  <c r="G21" i="1"/>
  <c r="H21" i="1"/>
  <c r="F20" i="1"/>
  <c r="G20" i="1"/>
  <c r="H20" i="1"/>
  <c r="F15" i="1"/>
  <c r="G15" i="1"/>
  <c r="H15" i="1"/>
  <c r="F13" i="1"/>
  <c r="G13" i="1"/>
  <c r="H13" i="1"/>
  <c r="F12" i="1"/>
  <c r="F16" i="1" s="1"/>
  <c r="G12" i="1"/>
  <c r="G16" i="1" s="1"/>
  <c r="H12" i="1"/>
  <c r="H16" i="1" s="1"/>
  <c r="E15" i="1"/>
  <c r="E13" i="1"/>
  <c r="E12" i="1"/>
  <c r="E24" i="1" l="1"/>
  <c r="E26" i="1" s="1"/>
  <c r="H24" i="1"/>
  <c r="H26" i="1" s="1"/>
  <c r="G24" i="1"/>
  <c r="G26" i="1" s="1"/>
  <c r="E16" i="1"/>
  <c r="F28" i="1" l="1"/>
</calcChain>
</file>

<file path=xl/sharedStrings.xml><?xml version="1.0" encoding="utf-8"?>
<sst xmlns="http://schemas.openxmlformats.org/spreadsheetml/2006/main" count="123" uniqueCount="69">
  <si>
    <t>One-Time Costs</t>
  </si>
  <si>
    <t xml:space="preserve">Concept Analysis </t>
  </si>
  <si>
    <t>Development</t>
  </si>
  <si>
    <t>Test and Validation</t>
  </si>
  <si>
    <t>Training for Project</t>
  </si>
  <si>
    <t>Total Project Investment</t>
  </si>
  <si>
    <t>Recurring Costs</t>
  </si>
  <si>
    <t>Cloud Storage Subscription</t>
  </si>
  <si>
    <t>Maintenance Costs</t>
  </si>
  <si>
    <t>Data acqusition Costs</t>
  </si>
  <si>
    <t>Cloud Computation Costs</t>
  </si>
  <si>
    <t>Total Operating Costs</t>
  </si>
  <si>
    <t>Project Benefits</t>
  </si>
  <si>
    <t>Sales Benefits</t>
  </si>
  <si>
    <t>Marketing Savings</t>
  </si>
  <si>
    <t xml:space="preserve">Operation Optimization </t>
  </si>
  <si>
    <t>Total Benefits</t>
  </si>
  <si>
    <t>Estimate Rational</t>
  </si>
  <si>
    <t xml:space="preserve">   Implentation </t>
  </si>
  <si>
    <t>Discount rate:</t>
  </si>
  <si>
    <t>Hardware and Software</t>
  </si>
  <si>
    <t>Leveraging SAP HANA Platform</t>
  </si>
  <si>
    <t>Planning and Surveys</t>
  </si>
  <si>
    <t>Platform development, estimated with opportunity cost</t>
  </si>
  <si>
    <t>Model testing and verfication</t>
  </si>
  <si>
    <t xml:space="preserve">Incremental Net Sales Stage 1 </t>
  </si>
  <si>
    <t>Incremental Net Sales Stage 2</t>
  </si>
  <si>
    <t>Purchasing data from retailers and data brokers</t>
  </si>
  <si>
    <t>1% saving in product innovation investment</t>
  </si>
  <si>
    <t>5% reduction in marketing costs</t>
  </si>
  <si>
    <t>Annual Total</t>
  </si>
  <si>
    <t>NPV</t>
  </si>
  <si>
    <t>2% increase in U.S. net sales in Phase 1 and Phase 2 rollout</t>
  </si>
  <si>
    <t>2% increase in non-U.S. net sales in Phase 3 rollout</t>
  </si>
  <si>
    <t xml:space="preserve">*More detailed assumptions are in the Appendix </t>
  </si>
  <si>
    <t>Estimate Rationale</t>
  </si>
  <si>
    <t>Team training estimated with opportunity cost</t>
  </si>
  <si>
    <t>2 weeks employees training to prepare for the project. We estimate the training cost by opportunity cost which is the product of number of team members, time spent on training and average hourly wages.</t>
  </si>
  <si>
    <t xml:space="preserve">Based on average concept analysis and market survey costs </t>
  </si>
  <si>
    <t>Total 20 weeks of model development according to the schedule. We estimate the development cost by opportunity cost which is opportunity cost which is the product of number of team members, time spent on training and average hourly wages.</t>
  </si>
  <si>
    <t xml:space="preserve">Additional cloud storage due to data acquisition </t>
  </si>
  <si>
    <t>Additional query costs due to the implemented model. The cost is esimated to be $400/month/server and we assume Kraft Heinz has five servers.</t>
  </si>
  <si>
    <t>No infrastructure and software cost because Kraft Heinz has invested in SAP HANA IN 2016.</t>
  </si>
  <si>
    <t>Estimated 12% of the total project investment .</t>
  </si>
  <si>
    <t>Additional data storage requirement due to expanded data acqusitions. We estimate it to be $5000/month for SAP HANA Cloud.</t>
  </si>
  <si>
    <t>Annual maintanance costs for robust model is estimated to be $200000.</t>
  </si>
  <si>
    <t>Purchase of data from retailers and data brokers to support model analysis. The average cost for data is $1300/TB and we assume that we need 10TB of data each year.</t>
  </si>
  <si>
    <t>2% increase in U.S. net sales in Phase 1 and Phase 2 rollout. The U.S. market accounted for 71% of the total $25 billion net sales in 2019.</t>
  </si>
  <si>
    <t>2% increase in non-U.S. net sales in Phase 3 rollout. The non-U.S. market accounted for 29% of the total $25billion net sales in 2019.</t>
  </si>
  <si>
    <t>5% reduction in marketing costs. The marketing cost in 2019 was $728 million.</t>
  </si>
  <si>
    <t>1% saving in product innovation investment. Kraft Heinz are planning using $2 billion savings in procurement for product investment for the next five years. We estimate the annual investment to be $0.4 billion/year.</t>
  </si>
  <si>
    <t xml:space="preserve">Implentation </t>
  </si>
  <si>
    <t>1% increase in U.S. net sales in Phase 1 and Phase 2 rollout</t>
  </si>
  <si>
    <t>1% increase in non-U.S. net sales in Phase 3 rollout</t>
  </si>
  <si>
    <t>35 weeks of development instead of 20 weeks</t>
  </si>
  <si>
    <t>2% reduction in marketing costs</t>
  </si>
  <si>
    <t>0.75% saving in product innovation investment</t>
  </si>
  <si>
    <t>*Denoted the conservation assumptions that are different from the best-guess scenorio</t>
  </si>
  <si>
    <t>Best-Guess</t>
  </si>
  <si>
    <t>Worst Case</t>
  </si>
  <si>
    <t>Development Time</t>
  </si>
  <si>
    <t>20 weeks</t>
  </si>
  <si>
    <t>35 weeks</t>
  </si>
  <si>
    <t>One-Time Cost Assumptions</t>
  </si>
  <si>
    <t>Project Benefit Assumptions</t>
  </si>
  <si>
    <t>Net sales Increase</t>
  </si>
  <si>
    <t xml:space="preserve">Marketing Savings </t>
  </si>
  <si>
    <t>Investment Savings</t>
  </si>
  <si>
    <t>Additional query cost required to support operation of the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</si>
</sst>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0_);\(0\)"/>
    <numFmt numFmtId="165" formatCode="0_);[Red]\(0\)"/>
  </numFmts>
  <fonts count="4" x14ac:knownFonts="1">
    <font>
      <sz val="12"/>
      <color theme="1"/>
      <name val="Calibri"/>
      <family val="2"/>
      <scheme val="minor"/>
    </font>
    <font>
      <sz val="12"/>
      <color theme="1"/>
      <name val="Century Gothic"/>
      <family val="1"/>
    </font>
    <font>
      <b/>
      <sz val="12"/>
      <color theme="1"/>
      <name val="Century Gothic"/>
      <family val="1"/>
    </font>
    <font>
      <sz val="12"/>
      <color theme="5" tint="-0.249977111117893"/>
      <name val="Century Gothic"/>
      <family val="1"/>
    </font>
  </fonts>
  <fills count="3">
    <fill>
      <patternFill patternType="none"/>
    </fill>
    <fill>
      <patternFill patternType="gray125"/>
    </fill>
    <fill>
      <patternFill patternType="solid">
        <fgColor rgb="FFFFFF00"/>
        <bgColor indexed="64"/>
      </patternFill>
    </fill>
  </fills>
  <borders count="8">
    <border>
      <left/>
      <right/>
      <top/>
      <bottom/>
      <diagonal/>
    </border>
    <border>
      <left/>
      <right/>
      <top style="thin">
        <color auto="1"/>
      </top>
      <bottom/>
      <diagonal/>
    </border>
    <border>
      <left style="thin">
        <color auto="1"/>
      </left>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57">
    <xf numFmtId="0" fontId="0" fillId="0" borderId="0" xfId="0"/>
    <xf numFmtId="0" fontId="1" fillId="0" borderId="0" xfId="0" applyFont="1"/>
    <xf numFmtId="0" fontId="1" fillId="0" borderId="0" xfId="0" applyFont="1" applyAlignment="1">
      <alignment horizontal="center"/>
    </xf>
    <xf numFmtId="0" fontId="1" fillId="0" borderId="0" xfId="0" applyFont="1"/>
    <xf numFmtId="0" fontId="1" fillId="0" borderId="0" xfId="0" applyFont="1" applyAlignment="1">
      <alignment horizontal="left" indent="2"/>
    </xf>
    <xf numFmtId="0" fontId="1" fillId="0" borderId="0" xfId="0" applyFont="1"/>
    <xf numFmtId="0" fontId="1" fillId="0" borderId="0" xfId="0" applyFont="1" applyAlignment="1">
      <alignment horizontal="left" indent="2"/>
    </xf>
    <xf numFmtId="0" fontId="1" fillId="0" borderId="1" xfId="0" applyFont="1" applyBorder="1"/>
    <xf numFmtId="164" fontId="1" fillId="0" borderId="0" xfId="0" applyNumberFormat="1" applyFont="1"/>
    <xf numFmtId="165" fontId="1" fillId="0" borderId="0" xfId="0" applyNumberFormat="1" applyFont="1"/>
    <xf numFmtId="165" fontId="1" fillId="0" borderId="1" xfId="0" applyNumberFormat="1" applyFont="1" applyBorder="1"/>
    <xf numFmtId="6" fontId="1" fillId="0" borderId="0" xfId="0" applyNumberFormat="1" applyFont="1"/>
    <xf numFmtId="6" fontId="1" fillId="0" borderId="0" xfId="0" applyNumberFormat="1" applyFont="1" applyAlignment="1">
      <alignment horizontal="right"/>
    </xf>
    <xf numFmtId="6" fontId="1" fillId="0" borderId="1" xfId="0" applyNumberFormat="1" applyFont="1" applyBorder="1"/>
    <xf numFmtId="6" fontId="2" fillId="0" borderId="0" xfId="0" applyNumberFormat="1" applyFont="1"/>
    <xf numFmtId="8" fontId="1" fillId="0" borderId="0" xfId="0" applyNumberFormat="1" applyFont="1"/>
    <xf numFmtId="0" fontId="1" fillId="0" borderId="2" xfId="0" applyFont="1" applyBorder="1"/>
    <xf numFmtId="0" fontId="1" fillId="0" borderId="0" xfId="0" applyFont="1" applyBorder="1"/>
    <xf numFmtId="0" fontId="1" fillId="0" borderId="3" xfId="0" applyFont="1" applyBorder="1"/>
    <xf numFmtId="0" fontId="1" fillId="0" borderId="0" xfId="0" applyFont="1" applyAlignment="1">
      <alignment vertical="justify" wrapText="1"/>
    </xf>
    <xf numFmtId="0" fontId="1" fillId="0" borderId="2" xfId="0" applyFont="1" applyBorder="1" applyAlignment="1">
      <alignment vertical="top" wrapText="1"/>
    </xf>
    <xf numFmtId="0" fontId="1" fillId="0" borderId="0" xfId="0" applyFont="1" applyAlignment="1">
      <alignment vertical="top" wrapText="1"/>
    </xf>
    <xf numFmtId="0" fontId="3" fillId="0" borderId="2" xfId="0" applyFont="1" applyBorder="1"/>
    <xf numFmtId="0" fontId="3" fillId="0" borderId="0" xfId="0" applyFont="1"/>
    <xf numFmtId="8" fontId="1" fillId="0" borderId="0" xfId="0" applyNumberFormat="1" applyFont="1" applyFill="1" applyBorder="1" applyAlignment="1">
      <alignment vertical="center"/>
    </xf>
    <xf numFmtId="0" fontId="1" fillId="0" borderId="0" xfId="0" applyFont="1" applyAlignment="1">
      <alignment horizontal="right"/>
    </xf>
    <xf numFmtId="0" fontId="1" fillId="0" borderId="5" xfId="0" applyFont="1" applyBorder="1" applyAlignment="1">
      <alignment horizontal="center"/>
    </xf>
    <xf numFmtId="0" fontId="1" fillId="0" borderId="5" xfId="0" applyFont="1" applyBorder="1" applyAlignment="1">
      <alignment horizontal="right"/>
    </xf>
    <xf numFmtId="0" fontId="1" fillId="0" borderId="6" xfId="0" applyFont="1" applyBorder="1" applyAlignment="1">
      <alignment horizontal="right"/>
    </xf>
    <xf numFmtId="9" fontId="1" fillId="0" borderId="7" xfId="0" applyNumberFormat="1" applyFont="1" applyBorder="1" applyAlignment="1">
      <alignment horizontal="right"/>
    </xf>
    <xf numFmtId="9" fontId="1" fillId="0" borderId="6" xfId="0" applyNumberFormat="1" applyFont="1" applyBorder="1" applyAlignment="1">
      <alignment horizontal="right"/>
    </xf>
    <xf numFmtId="10" fontId="1" fillId="0" borderId="6" xfId="0" applyNumberFormat="1" applyFont="1" applyBorder="1" applyAlignment="1">
      <alignment horizontal="right"/>
    </xf>
    <xf numFmtId="8" fontId="1" fillId="0" borderId="4" xfId="0" applyNumberFormat="1" applyFont="1" applyFill="1" applyBorder="1" applyAlignment="1">
      <alignment horizontal="right" vertical="center"/>
    </xf>
    <xf numFmtId="8" fontId="1" fillId="0" borderId="4" xfId="0" applyNumberFormat="1" applyFont="1" applyBorder="1" applyAlignment="1">
      <alignment horizontal="right"/>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8" fontId="1" fillId="2" borderId="5" xfId="0" applyNumberFormat="1" applyFont="1" applyFill="1" applyBorder="1" applyAlignment="1">
      <alignment horizontal="center" vertical="center"/>
    </xf>
    <xf numFmtId="8" fontId="1" fillId="2" borderId="6" xfId="0" applyNumberFormat="1" applyFont="1" applyFill="1" applyBorder="1" applyAlignment="1">
      <alignment horizontal="center" vertical="center"/>
    </xf>
    <xf numFmtId="0" fontId="1" fillId="0" borderId="0" xfId="0" applyFont="1" applyAlignment="1">
      <alignment horizontal="left" indent="2"/>
    </xf>
    <xf numFmtId="0" fontId="2" fillId="0" borderId="1" xfId="0" applyFont="1" applyBorder="1"/>
    <xf numFmtId="0" fontId="1" fillId="0" borderId="0" xfId="0" applyFont="1"/>
    <xf numFmtId="0" fontId="1" fillId="0" borderId="0" xfId="0" applyFont="1" applyAlignment="1">
      <alignment horizontal="left" indent="1"/>
    </xf>
    <xf numFmtId="0" fontId="1" fillId="0" borderId="5" xfId="0" applyFont="1" applyBorder="1" applyAlignment="1">
      <alignment horizontal="center" vertical="center"/>
    </xf>
    <xf numFmtId="0" fontId="1" fillId="0" borderId="6" xfId="0" applyFont="1" applyBorder="1" applyAlignment="1">
      <alignment horizontal="center" vertical="center"/>
    </xf>
    <xf numFmtId="9" fontId="1" fillId="0" borderId="5" xfId="0" applyNumberFormat="1" applyFont="1" applyBorder="1" applyAlignment="1">
      <alignment horizontal="center" vertical="center"/>
    </xf>
    <xf numFmtId="9" fontId="1" fillId="0" borderId="6" xfId="0" applyNumberFormat="1" applyFont="1" applyBorder="1" applyAlignment="1">
      <alignment horizontal="center" vertical="center"/>
    </xf>
    <xf numFmtId="0" fontId="2" fillId="0" borderId="0" xfId="0" applyFont="1"/>
    <xf numFmtId="0" fontId="1" fillId="0" borderId="5" xfId="0" applyFont="1" applyBorder="1" applyAlignment="1">
      <alignment horizontal="left"/>
    </xf>
    <xf numFmtId="0" fontId="1" fillId="0" borderId="6" xfId="0" applyFont="1" applyBorder="1" applyAlignment="1">
      <alignment horizontal="left"/>
    </xf>
    <xf numFmtId="0" fontId="1" fillId="0" borderId="0" xfId="0" applyFont="1" applyAlignment="1">
      <alignment horizontal="left"/>
    </xf>
    <xf numFmtId="0" fontId="1" fillId="0" borderId="7" xfId="0" applyFont="1" applyBorder="1" applyAlignment="1">
      <alignment horizontal="left"/>
    </xf>
    <xf numFmtId="0" fontId="1" fillId="0" borderId="4" xfId="0" applyFont="1" applyBorder="1" applyAlignment="1">
      <alignment horizontal="left"/>
    </xf>
    <xf numFmtId="0" fontId="1" fillId="0" borderId="0" xfId="0" applyFont="1" applyAlignment="1">
      <alignment horizontal="left" vertical="justify" wrapText="1" indent="1"/>
    </xf>
    <xf numFmtId="0" fontId="2" fillId="0" borderId="1" xfId="0" applyFont="1" applyBorder="1" applyAlignment="1">
      <alignment vertical="justify" wrapText="1"/>
    </xf>
    <xf numFmtId="0" fontId="1" fillId="0" borderId="0" xfId="0" applyFont="1" applyAlignment="1">
      <alignment horizontal="left" vertical="justify" wrapText="1"/>
    </xf>
    <xf numFmtId="0" fontId="1" fillId="0" borderId="0" xfId="0" applyFont="1" applyAlignment="1">
      <alignment vertical="justify" wrapText="1"/>
    </xf>
    <xf numFmtId="0" fontId="2" fillId="0" borderId="0" xfId="0" applyFont="1" applyAlignment="1">
      <alignment vertical="justify" wrapText="1"/>
    </xf>
  </cellXfs>
  <cellStyles count="1">
    <cellStyle name="Normal" xfId="0" builtinId="0"/>
  </cellStyles>
  <dxfs count="0"/>
  <tableStyles count="0" defaultTableStyle="TableStyleMedium2" defaultPivotStyle="PivotStyleLight16"/>
  <colors>
    <mruColors>
      <color rgb="FF65AD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ADCE8-5C2A-AA42-8CC8-79374A3EB611}">
  <sheetPr>
    <pageSetUpPr fitToPage="1"/>
  </sheetPr>
  <dimension ref="A1:Q29"/>
  <sheetViews>
    <sheetView workbookViewId="0">
      <selection activeCell="F28" sqref="F28:F29"/>
    </sheetView>
  </sheetViews>
  <sheetFormatPr baseColWidth="10" defaultRowHeight="16" x14ac:dyDescent="0.2"/>
  <cols>
    <col min="1" max="2" width="10.83203125" style="1"/>
    <col min="3" max="3" width="12.1640625" style="1" customWidth="1"/>
    <col min="4" max="4" width="13" style="1" bestFit="1" customWidth="1"/>
    <col min="5" max="5" width="17.5" style="1" bestFit="1" customWidth="1"/>
    <col min="6" max="8" width="19.1640625" style="1" bestFit="1" customWidth="1"/>
    <col min="9" max="9" width="14.5" style="1" bestFit="1" customWidth="1"/>
    <col min="10" max="16384" width="10.83203125" style="1"/>
  </cols>
  <sheetData>
    <row r="1" spans="1:17" x14ac:dyDescent="0.2">
      <c r="D1" s="2"/>
      <c r="E1" s="2">
        <v>2021</v>
      </c>
      <c r="F1" s="2">
        <v>2022</v>
      </c>
      <c r="G1" s="2">
        <v>2023</v>
      </c>
      <c r="H1" s="2">
        <v>2024</v>
      </c>
      <c r="I1" s="1">
        <v>2025</v>
      </c>
      <c r="L1" s="16" t="s">
        <v>17</v>
      </c>
      <c r="M1" s="17"/>
      <c r="N1" s="17"/>
      <c r="O1" s="17"/>
      <c r="P1" s="17"/>
      <c r="Q1" s="17"/>
    </row>
    <row r="2" spans="1:17" x14ac:dyDescent="0.2">
      <c r="A2" s="46" t="s">
        <v>0</v>
      </c>
      <c r="B2" s="46"/>
      <c r="C2" s="46"/>
      <c r="D2" s="11"/>
      <c r="E2" s="11"/>
      <c r="F2" s="11"/>
      <c r="G2" s="11"/>
      <c r="H2" s="11"/>
      <c r="I2" s="11"/>
      <c r="J2" s="9"/>
      <c r="L2" s="16"/>
      <c r="M2" s="17"/>
      <c r="N2" s="17"/>
      <c r="O2" s="17"/>
      <c r="P2" s="17"/>
      <c r="Q2" s="17"/>
    </row>
    <row r="3" spans="1:17" x14ac:dyDescent="0.2">
      <c r="A3" s="40" t="s">
        <v>18</v>
      </c>
      <c r="B3" s="40"/>
      <c r="C3" s="40"/>
      <c r="D3" s="11"/>
      <c r="E3" s="11"/>
      <c r="F3" s="11"/>
      <c r="G3" s="11"/>
      <c r="H3" s="11"/>
      <c r="I3" s="11"/>
      <c r="J3" s="9"/>
      <c r="L3" s="16"/>
      <c r="M3" s="17"/>
      <c r="N3" s="17"/>
      <c r="O3" s="17"/>
      <c r="P3" s="17"/>
      <c r="Q3" s="17"/>
    </row>
    <row r="4" spans="1:17" x14ac:dyDescent="0.2">
      <c r="A4" s="4" t="s">
        <v>20</v>
      </c>
      <c r="B4" s="3"/>
      <c r="C4" s="3"/>
      <c r="D4" s="12"/>
      <c r="E4" s="12">
        <v>0</v>
      </c>
      <c r="F4" s="12">
        <v>0</v>
      </c>
      <c r="G4" s="12">
        <v>0</v>
      </c>
      <c r="H4" s="12">
        <v>0</v>
      </c>
      <c r="I4" s="11">
        <v>0</v>
      </c>
      <c r="J4" s="9"/>
      <c r="L4" s="16" t="s">
        <v>21</v>
      </c>
      <c r="M4" s="17"/>
      <c r="N4" s="17"/>
      <c r="O4" s="17"/>
      <c r="P4" s="17"/>
      <c r="Q4" s="17"/>
    </row>
    <row r="5" spans="1:17" x14ac:dyDescent="0.2">
      <c r="A5" s="38" t="s">
        <v>4</v>
      </c>
      <c r="B5" s="38"/>
      <c r="C5" s="38"/>
      <c r="D5" s="11"/>
      <c r="E5" s="11">
        <f>-(96000*5*2/52+118000*2*0.5/52)</f>
        <v>-20730.76923076923</v>
      </c>
      <c r="F5" s="11">
        <v>0</v>
      </c>
      <c r="G5" s="11">
        <v>0</v>
      </c>
      <c r="H5" s="11">
        <v>0</v>
      </c>
      <c r="I5" s="11">
        <v>0</v>
      </c>
      <c r="J5" s="9"/>
      <c r="L5" s="16" t="s">
        <v>36</v>
      </c>
      <c r="M5" s="17"/>
      <c r="N5" s="17"/>
      <c r="O5" s="17"/>
      <c r="P5" s="17"/>
      <c r="Q5" s="17"/>
    </row>
    <row r="6" spans="1:17" x14ac:dyDescent="0.2">
      <c r="A6" s="38" t="s">
        <v>1</v>
      </c>
      <c r="B6" s="38"/>
      <c r="C6" s="38"/>
      <c r="D6" s="11"/>
      <c r="E6" s="11">
        <v>-10000</v>
      </c>
      <c r="F6" s="12">
        <v>0</v>
      </c>
      <c r="G6" s="12">
        <v>0</v>
      </c>
      <c r="H6" s="12">
        <v>0</v>
      </c>
      <c r="I6" s="11">
        <v>0</v>
      </c>
      <c r="J6" s="9"/>
      <c r="L6" s="16" t="s">
        <v>22</v>
      </c>
      <c r="M6" s="17"/>
      <c r="N6" s="17"/>
      <c r="O6" s="17"/>
      <c r="P6" s="17"/>
      <c r="Q6" s="17"/>
    </row>
    <row r="7" spans="1:17" x14ac:dyDescent="0.2">
      <c r="A7" s="38" t="s">
        <v>2</v>
      </c>
      <c r="B7" s="38"/>
      <c r="C7" s="38"/>
      <c r="D7" s="11"/>
      <c r="E7" s="11">
        <f>-(96000*5*20/52+118000*20*0.5/52)</f>
        <v>-207307.69230769231</v>
      </c>
      <c r="F7" s="12">
        <v>0</v>
      </c>
      <c r="G7" s="12">
        <v>0</v>
      </c>
      <c r="H7" s="12">
        <v>0</v>
      </c>
      <c r="I7" s="11">
        <v>0</v>
      </c>
      <c r="J7" s="9"/>
      <c r="L7" s="16" t="s">
        <v>23</v>
      </c>
      <c r="M7" s="17"/>
      <c r="N7" s="17"/>
      <c r="O7" s="17"/>
      <c r="P7" s="17"/>
      <c r="Q7" s="17"/>
    </row>
    <row r="8" spans="1:17" x14ac:dyDescent="0.2">
      <c r="A8" s="38" t="s">
        <v>3</v>
      </c>
      <c r="B8" s="38"/>
      <c r="C8" s="38"/>
      <c r="D8" s="11"/>
      <c r="E8" s="11">
        <f>(E6+E7)/(1-12%)*12%</f>
        <v>-29632.867132867133</v>
      </c>
      <c r="F8" s="12">
        <v>0</v>
      </c>
      <c r="G8" s="12">
        <v>0</v>
      </c>
      <c r="H8" s="12">
        <v>0</v>
      </c>
      <c r="I8" s="11">
        <v>0</v>
      </c>
      <c r="J8" s="9"/>
      <c r="L8" s="16" t="s">
        <v>24</v>
      </c>
      <c r="M8" s="17"/>
      <c r="N8" s="17"/>
      <c r="O8" s="17"/>
      <c r="P8" s="17"/>
      <c r="Q8" s="17"/>
    </row>
    <row r="9" spans="1:17" x14ac:dyDescent="0.2">
      <c r="A9" s="39" t="s">
        <v>5</v>
      </c>
      <c r="B9" s="39"/>
      <c r="C9" s="39"/>
      <c r="D9" s="13"/>
      <c r="E9" s="13">
        <f>SUM(E4:E8)</f>
        <v>-267671.32867132867</v>
      </c>
      <c r="F9" s="13">
        <f>SUM(F4:F8)</f>
        <v>0</v>
      </c>
      <c r="G9" s="13">
        <f t="shared" ref="G9:H9" si="0">SUM(G4:G8)</f>
        <v>0</v>
      </c>
      <c r="H9" s="13">
        <f t="shared" si="0"/>
        <v>0</v>
      </c>
      <c r="I9" s="13">
        <f>SUM(I4:I8)</f>
        <v>0</v>
      </c>
      <c r="J9" s="10"/>
      <c r="K9" s="7"/>
      <c r="L9" s="18"/>
      <c r="M9" s="7"/>
      <c r="N9" s="7"/>
      <c r="O9" s="7"/>
      <c r="P9" s="7"/>
      <c r="Q9" s="17"/>
    </row>
    <row r="10" spans="1:17" x14ac:dyDescent="0.2">
      <c r="A10" s="40"/>
      <c r="B10" s="40"/>
      <c r="C10" s="40"/>
      <c r="D10" s="11"/>
      <c r="E10" s="11"/>
      <c r="F10" s="11"/>
      <c r="G10" s="11"/>
      <c r="H10" s="11"/>
      <c r="I10" s="11"/>
      <c r="J10" s="9"/>
      <c r="L10" s="16"/>
      <c r="M10" s="17"/>
      <c r="N10" s="17"/>
      <c r="O10" s="17"/>
      <c r="P10" s="17"/>
      <c r="Q10" s="17"/>
    </row>
    <row r="11" spans="1:17" x14ac:dyDescent="0.2">
      <c r="A11" s="46" t="s">
        <v>6</v>
      </c>
      <c r="B11" s="46"/>
      <c r="C11" s="46"/>
      <c r="D11" s="11"/>
      <c r="E11" s="11"/>
      <c r="F11" s="11"/>
      <c r="G11" s="11"/>
      <c r="H11" s="11"/>
      <c r="I11" s="11"/>
      <c r="J11" s="9"/>
      <c r="L11" s="16"/>
      <c r="M11" s="17"/>
      <c r="N11" s="17"/>
      <c r="O11" s="17"/>
      <c r="P11" s="17"/>
      <c r="Q11" s="17"/>
    </row>
    <row r="12" spans="1:17" x14ac:dyDescent="0.2">
      <c r="A12" s="38" t="s">
        <v>7</v>
      </c>
      <c r="B12" s="38"/>
      <c r="C12" s="38"/>
      <c r="D12" s="11"/>
      <c r="E12" s="11">
        <f>-5000*12</f>
        <v>-60000</v>
      </c>
      <c r="F12" s="11">
        <f t="shared" ref="F12:I12" si="1">-5000*12</f>
        <v>-60000</v>
      </c>
      <c r="G12" s="11">
        <f t="shared" si="1"/>
        <v>-60000</v>
      </c>
      <c r="H12" s="11">
        <f t="shared" si="1"/>
        <v>-60000</v>
      </c>
      <c r="I12" s="11">
        <f t="shared" si="1"/>
        <v>-60000</v>
      </c>
      <c r="J12" s="9"/>
      <c r="L12" s="16" t="s">
        <v>40</v>
      </c>
      <c r="M12" s="17"/>
      <c r="N12" s="17"/>
      <c r="O12" s="17"/>
      <c r="P12" s="17"/>
      <c r="Q12" s="17"/>
    </row>
    <row r="13" spans="1:17" x14ac:dyDescent="0.2">
      <c r="A13" s="38" t="s">
        <v>10</v>
      </c>
      <c r="B13" s="38"/>
      <c r="C13" s="38"/>
      <c r="D13" s="11"/>
      <c r="E13" s="11">
        <f>-400*5*12</f>
        <v>-24000</v>
      </c>
      <c r="F13" s="11">
        <f t="shared" ref="F13:I13" si="2">-400*5*12</f>
        <v>-24000</v>
      </c>
      <c r="G13" s="11">
        <f t="shared" si="2"/>
        <v>-24000</v>
      </c>
      <c r="H13" s="11">
        <f t="shared" si="2"/>
        <v>-24000</v>
      </c>
      <c r="I13" s="11">
        <f t="shared" si="2"/>
        <v>-24000</v>
      </c>
      <c r="J13" s="9"/>
      <c r="L13" s="16" t="s">
        <v>68</v>
      </c>
      <c r="M13" s="17"/>
      <c r="N13" s="17"/>
      <c r="O13" s="17"/>
      <c r="P13" s="17"/>
      <c r="Q13" s="17"/>
    </row>
    <row r="14" spans="1:17" x14ac:dyDescent="0.2">
      <c r="A14" s="38" t="s">
        <v>8</v>
      </c>
      <c r="B14" s="38"/>
      <c r="C14" s="38"/>
      <c r="D14" s="11"/>
      <c r="E14" s="11">
        <v>-200000</v>
      </c>
      <c r="F14" s="11">
        <v>-200000</v>
      </c>
      <c r="G14" s="11">
        <v>-200000</v>
      </c>
      <c r="H14" s="11">
        <v>-200000</v>
      </c>
      <c r="I14" s="11">
        <v>-200000</v>
      </c>
      <c r="J14" s="9"/>
      <c r="L14" s="16"/>
      <c r="M14" s="17"/>
      <c r="N14" s="17"/>
      <c r="O14" s="17"/>
      <c r="P14" s="17"/>
      <c r="Q14" s="17"/>
    </row>
    <row r="15" spans="1:17" x14ac:dyDescent="0.2">
      <c r="A15" s="38" t="s">
        <v>9</v>
      </c>
      <c r="B15" s="38"/>
      <c r="C15" s="38"/>
      <c r="D15" s="11"/>
      <c r="E15" s="11">
        <f>-1300*10</f>
        <v>-13000</v>
      </c>
      <c r="F15" s="11">
        <f t="shared" ref="F15:I15" si="3">-1300*10</f>
        <v>-13000</v>
      </c>
      <c r="G15" s="11">
        <f t="shared" si="3"/>
        <v>-13000</v>
      </c>
      <c r="H15" s="11">
        <f t="shared" si="3"/>
        <v>-13000</v>
      </c>
      <c r="I15" s="11">
        <f t="shared" si="3"/>
        <v>-13000</v>
      </c>
      <c r="J15" s="9"/>
      <c r="L15" s="16" t="s">
        <v>27</v>
      </c>
      <c r="M15" s="17"/>
      <c r="N15" s="17"/>
      <c r="O15" s="17"/>
      <c r="P15" s="17"/>
      <c r="Q15" s="17"/>
    </row>
    <row r="16" spans="1:17" x14ac:dyDescent="0.2">
      <c r="A16" s="39" t="s">
        <v>11</v>
      </c>
      <c r="B16" s="39"/>
      <c r="C16" s="39"/>
      <c r="D16" s="13"/>
      <c r="E16" s="13">
        <f>SUM(E12:E15)</f>
        <v>-297000</v>
      </c>
      <c r="F16" s="13">
        <f t="shared" ref="F16:I16" si="4">SUM(F12:F15)</f>
        <v>-297000</v>
      </c>
      <c r="G16" s="13">
        <f t="shared" si="4"/>
        <v>-297000</v>
      </c>
      <c r="H16" s="13">
        <f t="shared" si="4"/>
        <v>-297000</v>
      </c>
      <c r="I16" s="13">
        <f t="shared" si="4"/>
        <v>-297000</v>
      </c>
      <c r="J16" s="10"/>
      <c r="K16" s="7"/>
      <c r="L16" s="18"/>
      <c r="M16" s="7"/>
      <c r="N16" s="7"/>
      <c r="O16" s="7"/>
      <c r="P16" s="7"/>
      <c r="Q16" s="17"/>
    </row>
    <row r="17" spans="1:17" x14ac:dyDescent="0.2">
      <c r="A17" s="40"/>
      <c r="B17" s="40"/>
      <c r="C17" s="40"/>
      <c r="D17" s="11"/>
      <c r="E17" s="11"/>
      <c r="F17" s="11"/>
      <c r="G17" s="11"/>
      <c r="H17" s="11"/>
      <c r="I17" s="11"/>
      <c r="J17" s="9"/>
      <c r="L17" s="16"/>
      <c r="M17" s="17"/>
      <c r="N17" s="17"/>
      <c r="O17" s="17"/>
      <c r="P17" s="17"/>
      <c r="Q17" s="17"/>
    </row>
    <row r="18" spans="1:17" x14ac:dyDescent="0.2">
      <c r="A18" s="46" t="s">
        <v>12</v>
      </c>
      <c r="B18" s="46"/>
      <c r="C18" s="46"/>
      <c r="D18" s="11"/>
      <c r="E18" s="11"/>
      <c r="F18" s="11"/>
      <c r="G18" s="11"/>
      <c r="H18" s="11"/>
      <c r="I18" s="11"/>
      <c r="J18" s="9"/>
      <c r="L18" s="16"/>
      <c r="M18" s="17"/>
      <c r="N18" s="17"/>
      <c r="O18" s="17"/>
      <c r="P18" s="17"/>
      <c r="Q18" s="17"/>
    </row>
    <row r="19" spans="1:17" x14ac:dyDescent="0.2">
      <c r="A19" s="41" t="s">
        <v>13</v>
      </c>
      <c r="B19" s="41"/>
      <c r="C19" s="41"/>
      <c r="D19" s="11"/>
      <c r="E19" s="11"/>
      <c r="F19" s="11"/>
      <c r="G19" s="11"/>
      <c r="H19" s="11"/>
      <c r="I19" s="11"/>
      <c r="J19" s="9"/>
      <c r="L19" s="16"/>
      <c r="M19" s="17"/>
      <c r="N19" s="17"/>
      <c r="O19" s="17"/>
      <c r="P19" s="17"/>
      <c r="Q19" s="17"/>
    </row>
    <row r="20" spans="1:17" x14ac:dyDescent="0.2">
      <c r="A20" s="38" t="s">
        <v>25</v>
      </c>
      <c r="B20" s="38"/>
      <c r="C20" s="38"/>
      <c r="D20" s="11"/>
      <c r="E20" s="11">
        <v>0</v>
      </c>
      <c r="F20" s="11">
        <f t="shared" ref="F20:I20" si="5">17756*10^6*2%</f>
        <v>355120000</v>
      </c>
      <c r="G20" s="11">
        <f t="shared" si="5"/>
        <v>355120000</v>
      </c>
      <c r="H20" s="11">
        <f t="shared" si="5"/>
        <v>355120000</v>
      </c>
      <c r="I20" s="11">
        <f t="shared" si="5"/>
        <v>355120000</v>
      </c>
      <c r="J20" s="9"/>
      <c r="L20" s="16" t="s">
        <v>32</v>
      </c>
      <c r="M20" s="17"/>
      <c r="N20" s="17"/>
      <c r="O20" s="17"/>
      <c r="P20" s="17"/>
      <c r="Q20" s="17"/>
    </row>
    <row r="21" spans="1:17" x14ac:dyDescent="0.2">
      <c r="A21" s="38" t="s">
        <v>26</v>
      </c>
      <c r="B21" s="38"/>
      <c r="C21" s="38"/>
      <c r="D21" s="11"/>
      <c r="E21" s="11">
        <v>0</v>
      </c>
      <c r="F21" s="11">
        <v>0</v>
      </c>
      <c r="G21" s="11">
        <f t="shared" ref="G21:I21" si="6">7221*10^6*2%</f>
        <v>144420000</v>
      </c>
      <c r="H21" s="11">
        <f t="shared" si="6"/>
        <v>144420000</v>
      </c>
      <c r="I21" s="11">
        <f t="shared" si="6"/>
        <v>144420000</v>
      </c>
      <c r="J21" s="9"/>
      <c r="L21" s="16" t="s">
        <v>33</v>
      </c>
      <c r="M21" s="17"/>
      <c r="N21" s="17"/>
      <c r="O21" s="17"/>
      <c r="P21" s="17"/>
      <c r="Q21" s="17"/>
    </row>
    <row r="22" spans="1:17" x14ac:dyDescent="0.2">
      <c r="A22" s="41" t="s">
        <v>14</v>
      </c>
      <c r="B22" s="41"/>
      <c r="C22" s="41"/>
      <c r="D22" s="11"/>
      <c r="E22" s="11">
        <v>0</v>
      </c>
      <c r="F22" s="11">
        <f t="shared" ref="F22:I22" si="7">728*10^6*5%</f>
        <v>36400000</v>
      </c>
      <c r="G22" s="11">
        <f t="shared" si="7"/>
        <v>36400000</v>
      </c>
      <c r="H22" s="11">
        <f t="shared" si="7"/>
        <v>36400000</v>
      </c>
      <c r="I22" s="11">
        <f t="shared" si="7"/>
        <v>36400000</v>
      </c>
      <c r="J22" s="9"/>
      <c r="L22" s="16" t="s">
        <v>29</v>
      </c>
      <c r="M22" s="17"/>
      <c r="N22" s="17"/>
      <c r="O22" s="17"/>
      <c r="P22" s="17"/>
      <c r="Q22" s="17"/>
    </row>
    <row r="23" spans="1:17" x14ac:dyDescent="0.2">
      <c r="A23" s="41" t="s">
        <v>67</v>
      </c>
      <c r="B23" s="41"/>
      <c r="C23" s="41"/>
      <c r="D23" s="11"/>
      <c r="E23" s="11">
        <v>0</v>
      </c>
      <c r="F23" s="11">
        <f t="shared" ref="F23:I23" si="8">2*10^9/5*1%</f>
        <v>4000000</v>
      </c>
      <c r="G23" s="11">
        <f t="shared" si="8"/>
        <v>4000000</v>
      </c>
      <c r="H23" s="11">
        <f t="shared" si="8"/>
        <v>4000000</v>
      </c>
      <c r="I23" s="11">
        <f t="shared" si="8"/>
        <v>4000000</v>
      </c>
      <c r="J23" s="9"/>
      <c r="L23" s="16" t="s">
        <v>28</v>
      </c>
      <c r="M23" s="17"/>
      <c r="N23" s="17"/>
      <c r="O23" s="17"/>
      <c r="P23" s="17"/>
      <c r="Q23" s="17"/>
    </row>
    <row r="24" spans="1:17" x14ac:dyDescent="0.2">
      <c r="A24" s="39" t="s">
        <v>16</v>
      </c>
      <c r="B24" s="39"/>
      <c r="C24" s="39"/>
      <c r="D24" s="13"/>
      <c r="E24" s="13">
        <f>SUM(E19:E23)</f>
        <v>0</v>
      </c>
      <c r="F24" s="13">
        <f>SUM(F19:F23)</f>
        <v>395520000</v>
      </c>
      <c r="G24" s="13">
        <f t="shared" ref="G24:I24" si="9">SUM(G19:G23)</f>
        <v>539940000</v>
      </c>
      <c r="H24" s="13">
        <f t="shared" si="9"/>
        <v>539940000</v>
      </c>
      <c r="I24" s="13">
        <f t="shared" si="9"/>
        <v>539940000</v>
      </c>
      <c r="J24" s="10"/>
      <c r="K24" s="7"/>
      <c r="L24" s="17" t="s">
        <v>34</v>
      </c>
      <c r="M24" s="17"/>
      <c r="N24" s="17"/>
      <c r="O24" s="17"/>
      <c r="P24" s="17"/>
    </row>
    <row r="25" spans="1:17" x14ac:dyDescent="0.2">
      <c r="D25" s="11"/>
      <c r="E25" s="11"/>
      <c r="F25" s="11"/>
      <c r="G25" s="11"/>
      <c r="H25" s="11"/>
      <c r="I25" s="11"/>
      <c r="J25" s="9"/>
    </row>
    <row r="26" spans="1:17" x14ac:dyDescent="0.2">
      <c r="D26" s="11" t="s">
        <v>30</v>
      </c>
      <c r="E26" s="14">
        <f>SUM(E9,E16,E24)</f>
        <v>-564671.32867132872</v>
      </c>
      <c r="F26" s="14">
        <f>SUM(F9,F16,F24)</f>
        <v>395223000</v>
      </c>
      <c r="G26" s="14">
        <f>SUM(G9,G16,G24)</f>
        <v>539643000</v>
      </c>
      <c r="H26" s="14">
        <f>SUM(H9,H16,H24)</f>
        <v>539643000</v>
      </c>
      <c r="I26" s="14">
        <f>SUM(I9,I16,I24)</f>
        <v>539643000</v>
      </c>
      <c r="J26" s="9"/>
    </row>
    <row r="27" spans="1:17" s="3" customFormat="1" x14ac:dyDescent="0.2">
      <c r="E27" s="8"/>
      <c r="F27" s="8"/>
      <c r="G27" s="8"/>
      <c r="H27" s="8"/>
    </row>
    <row r="28" spans="1:17" x14ac:dyDescent="0.2">
      <c r="A28" s="42" t="s">
        <v>19</v>
      </c>
      <c r="B28" s="42"/>
      <c r="C28" s="44">
        <v>0.1</v>
      </c>
      <c r="E28" s="34" t="s">
        <v>31</v>
      </c>
      <c r="F28" s="36">
        <f>NPV(C28,E26,F26,G26,H26,I26)</f>
        <v>1435218289.6769915</v>
      </c>
    </row>
    <row r="29" spans="1:17" x14ac:dyDescent="0.2">
      <c r="A29" s="43"/>
      <c r="B29" s="43"/>
      <c r="C29" s="45"/>
      <c r="E29" s="35"/>
      <c r="F29" s="37"/>
    </row>
  </sheetData>
  <mergeCells count="26">
    <mergeCell ref="A2:C2"/>
    <mergeCell ref="A3:C3"/>
    <mergeCell ref="A5:C5"/>
    <mergeCell ref="A6:C6"/>
    <mergeCell ref="A18:C18"/>
    <mergeCell ref="A7:C7"/>
    <mergeCell ref="A8:C8"/>
    <mergeCell ref="A9:C9"/>
    <mergeCell ref="A10:C10"/>
    <mergeCell ref="A11:C11"/>
    <mergeCell ref="A12:C12"/>
    <mergeCell ref="A13:C13"/>
    <mergeCell ref="A14:C14"/>
    <mergeCell ref="E28:E29"/>
    <mergeCell ref="F28:F29"/>
    <mergeCell ref="A15:C15"/>
    <mergeCell ref="A16:C16"/>
    <mergeCell ref="A17:C17"/>
    <mergeCell ref="A24:C24"/>
    <mergeCell ref="A19:C19"/>
    <mergeCell ref="A20:C20"/>
    <mergeCell ref="A21:C21"/>
    <mergeCell ref="A22:C22"/>
    <mergeCell ref="A23:C23"/>
    <mergeCell ref="A28:B29"/>
    <mergeCell ref="C28:C29"/>
  </mergeCells>
  <pageMargins left="0.7" right="0.7" top="0.75" bottom="0.75" header="0.3" footer="0.3"/>
  <pageSetup scale="51"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B325D-AED4-D94C-A420-116C11BD989C}">
  <dimension ref="A1:D11"/>
  <sheetViews>
    <sheetView tabSelected="1" workbookViewId="0">
      <selection activeCell="G15" sqref="G15"/>
    </sheetView>
  </sheetViews>
  <sheetFormatPr baseColWidth="10" defaultRowHeight="16" x14ac:dyDescent="0.2"/>
  <cols>
    <col min="1" max="1" width="10.83203125" style="5"/>
    <col min="2" max="2" width="17.1640625" style="5" customWidth="1"/>
    <col min="3" max="3" width="19.33203125" style="5" bestFit="1" customWidth="1"/>
    <col min="4" max="4" width="17.5" style="5" bestFit="1" customWidth="1"/>
    <col min="5" max="16384" width="10.83203125" style="5"/>
  </cols>
  <sheetData>
    <row r="1" spans="1:4" x14ac:dyDescent="0.2">
      <c r="C1" s="26" t="s">
        <v>58</v>
      </c>
      <c r="D1" s="26" t="s">
        <v>59</v>
      </c>
    </row>
    <row r="2" spans="1:4" x14ac:dyDescent="0.2">
      <c r="A2" s="47" t="s">
        <v>63</v>
      </c>
      <c r="B2" s="47"/>
      <c r="C2" s="27"/>
      <c r="D2" s="27"/>
    </row>
    <row r="3" spans="1:4" x14ac:dyDescent="0.2">
      <c r="A3" s="48" t="s">
        <v>60</v>
      </c>
      <c r="B3" s="48"/>
      <c r="C3" s="28" t="s">
        <v>61</v>
      </c>
      <c r="D3" s="28" t="s">
        <v>62</v>
      </c>
    </row>
    <row r="4" spans="1:4" x14ac:dyDescent="0.2">
      <c r="A4" s="49"/>
      <c r="B4" s="49"/>
      <c r="C4" s="25"/>
      <c r="D4" s="25"/>
    </row>
    <row r="5" spans="1:4" x14ac:dyDescent="0.2">
      <c r="A5" s="47" t="s">
        <v>64</v>
      </c>
      <c r="B5" s="47"/>
      <c r="C5" s="27"/>
      <c r="D5" s="27"/>
    </row>
    <row r="6" spans="1:4" x14ac:dyDescent="0.2">
      <c r="A6" s="50" t="s">
        <v>65</v>
      </c>
      <c r="B6" s="50"/>
      <c r="C6" s="29">
        <v>0.02</v>
      </c>
      <c r="D6" s="29">
        <v>0.01</v>
      </c>
    </row>
    <row r="7" spans="1:4" x14ac:dyDescent="0.2">
      <c r="A7" s="50" t="s">
        <v>66</v>
      </c>
      <c r="B7" s="50"/>
      <c r="C7" s="29">
        <v>0.05</v>
      </c>
      <c r="D7" s="29">
        <v>0.02</v>
      </c>
    </row>
    <row r="8" spans="1:4" x14ac:dyDescent="0.2">
      <c r="A8" s="48" t="s">
        <v>67</v>
      </c>
      <c r="B8" s="48"/>
      <c r="C8" s="30">
        <v>0.01</v>
      </c>
      <c r="D8" s="31">
        <v>7.4999999999999997E-3</v>
      </c>
    </row>
    <row r="9" spans="1:4" x14ac:dyDescent="0.2">
      <c r="A9" s="49"/>
      <c r="B9" s="49"/>
      <c r="C9" s="25"/>
      <c r="D9" s="25"/>
    </row>
    <row r="10" spans="1:4" x14ac:dyDescent="0.2">
      <c r="A10" s="51" t="s">
        <v>31</v>
      </c>
      <c r="B10" s="51"/>
      <c r="C10" s="32">
        <v>1435218289.6769915</v>
      </c>
      <c r="D10" s="33">
        <v>709156246.51687002</v>
      </c>
    </row>
    <row r="11" spans="1:4" x14ac:dyDescent="0.2">
      <c r="C11" s="24"/>
      <c r="D11" s="15"/>
    </row>
  </sheetData>
  <mergeCells count="9">
    <mergeCell ref="A7:B7"/>
    <mergeCell ref="A8:B8"/>
    <mergeCell ref="A9:B9"/>
    <mergeCell ref="A10:B10"/>
    <mergeCell ref="A2:B2"/>
    <mergeCell ref="A3:B3"/>
    <mergeCell ref="A4:B4"/>
    <mergeCell ref="A5:B5"/>
    <mergeCell ref="A6:B6"/>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221A9-B29C-DC40-8BBB-D2573E17F72C}">
  <dimension ref="A1:Q29"/>
  <sheetViews>
    <sheetView workbookViewId="0">
      <selection activeCell="F28" sqref="F28:F29"/>
    </sheetView>
  </sheetViews>
  <sheetFormatPr baseColWidth="10" defaultRowHeight="16" x14ac:dyDescent="0.2"/>
  <cols>
    <col min="1" max="2" width="10.83203125" style="5"/>
    <col min="3" max="3" width="12.1640625" style="5" customWidth="1"/>
    <col min="4" max="4" width="13" style="5" bestFit="1" customWidth="1"/>
    <col min="5" max="5" width="17.5" style="5" bestFit="1" customWidth="1"/>
    <col min="6" max="8" width="19.1640625" style="5" bestFit="1" customWidth="1"/>
    <col min="9" max="9" width="14.5" style="5" bestFit="1" customWidth="1"/>
    <col min="10" max="16384" width="10.83203125" style="5"/>
  </cols>
  <sheetData>
    <row r="1" spans="1:17" x14ac:dyDescent="0.2">
      <c r="D1" s="2"/>
      <c r="E1" s="2">
        <v>2021</v>
      </c>
      <c r="F1" s="2">
        <v>2022</v>
      </c>
      <c r="G1" s="2">
        <v>2023</v>
      </c>
      <c r="H1" s="2">
        <v>2024</v>
      </c>
      <c r="I1" s="5">
        <v>2025</v>
      </c>
      <c r="L1" s="16" t="s">
        <v>17</v>
      </c>
      <c r="M1" s="17"/>
      <c r="N1" s="17"/>
      <c r="O1" s="17"/>
      <c r="P1" s="17"/>
      <c r="Q1" s="17"/>
    </row>
    <row r="2" spans="1:17" x14ac:dyDescent="0.2">
      <c r="A2" s="46" t="s">
        <v>0</v>
      </c>
      <c r="B2" s="46"/>
      <c r="C2" s="46"/>
      <c r="D2" s="11"/>
      <c r="E2" s="11"/>
      <c r="F2" s="11"/>
      <c r="G2" s="11"/>
      <c r="H2" s="11"/>
      <c r="I2" s="11"/>
      <c r="J2" s="9"/>
      <c r="L2" s="16"/>
      <c r="M2" s="17"/>
      <c r="N2" s="17"/>
      <c r="O2" s="17"/>
      <c r="P2" s="17"/>
      <c r="Q2" s="17"/>
    </row>
    <row r="3" spans="1:17" x14ac:dyDescent="0.2">
      <c r="A3" s="40" t="s">
        <v>18</v>
      </c>
      <c r="B3" s="40"/>
      <c r="C3" s="40"/>
      <c r="D3" s="11"/>
      <c r="E3" s="11"/>
      <c r="F3" s="11"/>
      <c r="G3" s="11"/>
      <c r="H3" s="11"/>
      <c r="I3" s="11"/>
      <c r="J3" s="9"/>
      <c r="L3" s="16"/>
      <c r="M3" s="17"/>
      <c r="N3" s="17"/>
      <c r="O3" s="17"/>
      <c r="P3" s="17"/>
      <c r="Q3" s="17"/>
    </row>
    <row r="4" spans="1:17" x14ac:dyDescent="0.2">
      <c r="A4" s="6" t="s">
        <v>20</v>
      </c>
      <c r="D4" s="12"/>
      <c r="E4" s="12">
        <v>0</v>
      </c>
      <c r="F4" s="12">
        <v>0</v>
      </c>
      <c r="G4" s="12">
        <v>0</v>
      </c>
      <c r="H4" s="12">
        <v>0</v>
      </c>
      <c r="I4" s="11">
        <v>0</v>
      </c>
      <c r="J4" s="9"/>
      <c r="L4" s="16" t="s">
        <v>21</v>
      </c>
      <c r="M4" s="17"/>
      <c r="N4" s="17"/>
      <c r="O4" s="17"/>
      <c r="P4" s="17"/>
      <c r="Q4" s="17"/>
    </row>
    <row r="5" spans="1:17" x14ac:dyDescent="0.2">
      <c r="A5" s="38" t="s">
        <v>4</v>
      </c>
      <c r="B5" s="38"/>
      <c r="C5" s="38"/>
      <c r="D5" s="11"/>
      <c r="E5" s="11">
        <f>-(96000*5*2/52+118000*2*0.5/52)</f>
        <v>-20730.76923076923</v>
      </c>
      <c r="F5" s="11">
        <v>0</v>
      </c>
      <c r="G5" s="11">
        <v>0</v>
      </c>
      <c r="H5" s="11">
        <v>0</v>
      </c>
      <c r="I5" s="11">
        <v>0</v>
      </c>
      <c r="J5" s="9"/>
      <c r="L5" s="16" t="s">
        <v>36</v>
      </c>
      <c r="M5" s="17"/>
      <c r="N5" s="17"/>
      <c r="O5" s="17"/>
      <c r="P5" s="17"/>
      <c r="Q5" s="17"/>
    </row>
    <row r="6" spans="1:17" x14ac:dyDescent="0.2">
      <c r="A6" s="38" t="s">
        <v>1</v>
      </c>
      <c r="B6" s="38"/>
      <c r="C6" s="38"/>
      <c r="D6" s="11"/>
      <c r="E6" s="11">
        <v>-10000</v>
      </c>
      <c r="F6" s="12">
        <v>0</v>
      </c>
      <c r="G6" s="12">
        <v>0</v>
      </c>
      <c r="H6" s="12">
        <v>0</v>
      </c>
      <c r="I6" s="11">
        <v>0</v>
      </c>
      <c r="J6" s="9"/>
      <c r="L6" s="16" t="s">
        <v>22</v>
      </c>
      <c r="M6" s="17"/>
      <c r="N6" s="17"/>
      <c r="O6" s="17"/>
      <c r="P6" s="17"/>
      <c r="Q6" s="17"/>
    </row>
    <row r="7" spans="1:17" x14ac:dyDescent="0.2">
      <c r="A7" s="38" t="s">
        <v>2</v>
      </c>
      <c r="B7" s="38"/>
      <c r="C7" s="38"/>
      <c r="D7" s="11"/>
      <c r="E7" s="11">
        <f>-(96000*5*35/52+118000*35*0.5/52)</f>
        <v>-362788.4615384615</v>
      </c>
      <c r="F7" s="12">
        <v>0</v>
      </c>
      <c r="G7" s="12">
        <v>0</v>
      </c>
      <c r="H7" s="12">
        <v>0</v>
      </c>
      <c r="I7" s="11">
        <v>0</v>
      </c>
      <c r="J7" s="9"/>
      <c r="L7" s="22" t="s">
        <v>54</v>
      </c>
      <c r="M7" s="17"/>
      <c r="N7" s="17"/>
      <c r="O7" s="17"/>
      <c r="P7" s="17"/>
      <c r="Q7" s="17"/>
    </row>
    <row r="8" spans="1:17" x14ac:dyDescent="0.2">
      <c r="A8" s="38" t="s">
        <v>3</v>
      </c>
      <c r="B8" s="38"/>
      <c r="C8" s="38"/>
      <c r="D8" s="11"/>
      <c r="E8" s="11">
        <f>(E6+E7)/(1-12%)*12%</f>
        <v>-50834.790209790204</v>
      </c>
      <c r="F8" s="12">
        <v>0</v>
      </c>
      <c r="G8" s="12">
        <v>0</v>
      </c>
      <c r="H8" s="12">
        <v>0</v>
      </c>
      <c r="I8" s="11">
        <v>0</v>
      </c>
      <c r="J8" s="9"/>
      <c r="L8" s="16" t="s">
        <v>24</v>
      </c>
      <c r="M8" s="17"/>
      <c r="N8" s="17"/>
      <c r="O8" s="17"/>
      <c r="P8" s="17"/>
      <c r="Q8" s="17"/>
    </row>
    <row r="9" spans="1:17" x14ac:dyDescent="0.2">
      <c r="A9" s="39" t="s">
        <v>5</v>
      </c>
      <c r="B9" s="39"/>
      <c r="C9" s="39"/>
      <c r="D9" s="13"/>
      <c r="E9" s="13">
        <f>SUM(E4:E8)</f>
        <v>-444354.02097902098</v>
      </c>
      <c r="F9" s="13">
        <f>SUM(F4:F8)</f>
        <v>0</v>
      </c>
      <c r="G9" s="13">
        <f t="shared" ref="G9:H9" si="0">SUM(G4:G8)</f>
        <v>0</v>
      </c>
      <c r="H9" s="13">
        <f t="shared" si="0"/>
        <v>0</v>
      </c>
      <c r="I9" s="13">
        <f>SUM(I4:I8)</f>
        <v>0</v>
      </c>
      <c r="J9" s="10"/>
      <c r="K9" s="7"/>
      <c r="L9" s="18"/>
      <c r="M9" s="7"/>
      <c r="N9" s="7"/>
      <c r="O9" s="7"/>
      <c r="P9" s="7"/>
      <c r="Q9" s="17"/>
    </row>
    <row r="10" spans="1:17" x14ac:dyDescent="0.2">
      <c r="A10" s="40"/>
      <c r="B10" s="40"/>
      <c r="C10" s="40"/>
      <c r="D10" s="11"/>
      <c r="E10" s="11"/>
      <c r="F10" s="11"/>
      <c r="G10" s="11"/>
      <c r="H10" s="11"/>
      <c r="I10" s="11"/>
      <c r="J10" s="9"/>
      <c r="L10" s="16"/>
      <c r="M10" s="17"/>
      <c r="N10" s="17"/>
      <c r="O10" s="17"/>
      <c r="P10" s="17"/>
      <c r="Q10" s="17"/>
    </row>
    <row r="11" spans="1:17" x14ac:dyDescent="0.2">
      <c r="A11" s="46" t="s">
        <v>6</v>
      </c>
      <c r="B11" s="46"/>
      <c r="C11" s="46"/>
      <c r="D11" s="11"/>
      <c r="E11" s="11"/>
      <c r="F11" s="11"/>
      <c r="G11" s="11"/>
      <c r="H11" s="11"/>
      <c r="I11" s="11"/>
      <c r="J11" s="9"/>
      <c r="L11" s="16"/>
      <c r="M11" s="17"/>
      <c r="N11" s="17"/>
      <c r="O11" s="17"/>
      <c r="P11" s="17"/>
      <c r="Q11" s="17"/>
    </row>
    <row r="12" spans="1:17" x14ac:dyDescent="0.2">
      <c r="A12" s="38" t="s">
        <v>7</v>
      </c>
      <c r="B12" s="38"/>
      <c r="C12" s="38"/>
      <c r="D12" s="11"/>
      <c r="E12" s="11">
        <f>-5000*12</f>
        <v>-60000</v>
      </c>
      <c r="F12" s="11">
        <f t="shared" ref="F12:I12" si="1">-5000*12</f>
        <v>-60000</v>
      </c>
      <c r="G12" s="11">
        <f t="shared" si="1"/>
        <v>-60000</v>
      </c>
      <c r="H12" s="11">
        <f t="shared" si="1"/>
        <v>-60000</v>
      </c>
      <c r="I12" s="11">
        <f t="shared" si="1"/>
        <v>-60000</v>
      </c>
      <c r="J12" s="9"/>
      <c r="L12" s="16" t="s">
        <v>40</v>
      </c>
      <c r="M12" s="17"/>
      <c r="N12" s="17"/>
      <c r="O12" s="17"/>
      <c r="P12" s="17"/>
      <c r="Q12" s="17"/>
    </row>
    <row r="13" spans="1:17" x14ac:dyDescent="0.2">
      <c r="A13" s="38" t="s">
        <v>10</v>
      </c>
      <c r="B13" s="38"/>
      <c r="C13" s="38"/>
      <c r="D13" s="11"/>
      <c r="E13" s="11">
        <f>-400*5*12</f>
        <v>-24000</v>
      </c>
      <c r="F13" s="11">
        <f t="shared" ref="F13:I13" si="2">-400*5*12</f>
        <v>-24000</v>
      </c>
      <c r="G13" s="11">
        <f t="shared" si="2"/>
        <v>-24000</v>
      </c>
      <c r="H13" s="11">
        <f t="shared" si="2"/>
        <v>-24000</v>
      </c>
      <c r="I13" s="11">
        <f t="shared" si="2"/>
        <v>-24000</v>
      </c>
      <c r="J13" s="9"/>
      <c r="L13" s="16" t="s">
        <v>68</v>
      </c>
      <c r="M13" s="17"/>
      <c r="N13" s="17"/>
      <c r="O13" s="17"/>
      <c r="P13" s="17"/>
      <c r="Q13" s="17"/>
    </row>
    <row r="14" spans="1:17" x14ac:dyDescent="0.2">
      <c r="A14" s="38" t="s">
        <v>8</v>
      </c>
      <c r="B14" s="38"/>
      <c r="C14" s="38"/>
      <c r="D14" s="11"/>
      <c r="E14" s="11">
        <v>-200000</v>
      </c>
      <c r="F14" s="11">
        <v>-200000</v>
      </c>
      <c r="G14" s="11">
        <v>-200000</v>
      </c>
      <c r="H14" s="11">
        <v>-200000</v>
      </c>
      <c r="I14" s="11">
        <v>-200000</v>
      </c>
      <c r="J14" s="9"/>
      <c r="L14" s="16"/>
      <c r="M14" s="17"/>
      <c r="N14" s="17"/>
      <c r="O14" s="17"/>
      <c r="P14" s="17"/>
      <c r="Q14" s="17"/>
    </row>
    <row r="15" spans="1:17" x14ac:dyDescent="0.2">
      <c r="A15" s="38" t="s">
        <v>9</v>
      </c>
      <c r="B15" s="38"/>
      <c r="C15" s="38"/>
      <c r="D15" s="11"/>
      <c r="E15" s="11">
        <f>-1300*10</f>
        <v>-13000</v>
      </c>
      <c r="F15" s="11">
        <f t="shared" ref="F15:I15" si="3">-1300*10</f>
        <v>-13000</v>
      </c>
      <c r="G15" s="11">
        <f t="shared" si="3"/>
        <v>-13000</v>
      </c>
      <c r="H15" s="11">
        <f t="shared" si="3"/>
        <v>-13000</v>
      </c>
      <c r="I15" s="11">
        <f t="shared" si="3"/>
        <v>-13000</v>
      </c>
      <c r="J15" s="9"/>
      <c r="L15" s="16" t="s">
        <v>27</v>
      </c>
      <c r="M15" s="17"/>
      <c r="N15" s="17"/>
      <c r="O15" s="17"/>
      <c r="P15" s="17"/>
      <c r="Q15" s="17"/>
    </row>
    <row r="16" spans="1:17" x14ac:dyDescent="0.2">
      <c r="A16" s="39" t="s">
        <v>11</v>
      </c>
      <c r="B16" s="39"/>
      <c r="C16" s="39"/>
      <c r="D16" s="13"/>
      <c r="E16" s="13">
        <f>SUM(E12:E15)</f>
        <v>-297000</v>
      </c>
      <c r="F16" s="13">
        <f t="shared" ref="F16:I16" si="4">SUM(F12:F15)</f>
        <v>-297000</v>
      </c>
      <c r="G16" s="13">
        <f t="shared" si="4"/>
        <v>-297000</v>
      </c>
      <c r="H16" s="13">
        <f t="shared" si="4"/>
        <v>-297000</v>
      </c>
      <c r="I16" s="13">
        <f t="shared" si="4"/>
        <v>-297000</v>
      </c>
      <c r="J16" s="10"/>
      <c r="K16" s="7"/>
      <c r="L16" s="18"/>
      <c r="M16" s="7"/>
      <c r="N16" s="7"/>
      <c r="O16" s="7"/>
      <c r="P16" s="7"/>
      <c r="Q16" s="17"/>
    </row>
    <row r="17" spans="1:17" x14ac:dyDescent="0.2">
      <c r="A17" s="40"/>
      <c r="B17" s="40"/>
      <c r="C17" s="40"/>
      <c r="D17" s="11"/>
      <c r="E17" s="11"/>
      <c r="F17" s="11"/>
      <c r="G17" s="11"/>
      <c r="H17" s="11"/>
      <c r="I17" s="11"/>
      <c r="J17" s="9"/>
      <c r="L17" s="16"/>
      <c r="M17" s="17"/>
      <c r="N17" s="17"/>
      <c r="O17" s="17"/>
      <c r="P17" s="17"/>
      <c r="Q17" s="17"/>
    </row>
    <row r="18" spans="1:17" x14ac:dyDescent="0.2">
      <c r="A18" s="46" t="s">
        <v>12</v>
      </c>
      <c r="B18" s="46"/>
      <c r="C18" s="46"/>
      <c r="D18" s="11"/>
      <c r="E18" s="11"/>
      <c r="F18" s="11"/>
      <c r="G18" s="11"/>
      <c r="H18" s="11"/>
      <c r="I18" s="11"/>
      <c r="J18" s="9"/>
      <c r="L18" s="16"/>
      <c r="M18" s="17"/>
      <c r="N18" s="17"/>
      <c r="O18" s="17"/>
      <c r="P18" s="17"/>
      <c r="Q18" s="17"/>
    </row>
    <row r="19" spans="1:17" x14ac:dyDescent="0.2">
      <c r="A19" s="41" t="s">
        <v>13</v>
      </c>
      <c r="B19" s="41"/>
      <c r="C19" s="41"/>
      <c r="D19" s="11"/>
      <c r="E19" s="11"/>
      <c r="F19" s="11"/>
      <c r="G19" s="11"/>
      <c r="H19" s="11"/>
      <c r="I19" s="11"/>
      <c r="J19" s="9"/>
      <c r="L19" s="16"/>
      <c r="M19" s="17"/>
      <c r="N19" s="17"/>
      <c r="O19" s="17"/>
      <c r="P19" s="17"/>
      <c r="Q19" s="17"/>
    </row>
    <row r="20" spans="1:17" x14ac:dyDescent="0.2">
      <c r="A20" s="38" t="s">
        <v>25</v>
      </c>
      <c r="B20" s="38"/>
      <c r="C20" s="38"/>
      <c r="D20" s="11"/>
      <c r="E20" s="11">
        <v>0</v>
      </c>
      <c r="F20" s="11">
        <f>17756*10^6*1%</f>
        <v>177560000</v>
      </c>
      <c r="G20" s="11">
        <f t="shared" ref="G20:H20" si="5">17756*10^6*1%</f>
        <v>177560000</v>
      </c>
      <c r="H20" s="11">
        <f t="shared" si="5"/>
        <v>177560000</v>
      </c>
      <c r="I20" s="11">
        <f>17756*10^6*1%</f>
        <v>177560000</v>
      </c>
      <c r="J20" s="9"/>
      <c r="L20" s="22" t="s">
        <v>52</v>
      </c>
      <c r="M20" s="17"/>
      <c r="N20" s="17"/>
      <c r="O20" s="17"/>
      <c r="P20" s="17"/>
      <c r="Q20" s="17"/>
    </row>
    <row r="21" spans="1:17" x14ac:dyDescent="0.2">
      <c r="A21" s="38" t="s">
        <v>26</v>
      </c>
      <c r="B21" s="38"/>
      <c r="C21" s="38"/>
      <c r="D21" s="11"/>
      <c r="E21" s="11">
        <v>0</v>
      </c>
      <c r="F21" s="11">
        <v>0</v>
      </c>
      <c r="G21" s="11">
        <f t="shared" ref="G21:I21" si="6">7221*10^6*1%</f>
        <v>72210000</v>
      </c>
      <c r="H21" s="11">
        <f t="shared" si="6"/>
        <v>72210000</v>
      </c>
      <c r="I21" s="11">
        <f t="shared" si="6"/>
        <v>72210000</v>
      </c>
      <c r="J21" s="9"/>
      <c r="L21" s="22" t="s">
        <v>53</v>
      </c>
      <c r="M21" s="17"/>
      <c r="N21" s="17"/>
      <c r="O21" s="17"/>
      <c r="P21" s="17"/>
      <c r="Q21" s="17"/>
    </row>
    <row r="22" spans="1:17" x14ac:dyDescent="0.2">
      <c r="A22" s="41" t="s">
        <v>14</v>
      </c>
      <c r="B22" s="41"/>
      <c r="C22" s="41"/>
      <c r="D22" s="11"/>
      <c r="E22" s="11">
        <v>0</v>
      </c>
      <c r="F22" s="11">
        <f>728*10^6*2%</f>
        <v>14560000</v>
      </c>
      <c r="G22" s="11">
        <f t="shared" ref="G22:I22" si="7">728*10^6*2%</f>
        <v>14560000</v>
      </c>
      <c r="H22" s="11">
        <f t="shared" si="7"/>
        <v>14560000</v>
      </c>
      <c r="I22" s="11">
        <f t="shared" si="7"/>
        <v>14560000</v>
      </c>
      <c r="J22" s="9"/>
      <c r="L22" s="22" t="s">
        <v>55</v>
      </c>
      <c r="M22" s="17"/>
      <c r="N22" s="17"/>
      <c r="O22" s="17"/>
      <c r="P22" s="17"/>
      <c r="Q22" s="17"/>
    </row>
    <row r="23" spans="1:17" x14ac:dyDescent="0.2">
      <c r="A23" s="41" t="s">
        <v>67</v>
      </c>
      <c r="B23" s="41"/>
      <c r="C23" s="41"/>
      <c r="D23" s="11"/>
      <c r="E23" s="11">
        <v>0</v>
      </c>
      <c r="F23" s="11">
        <f>2*10^9/5*0.75%</f>
        <v>3000000</v>
      </c>
      <c r="G23" s="11">
        <f t="shared" ref="G23:I23" si="8">2*10^9/5*0.75%</f>
        <v>3000000</v>
      </c>
      <c r="H23" s="11">
        <f t="shared" si="8"/>
        <v>3000000</v>
      </c>
      <c r="I23" s="11">
        <f t="shared" si="8"/>
        <v>3000000</v>
      </c>
      <c r="J23" s="9"/>
      <c r="L23" s="22" t="s">
        <v>56</v>
      </c>
      <c r="M23" s="17"/>
      <c r="N23" s="17"/>
      <c r="O23" s="17"/>
      <c r="P23" s="17"/>
      <c r="Q23" s="17"/>
    </row>
    <row r="24" spans="1:17" x14ac:dyDescent="0.2">
      <c r="A24" s="39" t="s">
        <v>16</v>
      </c>
      <c r="B24" s="39"/>
      <c r="C24" s="39"/>
      <c r="D24" s="13"/>
      <c r="E24" s="13">
        <f>SUM(E19:E23)</f>
        <v>0</v>
      </c>
      <c r="F24" s="13">
        <f>SUM(F19:F23)</f>
        <v>195120000</v>
      </c>
      <c r="G24" s="13">
        <f t="shared" ref="G24:I24" si="9">SUM(G19:G23)</f>
        <v>267330000</v>
      </c>
      <c r="H24" s="13">
        <f t="shared" si="9"/>
        <v>267330000</v>
      </c>
      <c r="I24" s="13">
        <f t="shared" si="9"/>
        <v>267330000</v>
      </c>
      <c r="J24" s="10"/>
      <c r="K24" s="7"/>
      <c r="L24" s="23" t="s">
        <v>57</v>
      </c>
      <c r="M24" s="17"/>
      <c r="N24" s="17"/>
      <c r="O24" s="17"/>
      <c r="P24" s="17"/>
    </row>
    <row r="25" spans="1:17" x14ac:dyDescent="0.2">
      <c r="D25" s="11"/>
      <c r="E25" s="11"/>
      <c r="F25" s="11"/>
      <c r="G25" s="11"/>
      <c r="H25" s="11"/>
      <c r="I25" s="11"/>
      <c r="J25" s="9"/>
      <c r="L25" s="17" t="s">
        <v>34</v>
      </c>
    </row>
    <row r="26" spans="1:17" x14ac:dyDescent="0.2">
      <c r="D26" s="11" t="s">
        <v>30</v>
      </c>
      <c r="E26" s="14">
        <f>SUM(E9,E16,E24)</f>
        <v>-741354.02097902098</v>
      </c>
      <c r="F26" s="14">
        <f>SUM(F9,F16,F24)</f>
        <v>194823000</v>
      </c>
      <c r="G26" s="14">
        <f>SUM(G9,G16,G24)</f>
        <v>267033000</v>
      </c>
      <c r="H26" s="14">
        <f>SUM(H9,H16,H24)</f>
        <v>267033000</v>
      </c>
      <c r="I26" s="14">
        <f>SUM(I9,I16,I24)</f>
        <v>267033000</v>
      </c>
      <c r="J26" s="9"/>
    </row>
    <row r="27" spans="1:17" x14ac:dyDescent="0.2">
      <c r="E27" s="8"/>
      <c r="F27" s="8"/>
      <c r="G27" s="8"/>
      <c r="H27" s="8"/>
    </row>
    <row r="28" spans="1:17" x14ac:dyDescent="0.2">
      <c r="A28" s="42" t="s">
        <v>19</v>
      </c>
      <c r="B28" s="42"/>
      <c r="C28" s="44">
        <v>0.1</v>
      </c>
      <c r="E28" s="34" t="s">
        <v>31</v>
      </c>
      <c r="F28" s="36">
        <f>NPV(C28,E26,F26,G26,H26,I26)</f>
        <v>709156246.51687002</v>
      </c>
    </row>
    <row r="29" spans="1:17" x14ac:dyDescent="0.2">
      <c r="A29" s="43"/>
      <c r="B29" s="43"/>
      <c r="C29" s="45"/>
      <c r="E29" s="35"/>
      <c r="F29" s="37"/>
    </row>
  </sheetData>
  <mergeCells count="26">
    <mergeCell ref="A17:C17"/>
    <mergeCell ref="A18:C18"/>
    <mergeCell ref="A19:C19"/>
    <mergeCell ref="A20:C20"/>
    <mergeCell ref="A28:B29"/>
    <mergeCell ref="C28:C29"/>
    <mergeCell ref="A21:C21"/>
    <mergeCell ref="A22:C22"/>
    <mergeCell ref="A23:C23"/>
    <mergeCell ref="A24:C24"/>
    <mergeCell ref="E28:E29"/>
    <mergeCell ref="F28:F29"/>
    <mergeCell ref="A14:C14"/>
    <mergeCell ref="A2:C2"/>
    <mergeCell ref="A3:C3"/>
    <mergeCell ref="A5:C5"/>
    <mergeCell ref="A6:C6"/>
    <mergeCell ref="A7:C7"/>
    <mergeCell ref="A8:C8"/>
    <mergeCell ref="A9:C9"/>
    <mergeCell ref="A10:C10"/>
    <mergeCell ref="A11:C11"/>
    <mergeCell ref="A12:C12"/>
    <mergeCell ref="A13:C13"/>
    <mergeCell ref="A15:C15"/>
    <mergeCell ref="A16:C16"/>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AE9FB-D92F-8443-946C-97F215A4A713}">
  <dimension ref="A1:G23"/>
  <sheetViews>
    <sheetView topLeftCell="D1" workbookViewId="0">
      <selection activeCell="A6" sqref="A6:XFD6"/>
    </sheetView>
  </sheetViews>
  <sheetFormatPr baseColWidth="10" defaultRowHeight="16" x14ac:dyDescent="0.2"/>
  <cols>
    <col min="1" max="3" width="10.83203125" style="19"/>
    <col min="4" max="4" width="113" style="21" customWidth="1"/>
    <col min="5" max="16384" width="10.83203125" style="3"/>
  </cols>
  <sheetData>
    <row r="1" spans="1:4" ht="17" x14ac:dyDescent="0.2">
      <c r="A1" s="56" t="s">
        <v>0</v>
      </c>
      <c r="B1" s="56"/>
      <c r="C1" s="56"/>
      <c r="D1" s="21" t="s">
        <v>35</v>
      </c>
    </row>
    <row r="2" spans="1:4" x14ac:dyDescent="0.2">
      <c r="A2" s="55" t="s">
        <v>51</v>
      </c>
      <c r="B2" s="55"/>
      <c r="C2" s="55"/>
    </row>
    <row r="3" spans="1:4" ht="17" x14ac:dyDescent="0.2">
      <c r="A3" s="52" t="s">
        <v>20</v>
      </c>
      <c r="B3" s="52"/>
      <c r="C3" s="52"/>
      <c r="D3" s="21" t="s">
        <v>42</v>
      </c>
    </row>
    <row r="4" spans="1:4" ht="34" x14ac:dyDescent="0.2">
      <c r="A4" s="52" t="s">
        <v>4</v>
      </c>
      <c r="B4" s="52"/>
      <c r="C4" s="52"/>
      <c r="D4" s="21" t="s">
        <v>37</v>
      </c>
    </row>
    <row r="5" spans="1:4" ht="17" x14ac:dyDescent="0.2">
      <c r="A5" s="52" t="s">
        <v>1</v>
      </c>
      <c r="B5" s="52"/>
      <c r="C5" s="52"/>
      <c r="D5" s="21" t="s">
        <v>38</v>
      </c>
    </row>
    <row r="6" spans="1:4" ht="51" x14ac:dyDescent="0.2">
      <c r="A6" s="52" t="s">
        <v>2</v>
      </c>
      <c r="B6" s="52"/>
      <c r="C6" s="52"/>
      <c r="D6" s="21" t="s">
        <v>39</v>
      </c>
    </row>
    <row r="7" spans="1:4" ht="17" x14ac:dyDescent="0.2">
      <c r="A7" s="52" t="s">
        <v>3</v>
      </c>
      <c r="B7" s="52"/>
      <c r="C7" s="52"/>
      <c r="D7" s="21" t="s">
        <v>43</v>
      </c>
    </row>
    <row r="8" spans="1:4" x14ac:dyDescent="0.2">
      <c r="A8" s="53" t="s">
        <v>5</v>
      </c>
      <c r="B8" s="53"/>
      <c r="C8" s="53"/>
    </row>
    <row r="9" spans="1:4" x14ac:dyDescent="0.2">
      <c r="A9" s="55"/>
      <c r="B9" s="55"/>
      <c r="C9" s="55"/>
    </row>
    <row r="10" spans="1:4" x14ac:dyDescent="0.2">
      <c r="A10" s="56" t="s">
        <v>6</v>
      </c>
      <c r="B10" s="56"/>
      <c r="C10" s="56"/>
    </row>
    <row r="11" spans="1:4" ht="34" x14ac:dyDescent="0.2">
      <c r="A11" s="54" t="s">
        <v>7</v>
      </c>
      <c r="B11" s="54"/>
      <c r="C11" s="54"/>
      <c r="D11" s="21" t="s">
        <v>44</v>
      </c>
    </row>
    <row r="12" spans="1:4" ht="34" x14ac:dyDescent="0.2">
      <c r="A12" s="54" t="s">
        <v>10</v>
      </c>
      <c r="B12" s="54"/>
      <c r="C12" s="54"/>
      <c r="D12" s="21" t="s">
        <v>41</v>
      </c>
    </row>
    <row r="13" spans="1:4" ht="17" x14ac:dyDescent="0.2">
      <c r="A13" s="54" t="s">
        <v>8</v>
      </c>
      <c r="B13" s="54"/>
      <c r="C13" s="54"/>
      <c r="D13" s="21" t="s">
        <v>45</v>
      </c>
    </row>
    <row r="14" spans="1:4" ht="34" x14ac:dyDescent="0.2">
      <c r="A14" s="54" t="s">
        <v>9</v>
      </c>
      <c r="B14" s="54"/>
      <c r="C14" s="54"/>
      <c r="D14" s="21" t="s">
        <v>46</v>
      </c>
    </row>
    <row r="15" spans="1:4" x14ac:dyDescent="0.2">
      <c r="A15" s="53" t="s">
        <v>11</v>
      </c>
      <c r="B15" s="53"/>
      <c r="C15" s="53"/>
    </row>
    <row r="16" spans="1:4" x14ac:dyDescent="0.2">
      <c r="A16" s="55"/>
      <c r="B16" s="55"/>
      <c r="C16" s="55"/>
    </row>
    <row r="17" spans="1:7" x14ac:dyDescent="0.2">
      <c r="A17" s="56" t="s">
        <v>12</v>
      </c>
      <c r="B17" s="56"/>
      <c r="C17" s="56"/>
    </row>
    <row r="18" spans="1:7" x14ac:dyDescent="0.2">
      <c r="A18" s="54" t="s">
        <v>13</v>
      </c>
      <c r="B18" s="54"/>
      <c r="C18" s="54"/>
    </row>
    <row r="19" spans="1:7" ht="34" x14ac:dyDescent="0.2">
      <c r="A19" s="54" t="s">
        <v>25</v>
      </c>
      <c r="B19" s="54"/>
      <c r="C19" s="54"/>
      <c r="D19" s="20" t="s">
        <v>47</v>
      </c>
      <c r="E19" s="17"/>
      <c r="F19" s="17"/>
      <c r="G19" s="17"/>
    </row>
    <row r="20" spans="1:7" ht="34" x14ac:dyDescent="0.2">
      <c r="A20" s="54" t="s">
        <v>26</v>
      </c>
      <c r="B20" s="54"/>
      <c r="C20" s="54"/>
      <c r="D20" s="20" t="s">
        <v>48</v>
      </c>
      <c r="E20" s="17"/>
      <c r="F20" s="17"/>
      <c r="G20" s="17"/>
    </row>
    <row r="21" spans="1:7" ht="17" x14ac:dyDescent="0.2">
      <c r="A21" s="54" t="s">
        <v>14</v>
      </c>
      <c r="B21" s="54"/>
      <c r="C21" s="54"/>
      <c r="D21" s="20" t="s">
        <v>49</v>
      </c>
      <c r="E21" s="17"/>
      <c r="F21" s="17"/>
      <c r="G21" s="17"/>
    </row>
    <row r="22" spans="1:7" ht="34" x14ac:dyDescent="0.2">
      <c r="A22" s="54" t="s">
        <v>15</v>
      </c>
      <c r="B22" s="54"/>
      <c r="C22" s="54"/>
      <c r="D22" s="20" t="s">
        <v>50</v>
      </c>
      <c r="E22" s="17"/>
      <c r="F22" s="17"/>
      <c r="G22" s="17"/>
    </row>
    <row r="23" spans="1:7" x14ac:dyDescent="0.2">
      <c r="A23" s="53" t="s">
        <v>16</v>
      </c>
      <c r="B23" s="53"/>
      <c r="C23" s="53"/>
    </row>
  </sheetData>
  <mergeCells count="23">
    <mergeCell ref="A1:C1"/>
    <mergeCell ref="A21:C21"/>
    <mergeCell ref="A22:C22"/>
    <mergeCell ref="A7:C7"/>
    <mergeCell ref="A8:C8"/>
    <mergeCell ref="A9:C9"/>
    <mergeCell ref="A10:C10"/>
    <mergeCell ref="A11:C11"/>
    <mergeCell ref="A12:C12"/>
    <mergeCell ref="A2:C2"/>
    <mergeCell ref="A3:C3"/>
    <mergeCell ref="A4:C4"/>
    <mergeCell ref="A5:C5"/>
    <mergeCell ref="A6:C6"/>
    <mergeCell ref="A23:C23"/>
    <mergeCell ref="A13:C13"/>
    <mergeCell ref="A14:C14"/>
    <mergeCell ref="A15:C15"/>
    <mergeCell ref="A16:C16"/>
    <mergeCell ref="A17:C17"/>
    <mergeCell ref="A18:C18"/>
    <mergeCell ref="A19:C19"/>
    <mergeCell ref="A20:C20"/>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BEST-GUESS</vt:lpstr>
      <vt:lpstr>COMPARISON</vt:lpstr>
      <vt:lpstr>WORST CASE</vt:lpstr>
      <vt:lpstr>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2020-11-17T01:20:30Z</cp:lastPrinted>
  <dcterms:created xsi:type="dcterms:W3CDTF">2020-11-16T00:48:03Z</dcterms:created>
  <dcterms:modified xsi:type="dcterms:W3CDTF">2020-11-17T01:51:46Z</dcterms:modified>
</cp:coreProperties>
</file>